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20" windowWidth="29040" windowHeight="15840"/>
  </bookViews>
  <sheets>
    <sheet name="RR Model" sheetId="23" r:id="rId1"/>
    <sheet name="ADJ-E" sheetId="14" r:id="rId2"/>
    <sheet name="Summary-Cost-E" sheetId="9" r:id="rId3"/>
    <sheet name="EIM - 2020 WA E Detail " sheetId="20" r:id="rId4"/>
    <sheet name="EIM - 2021 WA E Detail " sheetId="21" r:id="rId5"/>
    <sheet name="EIM - 2022 WA E Detail" sheetId="2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'EIM - 2020 WA E Detail '!$A$3:$AG$6</definedName>
    <definedName name="_xlnm._FilterDatabase" localSheetId="4" hidden="1">'EIM - 2021 WA E Detail '!$A$3:$R$6</definedName>
    <definedName name="_xlnm._FilterDatabase" localSheetId="5" hidden="1">'EIM - 2022 WA E Detail'!$A$3:$R$5</definedName>
    <definedName name="a">#REF!,#REF!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3">#REF!</definedName>
    <definedName name="_xlnm.Auto_Open" localSheetId="4">#REF!</definedName>
    <definedName name="_xlnm.Auto_Open" localSheetId="5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3">#REF!</definedName>
    <definedName name="Macro1" localSheetId="4">#REF!</definedName>
    <definedName name="Macro1" localSheetId="5">#REF!</definedName>
    <definedName name="Macro1">#REF!</definedName>
    <definedName name="Macro10" localSheetId="3">#REF!</definedName>
    <definedName name="Macro10" localSheetId="4">#REF!</definedName>
    <definedName name="Macro10" localSheetId="5">#REF!</definedName>
    <definedName name="Macro10">#REF!</definedName>
    <definedName name="Macro11" localSheetId="3">#REF!</definedName>
    <definedName name="Macro11" localSheetId="4">#REF!</definedName>
    <definedName name="Macro11" localSheetId="5">#REF!</definedName>
    <definedName name="Macro11">#REF!</definedName>
    <definedName name="Macro12" localSheetId="3">#REF!</definedName>
    <definedName name="Macro12" localSheetId="4">#REF!</definedName>
    <definedName name="Macro12" localSheetId="5">#REF!</definedName>
    <definedName name="Macro12">#REF!</definedName>
    <definedName name="Macro2" localSheetId="3">#REF!</definedName>
    <definedName name="Macro2" localSheetId="4">#REF!</definedName>
    <definedName name="Macro2" localSheetId="5">#REF!</definedName>
    <definedName name="Macro2">#REF!</definedName>
    <definedName name="Macro3" localSheetId="3">#REF!</definedName>
    <definedName name="Macro3" localSheetId="4">#REF!</definedName>
    <definedName name="Macro3" localSheetId="5">#REF!</definedName>
    <definedName name="Macro3">#REF!</definedName>
    <definedName name="Macro4" localSheetId="3">#REF!</definedName>
    <definedName name="Macro4" localSheetId="4">#REF!</definedName>
    <definedName name="Macro4" localSheetId="5">#REF!</definedName>
    <definedName name="Macro4">#REF!</definedName>
    <definedName name="Macro5" localSheetId="3">#REF!</definedName>
    <definedName name="Macro5" localSheetId="4">#REF!</definedName>
    <definedName name="Macro5" localSheetId="5">#REF!</definedName>
    <definedName name="Macro5">#REF!</definedName>
    <definedName name="Macro6" localSheetId="3">#REF!</definedName>
    <definedName name="Macro6" localSheetId="4">#REF!</definedName>
    <definedName name="Macro6" localSheetId="5">#REF!</definedName>
    <definedName name="Macro6">#REF!</definedName>
    <definedName name="Macro7" localSheetId="3">#REF!</definedName>
    <definedName name="Macro7" localSheetId="4">#REF!</definedName>
    <definedName name="Macro7" localSheetId="5">#REF!</definedName>
    <definedName name="Macro7">#REF!</definedName>
    <definedName name="Macro8" localSheetId="3">#REF!</definedName>
    <definedName name="Macro8" localSheetId="4">#REF!</definedName>
    <definedName name="Macro8" localSheetId="5">#REF!</definedName>
    <definedName name="Macro8">#REF!</definedName>
    <definedName name="Macro9" localSheetId="3">#REF!</definedName>
    <definedName name="Macro9" localSheetId="4">#REF!</definedName>
    <definedName name="Macro9" localSheetId="5">#REF!</definedName>
    <definedName name="Macro9">#REF!</definedName>
    <definedName name="months">[3]DATA!$H$2</definedName>
    <definedName name="_xlnm.Print_Area" localSheetId="3">'EIM - 2020 WA E Detail '!$A$1:$AG$18</definedName>
    <definedName name="_xlnm.Print_Area" localSheetId="4">'EIM - 2021 WA E Detail '!$A$1:$AG$17</definedName>
    <definedName name="_xlnm.Print_Area" localSheetId="5">'EIM - 2022 WA E Detail'!$A$1:$AG$8</definedName>
    <definedName name="_xlnm.Print_Area" localSheetId="2">'Summary-Cost-E'!$A$3:$AL$116</definedName>
    <definedName name="Print_for_Checking">'[5]ADJ SUMMARY'!#REF!:'[5]ADJ SUMMARY'!#REF!</definedName>
    <definedName name="_xlnm.Print_Titles" localSheetId="2">'Summary-Cost-E'!$A:$C</definedName>
    <definedName name="rbcalc">[3]DATA!$H$3</definedName>
    <definedName name="rbcalc_heading">[3]DATA!$H$5</definedName>
    <definedName name="Recover" localSheetId="3">#REF!</definedName>
    <definedName name="Recover" localSheetId="4">#REF!</definedName>
    <definedName name="Recover" localSheetId="5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hidden="1">{"IncSt",#N/A,FALSE,"IS";"BalSht",#N/A,FALSE,"BS";"IntCash",#N/A,FALSE,"Int. Cash";"Stats",#N/A,FALSE,"Stats"}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9" l="1"/>
  <c r="Q60" i="9"/>
  <c r="Q61" i="9"/>
  <c r="Q62" i="9"/>
  <c r="Q63" i="9"/>
  <c r="Q64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R18" i="9"/>
  <c r="S20" i="9"/>
  <c r="T20" i="9"/>
  <c r="U20" i="9"/>
  <c r="V20" i="9"/>
  <c r="W20" i="9"/>
  <c r="X20" i="9"/>
  <c r="Y20" i="9"/>
  <c r="Z20" i="9"/>
  <c r="AA20" i="9"/>
  <c r="AB20" i="9"/>
  <c r="AC20" i="9"/>
  <c r="R20" i="9"/>
  <c r="V4" i="24" l="1"/>
  <c r="W4" i="24"/>
  <c r="X4" i="24"/>
  <c r="Y4" i="24"/>
  <c r="Z4" i="24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V8" i="20"/>
  <c r="W8" i="20"/>
  <c r="X8" i="20"/>
  <c r="Y8" i="20"/>
  <c r="Z8" i="20"/>
  <c r="AA8" i="20"/>
  <c r="AB8" i="20"/>
  <c r="AC8" i="20"/>
  <c r="AD8" i="20"/>
  <c r="AE8" i="20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E20" i="9" s="1"/>
  <c r="V10" i="20"/>
  <c r="F20" i="9" s="1"/>
  <c r="W10" i="20"/>
  <c r="G20" i="9" s="1"/>
  <c r="X10" i="20"/>
  <c r="H20" i="9" s="1"/>
  <c r="Y10" i="20"/>
  <c r="I20" i="9" s="1"/>
  <c r="Z10" i="20"/>
  <c r="J20" i="9" s="1"/>
  <c r="AA10" i="20"/>
  <c r="K20" i="9" s="1"/>
  <c r="AB10" i="20"/>
  <c r="L20" i="9" s="1"/>
  <c r="AC10" i="20"/>
  <c r="M20" i="9" s="1"/>
  <c r="AD10" i="20"/>
  <c r="N20" i="9" s="1"/>
  <c r="AE10" i="20"/>
  <c r="O20" i="9" s="1"/>
  <c r="AF10" i="20"/>
  <c r="P20" i="9" s="1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E18" i="9" s="1"/>
  <c r="V13" i="20"/>
  <c r="F18" i="9" s="1"/>
  <c r="W13" i="20"/>
  <c r="G18" i="9" s="1"/>
  <c r="X13" i="20"/>
  <c r="H18" i="9" s="1"/>
  <c r="Y13" i="20"/>
  <c r="I18" i="9" s="1"/>
  <c r="Z13" i="20"/>
  <c r="J18" i="9" s="1"/>
  <c r="AA13" i="20"/>
  <c r="K18" i="9" s="1"/>
  <c r="AB13" i="20"/>
  <c r="L18" i="9" s="1"/>
  <c r="AC13" i="20"/>
  <c r="M18" i="9" s="1"/>
  <c r="AD13" i="20"/>
  <c r="N18" i="9" s="1"/>
  <c r="AE13" i="20"/>
  <c r="O18" i="9" s="1"/>
  <c r="AF13" i="20"/>
  <c r="P18" i="9" s="1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V4" i="20"/>
  <c r="F19" i="9" s="1"/>
  <c r="W4" i="20"/>
  <c r="G19" i="9" s="1"/>
  <c r="X4" i="20"/>
  <c r="Y4" i="20"/>
  <c r="I19" i="9" s="1"/>
  <c r="Z4" i="20"/>
  <c r="J19" i="9" s="1"/>
  <c r="AA4" i="20"/>
  <c r="K19" i="9" s="1"/>
  <c r="AB4" i="20"/>
  <c r="AC4" i="20"/>
  <c r="M19" i="9" s="1"/>
  <c r="AD4" i="20"/>
  <c r="N19" i="9" s="1"/>
  <c r="AE4" i="20"/>
  <c r="O19" i="9" s="1"/>
  <c r="AF4" i="20"/>
  <c r="U4" i="20"/>
  <c r="E19" i="9" s="1"/>
  <c r="E30" i="9" s="1"/>
  <c r="P19" i="9" l="1"/>
  <c r="L19" i="9"/>
  <c r="F7" i="9"/>
  <c r="G29" i="9" s="1"/>
  <c r="F9" i="9"/>
  <c r="G31" i="9" s="1"/>
  <c r="H19" i="9"/>
  <c r="E29" i="9"/>
  <c r="Q18" i="9"/>
  <c r="E7" i="9"/>
  <c r="F29" i="9" s="1"/>
  <c r="E9" i="9"/>
  <c r="F31" i="9" s="1"/>
  <c r="E31" i="9"/>
  <c r="Q20" i="9"/>
  <c r="R17" i="20"/>
  <c r="AG14" i="20"/>
  <c r="E40" i="9" l="1"/>
  <c r="F40" i="9" s="1"/>
  <c r="G40" i="9" s="1"/>
  <c r="E42" i="9"/>
  <c r="F42" i="9" s="1"/>
  <c r="G42" i="9" s="1"/>
  <c r="G9" i="9"/>
  <c r="G7" i="9"/>
  <c r="AG4" i="24"/>
  <c r="H29" i="9" l="1"/>
  <c r="H7" i="9"/>
  <c r="H31" i="9"/>
  <c r="H9" i="9"/>
  <c r="H40" i="9"/>
  <c r="F25" i="23"/>
  <c r="I29" i="9" l="1"/>
  <c r="I7" i="9"/>
  <c r="I40" i="9"/>
  <c r="I31" i="9"/>
  <c r="I9" i="9"/>
  <c r="H42" i="9"/>
  <c r="I42" i="9" s="1"/>
  <c r="G23" i="23"/>
  <c r="J31" i="9" l="1"/>
  <c r="J42" i="9" s="1"/>
  <c r="J9" i="9"/>
  <c r="J29" i="9"/>
  <c r="J7" i="9"/>
  <c r="F72" i="23"/>
  <c r="F71" i="23"/>
  <c r="F69" i="23"/>
  <c r="F68" i="23"/>
  <c r="F65" i="23"/>
  <c r="F62" i="23"/>
  <c r="F61" i="23"/>
  <c r="F43" i="23"/>
  <c r="F46" i="23" s="1"/>
  <c r="K29" i="9" l="1"/>
  <c r="K7" i="9"/>
  <c r="J40" i="9"/>
  <c r="K40" i="9" s="1"/>
  <c r="K31" i="9"/>
  <c r="K42" i="9" s="1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L29" i="9" l="1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G15" i="9"/>
  <c r="H15" i="9"/>
  <c r="I15" i="9"/>
  <c r="J15" i="9"/>
  <c r="K15" i="9"/>
  <c r="L15" i="9"/>
  <c r="M15" i="9"/>
  <c r="N15" i="9"/>
  <c r="O15" i="9"/>
  <c r="P15" i="9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15" i="9"/>
  <c r="E26" i="9" s="1"/>
  <c r="F8" i="9"/>
  <c r="G8" i="9" s="1"/>
  <c r="N16" i="9"/>
  <c r="J16" i="9"/>
  <c r="F16" i="9"/>
  <c r="M21" i="9"/>
  <c r="I21" i="9"/>
  <c r="O17" i="9"/>
  <c r="K17" i="9"/>
  <c r="G17" i="9"/>
  <c r="E16" i="9"/>
  <c r="M16" i="9"/>
  <c r="I16" i="9"/>
  <c r="P21" i="9"/>
  <c r="L21" i="9"/>
  <c r="H21" i="9"/>
  <c r="N17" i="9"/>
  <c r="J17" i="9"/>
  <c r="F17" i="9"/>
  <c r="P16" i="9"/>
  <c r="L16" i="9"/>
  <c r="H16" i="9"/>
  <c r="O21" i="9"/>
  <c r="K21" i="9"/>
  <c r="G21" i="9"/>
  <c r="M17" i="9"/>
  <c r="I17" i="9"/>
  <c r="AG8" i="20"/>
  <c r="O16" i="9"/>
  <c r="K16" i="9"/>
  <c r="G16" i="9"/>
  <c r="N21" i="9"/>
  <c r="J21" i="9"/>
  <c r="F21" i="9"/>
  <c r="AG9" i="20"/>
  <c r="P17" i="9"/>
  <c r="L17" i="9"/>
  <c r="H17" i="9"/>
  <c r="F41" i="9"/>
  <c r="Q19" i="9"/>
  <c r="N29" i="9" l="1"/>
  <c r="N7" i="9"/>
  <c r="N40" i="9"/>
  <c r="N31" i="9"/>
  <c r="N42" i="9" s="1"/>
  <c r="N9" i="9"/>
  <c r="E27" i="9"/>
  <c r="E38" i="9" s="1"/>
  <c r="G30" i="9"/>
  <c r="G41" i="9" s="1"/>
  <c r="E4" i="9"/>
  <c r="E37" i="9"/>
  <c r="Q15" i="9"/>
  <c r="H8" i="9"/>
  <c r="H30" i="9"/>
  <c r="R5" i="21"/>
  <c r="R6" i="21"/>
  <c r="R7" i="21"/>
  <c r="R8" i="21"/>
  <c r="R9" i="21"/>
  <c r="R10" i="21"/>
  <c r="R11" i="21"/>
  <c r="R12" i="21"/>
  <c r="AG14" i="21"/>
  <c r="O29" i="9" l="1"/>
  <c r="O40" i="9" s="1"/>
  <c r="O7" i="9"/>
  <c r="O31" i="9"/>
  <c r="O42" i="9" s="1"/>
  <c r="O9" i="9"/>
  <c r="F26" i="9"/>
  <c r="F37" i="9" s="1"/>
  <c r="F4" i="9"/>
  <c r="R15" i="9"/>
  <c r="AG12" i="21"/>
  <c r="H41" i="9"/>
  <c r="I8" i="9"/>
  <c r="I30" i="9"/>
  <c r="R4" i="21"/>
  <c r="AG16" i="21"/>
  <c r="P29" i="9" l="1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R40" i="9" s="1"/>
  <c r="P42" i="9"/>
  <c r="Q42" i="9" s="1"/>
  <c r="R42" i="9" s="1"/>
  <c r="H4" i="9"/>
  <c r="H26" i="9"/>
  <c r="H37" i="9" s="1"/>
  <c r="K8" i="9"/>
  <c r="K30" i="9"/>
  <c r="J41" i="9"/>
  <c r="S29" i="9" l="1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41" i="9" s="1"/>
  <c r="P8" i="9"/>
  <c r="P30" i="9"/>
  <c r="Q30" i="9" s="1"/>
  <c r="X29" i="9" l="1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41" i="9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A42" i="9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I92" i="9" l="1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AB42" i="9"/>
  <c r="E78" i="9"/>
  <c r="Q48" i="9"/>
  <c r="L110" i="9" l="1"/>
  <c r="B75" i="14"/>
  <c r="J92" i="9"/>
  <c r="I102" i="9"/>
  <c r="I111" i="9" s="1"/>
  <c r="N91" i="9"/>
  <c r="M101" i="9"/>
  <c r="M110" i="9" s="1"/>
  <c r="D18" i="14"/>
  <c r="D84" i="14" s="1"/>
  <c r="AC42" i="9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F76" i="23"/>
  <c r="F70" i="23"/>
  <c r="F73" i="23" s="1"/>
  <c r="F64" i="23"/>
  <c r="F63" i="23"/>
  <c r="F32" i="23"/>
  <c r="F35" i="23" s="1"/>
  <c r="E7" i="14" l="1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F66" i="23"/>
  <c r="F74" i="23" s="1"/>
  <c r="AL21" i="9"/>
  <c r="AK21" i="9"/>
  <c r="AJ21" i="9"/>
  <c r="AI21" i="9"/>
  <c r="AE21" i="9"/>
  <c r="U4" i="24"/>
  <c r="AD21" i="9" s="1"/>
  <c r="R4" i="24"/>
  <c r="X15" i="9"/>
  <c r="Y15" i="9"/>
  <c r="Z15" i="9"/>
  <c r="AA15" i="9"/>
  <c r="AB15" i="9"/>
  <c r="AC15" i="9"/>
  <c r="U16" i="9"/>
  <c r="V16" i="9"/>
  <c r="Y16" i="9"/>
  <c r="Z16" i="9"/>
  <c r="AC16" i="9"/>
  <c r="S19" i="9"/>
  <c r="T19" i="9"/>
  <c r="U19" i="9"/>
  <c r="V19" i="9"/>
  <c r="W19" i="9"/>
  <c r="X19" i="9"/>
  <c r="Y19" i="9"/>
  <c r="Z19" i="9"/>
  <c r="AA19" i="9"/>
  <c r="AB19" i="9"/>
  <c r="AC19" i="9"/>
  <c r="AG9" i="21"/>
  <c r="Y21" i="9"/>
  <c r="AG7" i="20"/>
  <c r="H31" i="23"/>
  <c r="H23" i="23"/>
  <c r="E9" i="14" l="1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E16" i="14"/>
  <c r="E82" i="14" s="1"/>
  <c r="AD40" i="9"/>
  <c r="L92" i="9"/>
  <c r="K102" i="9"/>
  <c r="K111" i="9" s="1"/>
  <c r="R91" i="9"/>
  <c r="T17" i="9"/>
  <c r="AG7" i="21"/>
  <c r="R19" i="9"/>
  <c r="AB16" i="9"/>
  <c r="X16" i="9"/>
  <c r="T16" i="9"/>
  <c r="W15" i="9"/>
  <c r="S15" i="9"/>
  <c r="AG4" i="21"/>
  <c r="AG5" i="21"/>
  <c r="R16" i="9"/>
  <c r="U15" i="21"/>
  <c r="AC17" i="9"/>
  <c r="U15" i="9"/>
  <c r="X15" i="21"/>
  <c r="AG8" i="21"/>
  <c r="T15" i="9"/>
  <c r="W15" i="21"/>
  <c r="R21" i="9"/>
  <c r="AG6" i="21"/>
  <c r="AA16" i="9"/>
  <c r="W16" i="9"/>
  <c r="S16" i="9"/>
  <c r="V15" i="9"/>
  <c r="R6" i="24"/>
  <c r="V21" i="9"/>
  <c r="AA17" i="9"/>
  <c r="Y17" i="9"/>
  <c r="Z15" i="21"/>
  <c r="S17" i="9"/>
  <c r="X21" i="9"/>
  <c r="W21" i="9"/>
  <c r="Z17" i="9"/>
  <c r="AC21" i="9"/>
  <c r="U21" i="9"/>
  <c r="X17" i="9"/>
  <c r="AA21" i="9"/>
  <c r="S21" i="9"/>
  <c r="V17" i="9"/>
  <c r="T21" i="9"/>
  <c r="Z21" i="9"/>
  <c r="U17" i="9"/>
  <c r="AB21" i="9"/>
  <c r="AB17" i="9"/>
  <c r="P103" i="9" l="1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V15" i="21"/>
  <c r="AG10" i="21"/>
  <c r="Y15" i="21"/>
  <c r="S26" i="9"/>
  <c r="S4" i="9"/>
  <c r="W17" i="9"/>
  <c r="AG11" i="21"/>
  <c r="AG15" i="21" s="1"/>
  <c r="R17" i="9"/>
  <c r="R23" i="9" s="1"/>
  <c r="R30" i="9"/>
  <c r="R41" i="9" s="1"/>
  <c r="R8" i="9"/>
  <c r="S93" i="9" l="1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17" i="9"/>
  <c r="E28" i="9" s="1"/>
  <c r="T26" i="9"/>
  <c r="T4" i="9"/>
  <c r="S30" i="9"/>
  <c r="S41" i="9" s="1"/>
  <c r="S8" i="9"/>
  <c r="AG5" i="20"/>
  <c r="E21" i="9"/>
  <c r="E32" i="9" s="1"/>
  <c r="AG6" i="24"/>
  <c r="H16" i="14" l="1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AG17" i="20"/>
  <c r="E39" i="9"/>
  <c r="E6" i="9"/>
  <c r="Q17" i="9"/>
  <c r="U26" i="9"/>
  <c r="U4" i="9"/>
  <c r="T8" i="9"/>
  <c r="T30" i="9"/>
  <c r="T41" i="9" s="1"/>
  <c r="Q21" i="9"/>
  <c r="E10" i="9"/>
  <c r="P92" i="9" l="1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F28" i="23"/>
  <c r="U103" i="9" l="1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F77" i="23"/>
  <c r="F81" i="23" s="1"/>
  <c r="F53" i="23" s="1"/>
  <c r="F47" i="23"/>
  <c r="F49" i="23" s="1"/>
  <c r="F52" i="23" s="1"/>
  <c r="Q102" i="9" l="1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F57" i="23"/>
  <c r="X93" i="9" l="1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F88" i="23"/>
  <c r="F89" i="23" s="1"/>
  <c r="F83" i="23" s="1"/>
  <c r="R15" i="21"/>
  <c r="M18" i="14" l="1"/>
  <c r="M84" i="14" s="1"/>
  <c r="AL42" i="9"/>
  <c r="N18" i="14" s="1"/>
  <c r="Z91" i="9"/>
  <c r="Y101" i="9"/>
  <c r="Y110" i="9" s="1"/>
  <c r="N93" i="14"/>
  <c r="O93" i="14" s="1"/>
  <c r="O27" i="14"/>
  <c r="N95" i="14"/>
  <c r="O95" i="14" s="1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3" i="14"/>
  <c r="O73" i="14" s="1"/>
  <c r="O7" i="14"/>
  <c r="N84" i="14"/>
  <c r="O84" i="14" s="1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2" i="14"/>
  <c r="O82" i="14" s="1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N75" i="14"/>
  <c r="O75" i="14" s="1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43" i="9" s="1"/>
  <c r="N10" i="9"/>
  <c r="AD101" i="9" l="1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s="1"/>
  <c r="T39" i="9" l="1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N90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N70" i="14"/>
  <c r="K90" i="9"/>
  <c r="J100" i="9"/>
  <c r="AF48" i="9"/>
  <c r="AF78" i="9" s="1"/>
  <c r="AJ48" i="9"/>
  <c r="AJ78" i="9" s="1"/>
  <c r="AG48" i="9"/>
  <c r="AK48" i="9"/>
  <c r="AE48" i="9"/>
  <c r="AE78" i="9" s="1"/>
  <c r="AH48" i="9"/>
  <c r="AI48" i="9"/>
  <c r="AI78" i="9" s="1"/>
  <c r="AL48" i="9"/>
  <c r="X28" i="9"/>
  <c r="X39" i="9" s="1"/>
  <c r="X6" i="9"/>
  <c r="AK78" i="9"/>
  <c r="AL78" i="9"/>
  <c r="AH78" i="9"/>
  <c r="AG78" i="9"/>
  <c r="AD48" i="9"/>
  <c r="AL8" i="9"/>
  <c r="N8" i="14" s="1"/>
  <c r="AL30" i="9"/>
  <c r="N28" i="14" s="1"/>
  <c r="AK41" i="9"/>
  <c r="X32" i="9"/>
  <c r="X43" i="9" s="1"/>
  <c r="X10" i="9"/>
  <c r="N74" i="14" l="1"/>
  <c r="O74" i="14" s="1"/>
  <c r="O8" i="14"/>
  <c r="G65" i="23" s="1"/>
  <c r="M17" i="14"/>
  <c r="M83" i="14" s="1"/>
  <c r="L94" i="9"/>
  <c r="K104" i="9"/>
  <c r="N94" i="14"/>
  <c r="O94" i="14" s="1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3" i="14"/>
  <c r="O83" i="14" s="1"/>
  <c r="O17" i="14"/>
  <c r="G72" i="23" s="1"/>
  <c r="M94" i="9"/>
  <c r="L104" i="9"/>
  <c r="L113" i="9" s="1"/>
  <c r="M90" i="9"/>
  <c r="L100" i="9"/>
  <c r="L109" i="9" s="1"/>
  <c r="Z28" i="9"/>
  <c r="Z39" i="9" s="1"/>
  <c r="B15" i="14" s="1"/>
  <c r="Z6" i="9"/>
  <c r="B6" i="14" s="1"/>
  <c r="H65" i="23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H72" i="23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N96" i="14" l="1"/>
  <c r="O96" i="14" s="1"/>
  <c r="O30" i="14"/>
  <c r="G43" i="23" s="1"/>
  <c r="N72" i="14"/>
  <c r="O72" i="14" s="1"/>
  <c r="O6" i="14"/>
  <c r="G62" i="23" s="1"/>
  <c r="N92" i="14"/>
  <c r="O92" i="14" s="1"/>
  <c r="O26" i="14"/>
  <c r="AA94" i="9"/>
  <c r="Z104" i="9"/>
  <c r="Z113" i="9" s="1"/>
  <c r="M19" i="14"/>
  <c r="M85" i="14" s="1"/>
  <c r="N76" i="14"/>
  <c r="O76" i="14" s="1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H43" i="23"/>
  <c r="AL43" i="9"/>
  <c r="N19" i="14" s="1"/>
  <c r="H5" i="9"/>
  <c r="H27" i="9"/>
  <c r="AB94" i="9" l="1"/>
  <c r="AA104" i="9"/>
  <c r="AA113" i="9" s="1"/>
  <c r="N85" i="14"/>
  <c r="O85" i="14" s="1"/>
  <c r="O19" i="14"/>
  <c r="G68" i="23" s="1"/>
  <c r="H68" i="23" s="1"/>
  <c r="N81" i="14"/>
  <c r="O81" i="14" s="1"/>
  <c r="O15" i="14"/>
  <c r="G69" i="23" s="1"/>
  <c r="AB90" i="9"/>
  <c r="AA100" i="9"/>
  <c r="AA109" i="9" s="1"/>
  <c r="G46" i="23"/>
  <c r="H46" i="23" s="1"/>
  <c r="H62" i="23"/>
  <c r="H69" i="23"/>
  <c r="G61" i="23"/>
  <c r="H61" i="23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L69" i="9"/>
  <c r="AE69" i="9"/>
  <c r="P38" i="9"/>
  <c r="AJ94" i="9"/>
  <c r="AI104" i="9"/>
  <c r="AI113" i="9" s="1"/>
  <c r="AJ90" i="9"/>
  <c r="AI100" i="9"/>
  <c r="AI109" i="9" s="1"/>
  <c r="T59" i="9"/>
  <c r="X59" i="9"/>
  <c r="X66" i="9" s="1"/>
  <c r="AB59" i="9"/>
  <c r="AB66" i="9" s="1"/>
  <c r="AD69" i="9"/>
  <c r="AD76" i="9" s="1"/>
  <c r="U59" i="9"/>
  <c r="Y59" i="9"/>
  <c r="AC59" i="9"/>
  <c r="W59" i="9"/>
  <c r="W66" i="9" s="1"/>
  <c r="Z59" i="9"/>
  <c r="S59" i="9"/>
  <c r="AA59" i="9"/>
  <c r="AA66" i="9" s="1"/>
  <c r="V59" i="9"/>
  <c r="V66" i="9" s="1"/>
  <c r="AJ76" i="9"/>
  <c r="AC66" i="9"/>
  <c r="AK76" i="9"/>
  <c r="AH76" i="9"/>
  <c r="U66" i="9"/>
  <c r="AL76" i="9"/>
  <c r="Y66" i="9"/>
  <c r="AE76" i="9"/>
  <c r="Z66" i="9"/>
  <c r="R59" i="9"/>
  <c r="R66" i="9" s="1"/>
  <c r="AF76" i="9"/>
  <c r="S66" i="9"/>
  <c r="AG76" i="9"/>
  <c r="T6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R89" i="9"/>
  <c r="Q89" i="9"/>
  <c r="R49" i="9"/>
  <c r="R7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91" i="14" l="1"/>
  <c r="O91" i="14" s="1"/>
  <c r="O25" i="14"/>
  <c r="G25" i="23" s="1"/>
  <c r="N71" i="14"/>
  <c r="O71" i="14" s="1"/>
  <c r="N11" i="14"/>
  <c r="N77" i="14" s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23" i="9"/>
  <c r="Y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N80" i="14" l="1"/>
  <c r="O80" i="14" s="1"/>
  <c r="O14" i="14"/>
  <c r="AC89" i="9"/>
  <c r="AB99" i="9"/>
  <c r="AB108" i="9" s="1"/>
  <c r="AB88" i="9"/>
  <c r="S23" i="9"/>
  <c r="T23" i="9"/>
  <c r="U23" i="9"/>
  <c r="V23" i="9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G70" i="23" l="1"/>
  <c r="G63" i="23"/>
  <c r="G28" i="23" l="1"/>
  <c r="H25" i="23"/>
  <c r="H63" i="23"/>
  <c r="H70" i="23"/>
  <c r="I23" i="9"/>
  <c r="H23" i="9"/>
  <c r="G23" i="9"/>
  <c r="N23" i="9"/>
  <c r="O23" i="9"/>
  <c r="M23" i="9"/>
  <c r="K23" i="9"/>
  <c r="P23" i="9"/>
  <c r="F23" i="9"/>
  <c r="E23" i="9"/>
  <c r="L23" i="9"/>
  <c r="J23" i="9"/>
  <c r="H28" i="23" l="1"/>
  <c r="F12" i="9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O70" i="14" s="1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AA12" i="9"/>
  <c r="AA98" i="9" l="1"/>
  <c r="C13" i="14"/>
  <c r="C79" i="14" s="1"/>
  <c r="AB37" i="9"/>
  <c r="AA10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N79" i="14" s="1"/>
  <c r="X105" i="9"/>
  <c r="AL45" i="9"/>
  <c r="AL107" i="9"/>
  <c r="AL85" i="9"/>
  <c r="O90" i="14"/>
  <c r="O97" i="14" s="1"/>
  <c r="N31" i="14"/>
  <c r="N97" i="14" s="1"/>
  <c r="O77" i="14"/>
  <c r="O4" i="14"/>
  <c r="O11" i="14" s="1"/>
  <c r="M20" i="14"/>
  <c r="M86" i="14" s="1"/>
  <c r="AK45" i="9"/>
  <c r="O24" i="14"/>
  <c r="Y114" i="9" l="1"/>
  <c r="Z114" i="9"/>
  <c r="AA95" i="9"/>
  <c r="Z95" i="9"/>
  <c r="Y105" i="9"/>
  <c r="G64" i="23"/>
  <c r="G66" i="23" s="1"/>
  <c r="G32" i="23"/>
  <c r="H32" i="23" s="1"/>
  <c r="O31" i="14"/>
  <c r="H64" i="23" l="1"/>
  <c r="Z105" i="9"/>
  <c r="AB95" i="9"/>
  <c r="B22" i="14"/>
  <c r="B88" i="14" s="1"/>
  <c r="G35" i="23"/>
  <c r="O79" i="14"/>
  <c r="O86" i="14" s="1"/>
  <c r="N20" i="14"/>
  <c r="N86" i="14" s="1"/>
  <c r="H66" i="23"/>
  <c r="O13" i="14"/>
  <c r="AA114" i="9" l="1"/>
  <c r="C22" i="14" s="1"/>
  <c r="C88" i="14" s="1"/>
  <c r="G47" i="23"/>
  <c r="G49" i="23" s="1"/>
  <c r="AB114" i="9"/>
  <c r="D22" i="14" s="1"/>
  <c r="D88" i="14" s="1"/>
  <c r="AA105" i="9"/>
  <c r="H35" i="23"/>
  <c r="O20" i="14"/>
  <c r="G71" i="23"/>
  <c r="H47" i="23" l="1"/>
  <c r="H71" i="23"/>
  <c r="G73" i="23"/>
  <c r="G74" i="23" s="1"/>
  <c r="AC114" i="9"/>
  <c r="E22" i="14" s="1"/>
  <c r="E88" i="14" s="1"/>
  <c r="AD95" i="9"/>
  <c r="AC95" i="9"/>
  <c r="AB105" i="9"/>
  <c r="G52" i="23"/>
  <c r="H52" i="23" s="1"/>
  <c r="H49" i="23"/>
  <c r="H73" i="23" l="1"/>
  <c r="AD114" i="9"/>
  <c r="F22" i="14" s="1"/>
  <c r="F88" i="14" s="1"/>
  <c r="AC105" i="9"/>
  <c r="H74" i="23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N88" i="14" s="1"/>
  <c r="AL95" i="9"/>
  <c r="AL105" i="9" l="1"/>
  <c r="O22" i="14"/>
  <c r="G76" i="23" s="1"/>
  <c r="G77" i="23" s="1"/>
  <c r="O88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>
  <authors>
    <author>tc={A34BD15E-D8A1-4C9A-982E-F4EDBAA63163}</author>
    <author>tc={B9D1A5A2-8109-43B1-880E-0BCB2598AFDF}</author>
    <author>tc={2AF566FD-2451-436D-AB74-BED760B8E7A0}</author>
  </authors>
  <commentList>
    <comment ref="F23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Operating expenses include incremental labor $780k, IT expense $220k, and CAISO/Utilicast $386k</t>
        </r>
      </text>
    </comment>
    <comment ref="G23" authorId="1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Labor est $1,436; IT $220k; CAISO/Utilicast $386k</t>
        </r>
      </text>
    </comment>
    <comment ref="D53" authorId="2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  </r>
      </text>
    </comment>
  </commentList>
</comments>
</file>

<file path=xl/sharedStrings.xml><?xml version="1.0" encoding="utf-8"?>
<sst xmlns="http://schemas.openxmlformats.org/spreadsheetml/2006/main" count="564" uniqueCount="161">
  <si>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</si>
  <si>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</si>
  <si>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</si>
  <si>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</si>
  <si>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</si>
  <si>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</si>
  <si>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</si>
  <si>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</si>
  <si>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</si>
  <si>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</si>
  <si>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</si>
  <si>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</si>
  <si>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</si>
  <si>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</si>
  <si>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</si>
  <si>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</si>
  <si>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</si>
  <si>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</si>
  <si>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</si>
  <si>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</si>
  <si>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</si>
  <si>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</si>
  <si>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</si>
  <si>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</si>
  <si>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</si>
  <si>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</si>
  <si>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</si>
  <si>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</si>
  <si>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</si>
  <si>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</si>
  <si>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</si>
  <si>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</si>
  <si>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</si>
  <si>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</si>
  <si>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</si>
  <si>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</si>
  <si>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</si>
  <si>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</si>
  <si>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</si>
  <si>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</si>
  <si>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</si>
  <si>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</si>
  <si>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</si>
  <si>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</si>
  <si>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</si>
  <si>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</si>
  <si>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</si>
  <si>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</si>
  <si>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</si>
  <si>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</si>
  <si>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</si>
  <si>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</si>
  <si>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</si>
  <si>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</si>
  <si>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</si>
  <si>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</si>
  <si>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</si>
  <si>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</si>
  <si>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</si>
  <si>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</si>
  <si>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</si>
  <si>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</si>
  <si>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</si>
  <si>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</si>
  <si>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</si>
  <si>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</si>
  <si>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</si>
  <si>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</si>
  <si>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</si>
  <si>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</si>
  <si>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</si>
  <si>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</si>
  <si>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</si>
  <si>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</si>
  <si>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</si>
  <si>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</si>
  <si>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</si>
  <si>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</si>
  <si>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</si>
  <si>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</si>
  <si>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</si>
  <si>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</si>
  <si>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</si>
  <si>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</si>
  <si>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</si>
  <si>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</si>
  <si>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</si>
  <si>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</si>
  <si>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</si>
  <si>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</si>
  <si>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</si>
  <si>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</si>
  <si>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</si>
  <si>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</si>
  <si>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</si>
  <si>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</si>
  <si>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</si>
  <si>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</si>
  <si>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</si>
  <si>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</si>
  <si>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</si>
  <si>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</si>
  <si>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</si>
  <si>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</si>
  <si>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</si>
  <si>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</si>
  <si>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</si>
  <si>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</si>
  <si>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</si>
  <si>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</si>
  <si>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</si>
  <si>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</si>
  <si>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</si>
  <si>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</si>
  <si>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</si>
  <si>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</si>
  <si>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</si>
  <si>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</si>
  <si>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</si>
  <si>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</si>
  <si>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</si>
  <si>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</si>
  <si>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</si>
  <si>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</si>
  <si>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</si>
  <si>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</si>
  <si>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</si>
  <si>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</si>
  <si>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</si>
  <si>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</si>
  <si>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</si>
  <si>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</si>
  <si>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</si>
  <si>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</si>
  <si>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</si>
  <si>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</si>
  <si>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</si>
  <si>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</si>
  <si>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</si>
  <si>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</si>
  <si>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</si>
  <si>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</si>
  <si>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</si>
  <si>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</si>
  <si>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</si>
  <si>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</si>
  <si>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</si>
  <si>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</si>
  <si>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</si>
  <si>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</si>
  <si>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</si>
  <si>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</si>
  <si>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Increase / (Decrease) </t>
  </si>
  <si>
    <t>To filed Case</t>
  </si>
  <si>
    <t>Expenses</t>
  </si>
  <si>
    <t>Net Plant After ADFIT</t>
  </si>
  <si>
    <t>Revised Revenue Requirement</t>
  </si>
  <si>
    <t xml:space="preserve">System </t>
  </si>
  <si>
    <t xml:space="preserve"> WA  EIM 2020 PF</t>
  </si>
  <si>
    <t>WA Share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</si>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</sst>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13" fillId="0" borderId="0" xfId="0" applyFont="1"/>
    <xf numFmtId="164" fontId="0" fillId="0" borderId="0" xfId="1" applyNumberFormat="1" applyFont="1"/>
    <xf numFmtId="164" fontId="0" fillId="0" borderId="0" xfId="0" applyNumberFormat="1"/>
    <xf numFmtId="165" fontId="13" fillId="0" borderId="0" xfId="1" applyNumberFormat="1" applyFont="1"/>
    <xf numFmtId="164" fontId="0" fillId="0" borderId="1" xfId="1" applyNumberFormat="1" applyFont="1" applyBorder="1"/>
    <xf numFmtId="0" fontId="13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3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1" fillId="2" borderId="0" xfId="1" applyNumberFormat="1" applyFont="1" applyFill="1"/>
    <xf numFmtId="0" fontId="0" fillId="0" borderId="0" xfId="10" applyFont="1"/>
    <xf numFmtId="0" fontId="8" fillId="0" borderId="0" xfId="10"/>
    <xf numFmtId="164" fontId="8" fillId="0" borderId="0" xfId="11" applyNumberFormat="1"/>
    <xf numFmtId="41" fontId="12" fillId="2" borderId="3" xfId="10" applyNumberFormat="1" applyFont="1" applyFill="1" applyBorder="1"/>
    <xf numFmtId="0" fontId="12" fillId="0" borderId="0" xfId="10" applyFont="1"/>
    <xf numFmtId="41" fontId="12" fillId="0" borderId="3" xfId="10" applyNumberFormat="1" applyFont="1" applyBorder="1"/>
    <xf numFmtId="0" fontId="15" fillId="0" borderId="0" xfId="10" applyFont="1" applyAlignment="1">
      <alignment horizontal="right"/>
    </xf>
    <xf numFmtId="164" fontId="0" fillId="0" borderId="0" xfId="12" applyNumberFormat="1" applyFont="1"/>
    <xf numFmtId="164" fontId="8" fillId="0" borderId="0" xfId="12" applyNumberFormat="1"/>
    <xf numFmtId="166" fontId="8" fillId="0" borderId="0" xfId="10" applyNumberFormat="1"/>
    <xf numFmtId="164" fontId="11" fillId="4" borderId="0" xfId="1" applyNumberFormat="1" applyFont="1" applyFill="1"/>
    <xf numFmtId="164" fontId="0" fillId="4" borderId="0" xfId="1" applyNumberFormat="1" applyFont="1" applyFill="1"/>
    <xf numFmtId="0" fontId="7" fillId="0" borderId="0" xfId="10" applyFont="1"/>
    <xf numFmtId="0" fontId="17" fillId="0" borderId="0" xfId="14" applyFont="1" applyAlignment="1">
      <alignment horizontal="center"/>
    </xf>
    <xf numFmtId="0" fontId="17" fillId="0" borderId="0" xfId="14" applyFont="1"/>
    <xf numFmtId="0" fontId="19" fillId="0" borderId="0" xfId="14" applyFont="1" applyAlignment="1">
      <alignment horizontal="left"/>
    </xf>
    <xf numFmtId="41" fontId="21" fillId="0" borderId="4" xfId="14" applyNumberFormat="1" applyFont="1" applyBorder="1" applyAlignment="1">
      <alignment horizontal="center"/>
    </xf>
    <xf numFmtId="0" fontId="17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5" xfId="14" applyFont="1" applyBorder="1" applyAlignment="1">
      <alignment horizontal="center"/>
    </xf>
    <xf numFmtId="0" fontId="21" fillId="0" borderId="6" xfId="14" applyFont="1" applyBorder="1" applyAlignment="1">
      <alignment horizontal="center"/>
    </xf>
    <xf numFmtId="0" fontId="21" fillId="0" borderId="7" xfId="14" applyFont="1" applyBorder="1" applyAlignment="1">
      <alignment horizontal="center"/>
    </xf>
    <xf numFmtId="0" fontId="21" fillId="0" borderId="4" xfId="14" applyFont="1" applyBorder="1" applyAlignment="1">
      <alignment horizontal="center"/>
    </xf>
    <xf numFmtId="0" fontId="21" fillId="0" borderId="8" xfId="14" applyFont="1" applyBorder="1" applyAlignment="1">
      <alignment horizontal="center"/>
    </xf>
    <xf numFmtId="0" fontId="21" fillId="0" borderId="9" xfId="14" applyFont="1" applyBorder="1" applyAlignment="1">
      <alignment horizontal="center"/>
    </xf>
    <xf numFmtId="0" fontId="21" fillId="0" borderId="10" xfId="14" applyFont="1" applyBorder="1" applyAlignment="1">
      <alignment horizontal="center"/>
    </xf>
    <xf numFmtId="0" fontId="21" fillId="0" borderId="11" xfId="14" applyFont="1" applyBorder="1" applyAlignment="1">
      <alignment horizontal="center"/>
    </xf>
    <xf numFmtId="41" fontId="21" fillId="0" borderId="9" xfId="14" applyNumberFormat="1" applyFont="1" applyBorder="1" applyAlignment="1">
      <alignment horizontal="center"/>
    </xf>
    <xf numFmtId="2" fontId="21" fillId="0" borderId="0" xfId="14" applyNumberFormat="1" applyFont="1" applyAlignment="1">
      <alignment horizontal="center"/>
    </xf>
    <xf numFmtId="2" fontId="17" fillId="0" borderId="0" xfId="14" applyNumberFormat="1" applyFont="1" applyAlignment="1">
      <alignment horizontal="left"/>
    </xf>
    <xf numFmtId="2" fontId="21" fillId="0" borderId="0" xfId="16" applyNumberFormat="1" applyFont="1" applyAlignment="1" applyProtection="1">
      <alignment horizontal="center"/>
    </xf>
    <xf numFmtId="41" fontId="17" fillId="0" borderId="0" xfId="14" applyNumberFormat="1" applyFont="1"/>
    <xf numFmtId="37" fontId="17" fillId="0" borderId="0" xfId="14" applyNumberFormat="1" applyFont="1" applyAlignment="1">
      <alignment horizontal="center"/>
    </xf>
    <xf numFmtId="5" fontId="17" fillId="0" borderId="0" xfId="14" applyNumberFormat="1" applyFont="1"/>
    <xf numFmtId="37" fontId="17" fillId="0" borderId="0" xfId="14" applyNumberFormat="1" applyFont="1"/>
    <xf numFmtId="37" fontId="17" fillId="0" borderId="11" xfId="14" applyNumberFormat="1" applyFont="1" applyBorder="1"/>
    <xf numFmtId="1" fontId="17" fillId="0" borderId="0" xfId="17" applyNumberFormat="1" applyFont="1" applyAlignment="1">
      <alignment horizontal="center"/>
    </xf>
    <xf numFmtId="9" fontId="17" fillId="0" borderId="0" xfId="6" applyFont="1"/>
    <xf numFmtId="3" fontId="17" fillId="0" borderId="0" xfId="17" applyNumberFormat="1" applyFont="1" applyAlignment="1">
      <alignment horizontal="center"/>
    </xf>
    <xf numFmtId="5" fontId="17" fillId="0" borderId="12" xfId="14" applyNumberFormat="1" applyFont="1" applyBorder="1"/>
    <xf numFmtId="41" fontId="17" fillId="0" borderId="7" xfId="14" applyNumberFormat="1" applyFont="1" applyBorder="1"/>
    <xf numFmtId="10" fontId="17" fillId="0" borderId="0" xfId="6" applyNumberFormat="1" applyFont="1"/>
    <xf numFmtId="41" fontId="17" fillId="0" borderId="0" xfId="6" applyNumberFormat="1" applyFont="1"/>
    <xf numFmtId="41" fontId="17" fillId="0" borderId="11" xfId="14" applyNumberFormat="1" applyFont="1" applyBorder="1"/>
    <xf numFmtId="41" fontId="17" fillId="0" borderId="0" xfId="14" applyNumberFormat="1" applyFont="1" applyFill="1"/>
    <xf numFmtId="0" fontId="17" fillId="0" borderId="0" xfId="14" applyFont="1" applyAlignment="1">
      <alignment vertical="top"/>
    </xf>
    <xf numFmtId="41" fontId="17" fillId="0" borderId="0" xfId="14" applyNumberFormat="1" applyFont="1" applyAlignment="1">
      <alignment vertical="top"/>
    </xf>
    <xf numFmtId="41" fontId="17" fillId="0" borderId="0" xfId="14" applyNumberFormat="1" applyFont="1" applyAlignment="1">
      <alignment horizontal="right"/>
    </xf>
    <xf numFmtId="41" fontId="17" fillId="0" borderId="2" xfId="14" applyNumberFormat="1" applyFont="1" applyBorder="1"/>
    <xf numFmtId="10" fontId="17" fillId="0" borderId="0" xfId="14" applyNumberFormat="1" applyFont="1"/>
    <xf numFmtId="167" fontId="17" fillId="0" borderId="0" xfId="14" applyNumberFormat="1" applyFont="1"/>
    <xf numFmtId="3" fontId="20" fillId="0" borderId="0" xfId="15" applyNumberFormat="1" applyFont="1" applyBorder="1" applyAlignment="1">
      <alignment horizontal="center"/>
    </xf>
    <xf numFmtId="0" fontId="17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0" xfId="15" applyNumberFormat="1" applyFont="1" applyBorder="1" applyAlignment="1">
      <alignment horizontal="center"/>
    </xf>
    <xf numFmtId="41" fontId="21" fillId="0" borderId="0" xfId="14" applyNumberFormat="1" applyFont="1" applyBorder="1" applyAlignment="1">
      <alignment horizontal="center"/>
    </xf>
    <xf numFmtId="0" fontId="23" fillId="0" borderId="0" xfId="0" applyFont="1"/>
    <xf numFmtId="0" fontId="7" fillId="0" borderId="0" xfId="10" applyFont="1" applyFill="1"/>
    <xf numFmtId="0" fontId="6" fillId="0" borderId="0" xfId="10" applyFont="1"/>
    <xf numFmtId="41" fontId="8" fillId="0" borderId="0" xfId="10" applyNumberFormat="1" applyFill="1"/>
    <xf numFmtId="164" fontId="8" fillId="0" borderId="0" xfId="1" applyNumberFormat="1" applyFont="1"/>
    <xf numFmtId="0" fontId="8" fillId="0" borderId="0" xfId="10" applyFill="1"/>
    <xf numFmtId="0" fontId="6" fillId="0" borderId="0" xfId="10" applyFont="1" applyAlignment="1">
      <alignment wrapText="1"/>
    </xf>
    <xf numFmtId="0" fontId="25" fillId="0" borderId="0" xfId="0" applyFont="1"/>
    <xf numFmtId="5" fontId="25" fillId="0" borderId="0" xfId="0" applyNumberFormat="1" applyFont="1"/>
    <xf numFmtId="0" fontId="5" fillId="0" borderId="0" xfId="10" applyFont="1"/>
    <xf numFmtId="0" fontId="12" fillId="0" borderId="0" xfId="10" applyFont="1" applyFill="1"/>
    <xf numFmtId="10" fontId="8" fillId="0" borderId="0" xfId="10" applyNumberFormat="1" applyFill="1"/>
    <xf numFmtId="0" fontId="5" fillId="0" borderId="0" xfId="10" applyFont="1" applyFill="1"/>
    <xf numFmtId="0" fontId="0" fillId="0" borderId="0" xfId="0" applyFont="1"/>
    <xf numFmtId="0" fontId="13" fillId="5" borderId="0" xfId="0" applyFont="1" applyFill="1" applyBorder="1"/>
    <xf numFmtId="41" fontId="12" fillId="0" borderId="0" xfId="10" applyNumberFormat="1" applyFont="1" applyBorder="1"/>
    <xf numFmtId="41" fontId="8" fillId="0" borderId="3" xfId="10" applyNumberFormat="1" applyBorder="1"/>
    <xf numFmtId="10" fontId="0" fillId="0" borderId="0" xfId="19" applyNumberFormat="1" applyFont="1"/>
    <xf numFmtId="10" fontId="8" fillId="0" borderId="0" xfId="10" applyNumberFormat="1" applyFill="1" applyBorder="1"/>
    <xf numFmtId="37" fontId="17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15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4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0" fontId="17" fillId="0" borderId="0" xfId="14" applyFont="1" applyFill="1"/>
    <xf numFmtId="10" fontId="0" fillId="0" borderId="0" xfId="19" applyNumberFormat="1" applyFont="1" applyFill="1"/>
    <xf numFmtId="164" fontId="8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5" fontId="25" fillId="0" borderId="11" xfId="0" applyNumberFormat="1" applyFont="1" applyBorder="1"/>
    <xf numFmtId="5" fontId="30" fillId="0" borderId="12" xfId="0" applyNumberFormat="1" applyFont="1" applyBorder="1"/>
    <xf numFmtId="37" fontId="21" fillId="0" borderId="12" xfId="14" applyNumberFormat="1" applyFont="1" applyBorder="1"/>
    <xf numFmtId="5" fontId="30" fillId="2" borderId="12" xfId="0" applyNumberFormat="1" applyFont="1" applyFill="1" applyBorder="1"/>
    <xf numFmtId="0" fontId="2" fillId="0" borderId="0" xfId="10" applyFont="1" applyAlignment="1">
      <alignment horizontal="center"/>
    </xf>
    <xf numFmtId="0" fontId="12" fillId="0" borderId="0" xfId="10" applyFont="1" applyAlignment="1">
      <alignment horizontal="center"/>
    </xf>
    <xf numFmtId="3" fontId="20" fillId="7" borderId="0" xfId="15" applyNumberFormat="1" applyFont="1" applyFill="1" applyBorder="1" applyAlignment="1">
      <alignment horizontal="center"/>
    </xf>
    <xf numFmtId="3" fontId="20" fillId="2" borderId="0" xfId="15" applyNumberFormat="1" applyFont="1" applyFill="1" applyBorder="1" applyAlignment="1">
      <alignment horizontal="center"/>
    </xf>
    <xf numFmtId="0" fontId="1" fillId="0" borderId="0" xfId="10" applyFont="1"/>
    <xf numFmtId="37" fontId="21" fillId="0" borderId="0" xfId="14" applyNumberFormat="1" applyFont="1" applyAlignment="1">
      <alignment horizontal="center" wrapText="1"/>
    </xf>
    <xf numFmtId="37" fontId="21" fillId="2" borderId="0" xfId="14" applyNumberFormat="1" applyFont="1" applyFill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21" fillId="2" borderId="0" xfId="14" applyFont="1" applyFill="1" applyAlignment="1">
      <alignment horizontal="center"/>
    </xf>
    <xf numFmtId="0" fontId="21" fillId="2" borderId="11" xfId="14" applyFont="1" applyFill="1" applyBorder="1" applyAlignment="1">
      <alignment horizontal="center"/>
    </xf>
  </cellXfs>
  <cellStyles count="21">
    <cellStyle name="Comma" xfId="1" builtinId="3"/>
    <cellStyle name="Comma 14" xfId="12"/>
    <cellStyle name="Comma 2" xfId="9"/>
    <cellStyle name="Comma 2 2" xfId="7"/>
    <cellStyle name="Comma 3" xfId="11"/>
    <cellStyle name="Currency 2" xfId="13"/>
    <cellStyle name="Followed Hyperlink" xfId="16" builtinId="9"/>
    <cellStyle name="Normal" xfId="0" builtinId="0"/>
    <cellStyle name="Normal 2" xfId="2"/>
    <cellStyle name="Normal 2 2" xfId="5"/>
    <cellStyle name="Normal 3" xfId="18"/>
    <cellStyle name="Normal 77" xfId="4"/>
    <cellStyle name="Normal 77 2" xfId="10"/>
    <cellStyle name="Normal 77 3" xfId="20"/>
    <cellStyle name="Normal_DFIT-WaEle_SUM" xfId="17"/>
    <cellStyle name="Normal_WAElec6_97" xfId="14"/>
    <cellStyle name="Normal_WAGas6_97" xfId="15"/>
    <cellStyle name="Percent" xfId="19" builtinId="5"/>
    <cellStyle name="Percent 2" xfId="3"/>
    <cellStyle name="Percent 2 2" xfId="6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3" dT="2021-02-16T23:14:36.69" personId="{7F3DE498-CFE2-4A14-8DE8-51C7EBD7EA6B}" id="{A34BD15E-D8A1-4C9A-982E-F4EDBAA63163}">
    <text>Operating expenses include incremental labor $780k, IT expense $220k, and CAISO/Utilicast $386k</text>
  </threadedComment>
  <threadedComment ref="G23" dT="2021-02-17T15:01:36.39" personId="{7F3DE498-CFE2-4A14-8DE8-51C7EBD7EA6B}" id="{B9D1A5A2-8109-43B1-880E-0BCB2598AFDF}">
    <text>Labor est $1,436; IT $220k; CAISO/Utilicast $386k</text>
  </threadedComment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2"/>
  <sheetViews>
    <sheetView tabSelected="1" topLeftCell="A56" zoomScaleNormal="100" workbookViewId="0">
      <selection activeCell="G81" sqref="G81"/>
    </sheetView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1.6640625" bestFit="1" customWidth="1"/>
    <col min="7" max="7" width="11.88671875" bestFit="1" customWidth="1"/>
    <col min="8" max="8" width="11.5546875" bestFit="1" customWidth="1"/>
  </cols>
  <sheetData>
    <row r="1" spans="1:19">
      <c r="A1" s="30"/>
      <c r="B1" s="31"/>
      <c r="C1" s="31"/>
      <c r="D1" s="124"/>
      <c r="E1" s="124"/>
      <c r="F1" s="124"/>
    </row>
    <row r="2" spans="1:19">
      <c r="A2" s="32" t="s">
        <v>45</v>
      </c>
      <c r="B2" s="31"/>
      <c r="C2" s="31"/>
      <c r="D2" s="30"/>
      <c r="E2" s="30"/>
      <c r="F2" s="119" t="s">
        <v>105</v>
      </c>
      <c r="G2" s="120" t="s">
        <v>106</v>
      </c>
      <c r="H2" s="125" t="s">
        <v>152</v>
      </c>
      <c r="I2" s="125"/>
    </row>
    <row r="3" spans="1:19">
      <c r="A3" s="32" t="s">
        <v>46</v>
      </c>
      <c r="B3" s="31"/>
      <c r="C3" s="31"/>
      <c r="D3" s="30"/>
      <c r="E3" s="30"/>
      <c r="F3" s="69"/>
      <c r="G3" s="68"/>
      <c r="H3" s="126" t="s">
        <v>153</v>
      </c>
      <c r="I3" s="126"/>
    </row>
    <row r="4" spans="1:19">
      <c r="A4" s="32" t="s">
        <v>47</v>
      </c>
      <c r="B4" s="31"/>
      <c r="C4" s="31"/>
      <c r="D4" s="30"/>
      <c r="E4" s="30"/>
      <c r="F4" s="71"/>
      <c r="G4" s="70"/>
      <c r="H4" s="70"/>
    </row>
    <row r="5" spans="1:19">
      <c r="A5" s="32" t="s">
        <v>48</v>
      </c>
      <c r="B5" s="31"/>
      <c r="C5" s="31"/>
      <c r="D5" s="30"/>
      <c r="E5" s="30"/>
      <c r="F5" s="72"/>
      <c r="G5" s="70"/>
      <c r="H5" s="70"/>
    </row>
    <row r="6" spans="1:19">
      <c r="A6" s="34"/>
      <c r="B6" s="35"/>
      <c r="C6" s="35"/>
      <c r="D6" s="35"/>
      <c r="E6" s="35"/>
      <c r="F6" s="35"/>
    </row>
    <row r="7" spans="1:19">
      <c r="A7" s="36"/>
      <c r="B7" s="37"/>
      <c r="C7" s="38"/>
      <c r="D7" s="38"/>
      <c r="E7" s="38"/>
      <c r="F7" s="36" t="s">
        <v>101</v>
      </c>
      <c r="G7" s="36" t="s">
        <v>101</v>
      </c>
    </row>
    <row r="8" spans="1:19">
      <c r="A8" s="39" t="s">
        <v>49</v>
      </c>
      <c r="B8" s="40"/>
      <c r="C8" s="35"/>
      <c r="D8" s="35"/>
      <c r="E8" s="35"/>
      <c r="F8" s="33" t="s">
        <v>143</v>
      </c>
      <c r="G8" s="33" t="s">
        <v>143</v>
      </c>
      <c r="H8" s="80"/>
    </row>
    <row r="9" spans="1:19">
      <c r="A9" s="41" t="s">
        <v>50</v>
      </c>
      <c r="B9" s="42"/>
      <c r="C9" s="43"/>
      <c r="D9" s="43" t="s">
        <v>51</v>
      </c>
      <c r="E9" s="43"/>
      <c r="F9" s="44" t="s">
        <v>144</v>
      </c>
      <c r="G9" s="44" t="s">
        <v>144</v>
      </c>
      <c r="H9" s="80"/>
    </row>
    <row r="10" spans="1:19">
      <c r="A10" s="45"/>
      <c r="B10" s="46" t="s">
        <v>52</v>
      </c>
      <c r="C10" s="45"/>
      <c r="D10" s="45"/>
      <c r="E10" s="45"/>
      <c r="F10" s="47">
        <v>3.1799999999999962</v>
      </c>
      <c r="G10" s="47">
        <v>3.1799999999999962</v>
      </c>
      <c r="H10" s="80"/>
    </row>
    <row r="11" spans="1:19">
      <c r="A11" s="45"/>
      <c r="B11" s="46" t="s">
        <v>53</v>
      </c>
      <c r="C11" s="45"/>
      <c r="D11" s="45"/>
      <c r="E11" s="45"/>
      <c r="F11" s="47" t="s">
        <v>145</v>
      </c>
      <c r="G11" s="47" t="s">
        <v>145</v>
      </c>
      <c r="H11" s="80"/>
    </row>
    <row r="12" spans="1:19">
      <c r="A12" s="45"/>
      <c r="B12" s="46"/>
      <c r="C12" s="45"/>
      <c r="D12" s="45"/>
      <c r="E12" s="45"/>
      <c r="F12" s="47"/>
      <c r="G12" s="47"/>
      <c r="H12" s="80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>
      <c r="A13" s="30"/>
      <c r="B13" s="31" t="s">
        <v>54</v>
      </c>
      <c r="C13" s="31"/>
      <c r="D13" s="31"/>
      <c r="E13" s="31"/>
      <c r="F13" s="48"/>
      <c r="G13" s="48"/>
      <c r="H13" s="80"/>
    </row>
    <row r="14" spans="1:19">
      <c r="A14" s="49">
        <v>1</v>
      </c>
      <c r="B14" s="50" t="s">
        <v>55</v>
      </c>
      <c r="C14" s="50"/>
      <c r="D14" s="50"/>
      <c r="E14" s="50"/>
      <c r="F14" s="50">
        <v>0</v>
      </c>
      <c r="G14" s="50">
        <v>0</v>
      </c>
      <c r="H14" s="81"/>
    </row>
    <row r="15" spans="1:19">
      <c r="A15" s="49">
        <v>2</v>
      </c>
      <c r="B15" s="51" t="s">
        <v>56</v>
      </c>
      <c r="C15" s="51"/>
      <c r="D15" s="51"/>
      <c r="E15" s="51"/>
      <c r="F15" s="51">
        <v>0</v>
      </c>
      <c r="G15" s="51">
        <v>0</v>
      </c>
      <c r="H15" s="81"/>
    </row>
    <row r="16" spans="1:19">
      <c r="A16" s="49">
        <v>3</v>
      </c>
      <c r="B16" s="51" t="s">
        <v>57</v>
      </c>
      <c r="C16" s="51"/>
      <c r="D16" s="51"/>
      <c r="E16" s="51"/>
      <c r="F16" s="52">
        <v>0</v>
      </c>
      <c r="G16" s="52">
        <v>0</v>
      </c>
      <c r="H16" s="81"/>
    </row>
    <row r="17" spans="1:9">
      <c r="A17" s="49">
        <v>4</v>
      </c>
      <c r="B17" s="51" t="s">
        <v>58</v>
      </c>
      <c r="C17" s="51"/>
      <c r="D17" s="51"/>
      <c r="E17" s="51"/>
      <c r="F17" s="51">
        <v>0</v>
      </c>
      <c r="G17" s="51">
        <v>0</v>
      </c>
      <c r="H17" s="81"/>
    </row>
    <row r="18" spans="1:9">
      <c r="A18" s="49">
        <v>5</v>
      </c>
      <c r="B18" s="51" t="s">
        <v>59</v>
      </c>
      <c r="C18" s="51"/>
      <c r="D18" s="51"/>
      <c r="E18" s="51"/>
      <c r="F18" s="52">
        <v>0</v>
      </c>
      <c r="G18" s="52">
        <v>0</v>
      </c>
      <c r="H18" s="81"/>
    </row>
    <row r="19" spans="1:9">
      <c r="A19" s="49">
        <v>6</v>
      </c>
      <c r="B19" s="51" t="s">
        <v>60</v>
      </c>
      <c r="C19" s="51"/>
      <c r="D19" s="51"/>
      <c r="E19" s="51"/>
      <c r="F19" s="51">
        <v>0</v>
      </c>
      <c r="G19" s="51">
        <v>0</v>
      </c>
      <c r="H19" s="81"/>
    </row>
    <row r="20" spans="1:9">
      <c r="A20" s="49"/>
      <c r="B20" s="51"/>
      <c r="C20" s="51"/>
      <c r="D20" s="51"/>
      <c r="E20" s="51"/>
      <c r="F20" s="51"/>
      <c r="G20" s="51"/>
      <c r="H20" s="81"/>
    </row>
    <row r="21" spans="1:9">
      <c r="A21" s="49"/>
      <c r="B21" s="51" t="s">
        <v>61</v>
      </c>
      <c r="C21" s="51"/>
      <c r="D21" s="51"/>
      <c r="E21" s="51"/>
      <c r="F21" s="51"/>
      <c r="G21" s="51"/>
      <c r="H21" s="81"/>
    </row>
    <row r="22" spans="1:9">
      <c r="A22" s="49"/>
      <c r="B22" s="51" t="s">
        <v>62</v>
      </c>
      <c r="C22" s="51"/>
      <c r="D22" s="51"/>
      <c r="E22" s="51"/>
      <c r="F22" s="51"/>
      <c r="G22" s="51"/>
      <c r="H22" s="81"/>
      <c r="I22" s="80"/>
    </row>
    <row r="23" spans="1:9">
      <c r="A23" s="49">
        <v>7</v>
      </c>
      <c r="B23" s="51"/>
      <c r="C23" s="51" t="s">
        <v>63</v>
      </c>
      <c r="D23" s="51"/>
      <c r="E23" s="51"/>
      <c r="F23" s="92">
        <v>1386</v>
      </c>
      <c r="G23" s="92">
        <f>1085+220+386</f>
        <v>1691</v>
      </c>
      <c r="H23" s="81">
        <f t="shared" ref="H23:H77" si="0">+G23-F23</f>
        <v>305</v>
      </c>
      <c r="I23" s="80"/>
    </row>
    <row r="24" spans="1:9">
      <c r="A24" s="49">
        <v>8</v>
      </c>
      <c r="B24" s="51"/>
      <c r="C24" s="51" t="s">
        <v>64</v>
      </c>
      <c r="D24" s="51"/>
      <c r="E24" s="51"/>
      <c r="F24" s="51">
        <v>0</v>
      </c>
      <c r="G24" s="51">
        <v>0</v>
      </c>
      <c r="H24" s="81"/>
      <c r="I24" s="80"/>
    </row>
    <row r="25" spans="1:9" ht="14.4">
      <c r="A25" s="49">
        <v>9</v>
      </c>
      <c r="B25" s="51"/>
      <c r="C25" s="51" t="s">
        <v>141</v>
      </c>
      <c r="D25" s="51"/>
      <c r="E25" s="51"/>
      <c r="F25" s="51">
        <f>+('ADJ-E'!O58+'ADJ-E'!O59)/1000+1</f>
        <v>91.423730134155974</v>
      </c>
      <c r="G25" s="51">
        <f>SUM('ADJ-E'!O25:O27)/1000</f>
        <v>117.04207917823271</v>
      </c>
      <c r="H25" s="81">
        <f t="shared" si="0"/>
        <v>25.618349044076737</v>
      </c>
      <c r="I25" s="80"/>
    </row>
    <row r="26" spans="1:9">
      <c r="A26" s="49">
        <v>10</v>
      </c>
      <c r="B26" s="51"/>
      <c r="C26" s="51" t="s">
        <v>65</v>
      </c>
      <c r="D26" s="51"/>
      <c r="E26" s="51"/>
      <c r="F26" s="51">
        <v>0</v>
      </c>
      <c r="G26" s="51">
        <v>0</v>
      </c>
      <c r="H26" s="81"/>
      <c r="I26" s="80"/>
    </row>
    <row r="27" spans="1:9">
      <c r="A27" s="49">
        <v>11</v>
      </c>
      <c r="B27" s="51"/>
      <c r="C27" s="51" t="s">
        <v>66</v>
      </c>
      <c r="D27" s="51"/>
      <c r="E27" s="51"/>
      <c r="F27" s="52">
        <v>0</v>
      </c>
      <c r="G27" s="52">
        <v>0</v>
      </c>
      <c r="H27" s="81"/>
      <c r="I27" s="80"/>
    </row>
    <row r="28" spans="1:9">
      <c r="A28" s="49">
        <v>12</v>
      </c>
      <c r="B28" s="51" t="s">
        <v>67</v>
      </c>
      <c r="C28" s="51"/>
      <c r="D28" s="51"/>
      <c r="E28" s="51"/>
      <c r="F28" s="48">
        <f t="shared" ref="F28:G28" si="1">SUM(F23:F27)</f>
        <v>1477.4237301341559</v>
      </c>
      <c r="G28" s="48">
        <f t="shared" si="1"/>
        <v>1808.0420791782326</v>
      </c>
      <c r="H28" s="81">
        <f t="shared" si="0"/>
        <v>330.61834904407669</v>
      </c>
      <c r="I28" s="80"/>
    </row>
    <row r="29" spans="1:9">
      <c r="A29" s="49"/>
      <c r="B29" s="51"/>
      <c r="C29" s="51"/>
      <c r="D29" s="51"/>
      <c r="E29" s="51"/>
      <c r="F29" s="51"/>
      <c r="G29" s="51"/>
      <c r="H29" s="81"/>
      <c r="I29" s="80"/>
    </row>
    <row r="30" spans="1:9">
      <c r="A30" s="49"/>
      <c r="B30" s="51" t="s">
        <v>68</v>
      </c>
      <c r="C30" s="51"/>
      <c r="D30" s="51"/>
      <c r="E30" s="51"/>
      <c r="F30" s="51"/>
      <c r="G30" s="51"/>
      <c r="H30" s="81"/>
      <c r="I30" s="80"/>
    </row>
    <row r="31" spans="1:9">
      <c r="A31" s="49">
        <v>13</v>
      </c>
      <c r="B31" s="51"/>
      <c r="C31" s="51" t="s">
        <v>63</v>
      </c>
      <c r="D31" s="51"/>
      <c r="E31" s="51"/>
      <c r="F31" s="92">
        <v>0</v>
      </c>
      <c r="G31" s="92">
        <v>0</v>
      </c>
      <c r="H31" s="81">
        <f t="shared" si="0"/>
        <v>0</v>
      </c>
      <c r="I31" s="80"/>
    </row>
    <row r="32" spans="1:9">
      <c r="A32" s="49">
        <v>14</v>
      </c>
      <c r="B32" s="51"/>
      <c r="C32" s="51" t="s">
        <v>69</v>
      </c>
      <c r="D32" s="51"/>
      <c r="E32" s="51"/>
      <c r="F32" s="51">
        <f>+('ADJ-E'!O57)/1000</f>
        <v>0</v>
      </c>
      <c r="G32" s="51">
        <f>+('ADJ-E'!O24)/1000</f>
        <v>4.5849410441144576</v>
      </c>
      <c r="H32" s="81">
        <f t="shared" si="0"/>
        <v>4.5849410441144576</v>
      </c>
      <c r="I32" s="80"/>
    </row>
    <row r="33" spans="1:9">
      <c r="A33" s="49"/>
      <c r="B33" s="51"/>
      <c r="C33" s="51" t="s">
        <v>65</v>
      </c>
      <c r="D33" s="51"/>
      <c r="E33" s="51"/>
      <c r="F33" s="51"/>
      <c r="G33" s="51"/>
      <c r="H33" s="81"/>
      <c r="I33" s="80"/>
    </row>
    <row r="34" spans="1:9">
      <c r="A34" s="49">
        <v>15</v>
      </c>
      <c r="B34" s="51"/>
      <c r="C34" s="51" t="s">
        <v>66</v>
      </c>
      <c r="D34" s="51"/>
      <c r="E34" s="51"/>
      <c r="F34" s="52">
        <v>0</v>
      </c>
      <c r="G34" s="52">
        <v>0</v>
      </c>
      <c r="H34" s="81"/>
    </row>
    <row r="35" spans="1:9">
      <c r="A35" s="49">
        <v>16</v>
      </c>
      <c r="B35" s="51" t="s">
        <v>70</v>
      </c>
      <c r="C35" s="51"/>
      <c r="D35" s="51"/>
      <c r="E35" s="51"/>
      <c r="F35" s="48">
        <f>SUM(F31:F34)</f>
        <v>0</v>
      </c>
      <c r="G35" s="48">
        <f t="shared" ref="G35" si="2">SUM(G31:G34)</f>
        <v>4.5849410441144576</v>
      </c>
      <c r="H35" s="81">
        <f t="shared" si="0"/>
        <v>4.5849410441144576</v>
      </c>
    </row>
    <row r="36" spans="1:9">
      <c r="A36" s="51"/>
      <c r="B36" s="51"/>
      <c r="C36" s="51"/>
      <c r="D36" s="51"/>
      <c r="E36" s="51"/>
      <c r="F36" s="51"/>
      <c r="G36" s="51"/>
      <c r="H36" s="81"/>
    </row>
    <row r="37" spans="1:9">
      <c r="A37" s="49">
        <v>17</v>
      </c>
      <c r="B37" s="51" t="s">
        <v>71</v>
      </c>
      <c r="C37" s="51"/>
      <c r="D37" s="51"/>
      <c r="E37" s="51"/>
      <c r="F37" s="51">
        <v>0</v>
      </c>
      <c r="G37" s="51">
        <v>0</v>
      </c>
      <c r="H37" s="81"/>
    </row>
    <row r="38" spans="1:9">
      <c r="A38" s="49">
        <v>18</v>
      </c>
      <c r="B38" s="51" t="s">
        <v>72</v>
      </c>
      <c r="C38" s="51"/>
      <c r="D38" s="51"/>
      <c r="E38" s="51"/>
      <c r="F38" s="51">
        <v>0</v>
      </c>
      <c r="G38" s="51">
        <v>0</v>
      </c>
      <c r="H38" s="81"/>
    </row>
    <row r="39" spans="1:9">
      <c r="A39" s="49">
        <v>19</v>
      </c>
      <c r="B39" s="51" t="s">
        <v>73</v>
      </c>
      <c r="C39" s="51"/>
      <c r="D39" s="51"/>
      <c r="E39" s="51"/>
      <c r="F39" s="51">
        <v>0</v>
      </c>
      <c r="G39" s="51">
        <v>0</v>
      </c>
      <c r="H39" s="81"/>
    </row>
    <row r="40" spans="1:9">
      <c r="A40" s="49"/>
      <c r="B40" s="51"/>
      <c r="C40" s="51"/>
      <c r="D40" s="51"/>
      <c r="E40" s="51"/>
      <c r="F40" s="51"/>
      <c r="G40" s="51"/>
      <c r="H40" s="81"/>
    </row>
    <row r="41" spans="1:9">
      <c r="A41" s="51"/>
      <c r="B41" s="51" t="s">
        <v>74</v>
      </c>
      <c r="C41" s="51"/>
      <c r="D41" s="51"/>
      <c r="E41" s="51"/>
      <c r="F41" s="51"/>
      <c r="G41" s="51"/>
      <c r="H41" s="81"/>
    </row>
    <row r="42" spans="1:9">
      <c r="A42" s="49">
        <v>20</v>
      </c>
      <c r="B42" s="51"/>
      <c r="C42" s="51" t="s">
        <v>63</v>
      </c>
      <c r="D42" s="51"/>
      <c r="E42" s="51"/>
      <c r="F42" s="51">
        <v>0</v>
      </c>
      <c r="G42" s="92">
        <v>0</v>
      </c>
      <c r="H42" s="81"/>
    </row>
    <row r="43" spans="1:9">
      <c r="A43" s="49">
        <v>21</v>
      </c>
      <c r="B43" s="51"/>
      <c r="C43" s="51" t="s">
        <v>69</v>
      </c>
      <c r="D43" s="51"/>
      <c r="E43" s="51"/>
      <c r="F43" s="51">
        <f>+('ADJ-E'!O61+'ADJ-E'!O63)/1000</f>
        <v>1319.0159739367818</v>
      </c>
      <c r="G43" s="51">
        <f>SUM('ADJ-E'!O28:O30)/1000</f>
        <v>767.55750263119842</v>
      </c>
      <c r="H43" s="81">
        <f t="shared" si="0"/>
        <v>-551.45847130558343</v>
      </c>
    </row>
    <row r="44" spans="1:9">
      <c r="A44" s="49">
        <v>22</v>
      </c>
      <c r="B44" s="51"/>
      <c r="C44" s="51" t="s">
        <v>75</v>
      </c>
      <c r="D44" s="51"/>
      <c r="E44" s="51"/>
      <c r="F44" s="51">
        <v>0</v>
      </c>
      <c r="G44" s="51">
        <v>0</v>
      </c>
      <c r="H44" s="81"/>
    </row>
    <row r="45" spans="1:9">
      <c r="A45" s="49">
        <v>23</v>
      </c>
      <c r="B45" s="51"/>
      <c r="C45" s="51" t="s">
        <v>66</v>
      </c>
      <c r="D45" s="51"/>
      <c r="E45" s="51"/>
      <c r="F45" s="52">
        <v>0</v>
      </c>
      <c r="G45" s="52">
        <v>0</v>
      </c>
      <c r="H45" s="81"/>
    </row>
    <row r="46" spans="1:9">
      <c r="A46" s="49">
        <v>24</v>
      </c>
      <c r="B46" s="51" t="s">
        <v>76</v>
      </c>
      <c r="C46" s="51"/>
      <c r="D46" s="51"/>
      <c r="E46" s="51"/>
      <c r="F46" s="65">
        <f>SUM(F42:F45)</f>
        <v>1319.0159739367818</v>
      </c>
      <c r="G46" s="65">
        <f>SUM(G42:G45)</f>
        <v>767.55750263119842</v>
      </c>
      <c r="H46" s="113">
        <f t="shared" si="0"/>
        <v>-551.45847130558343</v>
      </c>
    </row>
    <row r="47" spans="1:9" ht="13.8" thickBot="1">
      <c r="A47" s="49">
        <v>25</v>
      </c>
      <c r="B47" s="51" t="s">
        <v>77</v>
      </c>
      <c r="C47" s="51"/>
      <c r="D47" s="51"/>
      <c r="E47" s="51"/>
      <c r="F47" s="60">
        <f t="shared" ref="F47" si="3">F46+F39+F38+F37+F35+F28</f>
        <v>2796.4397040709378</v>
      </c>
      <c r="G47" s="60">
        <f>G46+G39+G38+G37+G35+G28</f>
        <v>2580.1845228535453</v>
      </c>
      <c r="H47" s="114">
        <f t="shared" si="0"/>
        <v>-216.25518121739242</v>
      </c>
      <c r="I47" s="115" t="s">
        <v>154</v>
      </c>
    </row>
    <row r="48" spans="1:9" ht="13.8" thickTop="1">
      <c r="A48" s="51"/>
      <c r="B48" s="51"/>
      <c r="C48" s="51"/>
      <c r="D48" s="51"/>
      <c r="E48" s="51"/>
      <c r="F48" s="51"/>
      <c r="G48" s="51"/>
      <c r="H48" s="81"/>
    </row>
    <row r="49" spans="1:8">
      <c r="A49" s="49">
        <v>26</v>
      </c>
      <c r="B49" s="51" t="s">
        <v>78</v>
      </c>
      <c r="C49" s="51"/>
      <c r="D49" s="51"/>
      <c r="E49" s="51"/>
      <c r="F49" s="48">
        <f>F19-F47</f>
        <v>-2796.4397040709378</v>
      </c>
      <c r="G49" s="48">
        <f>G19-G47</f>
        <v>-2580.1845228535453</v>
      </c>
      <c r="H49" s="81">
        <f t="shared" si="0"/>
        <v>216.25518121739242</v>
      </c>
    </row>
    <row r="50" spans="1:8">
      <c r="A50" s="49"/>
      <c r="B50" s="51"/>
      <c r="C50" s="51"/>
      <c r="D50" s="51"/>
      <c r="E50" s="51"/>
      <c r="F50" s="51"/>
      <c r="G50" s="51"/>
      <c r="H50" s="81"/>
    </row>
    <row r="51" spans="1:8">
      <c r="A51" s="53"/>
      <c r="B51" s="51" t="s">
        <v>79</v>
      </c>
      <c r="C51" s="51"/>
      <c r="D51" s="51"/>
      <c r="E51" s="51"/>
      <c r="F51" s="51"/>
      <c r="G51" s="51"/>
      <c r="H51" s="81"/>
    </row>
    <row r="52" spans="1:8">
      <c r="A52" s="49">
        <v>27</v>
      </c>
      <c r="B52" s="51" t="s">
        <v>80</v>
      </c>
      <c r="C52" s="51"/>
      <c r="D52" s="54"/>
      <c r="E52" s="54"/>
      <c r="F52" s="48">
        <f>F49*0.21</f>
        <v>-587.25233785489695</v>
      </c>
      <c r="G52" s="48">
        <f>G49*0.21</f>
        <v>-541.83874979924451</v>
      </c>
      <c r="H52" s="81">
        <f t="shared" si="0"/>
        <v>45.41358805565244</v>
      </c>
    </row>
    <row r="53" spans="1:8">
      <c r="A53" s="49">
        <v>28</v>
      </c>
      <c r="B53" s="51" t="s">
        <v>81</v>
      </c>
      <c r="C53" s="51"/>
      <c r="D53" s="51"/>
      <c r="E53" s="51"/>
      <c r="F53" s="61">
        <f>(F81*0.0248*-0.21)</f>
        <v>-48.734485611815245</v>
      </c>
      <c r="G53" s="61">
        <f>(G81*0.0248*-0.21)</f>
        <v>-45.443368229659107</v>
      </c>
      <c r="H53" s="81">
        <f t="shared" si="0"/>
        <v>3.2911173821561377</v>
      </c>
    </row>
    <row r="54" spans="1:8">
      <c r="A54" s="49">
        <v>29</v>
      </c>
      <c r="B54" s="51" t="s">
        <v>82</v>
      </c>
      <c r="C54" s="51"/>
      <c r="D54" s="51"/>
      <c r="E54" s="51"/>
      <c r="F54" s="51">
        <v>0</v>
      </c>
      <c r="G54" s="51">
        <v>0</v>
      </c>
      <c r="H54" s="81"/>
    </row>
    <row r="55" spans="1:8">
      <c r="A55" s="53">
        <v>30</v>
      </c>
      <c r="B55" s="51" t="s">
        <v>83</v>
      </c>
      <c r="C55" s="51"/>
      <c r="D55" s="51"/>
      <c r="E55" s="51"/>
      <c r="F55" s="52">
        <v>0</v>
      </c>
      <c r="G55" s="52">
        <v>0</v>
      </c>
      <c r="H55" s="81"/>
    </row>
    <row r="56" spans="1:8">
      <c r="A56" s="30"/>
      <c r="B56" s="31"/>
      <c r="C56" s="31"/>
      <c r="D56" s="31"/>
      <c r="E56" s="31"/>
      <c r="F56" s="48"/>
      <c r="G56" s="48"/>
      <c r="H56" s="81"/>
    </row>
    <row r="57" spans="1:8" ht="13.8" thickBot="1">
      <c r="A57" s="55">
        <v>31</v>
      </c>
      <c r="B57" s="50" t="s">
        <v>84</v>
      </c>
      <c r="C57" s="50"/>
      <c r="D57" s="50"/>
      <c r="E57" s="50"/>
      <c r="F57" s="56">
        <f t="shared" ref="F57:G57" si="4">F49-SUM(F52:F55)</f>
        <v>-2160.4528806042254</v>
      </c>
      <c r="G57" s="56">
        <f t="shared" si="4"/>
        <v>-1992.9024048246417</v>
      </c>
      <c r="H57" s="81">
        <f t="shared" si="0"/>
        <v>167.55047577958362</v>
      </c>
    </row>
    <row r="58" spans="1:8" ht="13.8" thickTop="1">
      <c r="A58" s="55"/>
      <c r="B58" s="31"/>
      <c r="C58" s="31"/>
      <c r="D58" s="31"/>
      <c r="E58" s="31"/>
      <c r="F58" s="48"/>
      <c r="G58" s="48"/>
      <c r="H58" s="81"/>
    </row>
    <row r="59" spans="1:8">
      <c r="A59" s="55"/>
      <c r="B59" s="31" t="s">
        <v>85</v>
      </c>
      <c r="C59" s="31"/>
      <c r="D59" s="31"/>
      <c r="E59" s="31"/>
      <c r="F59" s="48"/>
      <c r="G59" s="48"/>
      <c r="H59" s="81"/>
    </row>
    <row r="60" spans="1:8">
      <c r="A60" s="30"/>
      <c r="B60" s="31" t="s">
        <v>86</v>
      </c>
      <c r="C60" s="31"/>
      <c r="D60" s="31"/>
      <c r="E60" s="31"/>
      <c r="F60" s="48"/>
      <c r="G60" s="48"/>
      <c r="H60" s="81"/>
    </row>
    <row r="61" spans="1:8">
      <c r="A61" s="55">
        <v>32</v>
      </c>
      <c r="B61" s="50"/>
      <c r="C61" s="50" t="s">
        <v>87</v>
      </c>
      <c r="D61" s="50"/>
      <c r="E61" s="50"/>
      <c r="F61" s="51">
        <f>+('ADJ-E'!O43)/1000</f>
        <v>6595.0798696839101</v>
      </c>
      <c r="G61" s="51">
        <f>+('ADJ-E'!O10)/1000</f>
        <v>3654.5158033470666</v>
      </c>
      <c r="H61" s="81">
        <f t="shared" si="0"/>
        <v>-2940.5640663368436</v>
      </c>
    </row>
    <row r="62" spans="1:8">
      <c r="A62" s="55">
        <v>33</v>
      </c>
      <c r="B62" s="51"/>
      <c r="C62" s="51" t="s">
        <v>88</v>
      </c>
      <c r="D62" s="51"/>
      <c r="E62" s="51"/>
      <c r="F62" s="51">
        <f>+('ADJ-E'!O39)/1000</f>
        <v>3081.8888883600007</v>
      </c>
      <c r="G62" s="51">
        <f>+('ADJ-E'!O6+'ADJ-E'!O7)/1000</f>
        <v>3636.8219566918365</v>
      </c>
      <c r="H62" s="81">
        <f t="shared" si="0"/>
        <v>554.93306833183578</v>
      </c>
    </row>
    <row r="63" spans="1:8">
      <c r="A63" s="55">
        <v>34</v>
      </c>
      <c r="B63" s="51"/>
      <c r="C63" s="51" t="s">
        <v>89</v>
      </c>
      <c r="D63" s="51"/>
      <c r="E63" s="51"/>
      <c r="F63" s="51">
        <f>+('ADJ-E'!O38)/1000</f>
        <v>1098.1638150600002</v>
      </c>
      <c r="G63" s="51">
        <f>+('ADJ-E'!O5)/1000</f>
        <v>1502.5084696382678</v>
      </c>
      <c r="H63" s="81">
        <f t="shared" si="0"/>
        <v>404.34465457826764</v>
      </c>
    </row>
    <row r="64" spans="1:8">
      <c r="A64" s="55">
        <v>35</v>
      </c>
      <c r="B64" s="51"/>
      <c r="C64" s="51" t="s">
        <v>68</v>
      </c>
      <c r="D64" s="51"/>
      <c r="E64" s="51"/>
      <c r="F64" s="51">
        <f>+('ADJ-E'!O37)/1000</f>
        <v>0</v>
      </c>
      <c r="G64" s="51">
        <f>+('ADJ-E'!O4)/1000</f>
        <v>187.14045078018191</v>
      </c>
      <c r="H64" s="81">
        <f t="shared" si="0"/>
        <v>187.14045078018191</v>
      </c>
    </row>
    <row r="65" spans="1:10">
      <c r="A65" s="55">
        <v>36</v>
      </c>
      <c r="B65" s="51"/>
      <c r="C65" s="51" t="s">
        <v>90</v>
      </c>
      <c r="D65" s="51"/>
      <c r="E65" s="51"/>
      <c r="F65" s="52">
        <f>+('ADJ-E'!O41)/1000</f>
        <v>0</v>
      </c>
      <c r="G65" s="52">
        <f>+('ADJ-E'!O8+'ADJ-E'!O9)/1000</f>
        <v>827.63720375973105</v>
      </c>
      <c r="H65" s="81">
        <f t="shared" si="0"/>
        <v>827.63720375973105</v>
      </c>
    </row>
    <row r="66" spans="1:10">
      <c r="A66" s="55">
        <v>37</v>
      </c>
      <c r="B66" s="51" t="s">
        <v>91</v>
      </c>
      <c r="C66" s="51"/>
      <c r="D66" s="51"/>
      <c r="E66" s="51"/>
      <c r="F66" s="48">
        <f>SUM(F61:F65)</f>
        <v>10775.132573103911</v>
      </c>
      <c r="G66" s="48">
        <f>SUM(G61:G65)</f>
        <v>9808.6238842170824</v>
      </c>
      <c r="H66" s="81">
        <f t="shared" si="0"/>
        <v>-966.50868888682817</v>
      </c>
    </row>
    <row r="67" spans="1:10">
      <c r="A67" s="55"/>
      <c r="B67" s="51" t="s">
        <v>92</v>
      </c>
      <c r="C67" s="51"/>
      <c r="D67" s="51"/>
      <c r="E67" s="51"/>
      <c r="F67" s="48"/>
      <c r="G67" s="48"/>
      <c r="H67" s="81"/>
    </row>
    <row r="68" spans="1:10">
      <c r="A68" s="55">
        <v>38</v>
      </c>
      <c r="B68" s="51"/>
      <c r="C68" s="50" t="s">
        <v>87</v>
      </c>
      <c r="D68" s="51"/>
      <c r="E68" s="51"/>
      <c r="F68" s="51">
        <f>+'ADJ-E'!O52/1000</f>
        <v>-989.58410808072983</v>
      </c>
      <c r="G68" s="51">
        <f>+('ADJ-E'!O19)/1000</f>
        <v>-752.22625098575622</v>
      </c>
      <c r="H68" s="81">
        <f t="shared" si="0"/>
        <v>237.35785709497361</v>
      </c>
    </row>
    <row r="69" spans="1:10">
      <c r="A69" s="55">
        <v>39</v>
      </c>
      <c r="B69" s="51"/>
      <c r="C69" s="51" t="s">
        <v>88</v>
      </c>
      <c r="D69" s="51"/>
      <c r="E69" s="51"/>
      <c r="F69" s="51">
        <f>+'ADJ-E'!O48/1000</f>
        <v>-79.548515840364985</v>
      </c>
      <c r="G69" s="51">
        <f>+('ADJ-E'!O15+'ADJ-E'!O16)/1000</f>
        <v>-92.349768487379862</v>
      </c>
      <c r="H69" s="81">
        <f t="shared" si="0"/>
        <v>-12.801252647014877</v>
      </c>
    </row>
    <row r="70" spans="1:10">
      <c r="A70" s="55">
        <v>40</v>
      </c>
      <c r="B70" s="51"/>
      <c r="C70" s="51" t="s">
        <v>89</v>
      </c>
      <c r="D70" s="51"/>
      <c r="E70" s="51"/>
      <c r="F70" s="51">
        <f>+('ADJ-E'!O47)/1000</f>
        <v>-30.406321322699004</v>
      </c>
      <c r="G70" s="51">
        <f>+('ADJ-E'!O14)/1000</f>
        <v>-30.369722733126842</v>
      </c>
      <c r="H70" s="81">
        <f t="shared" si="0"/>
        <v>3.6598589572161444E-2</v>
      </c>
    </row>
    <row r="71" spans="1:10">
      <c r="A71" s="55">
        <v>41</v>
      </c>
      <c r="B71" s="51"/>
      <c r="C71" s="51" t="s">
        <v>68</v>
      </c>
      <c r="D71" s="51"/>
      <c r="E71" s="51"/>
      <c r="F71" s="51">
        <f>+'ADJ-E'!O46/1000</f>
        <v>0</v>
      </c>
      <c r="G71" s="51">
        <f>+('ADJ-E'!O13)/1000</f>
        <v>-3.6297449932572796</v>
      </c>
      <c r="H71" s="81">
        <f t="shared" si="0"/>
        <v>-3.6297449932572796</v>
      </c>
    </row>
    <row r="72" spans="1:10">
      <c r="A72" s="55">
        <v>42</v>
      </c>
      <c r="B72" s="51"/>
      <c r="C72" s="51" t="s">
        <v>90</v>
      </c>
      <c r="D72" s="51"/>
      <c r="E72" s="51"/>
      <c r="F72" s="52">
        <f>+'ADJ-E'!O50/1000</f>
        <v>0</v>
      </c>
      <c r="G72" s="51">
        <f>+('ADJ-E'!O17+'ADJ-E'!O18)/1000</f>
        <v>-56.151716666090522</v>
      </c>
      <c r="H72" s="81">
        <f t="shared" si="0"/>
        <v>-56.151716666090522</v>
      </c>
    </row>
    <row r="73" spans="1:10">
      <c r="A73" s="55">
        <v>43</v>
      </c>
      <c r="B73" s="51" t="s">
        <v>93</v>
      </c>
      <c r="C73" s="51"/>
      <c r="D73" s="51"/>
      <c r="E73" s="51"/>
      <c r="F73" s="57">
        <f>SUM(F68:F72)</f>
        <v>-1099.5389452437939</v>
      </c>
      <c r="G73" s="57">
        <f>SUM(G68:G72)</f>
        <v>-934.72720386561082</v>
      </c>
      <c r="H73" s="81">
        <f t="shared" si="0"/>
        <v>164.81174137818311</v>
      </c>
    </row>
    <row r="74" spans="1:10" ht="14.4">
      <c r="A74" s="55">
        <v>44</v>
      </c>
      <c r="B74" s="51" t="s">
        <v>146</v>
      </c>
      <c r="C74" s="51"/>
      <c r="D74" s="51"/>
      <c r="E74" s="51"/>
      <c r="F74" s="57">
        <f>F66+F73-1</f>
        <v>9674.5936278601166</v>
      </c>
      <c r="G74" s="57">
        <f>G66+G73</f>
        <v>8873.8966803514722</v>
      </c>
      <c r="H74" s="81">
        <f t="shared" si="0"/>
        <v>-800.69694750864437</v>
      </c>
    </row>
    <row r="75" spans="1:10">
      <c r="A75" s="55"/>
      <c r="B75" s="51"/>
      <c r="C75" s="51"/>
      <c r="D75" s="51"/>
      <c r="E75" s="51"/>
      <c r="F75" s="48"/>
      <c r="G75" s="48"/>
      <c r="H75" s="81"/>
    </row>
    <row r="76" spans="1:10">
      <c r="A76" s="53">
        <v>45</v>
      </c>
      <c r="B76" s="51" t="s">
        <v>94</v>
      </c>
      <c r="C76" s="51"/>
      <c r="D76" s="51"/>
      <c r="E76" s="51"/>
      <c r="F76" s="52">
        <f>+('ADJ-E'!O55)/1000</f>
        <v>-316.97350270357845</v>
      </c>
      <c r="G76" s="52">
        <f>+('ADJ-E'!O22)/1000</f>
        <v>-148.21153640771027</v>
      </c>
      <c r="H76" s="81">
        <f t="shared" si="0"/>
        <v>168.76196629586818</v>
      </c>
    </row>
    <row r="77" spans="1:10">
      <c r="A77" s="53">
        <v>46</v>
      </c>
      <c r="B77" s="51"/>
      <c r="C77" s="51" t="s">
        <v>95</v>
      </c>
      <c r="D77" s="51"/>
      <c r="E77" s="51"/>
      <c r="F77" s="48">
        <f t="shared" ref="F77" si="5">SUM(F74:F76)</f>
        <v>9357.6201251565381</v>
      </c>
      <c r="G77" s="48">
        <f>SUM(G74:G76)</f>
        <v>8725.6851439437614</v>
      </c>
      <c r="H77" s="81">
        <f t="shared" si="0"/>
        <v>-631.93498121277662</v>
      </c>
    </row>
    <row r="78" spans="1:10">
      <c r="A78" s="55">
        <v>47</v>
      </c>
      <c r="B78" s="51" t="s">
        <v>96</v>
      </c>
      <c r="C78" s="51"/>
      <c r="D78" s="51"/>
      <c r="E78" s="51"/>
      <c r="F78" s="51">
        <v>0</v>
      </c>
      <c r="G78" s="51">
        <v>0</v>
      </c>
      <c r="H78" s="81"/>
    </row>
    <row r="79" spans="1:10">
      <c r="A79" s="55">
        <v>48</v>
      </c>
      <c r="B79" s="51" t="s">
        <v>97</v>
      </c>
      <c r="C79" s="51"/>
      <c r="D79" s="51"/>
      <c r="E79" s="51"/>
      <c r="F79" s="52">
        <v>0</v>
      </c>
      <c r="G79" s="52">
        <v>0</v>
      </c>
      <c r="H79" s="81"/>
    </row>
    <row r="80" spans="1:10">
      <c r="A80" s="53"/>
      <c r="B80" s="51"/>
      <c r="C80" s="51"/>
      <c r="D80" s="51"/>
      <c r="E80" s="51"/>
      <c r="F80" s="48"/>
      <c r="G80" s="48"/>
      <c r="H80" s="81"/>
      <c r="I80" s="122" t="s">
        <v>155</v>
      </c>
      <c r="J80" s="122"/>
    </row>
    <row r="81" spans="1:10" ht="13.8" thickBot="1">
      <c r="A81" s="49">
        <v>49</v>
      </c>
      <c r="B81" s="50" t="s">
        <v>98</v>
      </c>
      <c r="C81" s="50"/>
      <c r="D81" s="50"/>
      <c r="E81" s="50"/>
      <c r="F81" s="56">
        <f t="shared" ref="F81:G81" si="6">SUM(F77:F79)</f>
        <v>9357.6201251565381</v>
      </c>
      <c r="G81" s="56">
        <f t="shared" si="6"/>
        <v>8725.6851439437614</v>
      </c>
      <c r="H81" s="114">
        <f t="shared" ref="H81:H89" si="7">+G81-F81</f>
        <v>-631.93498121277662</v>
      </c>
      <c r="I81" s="122"/>
      <c r="J81" s="122"/>
    </row>
    <row r="82" spans="1:10" ht="13.8" thickTop="1">
      <c r="A82" s="49">
        <v>50</v>
      </c>
      <c r="B82" s="31" t="s">
        <v>99</v>
      </c>
      <c r="C82" s="31"/>
      <c r="D82" s="31"/>
      <c r="E82" s="31"/>
      <c r="F82" s="58"/>
      <c r="G82" s="58"/>
      <c r="H82" s="81"/>
      <c r="I82" s="123" t="s">
        <v>156</v>
      </c>
      <c r="J82" s="123"/>
    </row>
    <row r="83" spans="1:10" ht="13.8" thickBot="1">
      <c r="A83" s="30">
        <v>51</v>
      </c>
      <c r="B83" s="31" t="s">
        <v>100</v>
      </c>
      <c r="C83" s="31"/>
      <c r="D83" s="31"/>
      <c r="E83" s="31"/>
      <c r="F83" s="59">
        <f t="shared" ref="F83" si="8">F89</f>
        <v>3780.9636773998809</v>
      </c>
      <c r="G83" s="59">
        <f>G89</f>
        <v>3496.9625058185111</v>
      </c>
      <c r="H83" s="116">
        <f t="shared" si="7"/>
        <v>-284.00117158136982</v>
      </c>
      <c r="I83" s="123"/>
      <c r="J83" s="123"/>
    </row>
    <row r="84" spans="1:10" ht="13.8" thickTop="1">
      <c r="A84" s="30"/>
      <c r="B84" s="62"/>
      <c r="C84" s="31"/>
      <c r="D84" s="31"/>
      <c r="E84" s="31"/>
      <c r="F84" s="63"/>
      <c r="G84" s="63"/>
      <c r="H84" s="81"/>
    </row>
    <row r="85" spans="1:10">
      <c r="A85" s="30"/>
      <c r="B85" s="31"/>
      <c r="C85" s="31"/>
      <c r="D85" s="31"/>
      <c r="E85" s="31"/>
      <c r="F85" s="64"/>
      <c r="G85" s="64"/>
      <c r="H85" s="81"/>
    </row>
    <row r="86" spans="1:10">
      <c r="A86" s="30"/>
      <c r="B86" s="31"/>
      <c r="C86" s="31"/>
      <c r="D86" s="31"/>
      <c r="E86" s="66">
        <v>7.4300000000000005E-2</v>
      </c>
      <c r="F86" s="48"/>
      <c r="G86" s="48"/>
      <c r="H86" s="81"/>
    </row>
    <row r="87" spans="1:10">
      <c r="A87" s="30"/>
      <c r="B87" s="31"/>
      <c r="C87" s="31"/>
      <c r="D87" s="31" t="s">
        <v>102</v>
      </c>
      <c r="E87" s="67">
        <v>0.75529000000000002</v>
      </c>
      <c r="H87" s="81"/>
    </row>
    <row r="88" spans="1:10">
      <c r="A88" s="30"/>
      <c r="B88" s="31"/>
      <c r="C88" s="31"/>
      <c r="D88" s="31" t="s">
        <v>103</v>
      </c>
      <c r="E88" s="31"/>
      <c r="F88" s="65">
        <f>F81*E86-F57</f>
        <v>2855.7240559033562</v>
      </c>
      <c r="G88" s="65">
        <f>G81*E86-G57</f>
        <v>2641.2208110196634</v>
      </c>
      <c r="H88" s="81">
        <f t="shared" si="7"/>
        <v>-214.50324488369279</v>
      </c>
    </row>
    <row r="89" spans="1:10">
      <c r="A89" s="30"/>
      <c r="B89" s="31"/>
      <c r="C89" s="31"/>
      <c r="D89" s="31" t="s">
        <v>104</v>
      </c>
      <c r="E89" s="31"/>
      <c r="F89" s="60">
        <f>F88/E87</f>
        <v>3780.9636773998809</v>
      </c>
      <c r="G89" s="60">
        <f>G88/E87</f>
        <v>3496.9625058185111</v>
      </c>
      <c r="H89" s="81">
        <f t="shared" si="7"/>
        <v>-284.00117158136982</v>
      </c>
    </row>
    <row r="90" spans="1:10">
      <c r="H90" s="80"/>
    </row>
    <row r="91" spans="1:10">
      <c r="H91" s="80"/>
    </row>
    <row r="92" spans="1:10" ht="14.4">
      <c r="D92" s="108" t="s">
        <v>147</v>
      </c>
    </row>
  </sheetData>
  <mergeCells count="5">
    <mergeCell ref="I80:J81"/>
    <mergeCell ref="I82:J83"/>
    <mergeCell ref="D1:F1"/>
    <mergeCell ref="H2:I2"/>
    <mergeCell ref="H3:I3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97"/>
  <sheetViews>
    <sheetView zoomScaleNormal="100" workbookViewId="0">
      <selection activeCell="H9" sqref="H9"/>
    </sheetView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3" t="s">
        <v>107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">
        <v>17</v>
      </c>
      <c r="B4" s="8">
        <f>'Summary-Cost-E'!Z4</f>
        <v>187140.45078018191</v>
      </c>
      <c r="C4" s="8">
        <f>'Summary-Cost-E'!AA4</f>
        <v>187140.45078018191</v>
      </c>
      <c r="D4" s="8">
        <f>'Summary-Cost-E'!AB4</f>
        <v>187140.45078018191</v>
      </c>
      <c r="E4" s="8">
        <f>'Summary-Cost-E'!AC4</f>
        <v>187140.45078018191</v>
      </c>
      <c r="F4" s="8">
        <f>'Summary-Cost-E'!AD4</f>
        <v>187140.45078018191</v>
      </c>
      <c r="G4" s="8">
        <f>'Summary-Cost-E'!AE4</f>
        <v>187140.45078018191</v>
      </c>
      <c r="H4" s="8">
        <f>'Summary-Cost-E'!AF4</f>
        <v>187140.45078018191</v>
      </c>
      <c r="I4" s="8">
        <f>'Summary-Cost-E'!AG4</f>
        <v>187140.45078018191</v>
      </c>
      <c r="J4" s="8">
        <f>'Summary-Cost-E'!AH4</f>
        <v>187140.45078018191</v>
      </c>
      <c r="K4" s="8">
        <f>'Summary-Cost-E'!AI4</f>
        <v>187140.45078018191</v>
      </c>
      <c r="L4" s="8">
        <f>'Summary-Cost-E'!AJ4</f>
        <v>187140.45078018191</v>
      </c>
      <c r="M4" s="8">
        <f>'Summary-Cost-E'!AK4</f>
        <v>187140.45078018191</v>
      </c>
      <c r="N4" s="8">
        <f>'Summary-Cost-E'!AL4</f>
        <v>187140.45078018191</v>
      </c>
      <c r="O4" s="27">
        <f>(((B4+N4)/2)+C4+D4+E4+F4+G4+H4+I4+J4+K4+L4+M4)/12</f>
        <v>187140.45078018191</v>
      </c>
    </row>
    <row r="5" spans="1:16384" s="2" customFormat="1">
      <c r="A5" t="s">
        <v>13</v>
      </c>
      <c r="B5" s="8">
        <f>'Summary-Cost-E'!Z5</f>
        <v>1502508.4696382682</v>
      </c>
      <c r="C5" s="8">
        <f>'Summary-Cost-E'!AA5</f>
        <v>1502508.4696382682</v>
      </c>
      <c r="D5" s="8">
        <f>'Summary-Cost-E'!AB5</f>
        <v>1502508.4696382682</v>
      </c>
      <c r="E5" s="8">
        <f>'Summary-Cost-E'!AC5</f>
        <v>1502508.4696382682</v>
      </c>
      <c r="F5" s="8">
        <f>'Summary-Cost-E'!AD5</f>
        <v>1502508.4696382682</v>
      </c>
      <c r="G5" s="8">
        <f>'Summary-Cost-E'!AE5</f>
        <v>1502508.4696382682</v>
      </c>
      <c r="H5" s="8">
        <f>'Summary-Cost-E'!AF5</f>
        <v>1502508.4696382682</v>
      </c>
      <c r="I5" s="8">
        <f>'Summary-Cost-E'!AG5</f>
        <v>1502508.4696382682</v>
      </c>
      <c r="J5" s="8">
        <f>'Summary-Cost-E'!AH5</f>
        <v>1502508.4696382682</v>
      </c>
      <c r="K5" s="8">
        <f>'Summary-Cost-E'!AI5</f>
        <v>1502508.4696382682</v>
      </c>
      <c r="L5" s="8">
        <f>'Summary-Cost-E'!AJ5</f>
        <v>1502508.4696382682</v>
      </c>
      <c r="M5" s="8">
        <f>'Summary-Cost-E'!AK5</f>
        <v>1502508.4696382682</v>
      </c>
      <c r="N5" s="8">
        <f>'Summary-Cost-E'!AL5</f>
        <v>1502508.4696382682</v>
      </c>
      <c r="O5" s="27">
        <f t="shared" ref="O5:O10" si="0">(((B5+N5)/2)+C5+D5+E5+F5+G5+H5+I5+J5+K5+L5+M5)/12</f>
        <v>1502508.4696382678</v>
      </c>
    </row>
    <row r="6" spans="1:16384" s="2" customFormat="1">
      <c r="A6" t="s">
        <v>142</v>
      </c>
      <c r="B6" s="8">
        <f>'Summary-Cost-E'!Z6</f>
        <v>3189739.4819518365</v>
      </c>
      <c r="C6" s="8">
        <f>'Summary-Cost-E'!AA6</f>
        <v>3189739.4819518365</v>
      </c>
      <c r="D6" s="8">
        <f>'Summary-Cost-E'!AB6</f>
        <v>3189739.4819518365</v>
      </c>
      <c r="E6" s="8">
        <f>'Summary-Cost-E'!AC6</f>
        <v>3189739.4819518365</v>
      </c>
      <c r="F6" s="8">
        <f>'Summary-Cost-E'!AD6</f>
        <v>3189739.4819518365</v>
      </c>
      <c r="G6" s="8">
        <f>'Summary-Cost-E'!AE6</f>
        <v>3189739.4819518365</v>
      </c>
      <c r="H6" s="8">
        <f>'Summary-Cost-E'!AF6</f>
        <v>3189739.4819518365</v>
      </c>
      <c r="I6" s="8">
        <f>'Summary-Cost-E'!AG6</f>
        <v>3189739.4819518365</v>
      </c>
      <c r="J6" s="8">
        <f>'Summary-Cost-E'!AH6</f>
        <v>3189739.4819518365</v>
      </c>
      <c r="K6" s="8">
        <f>'Summary-Cost-E'!AI6</f>
        <v>3189739.4819518365</v>
      </c>
      <c r="L6" s="8">
        <f>'Summary-Cost-E'!AJ6</f>
        <v>3189739.4819518365</v>
      </c>
      <c r="M6" s="8">
        <f>'Summary-Cost-E'!AK6</f>
        <v>3189739.4819518365</v>
      </c>
      <c r="N6" s="8">
        <f>'Summary-Cost-E'!AL6</f>
        <v>3189739.4819518365</v>
      </c>
      <c r="O6" s="27">
        <f t="shared" si="0"/>
        <v>3189739.4819518365</v>
      </c>
    </row>
    <row r="7" spans="1:16384" s="2" customFormat="1">
      <c r="A7" t="s">
        <v>149</v>
      </c>
      <c r="B7" s="8">
        <f>'Summary-Cost-E'!Z7</f>
        <v>447082.47473999998</v>
      </c>
      <c r="C7" s="8">
        <f>'Summary-Cost-E'!AA7</f>
        <v>447082.47473999998</v>
      </c>
      <c r="D7" s="8">
        <f>'Summary-Cost-E'!AB7</f>
        <v>447082.47473999998</v>
      </c>
      <c r="E7" s="8">
        <f>'Summary-Cost-E'!AC7</f>
        <v>447082.47473999998</v>
      </c>
      <c r="F7" s="8">
        <f>'Summary-Cost-E'!AD7</f>
        <v>447082.47473999998</v>
      </c>
      <c r="G7" s="8">
        <f>'Summary-Cost-E'!AE7</f>
        <v>447082.47473999998</v>
      </c>
      <c r="H7" s="8">
        <f>'Summary-Cost-E'!AF7</f>
        <v>447082.47473999998</v>
      </c>
      <c r="I7" s="8">
        <f>'Summary-Cost-E'!AG7</f>
        <v>447082.47473999998</v>
      </c>
      <c r="J7" s="8">
        <f>'Summary-Cost-E'!AH7</f>
        <v>447082.47473999998</v>
      </c>
      <c r="K7" s="8">
        <f>'Summary-Cost-E'!AI7</f>
        <v>447082.47473999998</v>
      </c>
      <c r="L7" s="8">
        <f>'Summary-Cost-E'!AJ7</f>
        <v>447082.47473999998</v>
      </c>
      <c r="M7" s="8">
        <f>'Summary-Cost-E'!AK7</f>
        <v>447082.47473999998</v>
      </c>
      <c r="N7" s="8">
        <f>'Summary-Cost-E'!AL7</f>
        <v>447082.47473999998</v>
      </c>
      <c r="O7" s="27">
        <f t="shared" si="0"/>
        <v>447082.47473999998</v>
      </c>
    </row>
    <row r="8" spans="1:16384" s="2" customFormat="1">
      <c r="A8" t="s">
        <v>139</v>
      </c>
      <c r="B8" s="8">
        <f>'Summary-Cost-E'!Z8</f>
        <v>795022.201049731</v>
      </c>
      <c r="C8" s="8">
        <f>'Summary-Cost-E'!AA8</f>
        <v>795022.201049731</v>
      </c>
      <c r="D8" s="8">
        <f>'Summary-Cost-E'!AB8</f>
        <v>795022.201049731</v>
      </c>
      <c r="E8" s="8">
        <f>'Summary-Cost-E'!AC8</f>
        <v>795022.201049731</v>
      </c>
      <c r="F8" s="8">
        <f>'Summary-Cost-E'!AD8</f>
        <v>795022.201049731</v>
      </c>
      <c r="G8" s="8">
        <f>'Summary-Cost-E'!AE8</f>
        <v>795022.201049731</v>
      </c>
      <c r="H8" s="8">
        <f>'Summary-Cost-E'!AF8</f>
        <v>795022.201049731</v>
      </c>
      <c r="I8" s="8">
        <f>'Summary-Cost-E'!AG8</f>
        <v>795022.201049731</v>
      </c>
      <c r="J8" s="8">
        <f>'Summary-Cost-E'!AH8</f>
        <v>795022.201049731</v>
      </c>
      <c r="K8" s="8">
        <f>'Summary-Cost-E'!AI8</f>
        <v>795022.201049731</v>
      </c>
      <c r="L8" s="8">
        <f>'Summary-Cost-E'!AJ8</f>
        <v>795022.201049731</v>
      </c>
      <c r="M8" s="8">
        <f>'Summary-Cost-E'!AK8</f>
        <v>795022.201049731</v>
      </c>
      <c r="N8" s="8">
        <f>'Summary-Cost-E'!AL8</f>
        <v>795022.201049731</v>
      </c>
      <c r="O8" s="27">
        <f t="shared" si="0"/>
        <v>795022.201049731</v>
      </c>
    </row>
    <row r="9" spans="1:16384" s="2" customFormat="1">
      <c r="A9" t="s">
        <v>151</v>
      </c>
      <c r="B9" s="8">
        <f>'Summary-Cost-E'!Z9</f>
        <v>32615.002710000008</v>
      </c>
      <c r="C9" s="8">
        <f>'Summary-Cost-E'!AA9</f>
        <v>32615.002710000008</v>
      </c>
      <c r="D9" s="8">
        <f>'Summary-Cost-E'!AB9</f>
        <v>32615.002710000008</v>
      </c>
      <c r="E9" s="8">
        <f>'Summary-Cost-E'!AC9</f>
        <v>32615.002710000008</v>
      </c>
      <c r="F9" s="8">
        <f>'Summary-Cost-E'!AD9</f>
        <v>32615.002710000008</v>
      </c>
      <c r="G9" s="8">
        <f>'Summary-Cost-E'!AE9</f>
        <v>32615.002710000008</v>
      </c>
      <c r="H9" s="8">
        <f>'Summary-Cost-E'!AF9</f>
        <v>32615.002710000008</v>
      </c>
      <c r="I9" s="8">
        <f>'Summary-Cost-E'!AG9</f>
        <v>32615.002710000008</v>
      </c>
      <c r="J9" s="8">
        <f>'Summary-Cost-E'!AH9</f>
        <v>32615.002710000008</v>
      </c>
      <c r="K9" s="8">
        <f>'Summary-Cost-E'!AI9</f>
        <v>32615.002710000008</v>
      </c>
      <c r="L9" s="8">
        <f>'Summary-Cost-E'!AJ9</f>
        <v>32615.002710000008</v>
      </c>
      <c r="M9" s="8">
        <f>'Summary-Cost-E'!AK9</f>
        <v>32615.002710000008</v>
      </c>
      <c r="N9" s="8">
        <f>'Summary-Cost-E'!AL9</f>
        <v>32615.002710000008</v>
      </c>
      <c r="O9" s="27">
        <f t="shared" si="0"/>
        <v>32615.002710000012</v>
      </c>
    </row>
    <row r="10" spans="1:16384" s="2" customFormat="1">
      <c r="A10" t="s">
        <v>19</v>
      </c>
      <c r="B10" s="8">
        <f>'Summary-Cost-E'!Z10</f>
        <v>3654515.8033470665</v>
      </c>
      <c r="C10" s="8">
        <f>'Summary-Cost-E'!AA10</f>
        <v>3654515.8033470665</v>
      </c>
      <c r="D10" s="8">
        <f>'Summary-Cost-E'!AB10</f>
        <v>3654515.8033470665</v>
      </c>
      <c r="E10" s="8">
        <f>'Summary-Cost-E'!AC10</f>
        <v>3654515.8033470665</v>
      </c>
      <c r="F10" s="8">
        <f>'Summary-Cost-E'!AD10</f>
        <v>3654515.8033470665</v>
      </c>
      <c r="G10" s="8">
        <f>'Summary-Cost-E'!AE10</f>
        <v>3654515.8033470665</v>
      </c>
      <c r="H10" s="8">
        <f>'Summary-Cost-E'!AF10</f>
        <v>3654515.8033470665</v>
      </c>
      <c r="I10" s="8">
        <f>'Summary-Cost-E'!AG10</f>
        <v>3654515.8033470665</v>
      </c>
      <c r="J10" s="8">
        <f>'Summary-Cost-E'!AH10</f>
        <v>3654515.8033470665</v>
      </c>
      <c r="K10" s="8">
        <f>'Summary-Cost-E'!AI10</f>
        <v>3654515.8033470665</v>
      </c>
      <c r="L10" s="8">
        <f>'Summary-Cost-E'!AJ10</f>
        <v>3654515.8033470665</v>
      </c>
      <c r="M10" s="8">
        <f>'Summary-Cost-E'!AK10</f>
        <v>3654515.8033470665</v>
      </c>
      <c r="N10" s="8">
        <f>'Summary-Cost-E'!AL10</f>
        <v>3654515.8033470665</v>
      </c>
      <c r="O10" s="27">
        <f t="shared" si="0"/>
        <v>3654515.8033470665</v>
      </c>
    </row>
    <row r="11" spans="1:16384" ht="13.8" thickBot="1">
      <c r="A11" t="s">
        <v>7</v>
      </c>
      <c r="B11" s="5">
        <f>SUM(B4:B10)</f>
        <v>9808623.8842170853</v>
      </c>
      <c r="C11" s="5">
        <f t="shared" ref="C11:N11" si="1">SUM(C4:C10)</f>
        <v>9808623.8842170853</v>
      </c>
      <c r="D11" s="5">
        <f t="shared" si="1"/>
        <v>9808623.8842170853</v>
      </c>
      <c r="E11" s="5">
        <f t="shared" si="1"/>
        <v>9808623.8842170853</v>
      </c>
      <c r="F11" s="5">
        <f t="shared" si="1"/>
        <v>9808623.8842170853</v>
      </c>
      <c r="G11" s="5">
        <f t="shared" si="1"/>
        <v>9808623.8842170853</v>
      </c>
      <c r="H11" s="5">
        <f t="shared" si="1"/>
        <v>9808623.8842170853</v>
      </c>
      <c r="I11" s="5">
        <f t="shared" si="1"/>
        <v>9808623.8842170853</v>
      </c>
      <c r="J11" s="5">
        <f t="shared" si="1"/>
        <v>9808623.8842170853</v>
      </c>
      <c r="K11" s="5">
        <f t="shared" si="1"/>
        <v>9808623.8842170853</v>
      </c>
      <c r="L11" s="5">
        <f t="shared" si="1"/>
        <v>9808623.8842170853</v>
      </c>
      <c r="M11" s="5">
        <f t="shared" si="1"/>
        <v>9808623.8842170853</v>
      </c>
      <c r="N11" s="5">
        <f t="shared" si="1"/>
        <v>9808623.8842170853</v>
      </c>
      <c r="O11" s="7">
        <f>SUM(O4:O10)</f>
        <v>9808623.8842170835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'Summary-Cost-E'!Z37</f>
        <v>-1337.2744712000499</v>
      </c>
      <c r="C13" s="2">
        <f>'Summary-Cost-E'!AA37</f>
        <v>-1719.3528915429213</v>
      </c>
      <c r="D13" s="2">
        <f>'Summary-Cost-E'!AB37</f>
        <v>-2101.4313118857926</v>
      </c>
      <c r="E13" s="2">
        <f>'Summary-Cost-E'!AC37</f>
        <v>-2483.5097322286642</v>
      </c>
      <c r="F13" s="2">
        <f>'Summary-Cost-E'!AD37</f>
        <v>-2865.5881525715358</v>
      </c>
      <c r="G13" s="2">
        <f>'Summary-Cost-E'!AE37</f>
        <v>-3247.6665729144074</v>
      </c>
      <c r="H13" s="2">
        <f>'Summary-Cost-E'!AF37</f>
        <v>-3629.744993257279</v>
      </c>
      <c r="I13" s="2">
        <f>'Summary-Cost-E'!AG37</f>
        <v>-4011.8234136001506</v>
      </c>
      <c r="J13" s="2">
        <f>'Summary-Cost-E'!AH37</f>
        <v>-4393.9018339430222</v>
      </c>
      <c r="K13" s="2">
        <f>'Summary-Cost-E'!AI37</f>
        <v>-4775.9802542858934</v>
      </c>
      <c r="L13" s="2">
        <f>'Summary-Cost-E'!AJ37</f>
        <v>-5158.0586746287645</v>
      </c>
      <c r="M13" s="2">
        <f>'Summary-Cost-E'!AK37</f>
        <v>-5540.1370949716356</v>
      </c>
      <c r="N13" s="2">
        <f>'Summary-Cost-E'!AL37</f>
        <v>-5922.2155153145068</v>
      </c>
      <c r="O13" s="28">
        <f t="shared" ref="O13:O19" si="2">(((B13+N13)/2)+C13+D13+E13+F13+G13+H13+I13+J13+K13+L13+M13)/12</f>
        <v>-3629.7449932572795</v>
      </c>
    </row>
    <row r="14" spans="1:16384">
      <c r="A14" t="s">
        <v>13</v>
      </c>
      <c r="B14" s="2">
        <f>'Summary-Cost-E'!Z38</f>
        <v>-14893.885495852681</v>
      </c>
      <c r="C14" s="2">
        <f>'Summary-Cost-E'!AA38</f>
        <v>-17473.19170206504</v>
      </c>
      <c r="D14" s="2">
        <f>'Summary-Cost-E'!AB38</f>
        <v>-20052.497908277401</v>
      </c>
      <c r="E14" s="2">
        <f>'Summary-Cost-E'!AC38</f>
        <v>-22631.804114489762</v>
      </c>
      <c r="F14" s="2">
        <f>'Summary-Cost-E'!AD38</f>
        <v>-25211.110320702122</v>
      </c>
      <c r="G14" s="2">
        <f>'Summary-Cost-E'!AE38</f>
        <v>-27790.416526914483</v>
      </c>
      <c r="H14" s="2">
        <f>'Summary-Cost-E'!AF38</f>
        <v>-30369.722733126844</v>
      </c>
      <c r="I14" s="2">
        <f>'Summary-Cost-E'!AG38</f>
        <v>-32949.028939339201</v>
      </c>
      <c r="J14" s="2">
        <f>'Summary-Cost-E'!AH38</f>
        <v>-35528.335145551559</v>
      </c>
      <c r="K14" s="2">
        <f>'Summary-Cost-E'!AI38</f>
        <v>-38107.641351763916</v>
      </c>
      <c r="L14" s="2">
        <f>'Summary-Cost-E'!AJ38</f>
        <v>-40686.947557976273</v>
      </c>
      <c r="M14" s="2">
        <f>'Summary-Cost-E'!AK38</f>
        <v>-43266.25376418863</v>
      </c>
      <c r="N14" s="2">
        <f>'Summary-Cost-E'!AL38</f>
        <v>-45845.559970400987</v>
      </c>
      <c r="O14" s="28">
        <f t="shared" si="2"/>
        <v>-30369.72273312684</v>
      </c>
    </row>
    <row r="15" spans="1:16384">
      <c r="A15" t="s">
        <v>142</v>
      </c>
      <c r="B15" s="2">
        <f>'Summary-Cost-E'!Z39</f>
        <v>-36704.291722448652</v>
      </c>
      <c r="C15" s="2">
        <f>'Summary-Cost-E'!AA39</f>
        <v>-42552.147439360349</v>
      </c>
      <c r="D15" s="2">
        <f>'Summary-Cost-E'!AB39</f>
        <v>-48400.003156272047</v>
      </c>
      <c r="E15" s="2">
        <f>'Summary-Cost-E'!AC39</f>
        <v>-54247.858873183744</v>
      </c>
      <c r="F15" s="2">
        <f>'Summary-Cost-E'!AD39</f>
        <v>-60095.714590095442</v>
      </c>
      <c r="G15" s="2">
        <f>'Summary-Cost-E'!AE39</f>
        <v>-65943.570307007147</v>
      </c>
      <c r="H15" s="2">
        <f>'Summary-Cost-E'!AF39</f>
        <v>-71791.426023918844</v>
      </c>
      <c r="I15" s="2">
        <f>'Summary-Cost-E'!AG39</f>
        <v>-77639.281740830542</v>
      </c>
      <c r="J15" s="2">
        <f>'Summary-Cost-E'!AH39</f>
        <v>-83487.137457742239</v>
      </c>
      <c r="K15" s="2">
        <f>'Summary-Cost-E'!AI39</f>
        <v>-89334.993174653937</v>
      </c>
      <c r="L15" s="2">
        <f>'Summary-Cost-E'!AJ39</f>
        <v>-95182.848891565634</v>
      </c>
      <c r="M15" s="2">
        <f>'Summary-Cost-E'!AK39</f>
        <v>-101030.70460847733</v>
      </c>
      <c r="N15" s="2">
        <f>'Summary-Cost-E'!AL39</f>
        <v>-106878.56032538903</v>
      </c>
      <c r="O15" s="28">
        <f t="shared" si="2"/>
        <v>-71791.426023918859</v>
      </c>
    </row>
    <row r="16" spans="1:16384">
      <c r="A16" t="s">
        <v>149</v>
      </c>
      <c r="B16" s="2">
        <f>'Summary-Cost-E'!Z40</f>
        <v>-12600.274413089001</v>
      </c>
      <c r="C16" s="2">
        <f>'Summary-Cost-E'!AA40</f>
        <v>-13926.619088151001</v>
      </c>
      <c r="D16" s="2">
        <f>'Summary-Cost-E'!AB40</f>
        <v>-15252.963763213002</v>
      </c>
      <c r="E16" s="2">
        <f>'Summary-Cost-E'!AC40</f>
        <v>-16579.308438275002</v>
      </c>
      <c r="F16" s="2">
        <f>'Summary-Cost-E'!AD40</f>
        <v>-17905.653113337001</v>
      </c>
      <c r="G16" s="2">
        <f>'Summary-Cost-E'!AE40</f>
        <v>-19231.997788399</v>
      </c>
      <c r="H16" s="2">
        <f>'Summary-Cost-E'!AF40</f>
        <v>-20558.342463460998</v>
      </c>
      <c r="I16" s="2">
        <f>'Summary-Cost-E'!AG40</f>
        <v>-21884.687138522997</v>
      </c>
      <c r="J16" s="2">
        <f>'Summary-Cost-E'!AH40</f>
        <v>-23211.031813584996</v>
      </c>
      <c r="K16" s="2">
        <f>'Summary-Cost-E'!AI40</f>
        <v>-24537.376488646994</v>
      </c>
      <c r="L16" s="2">
        <f>'Summary-Cost-E'!AJ40</f>
        <v>-25863.721163708993</v>
      </c>
      <c r="M16" s="2">
        <f>'Summary-Cost-E'!AK40</f>
        <v>-27190.065838770992</v>
      </c>
      <c r="N16" s="2">
        <f>'Summary-Cost-E'!AL40</f>
        <v>-28516.410513832991</v>
      </c>
      <c r="O16" s="28">
        <f t="shared" si="2"/>
        <v>-20558.342463460998</v>
      </c>
    </row>
    <row r="17" spans="1:15">
      <c r="A17" t="s">
        <v>139</v>
      </c>
      <c r="B17" s="2">
        <f>'Summary-Cost-E'!Z41</f>
        <v>-23123.029300983111</v>
      </c>
      <c r="C17" s="2">
        <f>'Summary-Cost-E'!AA41</f>
        <v>-25633.974419298513</v>
      </c>
      <c r="D17" s="2">
        <f>'Summary-Cost-E'!AB41</f>
        <v>-28144.919537613914</v>
      </c>
      <c r="E17" s="2">
        <f>'Summary-Cost-E'!AC41</f>
        <v>-30655.864655929316</v>
      </c>
      <c r="F17" s="2">
        <f>'Summary-Cost-E'!AD41</f>
        <v>-33166.809774244713</v>
      </c>
      <c r="G17" s="2">
        <f>'Summary-Cost-E'!AE41</f>
        <v>-35677.754892560115</v>
      </c>
      <c r="H17" s="2">
        <f>'Summary-Cost-E'!AF41</f>
        <v>-38188.700010875516</v>
      </c>
      <c r="I17" s="2">
        <f>'Summary-Cost-E'!AG41</f>
        <v>-40699.645129190918</v>
      </c>
      <c r="J17" s="2">
        <f>'Summary-Cost-E'!AH41</f>
        <v>-43210.590247506319</v>
      </c>
      <c r="K17" s="2">
        <f>'Summary-Cost-E'!AI41</f>
        <v>-45721.535365821721</v>
      </c>
      <c r="L17" s="2">
        <f>'Summary-Cost-E'!AJ41</f>
        <v>-48232.480484137122</v>
      </c>
      <c r="M17" s="2">
        <f>'Summary-Cost-E'!AK41</f>
        <v>-50743.425602452524</v>
      </c>
      <c r="N17" s="2">
        <f>'Summary-Cost-E'!AL41</f>
        <v>-53254.370720767925</v>
      </c>
      <c r="O17" s="28">
        <f t="shared" si="2"/>
        <v>-38188.700010875524</v>
      </c>
    </row>
    <row r="18" spans="1:15">
      <c r="A18" t="s">
        <v>151</v>
      </c>
      <c r="B18" s="2">
        <f>'Summary-Cost-E'!Z42</f>
        <v>-14701.516384214996</v>
      </c>
      <c r="C18" s="2">
        <f>'Summary-Cost-E'!AA42</f>
        <v>-15245.099762714995</v>
      </c>
      <c r="D18" s="2">
        <f>'Summary-Cost-E'!AB42</f>
        <v>-15788.683141214995</v>
      </c>
      <c r="E18" s="2">
        <f>'Summary-Cost-E'!AC42</f>
        <v>-16332.266519714995</v>
      </c>
      <c r="F18" s="2">
        <f>'Summary-Cost-E'!AD42</f>
        <v>-16875.849898214994</v>
      </c>
      <c r="G18" s="2">
        <f>'Summary-Cost-E'!AE42</f>
        <v>-17419.433276714994</v>
      </c>
      <c r="H18" s="2">
        <f>'Summary-Cost-E'!AF42</f>
        <v>-17963.016655214993</v>
      </c>
      <c r="I18" s="2">
        <f>'Summary-Cost-E'!AG42</f>
        <v>-18506.600033714993</v>
      </c>
      <c r="J18" s="2">
        <f>'Summary-Cost-E'!AH42</f>
        <v>-19050.183412214992</v>
      </c>
      <c r="K18" s="2">
        <f>'Summary-Cost-E'!AI42</f>
        <v>-19593.766790714992</v>
      </c>
      <c r="L18" s="2">
        <f>'Summary-Cost-E'!AJ42</f>
        <v>-20137.350169214991</v>
      </c>
      <c r="M18" s="2">
        <f>'Summary-Cost-E'!AK42</f>
        <v>-20680.933547714991</v>
      </c>
      <c r="N18" s="2">
        <f>'Summary-Cost-E'!AL42</f>
        <v>-21224.51692621499</v>
      </c>
      <c r="O18" s="28">
        <f t="shared" si="2"/>
        <v>-17963.016655214993</v>
      </c>
    </row>
    <row r="19" spans="1:15">
      <c r="A19" t="s">
        <v>19</v>
      </c>
      <c r="B19" s="2">
        <f>'Summary-Cost-E'!Z43</f>
        <v>-386774.67065104947</v>
      </c>
      <c r="C19" s="2">
        <f>'Summary-Cost-E'!AA43</f>
        <v>-447683.26737350057</v>
      </c>
      <c r="D19" s="2">
        <f>'Summary-Cost-E'!AB43</f>
        <v>-508591.86409595166</v>
      </c>
      <c r="E19" s="2">
        <f>'Summary-Cost-E'!AC43</f>
        <v>-569500.46081840282</v>
      </c>
      <c r="F19" s="2">
        <f>'Summary-Cost-E'!AD43</f>
        <v>-630409.05754085397</v>
      </c>
      <c r="G19" s="2">
        <f>'Summary-Cost-E'!AE43</f>
        <v>-691317.65426330513</v>
      </c>
      <c r="H19" s="2">
        <f>'Summary-Cost-E'!AF43</f>
        <v>-752226.25098575628</v>
      </c>
      <c r="I19" s="2">
        <f>'Summary-Cost-E'!AG43</f>
        <v>-813134.84770820744</v>
      </c>
      <c r="J19" s="2">
        <f>'Summary-Cost-E'!AH43</f>
        <v>-874043.44443065859</v>
      </c>
      <c r="K19" s="2">
        <f>'Summary-Cost-E'!AI43</f>
        <v>-934952.04115310975</v>
      </c>
      <c r="L19" s="2">
        <f>'Summary-Cost-E'!AJ43</f>
        <v>-995860.6378755609</v>
      </c>
      <c r="M19" s="2">
        <f>'Summary-Cost-E'!AK43</f>
        <v>-1056769.2345980119</v>
      </c>
      <c r="N19" s="2">
        <f>'Summary-Cost-E'!AL43</f>
        <v>-1117677.831320463</v>
      </c>
      <c r="O19" s="28">
        <f t="shared" si="2"/>
        <v>-752226.25098575617</v>
      </c>
    </row>
    <row r="20" spans="1:15" ht="13.8" thickBot="1">
      <c r="A20" t="s">
        <v>10</v>
      </c>
      <c r="B20" s="5">
        <f t="shared" ref="B20:M20" si="3">SUM(B13:B19)</f>
        <v>-490134.94243883796</v>
      </c>
      <c r="C20" s="5">
        <f t="shared" si="3"/>
        <v>-564233.65267663333</v>
      </c>
      <c r="D20" s="5">
        <f t="shared" si="3"/>
        <v>-638332.36291442881</v>
      </c>
      <c r="E20" s="5">
        <f t="shared" si="3"/>
        <v>-712431.0731522243</v>
      </c>
      <c r="F20" s="5">
        <f t="shared" si="3"/>
        <v>-786529.78339001979</v>
      </c>
      <c r="G20" s="5">
        <f t="shared" si="3"/>
        <v>-860628.49362781527</v>
      </c>
      <c r="H20" s="5">
        <f t="shared" si="3"/>
        <v>-934727.20386561076</v>
      </c>
      <c r="I20" s="5">
        <f t="shared" si="3"/>
        <v>-1008825.9141034062</v>
      </c>
      <c r="J20" s="5">
        <f t="shared" si="3"/>
        <v>-1082924.6243412017</v>
      </c>
      <c r="K20" s="5">
        <f t="shared" si="3"/>
        <v>-1157023.3345789972</v>
      </c>
      <c r="L20" s="5">
        <f t="shared" si="3"/>
        <v>-1231122.0448167927</v>
      </c>
      <c r="M20" s="5">
        <f t="shared" si="3"/>
        <v>-1305220.755054588</v>
      </c>
      <c r="N20" s="5">
        <f>SUM(N13:N19)</f>
        <v>-1379319.4652923835</v>
      </c>
      <c r="O20" s="7">
        <f>SUM(O13:O19)</f>
        <v>-934727.20386561065</v>
      </c>
    </row>
    <row r="22" spans="1:15">
      <c r="A22" t="s">
        <v>11</v>
      </c>
      <c r="B22" s="2">
        <f>'Summary-Cost-E'!Z114</f>
        <v>-89397.497415596241</v>
      </c>
      <c r="C22" s="2">
        <f>'Summary-Cost-E'!AA114</f>
        <v>-92050.705206785176</v>
      </c>
      <c r="D22" s="2">
        <f>'Summary-Cost-E'!AB114</f>
        <v>-94703.912997974097</v>
      </c>
      <c r="E22" s="2">
        <f>'Summary-Cost-E'!AC114</f>
        <v>-97357.120789163033</v>
      </c>
      <c r="F22" s="2">
        <f>'Summary-Cost-E'!AD114</f>
        <v>-112719.89665293878</v>
      </c>
      <c r="G22" s="2">
        <f>'Summary-Cost-E'!AE114</f>
        <v>-128082.67251671452</v>
      </c>
      <c r="H22" s="2">
        <f>'Summary-Cost-E'!AF114</f>
        <v>-143445.44838049024</v>
      </c>
      <c r="I22" s="2">
        <f>'Summary-Cost-E'!AG114</f>
        <v>-158808.22424426596</v>
      </c>
      <c r="J22" s="2">
        <f>'Summary-Cost-E'!AH114</f>
        <v>-174171.00010804168</v>
      </c>
      <c r="K22" s="2">
        <f>'Summary-Cost-E'!AI114</f>
        <v>-189533.77597181743</v>
      </c>
      <c r="L22" s="2">
        <f>'Summary-Cost-E'!AJ114</f>
        <v>-204896.55183559313</v>
      </c>
      <c r="M22" s="2">
        <f>'Summary-Cost-E'!AK114</f>
        <v>-220259.32769936891</v>
      </c>
      <c r="N22" s="2">
        <f>'Summary-Cost-E'!AL114</f>
        <v>-235622.10356314463</v>
      </c>
      <c r="O22" s="16">
        <f>(((B22+N22)/2)+C22+D22+E22+F22+G22+H22+I22+J22+K22+L22+M22)/12</f>
        <v>-148211.53640771026</v>
      </c>
    </row>
    <row r="24" spans="1:15">
      <c r="A24" t="s">
        <v>17</v>
      </c>
      <c r="C24" s="2">
        <f>'Summary-Cost-E'!AA26</f>
        <v>382.07842034287142</v>
      </c>
      <c r="D24" s="2">
        <f>'Summary-Cost-E'!AB26</f>
        <v>382.07842034287142</v>
      </c>
      <c r="E24" s="2">
        <f>'Summary-Cost-E'!AC26</f>
        <v>382.07842034287142</v>
      </c>
      <c r="F24" s="2">
        <f>'Summary-Cost-E'!AD26</f>
        <v>382.07842034287142</v>
      </c>
      <c r="G24" s="2">
        <f>'Summary-Cost-E'!AE26</f>
        <v>382.07842034287142</v>
      </c>
      <c r="H24" s="2">
        <f>'Summary-Cost-E'!AF26</f>
        <v>382.07842034287142</v>
      </c>
      <c r="I24" s="2">
        <f>'Summary-Cost-E'!AG26</f>
        <v>382.07842034287142</v>
      </c>
      <c r="J24" s="2">
        <f>'Summary-Cost-E'!AH26</f>
        <v>382.07842034287142</v>
      </c>
      <c r="K24" s="2">
        <f>'Summary-Cost-E'!AI26</f>
        <v>382.07842034287142</v>
      </c>
      <c r="L24" s="2">
        <f>'Summary-Cost-E'!AJ26</f>
        <v>382.07842034287142</v>
      </c>
      <c r="M24" s="2">
        <f>'Summary-Cost-E'!AK26</f>
        <v>382.07842034287142</v>
      </c>
      <c r="N24" s="2">
        <f>'Summary-Cost-E'!AL26</f>
        <v>382.07842034287142</v>
      </c>
      <c r="O24" s="3">
        <f>SUM(C24:N24)</f>
        <v>4584.9410441144573</v>
      </c>
    </row>
    <row r="25" spans="1:15">
      <c r="A25" t="s">
        <v>13</v>
      </c>
      <c r="C25" s="2">
        <f>'Summary-Cost-E'!AA27</f>
        <v>2579.3062062123604</v>
      </c>
      <c r="D25" s="2">
        <f>'Summary-Cost-E'!AB27</f>
        <v>2579.3062062123604</v>
      </c>
      <c r="E25" s="2">
        <f>'Summary-Cost-E'!AC27</f>
        <v>2579.3062062123604</v>
      </c>
      <c r="F25" s="2">
        <f>'Summary-Cost-E'!AD27</f>
        <v>2579.3062062123604</v>
      </c>
      <c r="G25" s="2">
        <f>'Summary-Cost-E'!AE27</f>
        <v>2579.3062062123604</v>
      </c>
      <c r="H25" s="2">
        <f>'Summary-Cost-E'!AF27</f>
        <v>2579.3062062123604</v>
      </c>
      <c r="I25" s="2">
        <f>'Summary-Cost-E'!AG27</f>
        <v>2579.3062062123604</v>
      </c>
      <c r="J25" s="2">
        <f>'Summary-Cost-E'!AH27</f>
        <v>2579.3062062123604</v>
      </c>
      <c r="K25" s="2">
        <f>'Summary-Cost-E'!AI27</f>
        <v>2579.3062062123604</v>
      </c>
      <c r="L25" s="2">
        <f>'Summary-Cost-E'!AJ27</f>
        <v>2579.3062062123604</v>
      </c>
      <c r="M25" s="2">
        <f>'Summary-Cost-E'!AK27</f>
        <v>2579.3062062123604</v>
      </c>
      <c r="N25" s="2">
        <f>'Summary-Cost-E'!AL27</f>
        <v>2579.3062062123604</v>
      </c>
      <c r="O25" s="3">
        <f t="shared" ref="O25:O30" si="4">SUM(C25:N25)</f>
        <v>30951.674474548327</v>
      </c>
    </row>
    <row r="26" spans="1:15">
      <c r="A26" t="s">
        <v>142</v>
      </c>
      <c r="C26" s="2">
        <f>'Summary-Cost-E'!AA28</f>
        <v>5847.8557169117003</v>
      </c>
      <c r="D26" s="2">
        <f>'Summary-Cost-E'!AB28</f>
        <v>5847.8557169117003</v>
      </c>
      <c r="E26" s="2">
        <f>'Summary-Cost-E'!AC28</f>
        <v>5847.8557169117003</v>
      </c>
      <c r="F26" s="2">
        <f>'Summary-Cost-E'!AD28</f>
        <v>5847.8557169117003</v>
      </c>
      <c r="G26" s="2">
        <f>'Summary-Cost-E'!AE28</f>
        <v>5847.8557169117003</v>
      </c>
      <c r="H26" s="2">
        <f>'Summary-Cost-E'!AF28</f>
        <v>5847.8557169117003</v>
      </c>
      <c r="I26" s="2">
        <f>'Summary-Cost-E'!AG28</f>
        <v>5847.8557169117003</v>
      </c>
      <c r="J26" s="2">
        <f>'Summary-Cost-E'!AH28</f>
        <v>5847.8557169117003</v>
      </c>
      <c r="K26" s="2">
        <f>'Summary-Cost-E'!AI28</f>
        <v>5847.8557169117003</v>
      </c>
      <c r="L26" s="2">
        <f>'Summary-Cost-E'!AJ28</f>
        <v>5847.8557169117003</v>
      </c>
      <c r="M26" s="2">
        <f>'Summary-Cost-E'!AK28</f>
        <v>5847.8557169117003</v>
      </c>
      <c r="N26" s="2">
        <f>'Summary-Cost-E'!AL28</f>
        <v>5847.8557169117003</v>
      </c>
      <c r="O26" s="3">
        <f t="shared" si="4"/>
        <v>70174.268602940385</v>
      </c>
    </row>
    <row r="27" spans="1:15">
      <c r="A27" t="s">
        <v>149</v>
      </c>
      <c r="C27" s="2">
        <f>'Summary-Cost-E'!AA29</f>
        <v>1326.3446750619999</v>
      </c>
      <c r="D27" s="2">
        <f>'Summary-Cost-E'!AB29</f>
        <v>1326.3446750619999</v>
      </c>
      <c r="E27" s="2">
        <f>'Summary-Cost-E'!AC29</f>
        <v>1326.3446750619999</v>
      </c>
      <c r="F27" s="2">
        <f>'Summary-Cost-E'!AD29</f>
        <v>1326.3446750619999</v>
      </c>
      <c r="G27" s="2">
        <f>'Summary-Cost-E'!AE29</f>
        <v>1326.3446750619999</v>
      </c>
      <c r="H27" s="2">
        <f>'Summary-Cost-E'!AF29</f>
        <v>1326.3446750619999</v>
      </c>
      <c r="I27" s="2">
        <f>'Summary-Cost-E'!AG29</f>
        <v>1326.3446750619999</v>
      </c>
      <c r="J27" s="2">
        <f>'Summary-Cost-E'!AH29</f>
        <v>1326.3446750619999</v>
      </c>
      <c r="K27" s="2">
        <f>'Summary-Cost-E'!AI29</f>
        <v>1326.3446750619999</v>
      </c>
      <c r="L27" s="2">
        <f>'Summary-Cost-E'!AJ29</f>
        <v>1326.3446750619999</v>
      </c>
      <c r="M27" s="2">
        <f>'Summary-Cost-E'!AK29</f>
        <v>1326.3446750619999</v>
      </c>
      <c r="N27" s="2">
        <f>'Summary-Cost-E'!AL29</f>
        <v>1326.3446750619999</v>
      </c>
      <c r="O27" s="3">
        <f t="shared" si="4"/>
        <v>15916.136100744001</v>
      </c>
    </row>
    <row r="28" spans="1:15">
      <c r="A28" t="s">
        <v>139</v>
      </c>
      <c r="C28" s="2">
        <f>'Summary-Cost-E'!AA30</f>
        <v>2510.9451183154006</v>
      </c>
      <c r="D28" s="2">
        <f>'Summary-Cost-E'!AB30</f>
        <v>2510.9451183154006</v>
      </c>
      <c r="E28" s="2">
        <f>'Summary-Cost-E'!AC30</f>
        <v>2510.9451183154006</v>
      </c>
      <c r="F28" s="2">
        <f>'Summary-Cost-E'!AD30</f>
        <v>2510.9451183154006</v>
      </c>
      <c r="G28" s="2">
        <f>'Summary-Cost-E'!AE30</f>
        <v>2510.9451183154006</v>
      </c>
      <c r="H28" s="2">
        <f>'Summary-Cost-E'!AF30</f>
        <v>2510.9451183154006</v>
      </c>
      <c r="I28" s="2">
        <f>'Summary-Cost-E'!AG30</f>
        <v>2510.9451183154006</v>
      </c>
      <c r="J28" s="2">
        <f>'Summary-Cost-E'!AH30</f>
        <v>2510.9451183154006</v>
      </c>
      <c r="K28" s="2">
        <f>'Summary-Cost-E'!AI30</f>
        <v>2510.9451183154006</v>
      </c>
      <c r="L28" s="2">
        <f>'Summary-Cost-E'!AJ30</f>
        <v>2510.9451183154006</v>
      </c>
      <c r="M28" s="2">
        <f>'Summary-Cost-E'!AK30</f>
        <v>2510.9451183154006</v>
      </c>
      <c r="N28" s="2">
        <f>'Summary-Cost-E'!AL30</f>
        <v>2510.9451183154006</v>
      </c>
      <c r="O28" s="3">
        <f t="shared" si="4"/>
        <v>30131.341419784814</v>
      </c>
    </row>
    <row r="29" spans="1:15">
      <c r="A29" t="s">
        <v>151</v>
      </c>
      <c r="C29" s="2">
        <f>'Summary-Cost-E'!AA31</f>
        <v>543.58337850000009</v>
      </c>
      <c r="D29" s="2">
        <f>'Summary-Cost-E'!AB31</f>
        <v>543.58337850000009</v>
      </c>
      <c r="E29" s="2">
        <f>'Summary-Cost-E'!AC31</f>
        <v>543.58337850000009</v>
      </c>
      <c r="F29" s="2">
        <f>'Summary-Cost-E'!AD31</f>
        <v>543.58337850000009</v>
      </c>
      <c r="G29" s="2">
        <f>'Summary-Cost-E'!AE31</f>
        <v>543.58337850000009</v>
      </c>
      <c r="H29" s="2">
        <f>'Summary-Cost-E'!AF31</f>
        <v>543.58337850000009</v>
      </c>
      <c r="I29" s="2">
        <f>'Summary-Cost-E'!AG31</f>
        <v>543.58337850000009</v>
      </c>
      <c r="J29" s="2">
        <f>'Summary-Cost-E'!AH31</f>
        <v>543.58337850000009</v>
      </c>
      <c r="K29" s="2">
        <f>'Summary-Cost-E'!AI31</f>
        <v>543.58337850000009</v>
      </c>
      <c r="L29" s="2">
        <f>'Summary-Cost-E'!AJ31</f>
        <v>543.58337850000009</v>
      </c>
      <c r="M29" s="2">
        <f>'Summary-Cost-E'!AK31</f>
        <v>543.58337850000009</v>
      </c>
      <c r="N29" s="2">
        <f>'Summary-Cost-E'!AL31</f>
        <v>543.58337850000009</v>
      </c>
      <c r="O29" s="3">
        <f t="shared" si="4"/>
        <v>6523.0005420000025</v>
      </c>
    </row>
    <row r="30" spans="1:15">
      <c r="A30" t="s">
        <v>19</v>
      </c>
      <c r="C30" s="2">
        <f>'Summary-Cost-E'!AA32</f>
        <v>60908.596722451119</v>
      </c>
      <c r="D30" s="2">
        <f>'Summary-Cost-E'!AB32</f>
        <v>60908.596722451119</v>
      </c>
      <c r="E30" s="2">
        <f>'Summary-Cost-E'!AC32</f>
        <v>60908.596722451119</v>
      </c>
      <c r="F30" s="2">
        <f>'Summary-Cost-E'!AD32</f>
        <v>60908.596722451119</v>
      </c>
      <c r="G30" s="2">
        <f>'Summary-Cost-E'!AE32</f>
        <v>60908.596722451119</v>
      </c>
      <c r="H30" s="2">
        <f>'Summary-Cost-E'!AF32</f>
        <v>60908.596722451119</v>
      </c>
      <c r="I30" s="2">
        <f>'Summary-Cost-E'!AG32</f>
        <v>60908.596722451119</v>
      </c>
      <c r="J30" s="2">
        <f>'Summary-Cost-E'!AH32</f>
        <v>60908.596722451119</v>
      </c>
      <c r="K30" s="2">
        <f>'Summary-Cost-E'!AI32</f>
        <v>60908.596722451119</v>
      </c>
      <c r="L30" s="2">
        <f>'Summary-Cost-E'!AJ32</f>
        <v>60908.596722451119</v>
      </c>
      <c r="M30" s="2">
        <f>'Summary-Cost-E'!AK32</f>
        <v>60908.596722451119</v>
      </c>
      <c r="N30" s="2">
        <f>'Summary-Cost-E'!AL32</f>
        <v>60908.596722451119</v>
      </c>
      <c r="O30" s="3">
        <f t="shared" si="4"/>
        <v>730903.16066941351</v>
      </c>
    </row>
    <row r="31" spans="1:15" ht="13.8" thickBot="1">
      <c r="A31" t="s">
        <v>12</v>
      </c>
      <c r="C31" s="5">
        <f>SUM(C24:C30)</f>
        <v>74098.710237795458</v>
      </c>
      <c r="D31" s="5">
        <f t="shared" ref="D31:M31" si="5">SUM(D24:D30)</f>
        <v>74098.710237795458</v>
      </c>
      <c r="E31" s="5">
        <f t="shared" si="5"/>
        <v>74098.710237795458</v>
      </c>
      <c r="F31" s="5">
        <f t="shared" si="5"/>
        <v>74098.710237795458</v>
      </c>
      <c r="G31" s="5">
        <f t="shared" si="5"/>
        <v>74098.710237795458</v>
      </c>
      <c r="H31" s="5">
        <f t="shared" si="5"/>
        <v>74098.710237795458</v>
      </c>
      <c r="I31" s="5">
        <f t="shared" si="5"/>
        <v>74098.710237795458</v>
      </c>
      <c r="J31" s="5">
        <f t="shared" si="5"/>
        <v>74098.710237795458</v>
      </c>
      <c r="K31" s="5">
        <f t="shared" si="5"/>
        <v>74098.710237795458</v>
      </c>
      <c r="L31" s="5">
        <f t="shared" si="5"/>
        <v>74098.710237795458</v>
      </c>
      <c r="M31" s="5">
        <f t="shared" si="5"/>
        <v>74098.710237795458</v>
      </c>
      <c r="N31" s="5">
        <f>SUM(N24:N30)</f>
        <v>74098.710237795458</v>
      </c>
      <c r="O31" s="7">
        <f>SUM(O24:O30)</f>
        <v>889184.5228535455</v>
      </c>
    </row>
    <row r="35" spans="1:15">
      <c r="A35" s="73" t="s">
        <v>105</v>
      </c>
    </row>
    <row r="36" spans="1:15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6">
        <v>202209</v>
      </c>
      <c r="O36" s="6" t="s">
        <v>9</v>
      </c>
    </row>
    <row r="37" spans="1:15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</row>
    <row r="38" spans="1:15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8">
        <v>1098163.8150599999</v>
      </c>
      <c r="O38" s="27">
        <v>1098163.8150600002</v>
      </c>
    </row>
    <row r="39" spans="1:15">
      <c r="A39" t="s">
        <v>142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8">
        <v>3081888.8883600002</v>
      </c>
      <c r="O39" s="27">
        <v>3081888.8883600007</v>
      </c>
    </row>
    <row r="40" spans="1:15">
      <c r="A40" t="s">
        <v>149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7">
        <v>0</v>
      </c>
    </row>
    <row r="41" spans="1:15">
      <c r="A41" t="s">
        <v>139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7">
        <v>0</v>
      </c>
    </row>
    <row r="42" spans="1:15">
      <c r="A42" t="s">
        <v>151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7">
        <v>0</v>
      </c>
    </row>
    <row r="43" spans="1:15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8">
        <v>10081015.44771266</v>
      </c>
      <c r="O43" s="27">
        <v>6595079.8696839102</v>
      </c>
    </row>
    <row r="44" spans="1:15" ht="13.8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5">
        <v>14261068.15113266</v>
      </c>
      <c r="O44" s="7">
        <v>10775132.573103912</v>
      </c>
    </row>
    <row r="46" spans="1:15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</row>
    <row r="47" spans="1:15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2">
        <v>-41717.408617817011</v>
      </c>
      <c r="O47" s="28">
        <v>-30406.321322699005</v>
      </c>
    </row>
    <row r="48" spans="1:15">
      <c r="A48" t="s">
        <v>142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2">
        <v>-113449.29361232497</v>
      </c>
      <c r="O48" s="28">
        <v>-79548.515840364984</v>
      </c>
    </row>
    <row r="49" spans="1:15">
      <c r="A49" t="s">
        <v>149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7">
        <v>0</v>
      </c>
    </row>
    <row r="50" spans="1:15">
      <c r="A50" t="s">
        <v>139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8">
        <v>0</v>
      </c>
    </row>
    <row r="51" spans="1:15">
      <c r="A51" t="s">
        <v>151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7">
        <v>0</v>
      </c>
    </row>
    <row r="52" spans="1:15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2">
        <v>-1836593.1753824854</v>
      </c>
      <c r="O52" s="28">
        <v>-989584.10808072984</v>
      </c>
    </row>
    <row r="53" spans="1:15" ht="13.8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5">
        <v>-1991759.8776126273</v>
      </c>
      <c r="O53" s="7">
        <v>-1099538.9452437938</v>
      </c>
    </row>
    <row r="55" spans="1:15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2">
        <v>-490347.39928405359</v>
      </c>
      <c r="O55" s="16">
        <v>-316973.50270357844</v>
      </c>
    </row>
    <row r="57" spans="1:15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2">
        <v>1885.1812158529999</v>
      </c>
      <c r="O58" s="3">
        <v>22622.174590236002</v>
      </c>
    </row>
    <row r="59" spans="1:15">
      <c r="A59" t="s">
        <v>142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2">
        <v>5650.12962866</v>
      </c>
      <c r="O59" s="2">
        <v>67801.555543919982</v>
      </c>
    </row>
    <row r="60" spans="1:15">
      <c r="A60" t="s">
        <v>149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>
      <c r="A61" t="s">
        <v>139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>
      <c r="A62" t="s">
        <v>151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2">
        <v>168016.92412854434</v>
      </c>
      <c r="O63" s="2">
        <v>1319015.9739367818</v>
      </c>
    </row>
    <row r="64" spans="1:15" ht="13.8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5">
        <v>175552.23497305735</v>
      </c>
      <c r="O64" s="7">
        <v>1409439.7040709378</v>
      </c>
    </row>
    <row r="68" spans="1:15">
      <c r="A68" s="73" t="s">
        <v>44</v>
      </c>
    </row>
    <row r="69" spans="1:15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6">
        <v>202209</v>
      </c>
      <c r="O69" s="6" t="s">
        <v>9</v>
      </c>
    </row>
    <row r="70" spans="1:15">
      <c r="A70" t="s">
        <v>17</v>
      </c>
      <c r="B70" s="8">
        <f>+B37-B4</f>
        <v>-187140.45078018191</v>
      </c>
      <c r="C70" s="8">
        <f t="shared" ref="C70:N70" si="6">+C37-C4</f>
        <v>-187140.45078018191</v>
      </c>
      <c r="D70" s="8">
        <f t="shared" si="6"/>
        <v>-187140.45078018191</v>
      </c>
      <c r="E70" s="8">
        <f t="shared" si="6"/>
        <v>-187140.45078018191</v>
      </c>
      <c r="F70" s="8">
        <f t="shared" si="6"/>
        <v>-187140.45078018191</v>
      </c>
      <c r="G70" s="8">
        <f t="shared" si="6"/>
        <v>-187140.45078018191</v>
      </c>
      <c r="H70" s="8">
        <f t="shared" si="6"/>
        <v>-187140.45078018191</v>
      </c>
      <c r="I70" s="8">
        <f t="shared" si="6"/>
        <v>-187140.45078018191</v>
      </c>
      <c r="J70" s="8">
        <f t="shared" si="6"/>
        <v>-187140.45078018191</v>
      </c>
      <c r="K70" s="8">
        <f t="shared" si="6"/>
        <v>-187140.45078018191</v>
      </c>
      <c r="L70" s="8">
        <f t="shared" si="6"/>
        <v>-187140.45078018191</v>
      </c>
      <c r="M70" s="8">
        <f t="shared" si="6"/>
        <v>-187140.45078018191</v>
      </c>
      <c r="N70" s="8">
        <f t="shared" si="6"/>
        <v>-187140.45078018191</v>
      </c>
      <c r="O70" s="27">
        <f>(((B70+N70)/2)+C70+D70+E70+F70+G70+H70+I70+J70+K70+L70+M70)/12</f>
        <v>-187140.45078018191</v>
      </c>
    </row>
    <row r="71" spans="1:15">
      <c r="A71" t="s">
        <v>13</v>
      </c>
      <c r="B71" s="8">
        <f t="shared" ref="B71:N76" si="7">+B38-B5</f>
        <v>-404344.6545782683</v>
      </c>
      <c r="C71" s="8">
        <f t="shared" si="7"/>
        <v>-404344.6545782683</v>
      </c>
      <c r="D71" s="8">
        <f t="shared" si="7"/>
        <v>-404344.6545782683</v>
      </c>
      <c r="E71" s="8">
        <f t="shared" si="7"/>
        <v>-404344.6545782683</v>
      </c>
      <c r="F71" s="8">
        <f t="shared" si="7"/>
        <v>-404344.6545782683</v>
      </c>
      <c r="G71" s="8">
        <f t="shared" si="7"/>
        <v>-404344.6545782683</v>
      </c>
      <c r="H71" s="8">
        <f t="shared" si="7"/>
        <v>-404344.6545782683</v>
      </c>
      <c r="I71" s="8">
        <f t="shared" si="7"/>
        <v>-404344.6545782683</v>
      </c>
      <c r="J71" s="8">
        <f t="shared" si="7"/>
        <v>-404344.6545782683</v>
      </c>
      <c r="K71" s="8">
        <f t="shared" si="7"/>
        <v>-404344.6545782683</v>
      </c>
      <c r="L71" s="8">
        <f t="shared" si="7"/>
        <v>-404344.6545782683</v>
      </c>
      <c r="M71" s="8">
        <f t="shared" si="7"/>
        <v>-404344.6545782683</v>
      </c>
      <c r="N71" s="8">
        <f t="shared" si="7"/>
        <v>-404344.6545782683</v>
      </c>
      <c r="O71" s="27">
        <f t="shared" ref="O71:O76" si="8">(((B71+N71)/2)+C71+D71+E71+F71+G71+H71+I71+J71+K71+L71+M71)/12</f>
        <v>-404344.65457826835</v>
      </c>
    </row>
    <row r="72" spans="1:15">
      <c r="A72" t="s">
        <v>142</v>
      </c>
      <c r="B72" s="8">
        <f t="shared" si="7"/>
        <v>-107850.59359183628</v>
      </c>
      <c r="C72" s="8">
        <f t="shared" si="7"/>
        <v>-107850.59359183628</v>
      </c>
      <c r="D72" s="8">
        <f t="shared" si="7"/>
        <v>-107850.59359183628</v>
      </c>
      <c r="E72" s="8">
        <f t="shared" si="7"/>
        <v>-107850.59359183628</v>
      </c>
      <c r="F72" s="8">
        <f t="shared" si="7"/>
        <v>-107850.59359183628</v>
      </c>
      <c r="G72" s="8">
        <f t="shared" si="7"/>
        <v>-107850.59359183628</v>
      </c>
      <c r="H72" s="8">
        <f t="shared" si="7"/>
        <v>-107850.59359183628</v>
      </c>
      <c r="I72" s="8">
        <f t="shared" si="7"/>
        <v>-107850.59359183628</v>
      </c>
      <c r="J72" s="8">
        <f t="shared" si="7"/>
        <v>-107850.59359183628</v>
      </c>
      <c r="K72" s="8">
        <f t="shared" si="7"/>
        <v>-107850.59359183628</v>
      </c>
      <c r="L72" s="8">
        <f t="shared" si="7"/>
        <v>-107850.59359183628</v>
      </c>
      <c r="M72" s="8">
        <f t="shared" si="7"/>
        <v>-107850.59359183628</v>
      </c>
      <c r="N72" s="8">
        <f t="shared" si="7"/>
        <v>-107850.59359183628</v>
      </c>
      <c r="O72" s="27">
        <f t="shared" si="8"/>
        <v>-107850.59359183628</v>
      </c>
    </row>
    <row r="73" spans="1:15">
      <c r="A73" t="s">
        <v>149</v>
      </c>
      <c r="B73" s="8">
        <f t="shared" si="7"/>
        <v>-447082.47473999998</v>
      </c>
      <c r="C73" s="8">
        <f t="shared" si="7"/>
        <v>-447082.47473999998</v>
      </c>
      <c r="D73" s="8">
        <f t="shared" si="7"/>
        <v>-447082.47473999998</v>
      </c>
      <c r="E73" s="8">
        <f t="shared" si="7"/>
        <v>-447082.47473999998</v>
      </c>
      <c r="F73" s="8">
        <f t="shared" si="7"/>
        <v>-447082.47473999998</v>
      </c>
      <c r="G73" s="8">
        <f t="shared" si="7"/>
        <v>-447082.47473999998</v>
      </c>
      <c r="H73" s="8">
        <f t="shared" si="7"/>
        <v>-447082.47473999998</v>
      </c>
      <c r="I73" s="8">
        <f t="shared" si="7"/>
        <v>-447082.47473999998</v>
      </c>
      <c r="J73" s="8">
        <f t="shared" si="7"/>
        <v>-447082.47473999998</v>
      </c>
      <c r="K73" s="8">
        <f t="shared" si="7"/>
        <v>-447082.47473999998</v>
      </c>
      <c r="L73" s="8">
        <f t="shared" si="7"/>
        <v>-447082.47473999998</v>
      </c>
      <c r="M73" s="8">
        <f t="shared" si="7"/>
        <v>-447082.47473999998</v>
      </c>
      <c r="N73" s="8">
        <f t="shared" si="7"/>
        <v>-447082.47473999998</v>
      </c>
      <c r="O73" s="27">
        <f t="shared" si="8"/>
        <v>-447082.47473999998</v>
      </c>
    </row>
    <row r="74" spans="1:15">
      <c r="A74" t="s">
        <v>139</v>
      </c>
      <c r="B74" s="8">
        <f t="shared" si="7"/>
        <v>-795022.201049731</v>
      </c>
      <c r="C74" s="8">
        <f t="shared" si="7"/>
        <v>-795022.201049731</v>
      </c>
      <c r="D74" s="8">
        <f t="shared" si="7"/>
        <v>-795022.201049731</v>
      </c>
      <c r="E74" s="8">
        <f t="shared" si="7"/>
        <v>-795022.201049731</v>
      </c>
      <c r="F74" s="8">
        <f t="shared" si="7"/>
        <v>-795022.201049731</v>
      </c>
      <c r="G74" s="8">
        <f t="shared" si="7"/>
        <v>-795022.201049731</v>
      </c>
      <c r="H74" s="8">
        <f t="shared" si="7"/>
        <v>-795022.201049731</v>
      </c>
      <c r="I74" s="8">
        <f t="shared" si="7"/>
        <v>-795022.201049731</v>
      </c>
      <c r="J74" s="8">
        <f t="shared" si="7"/>
        <v>-795022.201049731</v>
      </c>
      <c r="K74" s="8">
        <f t="shared" si="7"/>
        <v>-795022.201049731</v>
      </c>
      <c r="L74" s="8">
        <f t="shared" si="7"/>
        <v>-795022.201049731</v>
      </c>
      <c r="M74" s="8">
        <f t="shared" si="7"/>
        <v>-795022.201049731</v>
      </c>
      <c r="N74" s="8">
        <f t="shared" si="7"/>
        <v>-795022.201049731</v>
      </c>
      <c r="O74" s="27">
        <f t="shared" si="8"/>
        <v>-795022.201049731</v>
      </c>
    </row>
    <row r="75" spans="1:15">
      <c r="A75" t="s">
        <v>151</v>
      </c>
      <c r="B75" s="8">
        <f t="shared" si="7"/>
        <v>-32615.002710000008</v>
      </c>
      <c r="C75" s="8">
        <f t="shared" si="7"/>
        <v>-32615.002710000008</v>
      </c>
      <c r="D75" s="8">
        <f t="shared" si="7"/>
        <v>-32615.002710000008</v>
      </c>
      <c r="E75" s="8">
        <f t="shared" si="7"/>
        <v>-32615.002710000008</v>
      </c>
      <c r="F75" s="8">
        <f t="shared" si="7"/>
        <v>-32615.002710000008</v>
      </c>
      <c r="G75" s="8">
        <f t="shared" si="7"/>
        <v>-32615.002710000008</v>
      </c>
      <c r="H75" s="8">
        <f t="shared" si="7"/>
        <v>-32615.002710000008</v>
      </c>
      <c r="I75" s="8">
        <f t="shared" si="7"/>
        <v>-32615.002710000008</v>
      </c>
      <c r="J75" s="8">
        <f t="shared" si="7"/>
        <v>-32615.002710000008</v>
      </c>
      <c r="K75" s="8">
        <f t="shared" si="7"/>
        <v>-32615.002710000008</v>
      </c>
      <c r="L75" s="8">
        <f t="shared" si="7"/>
        <v>-32615.002710000008</v>
      </c>
      <c r="M75" s="8">
        <f t="shared" si="7"/>
        <v>-32615.002710000008</v>
      </c>
      <c r="N75" s="8">
        <f t="shared" si="7"/>
        <v>-32615.002710000008</v>
      </c>
      <c r="O75" s="27">
        <f t="shared" si="8"/>
        <v>-32615.002710000012</v>
      </c>
    </row>
    <row r="76" spans="1:15">
      <c r="A76" t="s">
        <v>19</v>
      </c>
      <c r="B76" s="8">
        <f t="shared" si="7"/>
        <v>-1179177.9804244065</v>
      </c>
      <c r="C76" s="8">
        <f t="shared" si="7"/>
        <v>-1179177.9804244065</v>
      </c>
      <c r="D76" s="8">
        <f t="shared" si="7"/>
        <v>-1179177.9804244065</v>
      </c>
      <c r="E76" s="8">
        <f t="shared" si="7"/>
        <v>-1179177.9804244065</v>
      </c>
      <c r="F76" s="8">
        <f t="shared" si="7"/>
        <v>-1179177.9804244065</v>
      </c>
      <c r="G76" s="8">
        <f t="shared" si="7"/>
        <v>-1179177.9804244065</v>
      </c>
      <c r="H76" s="8">
        <f t="shared" si="7"/>
        <v>6426499.6443655938</v>
      </c>
      <c r="I76" s="8">
        <f t="shared" si="7"/>
        <v>6426499.6443655938</v>
      </c>
      <c r="J76" s="8">
        <f t="shared" si="7"/>
        <v>6426499.6443655938</v>
      </c>
      <c r="K76" s="8">
        <f t="shared" si="7"/>
        <v>6426499.6443655938</v>
      </c>
      <c r="L76" s="8">
        <f t="shared" si="7"/>
        <v>6426499.6443655938</v>
      </c>
      <c r="M76" s="8">
        <f t="shared" si="7"/>
        <v>6426499.6443655938</v>
      </c>
      <c r="N76" s="8">
        <f t="shared" si="7"/>
        <v>6426499.6443655938</v>
      </c>
      <c r="O76" s="27">
        <f t="shared" si="8"/>
        <v>2940564.0663368437</v>
      </c>
    </row>
    <row r="77" spans="1:15" ht="13.8" thickBot="1">
      <c r="A77" t="s">
        <v>7</v>
      </c>
      <c r="B77" s="5">
        <f>+B44-B11</f>
        <v>-3153233.3578744251</v>
      </c>
      <c r="C77" s="5">
        <f t="shared" ref="C77:N77" si="9">+C44-C11</f>
        <v>-3153233.3578744251</v>
      </c>
      <c r="D77" s="5">
        <f t="shared" si="9"/>
        <v>-3153233.3578744251</v>
      </c>
      <c r="E77" s="5">
        <f t="shared" si="9"/>
        <v>-3153233.3578744251</v>
      </c>
      <c r="F77" s="5">
        <f t="shared" si="9"/>
        <v>-3153233.3578744251</v>
      </c>
      <c r="G77" s="5">
        <f t="shared" si="9"/>
        <v>-3153233.3578744251</v>
      </c>
      <c r="H77" s="5">
        <f t="shared" si="9"/>
        <v>4452444.2669155747</v>
      </c>
      <c r="I77" s="5">
        <f t="shared" si="9"/>
        <v>4452444.2669155747</v>
      </c>
      <c r="J77" s="5">
        <f t="shared" si="9"/>
        <v>4452444.2669155747</v>
      </c>
      <c r="K77" s="5">
        <f t="shared" si="9"/>
        <v>4452444.2669155747</v>
      </c>
      <c r="L77" s="5">
        <f t="shared" si="9"/>
        <v>4452444.2669155747</v>
      </c>
      <c r="M77" s="5">
        <f t="shared" si="9"/>
        <v>4452444.2669155747</v>
      </c>
      <c r="N77" s="5">
        <f t="shared" si="9"/>
        <v>4452444.2669155747</v>
      </c>
      <c r="O77" s="7">
        <f>SUM(O70:O76)</f>
        <v>966508.68888682616</v>
      </c>
    </row>
    <row r="79" spans="1:15">
      <c r="A79" t="s">
        <v>17</v>
      </c>
      <c r="B79" s="8">
        <f>+B46-B13</f>
        <v>1337.2744712000499</v>
      </c>
      <c r="C79" s="8">
        <f t="shared" ref="C79:N79" si="10">+C46-C13</f>
        <v>1719.3528915429213</v>
      </c>
      <c r="D79" s="8">
        <f t="shared" si="10"/>
        <v>2101.4313118857926</v>
      </c>
      <c r="E79" s="8">
        <f t="shared" si="10"/>
        <v>2483.5097322286642</v>
      </c>
      <c r="F79" s="8">
        <f t="shared" si="10"/>
        <v>2865.5881525715358</v>
      </c>
      <c r="G79" s="8">
        <f t="shared" si="10"/>
        <v>3247.6665729144074</v>
      </c>
      <c r="H79" s="8">
        <f t="shared" si="10"/>
        <v>3629.744993257279</v>
      </c>
      <c r="I79" s="8">
        <f t="shared" si="10"/>
        <v>4011.8234136001506</v>
      </c>
      <c r="J79" s="8">
        <f t="shared" si="10"/>
        <v>4393.9018339430222</v>
      </c>
      <c r="K79" s="8">
        <f t="shared" si="10"/>
        <v>4775.9802542858934</v>
      </c>
      <c r="L79" s="8">
        <f t="shared" si="10"/>
        <v>5158.0586746287645</v>
      </c>
      <c r="M79" s="8">
        <f t="shared" si="10"/>
        <v>5540.1370949716356</v>
      </c>
      <c r="N79" s="8">
        <f t="shared" si="10"/>
        <v>5922.2155153145068</v>
      </c>
      <c r="O79" s="28">
        <f t="shared" ref="O79:O85" si="11">(((B79+N79)/2)+C79+D79+E79+F79+G79+H79+I79+J79+K79+L79+M79)/12</f>
        <v>3629.7449932572795</v>
      </c>
    </row>
    <row r="80" spans="1:15">
      <c r="A80" t="s">
        <v>13</v>
      </c>
      <c r="B80" s="8">
        <f t="shared" ref="B80:N85" si="12">+B47-B14</f>
        <v>-4201.3485317283175</v>
      </c>
      <c r="C80" s="8">
        <f t="shared" si="12"/>
        <v>-3507.2235413689596</v>
      </c>
      <c r="D80" s="8">
        <f t="shared" si="12"/>
        <v>-2813.0985510095998</v>
      </c>
      <c r="E80" s="8">
        <f t="shared" si="12"/>
        <v>-2118.97356065024</v>
      </c>
      <c r="F80" s="8">
        <f t="shared" si="12"/>
        <v>-1424.8485702908802</v>
      </c>
      <c r="G80" s="8">
        <f t="shared" si="12"/>
        <v>-730.72357993152036</v>
      </c>
      <c r="H80" s="8">
        <f t="shared" si="12"/>
        <v>-36.598589572160563</v>
      </c>
      <c r="I80" s="8">
        <f t="shared" si="12"/>
        <v>657.5264007871956</v>
      </c>
      <c r="J80" s="8">
        <f t="shared" si="12"/>
        <v>1351.6513911465518</v>
      </c>
      <c r="K80" s="8">
        <f t="shared" si="12"/>
        <v>2045.7763815059079</v>
      </c>
      <c r="L80" s="8">
        <f t="shared" si="12"/>
        <v>2739.9013718652641</v>
      </c>
      <c r="M80" s="8">
        <f t="shared" si="12"/>
        <v>3434.0263622246202</v>
      </c>
      <c r="N80" s="8">
        <f t="shared" si="12"/>
        <v>4128.1513525839764</v>
      </c>
      <c r="O80" s="28">
        <f t="shared" si="11"/>
        <v>-36.59858957216602</v>
      </c>
    </row>
    <row r="81" spans="1:15">
      <c r="A81" t="s">
        <v>142</v>
      </c>
      <c r="B81" s="8">
        <f t="shared" si="12"/>
        <v>-8943.4463459563412</v>
      </c>
      <c r="C81" s="8">
        <f t="shared" si="12"/>
        <v>-8745.720257704641</v>
      </c>
      <c r="D81" s="8">
        <f t="shared" si="12"/>
        <v>-8547.9941694529407</v>
      </c>
      <c r="E81" s="8">
        <f t="shared" si="12"/>
        <v>-8350.2680812012404</v>
      </c>
      <c r="F81" s="8">
        <f t="shared" si="12"/>
        <v>-8152.5419929495474</v>
      </c>
      <c r="G81" s="8">
        <f t="shared" si="12"/>
        <v>-7954.8159046978399</v>
      </c>
      <c r="H81" s="8">
        <f t="shared" si="12"/>
        <v>-7757.0898164461396</v>
      </c>
      <c r="I81" s="8">
        <f t="shared" si="12"/>
        <v>-7559.3637281944393</v>
      </c>
      <c r="J81" s="8">
        <f t="shared" si="12"/>
        <v>-7361.637639942739</v>
      </c>
      <c r="K81" s="8">
        <f t="shared" si="12"/>
        <v>-7163.9115516910388</v>
      </c>
      <c r="L81" s="8">
        <f t="shared" si="12"/>
        <v>-6966.1854634393385</v>
      </c>
      <c r="M81" s="8">
        <f t="shared" si="12"/>
        <v>-6768.4593751876382</v>
      </c>
      <c r="N81" s="8">
        <f t="shared" si="12"/>
        <v>-6570.7332869359379</v>
      </c>
      <c r="O81" s="28">
        <f t="shared" si="11"/>
        <v>-7757.0898164461405</v>
      </c>
    </row>
    <row r="82" spans="1:15">
      <c r="A82" t="s">
        <v>149</v>
      </c>
      <c r="B82" s="8">
        <f t="shared" si="12"/>
        <v>12600.274413089001</v>
      </c>
      <c r="C82" s="8">
        <f t="shared" si="12"/>
        <v>13926.619088151001</v>
      </c>
      <c r="D82" s="8">
        <f t="shared" si="12"/>
        <v>15252.963763213002</v>
      </c>
      <c r="E82" s="8">
        <f t="shared" si="12"/>
        <v>16579.308438275002</v>
      </c>
      <c r="F82" s="8">
        <f t="shared" si="12"/>
        <v>17905.653113337001</v>
      </c>
      <c r="G82" s="8">
        <f t="shared" si="12"/>
        <v>19231.997788399</v>
      </c>
      <c r="H82" s="8">
        <f t="shared" si="12"/>
        <v>20558.342463460998</v>
      </c>
      <c r="I82" s="8">
        <f t="shared" si="12"/>
        <v>21884.687138522997</v>
      </c>
      <c r="J82" s="8">
        <f t="shared" si="12"/>
        <v>23211.031813584996</v>
      </c>
      <c r="K82" s="8">
        <f t="shared" si="12"/>
        <v>24537.376488646994</v>
      </c>
      <c r="L82" s="8">
        <f t="shared" si="12"/>
        <v>25863.721163708993</v>
      </c>
      <c r="M82" s="8">
        <f t="shared" si="12"/>
        <v>27190.065838770992</v>
      </c>
      <c r="N82" s="8">
        <f t="shared" si="12"/>
        <v>28516.410513832991</v>
      </c>
      <c r="O82" s="28">
        <f t="shared" si="11"/>
        <v>20558.342463460998</v>
      </c>
    </row>
    <row r="83" spans="1:15">
      <c r="A83" t="s">
        <v>139</v>
      </c>
      <c r="B83" s="8">
        <f t="shared" si="12"/>
        <v>23123.029300983111</v>
      </c>
      <c r="C83" s="8">
        <f t="shared" si="12"/>
        <v>25633.974419298513</v>
      </c>
      <c r="D83" s="8">
        <f t="shared" si="12"/>
        <v>28144.919537613914</v>
      </c>
      <c r="E83" s="8">
        <f t="shared" si="12"/>
        <v>30655.864655929316</v>
      </c>
      <c r="F83" s="8">
        <f t="shared" si="12"/>
        <v>33166.809774244713</v>
      </c>
      <c r="G83" s="8">
        <f t="shared" si="12"/>
        <v>35677.754892560115</v>
      </c>
      <c r="H83" s="8">
        <f t="shared" si="12"/>
        <v>38188.700010875516</v>
      </c>
      <c r="I83" s="8">
        <f t="shared" si="12"/>
        <v>40699.645129190918</v>
      </c>
      <c r="J83" s="8">
        <f t="shared" si="12"/>
        <v>43210.590247506319</v>
      </c>
      <c r="K83" s="8">
        <f t="shared" si="12"/>
        <v>45721.535365821721</v>
      </c>
      <c r="L83" s="8">
        <f t="shared" si="12"/>
        <v>48232.480484137122</v>
      </c>
      <c r="M83" s="8">
        <f t="shared" si="12"/>
        <v>50743.425602452524</v>
      </c>
      <c r="N83" s="8">
        <f t="shared" si="12"/>
        <v>53254.370720767925</v>
      </c>
      <c r="O83" s="28">
        <f t="shared" si="11"/>
        <v>38188.700010875524</v>
      </c>
    </row>
    <row r="84" spans="1:15">
      <c r="A84" t="s">
        <v>151</v>
      </c>
      <c r="B84" s="8">
        <f t="shared" si="12"/>
        <v>14701.516384214996</v>
      </c>
      <c r="C84" s="8">
        <f t="shared" si="12"/>
        <v>15245.099762714995</v>
      </c>
      <c r="D84" s="8">
        <f t="shared" si="12"/>
        <v>15788.683141214995</v>
      </c>
      <c r="E84" s="8">
        <f t="shared" si="12"/>
        <v>16332.266519714995</v>
      </c>
      <c r="F84" s="8">
        <f t="shared" si="12"/>
        <v>16875.849898214994</v>
      </c>
      <c r="G84" s="8">
        <f t="shared" si="12"/>
        <v>17419.433276714994</v>
      </c>
      <c r="H84" s="8">
        <f t="shared" si="12"/>
        <v>17963.016655214993</v>
      </c>
      <c r="I84" s="8">
        <f t="shared" si="12"/>
        <v>18506.600033714993</v>
      </c>
      <c r="J84" s="8">
        <f t="shared" si="12"/>
        <v>19050.183412214992</v>
      </c>
      <c r="K84" s="8">
        <f t="shared" si="12"/>
        <v>19593.766790714992</v>
      </c>
      <c r="L84" s="8">
        <f t="shared" si="12"/>
        <v>20137.350169214991</v>
      </c>
      <c r="M84" s="8">
        <f t="shared" si="12"/>
        <v>20680.933547714991</v>
      </c>
      <c r="N84" s="8">
        <f t="shared" si="12"/>
        <v>21224.51692621499</v>
      </c>
      <c r="O84" s="28">
        <f t="shared" si="11"/>
        <v>17963.016655214993</v>
      </c>
    </row>
    <row r="85" spans="1:15">
      <c r="A85" t="s">
        <v>19</v>
      </c>
      <c r="B85" s="8">
        <f t="shared" si="12"/>
        <v>-130802.53079465393</v>
      </c>
      <c r="C85" s="8">
        <f t="shared" si="12"/>
        <v>-111149.56445424719</v>
      </c>
      <c r="D85" s="8">
        <f t="shared" si="12"/>
        <v>-91496.598113840446</v>
      </c>
      <c r="E85" s="8">
        <f t="shared" si="12"/>
        <v>-71843.631773433648</v>
      </c>
      <c r="F85" s="8">
        <f t="shared" si="12"/>
        <v>-52190.66543302685</v>
      </c>
      <c r="G85" s="8">
        <f t="shared" si="12"/>
        <v>-32537.699092620052</v>
      </c>
      <c r="H85" s="8">
        <f t="shared" si="12"/>
        <v>-76265.379625463276</v>
      </c>
      <c r="I85" s="8">
        <f t="shared" si="12"/>
        <v>-183373.70703155652</v>
      </c>
      <c r="J85" s="8">
        <f t="shared" si="12"/>
        <v>-290482.03443764965</v>
      </c>
      <c r="K85" s="8">
        <f t="shared" si="12"/>
        <v>-397590.36184374278</v>
      </c>
      <c r="L85" s="8">
        <f t="shared" si="12"/>
        <v>-504698.68924983591</v>
      </c>
      <c r="M85" s="8">
        <f t="shared" si="12"/>
        <v>-611807.01665592915</v>
      </c>
      <c r="N85" s="8">
        <f t="shared" si="12"/>
        <v>-718915.3440620224</v>
      </c>
      <c r="O85" s="28">
        <f t="shared" si="11"/>
        <v>-237357.85709497365</v>
      </c>
    </row>
    <row r="86" spans="1:15" ht="13.8" thickBot="1">
      <c r="A86" t="s">
        <v>10</v>
      </c>
      <c r="B86" s="5">
        <f>+B53-B20</f>
        <v>-92185.231102851452</v>
      </c>
      <c r="C86" s="5">
        <f t="shared" ref="C86:N86" si="13">+C53-C20</f>
        <v>-66877.462091613444</v>
      </c>
      <c r="D86" s="5">
        <f t="shared" si="13"/>
        <v>-41569.69308037532</v>
      </c>
      <c r="E86" s="5">
        <f t="shared" si="13"/>
        <v>-16261.924069137196</v>
      </c>
      <c r="F86" s="5">
        <f t="shared" si="13"/>
        <v>9045.8449421009282</v>
      </c>
      <c r="G86" s="5">
        <f t="shared" si="13"/>
        <v>34353.613953339169</v>
      </c>
      <c r="H86" s="5">
        <f t="shared" si="13"/>
        <v>-3719.263908672845</v>
      </c>
      <c r="I86" s="5">
        <f t="shared" si="13"/>
        <v>-105172.78864393476</v>
      </c>
      <c r="J86" s="5">
        <f t="shared" si="13"/>
        <v>-206626.31337919645</v>
      </c>
      <c r="K86" s="5">
        <f t="shared" si="13"/>
        <v>-308079.83811445837</v>
      </c>
      <c r="L86" s="5">
        <f t="shared" si="13"/>
        <v>-409533.36284972006</v>
      </c>
      <c r="M86" s="5">
        <f t="shared" si="13"/>
        <v>-510986.88758498221</v>
      </c>
      <c r="N86" s="5">
        <f t="shared" si="13"/>
        <v>-612440.41232024389</v>
      </c>
      <c r="O86" s="7">
        <f>SUM(O79:O85)</f>
        <v>-164811.74137818316</v>
      </c>
    </row>
    <row r="88" spans="1:15">
      <c r="A88" t="s">
        <v>11</v>
      </c>
      <c r="B88" s="8">
        <f t="shared" ref="B88:N88" si="14">+B55-B22</f>
        <v>-70218.758279912901</v>
      </c>
      <c r="C88" s="8">
        <f t="shared" si="14"/>
        <v>-77956.54184729408</v>
      </c>
      <c r="D88" s="8">
        <f t="shared" si="14"/>
        <v>-85694.325414675244</v>
      </c>
      <c r="E88" s="8">
        <f t="shared" si="14"/>
        <v>-93432.108982056452</v>
      </c>
      <c r="F88" s="8">
        <f t="shared" si="14"/>
        <v>-130579.0370601481</v>
      </c>
      <c r="G88" s="8">
        <f t="shared" si="14"/>
        <v>-167725.96513823976</v>
      </c>
      <c r="H88" s="8">
        <f t="shared" si="14"/>
        <v>-191562.95737294888</v>
      </c>
      <c r="I88" s="8">
        <f t="shared" si="14"/>
        <v>-202090.01376427556</v>
      </c>
      <c r="J88" s="8">
        <f t="shared" si="14"/>
        <v>-212617.07015560218</v>
      </c>
      <c r="K88" s="8">
        <f t="shared" si="14"/>
        <v>-223144.12654692889</v>
      </c>
      <c r="L88" s="8">
        <f t="shared" si="14"/>
        <v>-233671.1829382556</v>
      </c>
      <c r="M88" s="8">
        <f t="shared" si="14"/>
        <v>-244198.23932958223</v>
      </c>
      <c r="N88" s="8">
        <f t="shared" si="14"/>
        <v>-254725.29572090897</v>
      </c>
      <c r="O88" s="16">
        <f>(((B88+N88)/2)+C88+D88+E88+F88+G88+H88+I88+J88+K88+L88+M88)/12</f>
        <v>-168761.96629586816</v>
      </c>
    </row>
    <row r="90" spans="1:15">
      <c r="A90" t="s">
        <v>17</v>
      </c>
      <c r="C90" s="8">
        <f>+C57-C24</f>
        <v>-382.07842034287142</v>
      </c>
      <c r="D90" s="8">
        <f t="shared" ref="D90:N90" si="15">+D57-D24</f>
        <v>-382.07842034287142</v>
      </c>
      <c r="E90" s="8">
        <f t="shared" si="15"/>
        <v>-382.07842034287142</v>
      </c>
      <c r="F90" s="8">
        <f t="shared" si="15"/>
        <v>-382.07842034287142</v>
      </c>
      <c r="G90" s="8">
        <f t="shared" si="15"/>
        <v>-382.07842034287142</v>
      </c>
      <c r="H90" s="8">
        <f t="shared" si="15"/>
        <v>-382.07842034287142</v>
      </c>
      <c r="I90" s="8">
        <f t="shared" si="15"/>
        <v>-382.07842034287142</v>
      </c>
      <c r="J90" s="8">
        <f t="shared" si="15"/>
        <v>-382.07842034287142</v>
      </c>
      <c r="K90" s="8">
        <f t="shared" si="15"/>
        <v>-382.07842034287142</v>
      </c>
      <c r="L90" s="8">
        <f t="shared" si="15"/>
        <v>-382.07842034287142</v>
      </c>
      <c r="M90" s="8">
        <f t="shared" si="15"/>
        <v>-382.07842034287142</v>
      </c>
      <c r="N90" s="8">
        <f t="shared" si="15"/>
        <v>-382.07842034287142</v>
      </c>
      <c r="O90" s="3">
        <f>SUM(C90:N90)</f>
        <v>-4584.9410441144573</v>
      </c>
    </row>
    <row r="91" spans="1:15">
      <c r="A91" t="s">
        <v>13</v>
      </c>
      <c r="C91" s="8">
        <f t="shared" ref="C91:N96" si="16">+C58-C25</f>
        <v>-694.12499035936048</v>
      </c>
      <c r="D91" s="8">
        <f t="shared" si="16"/>
        <v>-694.12499035936048</v>
      </c>
      <c r="E91" s="8">
        <f t="shared" si="16"/>
        <v>-694.12499035936048</v>
      </c>
      <c r="F91" s="8">
        <f t="shared" si="16"/>
        <v>-694.12499035936048</v>
      </c>
      <c r="G91" s="8">
        <f t="shared" si="16"/>
        <v>-694.12499035936048</v>
      </c>
      <c r="H91" s="8">
        <f t="shared" si="16"/>
        <v>-694.12499035936048</v>
      </c>
      <c r="I91" s="8">
        <f t="shared" si="16"/>
        <v>-694.12499035936048</v>
      </c>
      <c r="J91" s="8">
        <f t="shared" si="16"/>
        <v>-694.12499035936048</v>
      </c>
      <c r="K91" s="8">
        <f t="shared" si="16"/>
        <v>-694.12499035936048</v>
      </c>
      <c r="L91" s="8">
        <f t="shared" si="16"/>
        <v>-694.12499035936048</v>
      </c>
      <c r="M91" s="8">
        <f t="shared" si="16"/>
        <v>-694.12499035936048</v>
      </c>
      <c r="N91" s="8">
        <f t="shared" si="16"/>
        <v>-694.12499035936048</v>
      </c>
      <c r="O91" s="3">
        <f t="shared" ref="O91:O96" si="17">SUM(C91:N91)</f>
        <v>-8329.4998843123267</v>
      </c>
    </row>
    <row r="92" spans="1:15">
      <c r="A92" t="s">
        <v>142</v>
      </c>
      <c r="C92" s="8">
        <f t="shared" si="16"/>
        <v>-197.72608825170028</v>
      </c>
      <c r="D92" s="8">
        <f t="shared" si="16"/>
        <v>-197.72608825170028</v>
      </c>
      <c r="E92" s="8">
        <f t="shared" si="16"/>
        <v>-197.72608825170028</v>
      </c>
      <c r="F92" s="8">
        <f t="shared" si="16"/>
        <v>-197.72608825170028</v>
      </c>
      <c r="G92" s="8">
        <f t="shared" si="16"/>
        <v>-197.72608825170028</v>
      </c>
      <c r="H92" s="8">
        <f t="shared" si="16"/>
        <v>-197.72608825170028</v>
      </c>
      <c r="I92" s="8">
        <f t="shared" si="16"/>
        <v>-197.72608825170028</v>
      </c>
      <c r="J92" s="8">
        <f t="shared" si="16"/>
        <v>-197.72608825170028</v>
      </c>
      <c r="K92" s="8">
        <f t="shared" si="16"/>
        <v>-197.72608825170028</v>
      </c>
      <c r="L92" s="8">
        <f t="shared" si="16"/>
        <v>-197.72608825170028</v>
      </c>
      <c r="M92" s="8">
        <f t="shared" si="16"/>
        <v>-197.72608825170028</v>
      </c>
      <c r="N92" s="8">
        <f t="shared" si="16"/>
        <v>-197.72608825170028</v>
      </c>
      <c r="O92" s="3">
        <f t="shared" si="17"/>
        <v>-2372.7130590204033</v>
      </c>
    </row>
    <row r="93" spans="1:15">
      <c r="A93" t="s">
        <v>149</v>
      </c>
      <c r="C93" s="8">
        <f t="shared" si="16"/>
        <v>-1326.3446750619999</v>
      </c>
      <c r="D93" s="8">
        <f t="shared" si="16"/>
        <v>-1326.3446750619999</v>
      </c>
      <c r="E93" s="8">
        <f t="shared" si="16"/>
        <v>-1326.3446750619999</v>
      </c>
      <c r="F93" s="8">
        <f t="shared" si="16"/>
        <v>-1326.3446750619999</v>
      </c>
      <c r="G93" s="8">
        <f t="shared" si="16"/>
        <v>-1326.3446750619999</v>
      </c>
      <c r="H93" s="8">
        <f t="shared" si="16"/>
        <v>-1326.3446750619999</v>
      </c>
      <c r="I93" s="8">
        <f t="shared" si="16"/>
        <v>-1326.3446750619999</v>
      </c>
      <c r="J93" s="8">
        <f t="shared" si="16"/>
        <v>-1326.3446750619999</v>
      </c>
      <c r="K93" s="8">
        <f t="shared" si="16"/>
        <v>-1326.3446750619999</v>
      </c>
      <c r="L93" s="8">
        <f t="shared" si="16"/>
        <v>-1326.3446750619999</v>
      </c>
      <c r="M93" s="8">
        <f t="shared" si="16"/>
        <v>-1326.3446750619999</v>
      </c>
      <c r="N93" s="8">
        <f t="shared" si="16"/>
        <v>-1326.3446750619999</v>
      </c>
      <c r="O93" s="3">
        <f t="shared" si="17"/>
        <v>-15916.136100744001</v>
      </c>
    </row>
    <row r="94" spans="1:15">
      <c r="A94" t="s">
        <v>139</v>
      </c>
      <c r="C94" s="8">
        <f t="shared" si="16"/>
        <v>-2510.9451183154006</v>
      </c>
      <c r="D94" s="8">
        <f t="shared" si="16"/>
        <v>-2510.9451183154006</v>
      </c>
      <c r="E94" s="8">
        <f t="shared" si="16"/>
        <v>-2510.9451183154006</v>
      </c>
      <c r="F94" s="8">
        <f t="shared" si="16"/>
        <v>-2510.9451183154006</v>
      </c>
      <c r="G94" s="8">
        <f t="shared" si="16"/>
        <v>-2510.9451183154006</v>
      </c>
      <c r="H94" s="8">
        <f t="shared" si="16"/>
        <v>-2510.9451183154006</v>
      </c>
      <c r="I94" s="8">
        <f t="shared" si="16"/>
        <v>-2510.9451183154006</v>
      </c>
      <c r="J94" s="8">
        <f t="shared" si="16"/>
        <v>-2510.9451183154006</v>
      </c>
      <c r="K94" s="8">
        <f t="shared" si="16"/>
        <v>-2510.9451183154006</v>
      </c>
      <c r="L94" s="8">
        <f t="shared" si="16"/>
        <v>-2510.9451183154006</v>
      </c>
      <c r="M94" s="8">
        <f t="shared" si="16"/>
        <v>-2510.9451183154006</v>
      </c>
      <c r="N94" s="8">
        <f t="shared" si="16"/>
        <v>-2510.9451183154006</v>
      </c>
      <c r="O94" s="3">
        <f t="shared" si="17"/>
        <v>-30131.341419784814</v>
      </c>
    </row>
    <row r="95" spans="1:15">
      <c r="A95" t="s">
        <v>151</v>
      </c>
      <c r="C95" s="8">
        <f t="shared" si="16"/>
        <v>-543.58337850000009</v>
      </c>
      <c r="D95" s="8">
        <f t="shared" si="16"/>
        <v>-543.58337850000009</v>
      </c>
      <c r="E95" s="8">
        <f t="shared" si="16"/>
        <v>-543.58337850000009</v>
      </c>
      <c r="F95" s="8">
        <f t="shared" si="16"/>
        <v>-543.58337850000009</v>
      </c>
      <c r="G95" s="8">
        <f t="shared" si="16"/>
        <v>-543.58337850000009</v>
      </c>
      <c r="H95" s="8">
        <f t="shared" si="16"/>
        <v>-543.58337850000009</v>
      </c>
      <c r="I95" s="8">
        <f t="shared" si="16"/>
        <v>-543.58337850000009</v>
      </c>
      <c r="J95" s="8">
        <f t="shared" si="16"/>
        <v>-543.58337850000009</v>
      </c>
      <c r="K95" s="8">
        <f t="shared" si="16"/>
        <v>-543.58337850000009</v>
      </c>
      <c r="L95" s="8">
        <f t="shared" si="16"/>
        <v>-543.58337850000009</v>
      </c>
      <c r="M95" s="8">
        <f t="shared" si="16"/>
        <v>-543.58337850000009</v>
      </c>
      <c r="N95" s="8">
        <f t="shared" si="16"/>
        <v>-543.58337850000009</v>
      </c>
      <c r="O95" s="3">
        <f t="shared" si="17"/>
        <v>-6523.0005420000025</v>
      </c>
    </row>
    <row r="96" spans="1:15">
      <c r="A96" t="s">
        <v>19</v>
      </c>
      <c r="C96" s="8">
        <f t="shared" si="16"/>
        <v>-19652.966340406783</v>
      </c>
      <c r="D96" s="8">
        <f t="shared" si="16"/>
        <v>-19652.966340406783</v>
      </c>
      <c r="E96" s="8">
        <f t="shared" si="16"/>
        <v>-19652.966340406783</v>
      </c>
      <c r="F96" s="8">
        <f t="shared" si="16"/>
        <v>-19652.966340406783</v>
      </c>
      <c r="G96" s="8">
        <f t="shared" si="16"/>
        <v>-19652.966340406783</v>
      </c>
      <c r="H96" s="8">
        <f t="shared" si="16"/>
        <v>43727.680532843216</v>
      </c>
      <c r="I96" s="8">
        <f t="shared" si="16"/>
        <v>107108.32740609322</v>
      </c>
      <c r="J96" s="8">
        <f t="shared" si="16"/>
        <v>107108.32740609322</v>
      </c>
      <c r="K96" s="8">
        <f t="shared" si="16"/>
        <v>107108.32740609322</v>
      </c>
      <c r="L96" s="8">
        <f t="shared" si="16"/>
        <v>107108.32740609322</v>
      </c>
      <c r="M96" s="8">
        <f t="shared" si="16"/>
        <v>107108.32740609322</v>
      </c>
      <c r="N96" s="8">
        <f t="shared" si="16"/>
        <v>107108.32740609322</v>
      </c>
      <c r="O96" s="3">
        <f t="shared" si="17"/>
        <v>588112.81326736871</v>
      </c>
    </row>
    <row r="97" spans="1:15" ht="13.8" thickBot="1">
      <c r="A97" t="s">
        <v>12</v>
      </c>
      <c r="C97" s="5">
        <f t="shared" ref="C97:N97" si="18">+C64-C31</f>
        <v>-25307.769011238124</v>
      </c>
      <c r="D97" s="5">
        <f t="shared" si="18"/>
        <v>-25307.769011238124</v>
      </c>
      <c r="E97" s="5">
        <f t="shared" si="18"/>
        <v>-25307.769011238124</v>
      </c>
      <c r="F97" s="5">
        <f t="shared" si="18"/>
        <v>-25307.769011238124</v>
      </c>
      <c r="G97" s="5">
        <f t="shared" si="18"/>
        <v>-25307.769011238124</v>
      </c>
      <c r="H97" s="5">
        <f t="shared" si="18"/>
        <v>38072.877862011883</v>
      </c>
      <c r="I97" s="5">
        <f t="shared" si="18"/>
        <v>101453.52473526189</v>
      </c>
      <c r="J97" s="5">
        <f t="shared" si="18"/>
        <v>101453.52473526189</v>
      </c>
      <c r="K97" s="5">
        <f t="shared" si="18"/>
        <v>101453.52473526189</v>
      </c>
      <c r="L97" s="5">
        <f t="shared" si="18"/>
        <v>101453.52473526189</v>
      </c>
      <c r="M97" s="5">
        <f t="shared" si="18"/>
        <v>101453.52473526189</v>
      </c>
      <c r="N97" s="5">
        <f t="shared" si="18"/>
        <v>101453.52473526189</v>
      </c>
      <c r="O97" s="7">
        <f>SUM(O90:O96)</f>
        <v>520255.18121739267</v>
      </c>
    </row>
  </sheetData>
  <pageMargins left="0.7" right="0.7" top="0.75" bottom="0.75" header="0.3" footer="0.3"/>
  <pageSetup scale="4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114"/>
  <sheetViews>
    <sheetView zoomScaleNormal="100" zoomScaleSheetLayoutView="70" workbookViewId="0">
      <pane xSplit="4" ySplit="3" topLeftCell="AA4" activePane="bottomRight" state="frozen"/>
      <selection pane="topRight" activeCell="E1" sqref="E1"/>
      <selection pane="bottomLeft" activeCell="A4" sqref="A4"/>
      <selection pane="bottomRight" activeCell="AF21" sqref="AF21:AH21"/>
    </sheetView>
  </sheetViews>
  <sheetFormatPr defaultRowHeight="13.2"/>
  <cols>
    <col min="1" max="1" width="29.5546875" style="1" bestFit="1" customWidth="1"/>
    <col min="3" max="3" width="13.33203125" customWidth="1"/>
    <col min="5" max="13" width="11.6640625" customWidth="1"/>
    <col min="14" max="16" width="12.33203125" customWidth="1"/>
    <col min="17" max="18" width="13.5546875" customWidth="1"/>
    <col min="19" max="19" width="12.44140625" style="2" customWidth="1"/>
    <col min="20" max="20" width="12.44140625" customWidth="1"/>
    <col min="21" max="34" width="12.88671875" bestFit="1" customWidth="1"/>
    <col min="35" max="36" width="12.6640625" bestFit="1" customWidth="1"/>
    <col min="37" max="38" width="13.554687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187140.45078018191</v>
      </c>
      <c r="X4" s="3">
        <f t="shared" si="1"/>
        <v>187140.45078018191</v>
      </c>
      <c r="Y4" s="3">
        <f t="shared" si="1"/>
        <v>187140.45078018191</v>
      </c>
      <c r="Z4" s="3">
        <f t="shared" si="1"/>
        <v>187140.45078018191</v>
      </c>
      <c r="AA4" s="3">
        <f t="shared" si="1"/>
        <v>187140.45078018191</v>
      </c>
      <c r="AB4" s="3">
        <f t="shared" si="1"/>
        <v>187140.45078018191</v>
      </c>
      <c r="AC4" s="3">
        <f t="shared" si="1"/>
        <v>187140.45078018191</v>
      </c>
      <c r="AD4" s="3">
        <f t="shared" si="1"/>
        <v>187140.45078018191</v>
      </c>
      <c r="AE4" s="3">
        <f t="shared" si="1"/>
        <v>187140.45078018191</v>
      </c>
      <c r="AF4" s="3">
        <f t="shared" si="1"/>
        <v>187140.45078018191</v>
      </c>
      <c r="AG4" s="3">
        <f t="shared" si="1"/>
        <v>187140.45078018191</v>
      </c>
      <c r="AH4" s="3">
        <f t="shared" si="1"/>
        <v>187140.45078018191</v>
      </c>
      <c r="AI4" s="3">
        <f t="shared" si="1"/>
        <v>187140.45078018191</v>
      </c>
      <c r="AJ4" s="3">
        <f t="shared" si="1"/>
        <v>187140.45078018191</v>
      </c>
      <c r="AK4" s="3">
        <f t="shared" si="1"/>
        <v>187140.45078018191</v>
      </c>
      <c r="AL4" s="3">
        <f t="shared" si="1"/>
        <v>187140.45078018191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260872.06895434676</v>
      </c>
      <c r="S5" s="3">
        <f t="shared" si="3"/>
        <v>377868.30764469353</v>
      </c>
      <c r="T5" s="3">
        <f t="shared" si="3"/>
        <v>494864.5463350403</v>
      </c>
      <c r="U5" s="3">
        <f t="shared" si="3"/>
        <v>718329.914902783</v>
      </c>
      <c r="V5" s="3">
        <f t="shared" si="3"/>
        <v>941795.28347052564</v>
      </c>
      <c r="W5" s="3">
        <f t="shared" si="3"/>
        <v>1502508.4696382682</v>
      </c>
      <c r="X5" s="3">
        <f t="shared" si="3"/>
        <v>1502508.4696382682</v>
      </c>
      <c r="Y5" s="3">
        <f t="shared" si="3"/>
        <v>1502508.4696382682</v>
      </c>
      <c r="Z5" s="3">
        <f t="shared" si="3"/>
        <v>1502508.4696382682</v>
      </c>
      <c r="AA5" s="3">
        <f t="shared" si="3"/>
        <v>1502508.4696382682</v>
      </c>
      <c r="AB5" s="3">
        <f t="shared" si="3"/>
        <v>1502508.4696382682</v>
      </c>
      <c r="AC5" s="3">
        <f t="shared" si="3"/>
        <v>1502508.4696382682</v>
      </c>
      <c r="AD5" s="3">
        <f t="shared" si="3"/>
        <v>1502508.4696382682</v>
      </c>
      <c r="AE5" s="3">
        <f t="shared" si="3"/>
        <v>1502508.4696382682</v>
      </c>
      <c r="AF5" s="3">
        <f t="shared" si="3"/>
        <v>1502508.4696382682</v>
      </c>
      <c r="AG5" s="3">
        <f t="shared" si="3"/>
        <v>1502508.4696382682</v>
      </c>
      <c r="AH5" s="3">
        <f t="shared" si="3"/>
        <v>1502508.4696382682</v>
      </c>
      <c r="AI5" s="3">
        <f t="shared" si="3"/>
        <v>1502508.4696382682</v>
      </c>
      <c r="AJ5" s="3">
        <f t="shared" si="3"/>
        <v>1502508.4696382682</v>
      </c>
      <c r="AK5" s="3">
        <f t="shared" si="3"/>
        <v>1502508.4696382682</v>
      </c>
      <c r="AL5" s="3">
        <f t="shared" si="3"/>
        <v>1502508.4696382682</v>
      </c>
    </row>
    <row r="6" spans="1:39">
      <c r="C6" t="s">
        <v>142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554889.59104800003</v>
      </c>
      <c r="S6" s="3">
        <f t="shared" ref="S6:AL6" si="7">R6+S17</f>
        <v>554889.59104800003</v>
      </c>
      <c r="T6" s="3">
        <f t="shared" si="7"/>
        <v>554889.59104800003</v>
      </c>
      <c r="U6" s="3">
        <f t="shared" si="7"/>
        <v>1224629.4945246966</v>
      </c>
      <c r="V6" s="3">
        <f t="shared" si="7"/>
        <v>2856568.6784751397</v>
      </c>
      <c r="W6" s="3">
        <f t="shared" si="7"/>
        <v>3189739.4819518365</v>
      </c>
      <c r="X6" s="3">
        <f t="shared" si="7"/>
        <v>3189739.4819518365</v>
      </c>
      <c r="Y6" s="3">
        <f t="shared" si="7"/>
        <v>3189739.4819518365</v>
      </c>
      <c r="Z6" s="3">
        <f t="shared" si="7"/>
        <v>3189739.4819518365</v>
      </c>
      <c r="AA6" s="3">
        <f t="shared" si="7"/>
        <v>3189739.4819518365</v>
      </c>
      <c r="AB6" s="3">
        <f t="shared" si="7"/>
        <v>3189739.4819518365</v>
      </c>
      <c r="AC6" s="3">
        <f t="shared" si="7"/>
        <v>3189739.4819518365</v>
      </c>
      <c r="AD6" s="3">
        <f t="shared" si="7"/>
        <v>3189739.4819518365</v>
      </c>
      <c r="AE6" s="3">
        <f t="shared" si="7"/>
        <v>3189739.4819518365</v>
      </c>
      <c r="AF6" s="3">
        <f t="shared" si="7"/>
        <v>3189739.4819518365</v>
      </c>
      <c r="AG6" s="3">
        <f t="shared" si="7"/>
        <v>3189739.4819518365</v>
      </c>
      <c r="AH6" s="3">
        <f t="shared" si="7"/>
        <v>3189739.4819518365</v>
      </c>
      <c r="AI6" s="3">
        <f t="shared" si="7"/>
        <v>3189739.4819518365</v>
      </c>
      <c r="AJ6" s="3">
        <f t="shared" si="7"/>
        <v>3189739.4819518365</v>
      </c>
      <c r="AK6" s="3">
        <f t="shared" si="7"/>
        <v>3189739.4819518365</v>
      </c>
      <c r="AL6" s="3">
        <f t="shared" si="7"/>
        <v>3189739.4819518365</v>
      </c>
    </row>
    <row r="7" spans="1:39">
      <c r="C7" t="s">
        <v>149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447082.47473999998</v>
      </c>
      <c r="S7" s="3">
        <f t="shared" ref="S7" si="20">R7+S18</f>
        <v>447082.47473999998</v>
      </c>
      <c r="T7" s="3">
        <f t="shared" ref="T7" si="21">S7+T18</f>
        <v>447082.47473999998</v>
      </c>
      <c r="U7" s="3">
        <f t="shared" ref="U7" si="22">T7+U18</f>
        <v>447082.47473999998</v>
      </c>
      <c r="V7" s="3">
        <f t="shared" ref="V7" si="23">U7+V18</f>
        <v>447082.47473999998</v>
      </c>
      <c r="W7" s="3">
        <f t="shared" ref="W7" si="24">V7+W18</f>
        <v>447082.47473999998</v>
      </c>
      <c r="X7" s="3">
        <f t="shared" ref="X7" si="25">W7+X18</f>
        <v>447082.47473999998</v>
      </c>
      <c r="Y7" s="3">
        <f t="shared" ref="Y7" si="26">X7+Y18</f>
        <v>447082.47473999998</v>
      </c>
      <c r="Z7" s="3">
        <f t="shared" ref="Z7" si="27">Y7+Z18</f>
        <v>447082.47473999998</v>
      </c>
      <c r="AA7" s="3">
        <f t="shared" ref="AA7" si="28">Z7+AA18</f>
        <v>447082.47473999998</v>
      </c>
      <c r="AB7" s="3">
        <f t="shared" ref="AB7" si="29">AA7+AB18</f>
        <v>447082.47473999998</v>
      </c>
      <c r="AC7" s="3">
        <f t="shared" ref="AC7" si="30">AB7+AC18</f>
        <v>447082.47473999998</v>
      </c>
      <c r="AD7" s="3">
        <f t="shared" ref="AD7" si="31">AC7+AD18</f>
        <v>447082.47473999998</v>
      </c>
      <c r="AE7" s="3">
        <f t="shared" ref="AE7" si="32">AD7+AE18</f>
        <v>447082.47473999998</v>
      </c>
      <c r="AF7" s="3">
        <f t="shared" ref="AF7" si="33">AE7+AF18</f>
        <v>447082.47473999998</v>
      </c>
      <c r="AG7" s="3">
        <f t="shared" ref="AG7" si="34">AF7+AG18</f>
        <v>447082.47473999998</v>
      </c>
      <c r="AH7" s="3">
        <f t="shared" ref="AH7" si="35">AG7+AH18</f>
        <v>447082.47473999998</v>
      </c>
      <c r="AI7" s="3">
        <f t="shared" ref="AI7" si="36">AH7+AI18</f>
        <v>447082.47473999998</v>
      </c>
      <c r="AJ7" s="3">
        <f t="shared" ref="AJ7" si="37">AI7+AJ18</f>
        <v>447082.47473999998</v>
      </c>
      <c r="AK7" s="3">
        <f t="shared" ref="AK7" si="38">AJ7+AK18</f>
        <v>447082.47473999998</v>
      </c>
      <c r="AL7" s="3">
        <f t="shared" ref="AL7" si="39">AK7+AL18</f>
        <v>447082.47473999998</v>
      </c>
    </row>
    <row r="8" spans="1:39">
      <c r="C8" t="s">
        <v>139</v>
      </c>
      <c r="D8" s="93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432330.60685642064</v>
      </c>
      <c r="S8" s="3">
        <f t="shared" ref="S8:AL8" si="41">R8+S19</f>
        <v>432330.60685642064</v>
      </c>
      <c r="T8" s="3">
        <f t="shared" si="41"/>
        <v>612882.35325474816</v>
      </c>
      <c r="U8" s="3">
        <f t="shared" si="41"/>
        <v>673595.63585307577</v>
      </c>
      <c r="V8" s="3">
        <f t="shared" si="41"/>
        <v>734308.91845140338</v>
      </c>
      <c r="W8" s="3">
        <f t="shared" si="41"/>
        <v>795022.201049731</v>
      </c>
      <c r="X8" s="3">
        <f t="shared" si="41"/>
        <v>795022.201049731</v>
      </c>
      <c r="Y8" s="3">
        <f t="shared" si="41"/>
        <v>795022.201049731</v>
      </c>
      <c r="Z8" s="3">
        <f t="shared" si="41"/>
        <v>795022.201049731</v>
      </c>
      <c r="AA8" s="3">
        <f t="shared" si="41"/>
        <v>795022.201049731</v>
      </c>
      <c r="AB8" s="3">
        <f t="shared" si="41"/>
        <v>795022.201049731</v>
      </c>
      <c r="AC8" s="3">
        <f t="shared" si="41"/>
        <v>795022.201049731</v>
      </c>
      <c r="AD8" s="3">
        <f t="shared" si="41"/>
        <v>795022.201049731</v>
      </c>
      <c r="AE8" s="3">
        <f t="shared" si="41"/>
        <v>795022.201049731</v>
      </c>
      <c r="AF8" s="3">
        <f t="shared" si="41"/>
        <v>795022.201049731</v>
      </c>
      <c r="AG8" s="3">
        <f t="shared" si="41"/>
        <v>795022.201049731</v>
      </c>
      <c r="AH8" s="3">
        <f t="shared" si="41"/>
        <v>795022.201049731</v>
      </c>
      <c r="AI8" s="3">
        <f t="shared" si="41"/>
        <v>795022.201049731</v>
      </c>
      <c r="AJ8" s="3">
        <f t="shared" si="41"/>
        <v>795022.201049731</v>
      </c>
      <c r="AK8" s="3">
        <f t="shared" si="41"/>
        <v>795022.201049731</v>
      </c>
      <c r="AL8" s="3">
        <f t="shared" si="41"/>
        <v>795022.201049731</v>
      </c>
    </row>
    <row r="9" spans="1:39">
      <c r="C9" t="s">
        <v>151</v>
      </c>
      <c r="D9" s="94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32615.002710000008</v>
      </c>
      <c r="U9" s="3">
        <f t="shared" ref="U9" si="56">T9+U20</f>
        <v>32615.002710000008</v>
      </c>
      <c r="V9" s="3">
        <f t="shared" ref="V9" si="57">U9+V20</f>
        <v>32615.002710000008</v>
      </c>
      <c r="W9" s="3">
        <f t="shared" ref="W9" si="58">V9+W20</f>
        <v>32615.002710000008</v>
      </c>
      <c r="X9" s="3">
        <f t="shared" ref="X9" si="59">W9+X20</f>
        <v>32615.002710000008</v>
      </c>
      <c r="Y9" s="3">
        <f t="shared" ref="Y9" si="60">X9+Y20</f>
        <v>32615.002710000008</v>
      </c>
      <c r="Z9" s="3">
        <f t="shared" ref="Z9" si="61">Y9+Z20</f>
        <v>32615.002710000008</v>
      </c>
      <c r="AA9" s="3">
        <f t="shared" ref="AA9" si="62">Z9+AA20</f>
        <v>32615.002710000008</v>
      </c>
      <c r="AB9" s="3">
        <f t="shared" ref="AB9" si="63">AA9+AB20</f>
        <v>32615.002710000008</v>
      </c>
      <c r="AC9" s="3">
        <f t="shared" ref="AC9" si="64">AB9+AC20</f>
        <v>32615.002710000008</v>
      </c>
      <c r="AD9" s="3">
        <f t="shared" ref="AD9" si="65">AC9+AD20</f>
        <v>32615.002710000008</v>
      </c>
      <c r="AE9" s="3">
        <f t="shared" ref="AE9" si="66">AD9+AE20</f>
        <v>32615.002710000008</v>
      </c>
      <c r="AF9" s="3">
        <f t="shared" ref="AF9" si="67">AE9+AF20</f>
        <v>32615.002710000008</v>
      </c>
      <c r="AG9" s="3">
        <f t="shared" ref="AG9" si="68">AF9+AG20</f>
        <v>32615.002710000008</v>
      </c>
      <c r="AH9" s="3">
        <f t="shared" ref="AH9" si="69">AG9+AH20</f>
        <v>32615.002710000008</v>
      </c>
      <c r="AI9" s="3">
        <f t="shared" ref="AI9" si="70">AH9+AI20</f>
        <v>32615.002710000008</v>
      </c>
      <c r="AJ9" s="3">
        <f t="shared" ref="AJ9" si="71">AI9+AJ20</f>
        <v>32615.002710000008</v>
      </c>
      <c r="AK9" s="3">
        <f t="shared" ref="AK9" si="72">AJ9+AK20</f>
        <v>32615.002710000008</v>
      </c>
      <c r="AL9" s="3">
        <f t="shared" ref="AL9" si="73">AK9+AL20</f>
        <v>32615.002710000008</v>
      </c>
    </row>
    <row r="10" spans="1:39">
      <c r="C10" t="s">
        <v>19</v>
      </c>
      <c r="D10" s="94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256779.7581187748</v>
      </c>
      <c r="S10" s="3">
        <f t="shared" ref="S10:AL10" si="75">R10+S21</f>
        <v>369782.2322305069</v>
      </c>
      <c r="T10" s="3">
        <f t="shared" si="75"/>
        <v>482784.70634223899</v>
      </c>
      <c r="U10" s="3">
        <f t="shared" si="75"/>
        <v>3427078.582414133</v>
      </c>
      <c r="V10" s="3">
        <f t="shared" si="75"/>
        <v>3540797.1928805998</v>
      </c>
      <c r="W10" s="3">
        <f t="shared" si="75"/>
        <v>3654515.8033470665</v>
      </c>
      <c r="X10" s="3">
        <f t="shared" si="75"/>
        <v>3654515.8033470665</v>
      </c>
      <c r="Y10" s="3">
        <f t="shared" si="75"/>
        <v>3654515.8033470665</v>
      </c>
      <c r="Z10" s="3">
        <f t="shared" si="75"/>
        <v>3654515.8033470665</v>
      </c>
      <c r="AA10" s="3">
        <f t="shared" si="75"/>
        <v>3654515.8033470665</v>
      </c>
      <c r="AB10" s="3">
        <f t="shared" si="75"/>
        <v>3654515.8033470665</v>
      </c>
      <c r="AC10" s="3">
        <f t="shared" si="75"/>
        <v>3654515.8033470665</v>
      </c>
      <c r="AD10" s="3">
        <f t="shared" si="75"/>
        <v>3654515.8033470665</v>
      </c>
      <c r="AE10" s="3">
        <f t="shared" si="75"/>
        <v>3654515.8033470665</v>
      </c>
      <c r="AF10" s="3">
        <f t="shared" si="75"/>
        <v>3654515.8033470665</v>
      </c>
      <c r="AG10" s="3">
        <f t="shared" si="75"/>
        <v>3654515.8033470665</v>
      </c>
      <c r="AH10" s="3">
        <f t="shared" si="75"/>
        <v>3654515.8033470665</v>
      </c>
      <c r="AI10" s="3">
        <f t="shared" si="75"/>
        <v>3654515.8033470665</v>
      </c>
      <c r="AJ10" s="3">
        <f t="shared" si="75"/>
        <v>3654515.8033470665</v>
      </c>
      <c r="AK10" s="3">
        <f t="shared" si="75"/>
        <v>3654515.8033470665</v>
      </c>
      <c r="AL10" s="3">
        <f t="shared" si="75"/>
        <v>3654515.8033470665</v>
      </c>
    </row>
    <row r="11" spans="1:39">
      <c r="C11" s="93"/>
      <c r="D11" s="94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8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1984569.5024275421</v>
      </c>
      <c r="S12" s="5">
        <f t="shared" si="78"/>
        <v>2214568.2152296212</v>
      </c>
      <c r="T12" s="5">
        <f t="shared" si="78"/>
        <v>2625118.6744300276</v>
      </c>
      <c r="U12" s="5">
        <f t="shared" si="78"/>
        <v>6523331.1051446889</v>
      </c>
      <c r="V12" s="5">
        <f t="shared" si="78"/>
        <v>8553167.5507276673</v>
      </c>
      <c r="W12" s="5">
        <f t="shared" si="78"/>
        <v>9808623.8842170853</v>
      </c>
      <c r="X12" s="5">
        <f t="shared" si="78"/>
        <v>9808623.8842170853</v>
      </c>
      <c r="Y12" s="5">
        <f t="shared" si="78"/>
        <v>9808623.8842170853</v>
      </c>
      <c r="Z12" s="5">
        <f t="shared" si="78"/>
        <v>9808623.8842170853</v>
      </c>
      <c r="AA12" s="5">
        <f t="shared" si="78"/>
        <v>9808623.8842170853</v>
      </c>
      <c r="AB12" s="5">
        <f t="shared" si="78"/>
        <v>9808623.8842170853</v>
      </c>
      <c r="AC12" s="5">
        <f t="shared" si="78"/>
        <v>9808623.8842170853</v>
      </c>
      <c r="AD12" s="5">
        <f t="shared" si="78"/>
        <v>9808623.8842170853</v>
      </c>
      <c r="AE12" s="5">
        <f t="shared" si="78"/>
        <v>9808623.8842170853</v>
      </c>
      <c r="AF12" s="5">
        <f t="shared" si="78"/>
        <v>9808623.8842170853</v>
      </c>
      <c r="AG12" s="5">
        <f t="shared" si="78"/>
        <v>9808623.8842170853</v>
      </c>
      <c r="AH12" s="5">
        <f t="shared" si="78"/>
        <v>9808623.8842170853</v>
      </c>
      <c r="AI12" s="5">
        <f t="shared" si="78"/>
        <v>9808623.8842170853</v>
      </c>
      <c r="AJ12" s="5">
        <f t="shared" si="78"/>
        <v>9808623.8842170853</v>
      </c>
      <c r="AK12" s="5">
        <f t="shared" si="78"/>
        <v>9808623.8842170853</v>
      </c>
      <c r="AL12" s="5">
        <f t="shared" si="78"/>
        <v>9808623.8842170853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>
        <f>SUMIF('EIM - 2020 WA E Detail '!$C$4:$C$15,"Elec Distribution 360-373",'EIM - 2020 WA E Detail '!U$4:U$15)</f>
        <v>0</v>
      </c>
      <c r="F15" s="2">
        <f>SUMIF('EIM - 2020 WA E Detail '!$C$4:$C$15,"Elec Distribution 360-373",'EIM - 2020 WA E Detail '!V$4:V$15)</f>
        <v>0</v>
      </c>
      <c r="G15" s="2">
        <f>SUMIF('EIM - 2020 WA E Detail '!$C$4:$C$15,"Elec Distribution 360-373",'EIM - 2020 WA E Detail '!W$4:W$15)</f>
        <v>0</v>
      </c>
      <c r="H15" s="2">
        <f>SUMIF('EIM - 2020 WA E Detail '!$C$4:$C$15,"Elec Distribution 360-373",'EIM - 2020 WA E Detail '!X$4:X$15)</f>
        <v>0</v>
      </c>
      <c r="I15" s="2">
        <f>SUMIF('EIM - 2020 WA E Detail '!$C$4:$C$15,"Elec Distribution 360-373",'EIM - 2020 WA E Detail '!Y$4:Y$15)</f>
        <v>0</v>
      </c>
      <c r="J15" s="2">
        <f>SUMIF('EIM - 2020 WA E Detail '!$C$4:$C$15,"Elec Distribution 360-373",'EIM - 2020 WA E Detail '!Z$4:Z$15)</f>
        <v>0</v>
      </c>
      <c r="K15" s="2">
        <f>SUMIF('EIM - 2020 WA E Detail '!$C$4:$C$15,"Elec Distribution 360-373",'EIM - 2020 WA E Detail '!AA$4:AA$15)</f>
        <v>0</v>
      </c>
      <c r="L15" s="2">
        <f>SUMIF('EIM - 2020 WA E Detail '!$C$4:$C$15,"Elec Distribution 360-373",'EIM - 2020 WA E Detail '!AB$4:AB$15)</f>
        <v>0</v>
      </c>
      <c r="M15" s="2">
        <f>SUMIF('EIM - 2020 WA E Detail '!$C$4:$C$15,"Elec Distribution 360-373",'EIM - 2020 WA E Detail '!AC$4:AC$15)</f>
        <v>0</v>
      </c>
      <c r="N15" s="2">
        <f>SUMIF('EIM - 2020 WA E Detail '!$C$4:$C$15,"Elec Distribution 360-373",'EIM - 2020 WA E Detail '!AD$4:AD$15)</f>
        <v>0</v>
      </c>
      <c r="O15" s="2">
        <f>SUMIF('EIM - 2020 WA E Detail '!$C$4:$C$15,"Elec Distribution 360-373",'EIM - 2020 WA E Detail '!AE$4:AE$15)</f>
        <v>0</v>
      </c>
      <c r="P15" s="2">
        <f>SUMIF('EIM - 2020 WA E Detail '!$C$4:$C$15,"Elec Distribution 360-373",'EIM - 2020 WA E Detail '!AF$4:AF$15)</f>
        <v>0</v>
      </c>
      <c r="Q15" s="10">
        <f t="shared" ref="Q15" si="79">SUM(E15:P15)</f>
        <v>0</v>
      </c>
      <c r="R15" s="2">
        <f>SUMIF('EIM - 2021 WA E Detail '!$C$4:$C$14,"Elec Distribution 360-373",'EIM - 2021 WA E Detail '!U$4:U$14)</f>
        <v>0</v>
      </c>
      <c r="S15" s="2">
        <f>SUMIF('EIM - 2021 WA E Detail '!$C$4:$C$14,"Elec Distribution 360-373",'EIM - 2021 WA E Detail '!V$4:V$14)</f>
        <v>0</v>
      </c>
      <c r="T15" s="2">
        <f>SUMIF('EIM - 2021 WA E Detail '!$C$4:$C$14,"Elec Distribution 360-373",'EIM - 2021 WA E Detail '!W$4:W$14)</f>
        <v>0</v>
      </c>
      <c r="U15" s="2">
        <f>SUMIF('EIM - 2021 WA E Detail '!$C$4:$C$14,"Elec Distribution 360-373",'EIM - 2021 WA E Detail '!X$4:X$14)</f>
        <v>0</v>
      </c>
      <c r="V15" s="2">
        <f>SUMIF('EIM - 2021 WA E Detail '!$C$4:$C$14,"Elec Distribution 360-373",'EIM - 2021 WA E Detail '!Y$4:Y$14)</f>
        <v>0</v>
      </c>
      <c r="W15" s="2">
        <f>SUMIF('EIM - 2021 WA E Detail '!$C$4:$C$14,"Elec Distribution 360-373",'EIM - 2021 WA E Detail '!Z$4:Z$14)</f>
        <v>187140.45078018191</v>
      </c>
      <c r="X15" s="2">
        <f>SUMIF('EIM - 2021 WA E Detail '!$C$4:$C$14,"Elec Distribution 360-373",'EIM - 2021 WA E Detail '!AA$4:AA$14)</f>
        <v>0</v>
      </c>
      <c r="Y15" s="2">
        <f>SUMIF('EIM - 2021 WA E Detail '!$C$4:$C$14,"Elec Distribution 360-373",'EIM - 2021 WA E Detail '!AB$4:AB$14)</f>
        <v>0</v>
      </c>
      <c r="Z15" s="2">
        <f>SUMIF('EIM - 2021 WA E Detail '!$C$4:$C$14,"Elec Distribution 360-373",'EIM - 2021 WA E Detail '!AC$4:AC$14)</f>
        <v>0</v>
      </c>
      <c r="AA15" s="2">
        <f>SUMIF('EIM - 2021 WA E Detail '!$C$4:$C$14,"Elec Distribution 360-373",'EIM - 2021 WA E Detail '!AD$4:AD$14)</f>
        <v>0</v>
      </c>
      <c r="AB15" s="2">
        <f>SUMIF('EIM - 2021 WA E Detail '!$C$4:$C$14,"Elec Distribution 360-373",'EIM - 2021 WA E Detail '!AE$4:AE$14)</f>
        <v>0</v>
      </c>
      <c r="AC15" s="2">
        <f>SUMIF('EIM - 2021 WA E Detail '!$C$4:$C$14,"Elec Distribution 360-373",'EIM - 2021 WA E Detail 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>
        <f>SUMIF('EIM - 2020 WA E Detail '!$C$4:$C$15,"Elec Transmission 350-359",'EIM - 2020 WA E Detail '!U$4:U$15)</f>
        <v>0</v>
      </c>
      <c r="F16" s="2">
        <f>SUMIF('EIM - 2020 WA E Detail '!$C$4:$C$15,"Elec Transmission 350-359",'EIM - 2020 WA E Detail '!V$4:V$15)</f>
        <v>0</v>
      </c>
      <c r="G16" s="2">
        <f>SUMIF('EIM - 2020 WA E Detail '!$C$4:$C$15,"Elec Transmission 350-359",'EIM - 2020 WA E Detail '!W$4:W$15)</f>
        <v>0</v>
      </c>
      <c r="H16" s="2">
        <f>SUMIF('EIM - 2020 WA E Detail '!$C$4:$C$15,"Elec Transmission 350-359",'EIM - 2020 WA E Detail '!X$4:X$15)</f>
        <v>0</v>
      </c>
      <c r="I16" s="2">
        <f>SUMIF('EIM - 2020 WA E Detail '!$C$4:$C$15,"Elec Transmission 350-359",'EIM - 2020 WA E Detail '!Y$4:Y$15)</f>
        <v>0</v>
      </c>
      <c r="J16" s="2">
        <f>SUMIF('EIM - 2020 WA E Detail '!$C$4:$C$15,"Elec Transmission 350-359",'EIM - 2020 WA E Detail '!Z$4:Z$15)</f>
        <v>0</v>
      </c>
      <c r="K16" s="2">
        <f>SUMIF('EIM - 2020 WA E Detail '!$C$4:$C$15,"Elec Transmission 350-359",'EIM - 2020 WA E Detail '!AA$4:AA$15)</f>
        <v>0</v>
      </c>
      <c r="L16" s="2">
        <f>SUMIF('EIM - 2020 WA E Detail '!$C$4:$C$15,"Elec Transmission 350-359",'EIM - 2020 WA E Detail '!AB$4:AB$15)</f>
        <v>100165.123716</v>
      </c>
      <c r="M16" s="2">
        <f>SUMIF('EIM - 2020 WA E Detail '!$C$4:$C$15,"Elec Transmission 350-359",'EIM - 2020 WA E Detail '!AC$4:AC$15)</f>
        <v>0</v>
      </c>
      <c r="N16" s="2">
        <f>SUMIF('EIM - 2020 WA E Detail '!$C$4:$C$15,"Elec Transmission 350-359",'EIM - 2020 WA E Detail '!AD$4:AD$15)</f>
        <v>39057.250644</v>
      </c>
      <c r="O16" s="2">
        <f>SUMIF('EIM - 2020 WA E Detail '!$C$4:$C$15,"Elec Transmission 350-359",'EIM - 2020 WA E Detail '!AE$4:AE$15)</f>
        <v>889.211952</v>
      </c>
      <c r="P16" s="2">
        <f>SUMIF('EIM - 2020 WA E Detail '!$C$4:$C$15,"Elec Transmission 350-359",'EIM - 2020 WA E Detail '!AF$4:AF$15)</f>
        <v>3764.2439520000003</v>
      </c>
      <c r="Q16" s="10">
        <f t="shared" ref="Q16:Q21" si="80">SUM(E16:P16)</f>
        <v>143875.83026400002</v>
      </c>
      <c r="R16" s="2">
        <f>SUMIF('EIM - 2021 WA E Detail '!$C$4:$C$14,"Elec Transmission 350-359",'EIM - 2021 WA E Detail '!U$4:U$14)</f>
        <v>116996.23869034676</v>
      </c>
      <c r="S16" s="2">
        <f>SUMIF('EIM - 2021 WA E Detail '!$C$4:$C$14,"Elec Transmission 350-359",'EIM - 2021 WA E Detail '!V$4:V$14)</f>
        <v>116996.23869034676</v>
      </c>
      <c r="T16" s="2">
        <f>SUMIF('EIM - 2021 WA E Detail '!$C$4:$C$14,"Elec Transmission 350-359",'EIM - 2021 WA E Detail '!W$4:W$14)</f>
        <v>116996.23869034676</v>
      </c>
      <c r="U16" s="2">
        <f>SUMIF('EIM - 2021 WA E Detail '!$C$4:$C$14,"Elec Transmission 350-359",'EIM - 2021 WA E Detail '!X$4:X$14)</f>
        <v>223465.36856774264</v>
      </c>
      <c r="V16" s="2">
        <f>SUMIF('EIM - 2021 WA E Detail '!$C$4:$C$14,"Elec Transmission 350-359",'EIM - 2021 WA E Detail '!Y$4:Y$14)</f>
        <v>223465.36856774264</v>
      </c>
      <c r="W16" s="2">
        <f>SUMIF('EIM - 2021 WA E Detail '!$C$4:$C$14,"Elec Transmission 350-359",'EIM - 2021 WA E Detail '!Z$4:Z$14)</f>
        <v>560713.18616774259</v>
      </c>
      <c r="X16" s="2">
        <f>SUMIF('EIM - 2021 WA E Detail '!$C$4:$C$14,"Elec Transmission 350-359",'EIM - 2021 WA E Detail '!AA$4:AA$14)</f>
        <v>0</v>
      </c>
      <c r="Y16" s="2">
        <f>SUMIF('EIM - 2021 WA E Detail '!$C$4:$C$14,"Elec Transmission 350-359",'EIM - 2021 WA E Detail '!AB$4:AB$14)</f>
        <v>0</v>
      </c>
      <c r="Z16" s="2">
        <f>SUMIF('EIM - 2021 WA E Detail '!$C$4:$C$14,"Elec Transmission 350-359",'EIM - 2021 WA E Detail '!AC$4:AC$14)</f>
        <v>0</v>
      </c>
      <c r="AA16" s="2">
        <f>SUMIF('EIM - 2021 WA E Detail '!$C$4:$C$14,"Elec Transmission 350-359",'EIM - 2021 WA E Detail '!AD$4:AD$14)</f>
        <v>0</v>
      </c>
      <c r="AB16" s="2">
        <f>SUMIF('EIM - 2021 WA E Detail '!$C$4:$C$14,"Elec Transmission 350-359",'EIM - 2021 WA E Detail '!AE$4:AE$14)</f>
        <v>0</v>
      </c>
      <c r="AC16" s="2">
        <f>SUMIF('EIM - 2021 WA E Detail '!$C$4:$C$14,"Elec Transmission 350-359",'EIM - 2021 WA E Detail 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142</v>
      </c>
      <c r="E17" s="2">
        <f>SUMIF('EIM - 2020 WA E Detail '!$C$4:$C$15,"Hydro 331-336",'EIM - 2020 WA E Detail '!U$4:U$15)</f>
        <v>0</v>
      </c>
      <c r="F17" s="2">
        <f>SUMIF('EIM - 2020 WA E Detail '!$C$4:$C$15,"Hydro 331-336",'EIM - 2020 WA E Detail '!V$4:V$15)</f>
        <v>0</v>
      </c>
      <c r="G17" s="2">
        <f>SUMIF('EIM - 2020 WA E Detail '!$C$4:$C$15,"Hydro 331-336",'EIM - 2020 WA E Detail '!W$4:W$15)</f>
        <v>0</v>
      </c>
      <c r="H17" s="2">
        <f>SUMIF('EIM - 2020 WA E Detail '!$C$4:$C$15,"Hydro 331-336",'EIM - 2020 WA E Detail '!X$4:X$15)</f>
        <v>0</v>
      </c>
      <c r="I17" s="2">
        <f>SUMIF('EIM - 2020 WA E Detail '!$C$4:$C$15,"Hydro 331-336",'EIM - 2020 WA E Detail '!Y$4:Y$15)</f>
        <v>0</v>
      </c>
      <c r="J17" s="2">
        <f>SUMIF('EIM - 2020 WA E Detail '!$C$4:$C$15,"Hydro 331-336",'EIM - 2020 WA E Detail '!Z$4:Z$15)</f>
        <v>309000.98921999999</v>
      </c>
      <c r="K17" s="2">
        <f>SUMIF('EIM - 2020 WA E Detail '!$C$4:$C$15,"Hydro 331-336",'EIM - 2020 WA E Detail '!AA$4:AA$15)</f>
        <v>34588.453187999999</v>
      </c>
      <c r="L17" s="2">
        <f>SUMIF('EIM - 2020 WA E Detail '!$C$4:$C$15,"Hydro 331-336",'EIM - 2020 WA E Detail '!AB$4:AB$15)</f>
        <v>3702.496404</v>
      </c>
      <c r="M17" s="2">
        <f>SUMIF('EIM - 2020 WA E Detail '!$C$4:$C$15,"Hydro 331-336",'EIM - 2020 WA E Detail '!AC$4:AC$15)</f>
        <v>158988.08808000002</v>
      </c>
      <c r="N17" s="2">
        <f>SUMIF('EIM - 2020 WA E Detail '!$C$4:$C$15,"Hydro 331-336",'EIM - 2020 WA E Detail '!AD$4:AD$15)</f>
        <v>13763.388636000003</v>
      </c>
      <c r="O17" s="2">
        <f>SUMIF('EIM - 2020 WA E Detail '!$C$4:$C$15,"Hydro 331-336",'EIM - 2020 WA E Detail '!AE$4:AE$15)</f>
        <v>9428.8052880000014</v>
      </c>
      <c r="P17" s="2">
        <f>SUMIF('EIM - 2020 WA E Detail '!$C$4:$C$15,"Hydro 331-336",'EIM - 2020 WA E Detail '!AF$4:AF$15)</f>
        <v>25417.370232000001</v>
      </c>
      <c r="Q17" s="10">
        <f t="shared" si="80"/>
        <v>554889.59104800003</v>
      </c>
      <c r="R17" s="2">
        <f>SUMIF('EIM - 2021 WA E Detail '!$C$4:$C$14,"Hydro 331-336",'EIM - 2021 WA E Detail '!U$4:U$14)</f>
        <v>0</v>
      </c>
      <c r="S17" s="2">
        <f>SUMIF('EIM - 2021 WA E Detail '!$C$4:$C$14,"Hydro 331-336",'EIM - 2021 WA E Detail '!V$4:V$14)</f>
        <v>0</v>
      </c>
      <c r="T17" s="2">
        <f>SUMIF('EIM - 2021 WA E Detail '!$C$4:$C$14,"Hydro 331-336",'EIM - 2021 WA E Detail '!W$4:W$14)</f>
        <v>0</v>
      </c>
      <c r="U17" s="2">
        <f>SUMIF('EIM - 2021 WA E Detail '!$C$4:$C$14,"Hydro 331-336",'EIM - 2021 WA E Detail '!X$4:X$14)</f>
        <v>669739.90347669658</v>
      </c>
      <c r="V17" s="2">
        <f>SUMIF('EIM - 2021 WA E Detail '!$C$4:$C$14,"Hydro 331-336",'EIM - 2021 WA E Detail '!Y$4:Y$14)</f>
        <v>1631939.1839504428</v>
      </c>
      <c r="W17" s="2">
        <f>SUMIF('EIM - 2021 WA E Detail '!$C$4:$C$14,"Hydro 331-336",'EIM - 2021 WA E Detail '!Z$4:Z$14)</f>
        <v>333170.8034766966</v>
      </c>
      <c r="X17" s="2">
        <f>SUMIF('EIM - 2021 WA E Detail '!$C$4:$C$14,"Hydro 331-336",'EIM - 2021 WA E Detail '!AA$4:AA$14)</f>
        <v>0</v>
      </c>
      <c r="Y17" s="2">
        <f>SUMIF('EIM - 2021 WA E Detail '!$C$4:$C$14,"Hydro 331-336",'EIM - 2021 WA E Detail '!AB$4:AB$14)</f>
        <v>0</v>
      </c>
      <c r="Z17" s="2">
        <f>SUMIF('EIM - 2021 WA E Detail '!$C$4:$C$14,"Hydro 331-336",'EIM - 2021 WA E Detail '!AC$4:AC$14)</f>
        <v>0</v>
      </c>
      <c r="AA17" s="2">
        <f>SUMIF('EIM - 2021 WA E Detail '!$C$4:$C$14,"Hydro 331-336",'EIM - 2021 WA E Detail '!AD$4:AD$14)</f>
        <v>0</v>
      </c>
      <c r="AB17" s="2">
        <f>SUMIF('EIM - 2021 WA E Detail '!$C$4:$C$14,"Hydro 331-336",'EIM - 2021 WA E Detail '!AE$4:AE$14)</f>
        <v>0</v>
      </c>
      <c r="AC17" s="2">
        <f>SUMIF('EIM - 2021 WA E Detail '!$C$4:$C$14,"Hydro 331-336",'EIM - 2021 WA E Detail 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149</v>
      </c>
      <c r="E18" s="2">
        <f>SUMIF('EIM - 2020 WA E Detail '!$C$4:$C$15,"Other Elec Production / Turbines 340-346",'EIM - 2020 WA E Detail '!U$4:U$15)</f>
        <v>0</v>
      </c>
      <c r="F18" s="2">
        <f>SUMIF('EIM - 2020 WA E Detail '!$C$4:$C$15,"Other Elec Production / Turbines 340-346",'EIM - 2020 WA E Detail '!V$4:V$15)</f>
        <v>0</v>
      </c>
      <c r="G18" s="2">
        <f>SUMIF('EIM - 2020 WA E Detail '!$C$4:$C$15,"Other Elec Production / Turbines 340-346",'EIM - 2020 WA E Detail '!W$4:W$15)</f>
        <v>0</v>
      </c>
      <c r="H18" s="2">
        <f>SUMIF('EIM - 2020 WA E Detail '!$C$4:$C$15,"Other Elec Production / Turbines 340-346",'EIM - 2020 WA E Detail '!X$4:X$15)</f>
        <v>0</v>
      </c>
      <c r="I18" s="2">
        <f>SUMIF('EIM - 2020 WA E Detail '!$C$4:$C$15,"Other Elec Production / Turbines 340-346",'EIM - 2020 WA E Detail '!Y$4:Y$15)</f>
        <v>0</v>
      </c>
      <c r="J18" s="2">
        <f>SUMIF('EIM - 2020 WA E Detail '!$C$4:$C$15,"Other Elec Production / Turbines 340-346",'EIM - 2020 WA E Detail '!Z$4:Z$15)</f>
        <v>0</v>
      </c>
      <c r="K18" s="2">
        <f>SUMIF('EIM - 2020 WA E Detail '!$C$4:$C$15,"Other Elec Production / Turbines 340-346",'EIM - 2020 WA E Detail '!AA$4:AA$15)</f>
        <v>0</v>
      </c>
      <c r="L18" s="2">
        <f>SUMIF('EIM - 2020 WA E Detail '!$C$4:$C$15,"Other Elec Production / Turbines 340-346",'EIM - 2020 WA E Detail '!AB$4:AB$15)</f>
        <v>0</v>
      </c>
      <c r="M18" s="2">
        <f>SUMIF('EIM - 2020 WA E Detail '!$C$4:$C$15,"Other Elec Production / Turbines 340-346",'EIM - 2020 WA E Detail '!AC$4:AC$15)</f>
        <v>0</v>
      </c>
      <c r="N18" s="2">
        <f>SUMIF('EIM - 2020 WA E Detail '!$C$4:$C$15,"Other Elec Production / Turbines 340-346",'EIM - 2020 WA E Detail '!AD$4:AD$15)</f>
        <v>0</v>
      </c>
      <c r="O18" s="2">
        <f>SUMIF('EIM - 2020 WA E Detail '!$C$4:$C$15,"Other Elec Production / Turbines 340-346",'EIM - 2020 WA E Detail '!AE$4:AE$15)</f>
        <v>0</v>
      </c>
      <c r="P18" s="2">
        <f>SUMIF('EIM - 2020 WA E Detail '!$C$4:$C$15,"Other Elec Production / Turbines 340-346",'EIM - 2020 WA E Detail '!AF$4:AF$15)</f>
        <v>447082.47473999998</v>
      </c>
      <c r="Q18" s="10">
        <f t="shared" si="80"/>
        <v>447082.47473999998</v>
      </c>
      <c r="R18" s="2">
        <f>SUMIF('EIM - 2021 WA E Detail '!$C$4:$C$14,"Other Elec Production / Turbines 340-346",'EIM - 2021 WA E Detail '!U$4:U$14)</f>
        <v>0</v>
      </c>
      <c r="S18" s="2">
        <f>SUMIF('EIM - 2021 WA E Detail '!$C$4:$C$14,"Other Elec Production / Turbines 340-346",'EIM - 2021 WA E Detail '!V$4:V$14)</f>
        <v>0</v>
      </c>
      <c r="T18" s="2">
        <f>SUMIF('EIM - 2021 WA E Detail '!$C$4:$C$14,"Other Elec Production / Turbines 340-346",'EIM - 2021 WA E Detail '!W$4:W$14)</f>
        <v>0</v>
      </c>
      <c r="U18" s="2">
        <f>SUMIF('EIM - 2021 WA E Detail '!$C$4:$C$14,"Other Elec Production / Turbines 340-346",'EIM - 2021 WA E Detail '!X$4:X$14)</f>
        <v>0</v>
      </c>
      <c r="V18" s="2">
        <f>SUMIF('EIM - 2021 WA E Detail '!$C$4:$C$14,"Other Elec Production / Turbines 340-346",'EIM - 2021 WA E Detail '!Y$4:Y$14)</f>
        <v>0</v>
      </c>
      <c r="W18" s="2">
        <f>SUMIF('EIM - 2021 WA E Detail '!$C$4:$C$14,"Other Elec Production / Turbines 340-346",'EIM - 2021 WA E Detail '!Z$4:Z$14)</f>
        <v>0</v>
      </c>
      <c r="X18" s="2">
        <f>SUMIF('EIM - 2021 WA E Detail '!$C$4:$C$14,"Other Elec Production / Turbines 340-346",'EIM - 2021 WA E Detail '!AA$4:AA$14)</f>
        <v>0</v>
      </c>
      <c r="Y18" s="2">
        <f>SUMIF('EIM - 2021 WA E Detail '!$C$4:$C$14,"Other Elec Production / Turbines 340-346",'EIM - 2021 WA E Detail '!AB$4:AB$14)</f>
        <v>0</v>
      </c>
      <c r="Z18" s="2">
        <f>SUMIF('EIM - 2021 WA E Detail '!$C$4:$C$14,"Other Elec Production / Turbines 340-346",'EIM - 2021 WA E Detail '!AC$4:AC$14)</f>
        <v>0</v>
      </c>
      <c r="AA18" s="2">
        <f>SUMIF('EIM - 2021 WA E Detail '!$C$4:$C$14,"Other Elec Production / Turbines 340-346",'EIM - 2021 WA E Detail '!AD$4:AD$14)</f>
        <v>0</v>
      </c>
      <c r="AB18" s="2">
        <f>SUMIF('EIM - 2021 WA E Detail '!$C$4:$C$14,"Other Elec Production / Turbines 340-346",'EIM - 2021 WA E Detail '!AE$4:AE$14)</f>
        <v>0</v>
      </c>
      <c r="AC18" s="2">
        <f>SUMIF('EIM - 2021 WA E Detail '!$C$4:$C$14,"Other Elec Production / Turbines 340-346",'EIM - 2021 WA E Detail '!AF$4:AF$14)</f>
        <v>0</v>
      </c>
      <c r="AD18" s="2">
        <f>SUMIF('EIM - 2021 WA E Detail '!$C$4:$C$14,"Other Elec Production / Turbines 340-346",'EIM - 2021 WA E Detail '!AG$4:AG$14)</f>
        <v>0</v>
      </c>
      <c r="AE18" s="2">
        <f>SUMIF('EIM - 2021 WA E Detail '!$C$4:$C$14,"Other Elec Production / Turbines 340-346",'EIM - 2021 WA E Detail '!AH$4:AH$14)</f>
        <v>0</v>
      </c>
      <c r="AF18" s="2">
        <f>SUMIF('EIM - 2021 WA E Detail '!$C$4:$C$14,"Other Elec Production / Turbines 340-346",'EIM - 2021 WA E Detail '!AI$4:AI$14)</f>
        <v>0</v>
      </c>
      <c r="AG18" s="2">
        <f>SUMIF('EIM - 2021 WA E Detail '!$C$4:$C$14,"Other Elec Production / Turbines 340-346",'EIM - 2021 WA E Detail '!AJ$4:AJ$14)</f>
        <v>0</v>
      </c>
      <c r="AH18" s="2">
        <f>SUMIF('EIM - 2021 WA E Detail '!$C$4:$C$14,"Other Elec Production / Turbines 340-346",'EIM - 2021 WA E Detail '!AK$4:AK$14)</f>
        <v>0</v>
      </c>
      <c r="AI18" s="2">
        <f>SUMIF('EIM - 2021 WA E Detail '!$C$4:$C$14,"Other Elec Production / Turbines 340-346",'EIM - 2021 WA E Detail '!AL$4:AL$14)</f>
        <v>0</v>
      </c>
      <c r="AJ18" s="2">
        <f>SUMIF('EIM - 2021 WA E Detail '!$C$4:$C$14,"Other Elec Production / Turbines 340-346",'EIM - 2021 WA E Detail '!AM$4:AM$14)</f>
        <v>0</v>
      </c>
      <c r="AK18" s="2">
        <f>SUMIF('EIM - 2021 WA E Detail '!$C$4:$C$14,"Other Elec Production / Turbines 340-346",'EIM - 2021 WA E Detail '!AN$4:AN$14)</f>
        <v>0</v>
      </c>
      <c r="AL18" s="2">
        <f>SUMIF('EIM - 2021 WA E Detail '!$C$4:$C$14,"Other Elec Production / Turbines 340-346",'EIM - 2021 WA E Detail '!AO$4:AO$14)</f>
        <v>0</v>
      </c>
    </row>
    <row r="19" spans="1:38">
      <c r="C19" t="s">
        <v>139</v>
      </c>
      <c r="E19" s="2">
        <f>SUMIF('EIM - 2020 WA E Detail '!$C$4:$C$15,"General 389 / 393-395 / 397-398",'EIM - 2020 WA E Detail '!U$4:U$15)</f>
        <v>0</v>
      </c>
      <c r="F19" s="2">
        <f>SUMIF('EIM - 2020 WA E Detail '!$C$4:$C$15,"General 389 / 393-395 / 397-398",'EIM - 2020 WA E Detail '!V$4:V$15)</f>
        <v>0</v>
      </c>
      <c r="G19" s="2">
        <f>SUMIF('EIM - 2020 WA E Detail '!$C$4:$C$15,"General 389 / 393-395 / 397-398",'EIM - 2020 WA E Detail '!W$4:W$15)</f>
        <v>0</v>
      </c>
      <c r="H19" s="2">
        <f>SUMIF('EIM - 2020 WA E Detail '!$C$4:$C$15,"General 389 / 393-395 / 397-398",'EIM - 2020 WA E Detail '!X$4:X$15)</f>
        <v>0</v>
      </c>
      <c r="I19" s="2">
        <f>SUMIF('EIM - 2020 WA E Detail '!$C$4:$C$15,"General 389 / 393-395 / 397-398",'EIM - 2020 WA E Detail '!Y$4:Y$15)</f>
        <v>0</v>
      </c>
      <c r="J19" s="2">
        <f>SUMIF('EIM - 2020 WA E Detail '!$C$4:$C$15,"General 389 / 393-395 / 397-398",'EIM - 2020 WA E Detail '!Z$4:Z$15)</f>
        <v>0</v>
      </c>
      <c r="K19" s="2">
        <f>SUMIF('EIM - 2020 WA E Detail '!$C$4:$C$15,"General 389 / 393-395 / 397-398",'EIM - 2020 WA E Detail '!AA$4:AA$15)</f>
        <v>27392.810719199999</v>
      </c>
      <c r="L19" s="2">
        <f>SUMIF('EIM - 2020 WA E Detail '!$C$4:$C$15,"General 389 / 393-395 / 397-398",'EIM - 2020 WA E Detail '!AB$4:AB$15)</f>
        <v>133028.790843</v>
      </c>
      <c r="M19" s="2">
        <f>SUMIF('EIM - 2020 WA E Detail '!$C$4:$C$15,"General 389 / 393-395 / 397-398",'EIM - 2020 WA E Detail '!AC$4:AC$15)</f>
        <v>36557.254958058846</v>
      </c>
      <c r="N19" s="2">
        <f>SUMIF('EIM - 2020 WA E Detail '!$C$4:$C$15,"General 389 / 393-395 / 397-398",'EIM - 2020 WA E Detail '!AD$4:AD$15)</f>
        <v>214605.87277506635</v>
      </c>
      <c r="O19" s="2">
        <f>SUMIF('EIM - 2020 WA E Detail '!$C$4:$C$15,"General 389 / 393-395 / 397-398",'EIM - 2020 WA E Detail '!AE$4:AE$15)</f>
        <v>12956.608926443159</v>
      </c>
      <c r="P19" s="2">
        <f>SUMIF('EIM - 2020 WA E Detail '!$C$4:$C$15,"General 389 / 393-395 / 397-398",'EIM - 2020 WA E Detail '!AF$4:AF$15)</f>
        <v>7789.2686346522296</v>
      </c>
      <c r="Q19" s="10">
        <f t="shared" si="80"/>
        <v>432330.60685642064</v>
      </c>
      <c r="R19" s="2">
        <f>SUMIF('EIM - 2021 WA E Detail '!$C$4:$C$14,"Facilities 390-391",'EIM - 2021 WA E Detail '!U$4:U$14)</f>
        <v>0</v>
      </c>
      <c r="S19" s="2">
        <f>SUMIF('EIM - 2021 WA E Detail '!$C$4:$C$14,"Facilities 390-391",'EIM - 2021 WA E Detail '!V$4:V$14)</f>
        <v>0</v>
      </c>
      <c r="T19" s="2">
        <f>SUMIF('EIM - 2021 WA E Detail '!$C$4:$C$14,"Facilities 390-391",'EIM - 2021 WA E Detail '!W$4:W$14)</f>
        <v>180551.74639832755</v>
      </c>
      <c r="U19" s="2">
        <f>SUMIF('EIM - 2021 WA E Detail '!$C$4:$C$14,"Facilities 390-391",'EIM - 2021 WA E Detail '!X$4:X$14)</f>
        <v>60713.282598327562</v>
      </c>
      <c r="V19" s="2">
        <f>SUMIF('EIM - 2021 WA E Detail '!$C$4:$C$14,"Facilities 390-391",'EIM - 2021 WA E Detail '!Y$4:Y$14)</f>
        <v>60713.282598327562</v>
      </c>
      <c r="W19" s="2">
        <f>SUMIF('EIM - 2021 WA E Detail '!$C$4:$C$14,"Facilities 390-391",'EIM - 2021 WA E Detail '!Z$4:Z$14)</f>
        <v>60713.282598327562</v>
      </c>
      <c r="X19" s="2">
        <f>SUMIF('EIM - 2021 WA E Detail '!$C$4:$C$14,"Facilities 390-391",'EIM - 2021 WA E Detail '!AA$4:AA$14)</f>
        <v>0</v>
      </c>
      <c r="Y19" s="2">
        <f>SUMIF('EIM - 2021 WA E Detail '!$C$4:$C$14,"Facilities 390-391",'EIM - 2021 WA E Detail '!AB$4:AB$14)</f>
        <v>0</v>
      </c>
      <c r="Z19" s="2">
        <f>SUMIF('EIM - 2021 WA E Detail '!$C$4:$C$14,"Facilities 390-391",'EIM - 2021 WA E Detail '!AC$4:AC$14)</f>
        <v>0</v>
      </c>
      <c r="AA19" s="2">
        <f>SUMIF('EIM - 2021 WA E Detail '!$C$4:$C$14,"Facilities 390-391",'EIM - 2021 WA E Detail '!AD$4:AD$14)</f>
        <v>0</v>
      </c>
      <c r="AB19" s="2">
        <f>SUMIF('EIM - 2021 WA E Detail '!$C$4:$C$14,"Facilities 390-391",'EIM - 2021 WA E Detail '!AE$4:AE$14)</f>
        <v>0</v>
      </c>
      <c r="AC19" s="2">
        <f>SUMIF('EIM - 2021 WA E Detail '!$C$4:$C$14,"Facilities 390-391",'EIM - 2021 WA E Detail 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151</v>
      </c>
      <c r="E20" s="2">
        <f>SUMIF('EIM - 2020 WA E Detail '!$C$4:$C$15,"General - Hardware",'EIM - 2020 WA E Detail '!U$4:U$15)</f>
        <v>53862.245801100005</v>
      </c>
      <c r="F20" s="2">
        <f>SUMIF('EIM - 2020 WA E Detail '!$C$4:$C$15,"General - Hardware",'EIM - 2020 WA E Detail '!V$4:V$15)</f>
        <v>8159.0989872</v>
      </c>
      <c r="G20" s="2">
        <f>SUMIF('EIM - 2020 WA E Detail '!$C$4:$C$15,"General - Hardware",'EIM - 2020 WA E Detail '!W$4:W$15)</f>
        <v>2370.6019503000002</v>
      </c>
      <c r="H20" s="2">
        <f>SUMIF('EIM - 2020 WA E Detail '!$C$4:$C$15,"General - Hardware",'EIM - 2020 WA E Detail '!X$4:X$15)</f>
        <v>895.29182220000007</v>
      </c>
      <c r="I20" s="2">
        <f>SUMIF('EIM - 2020 WA E Detail '!$C$4:$C$15,"General - Hardware",'EIM - 2020 WA E Detail '!Y$4:Y$15)</f>
        <v>0</v>
      </c>
      <c r="J20" s="2">
        <f>SUMIF('EIM - 2020 WA E Detail '!$C$4:$C$15,"General - Hardware",'EIM - 2020 WA E Detail '!Z$4:Z$15)</f>
        <v>0</v>
      </c>
      <c r="K20" s="2">
        <f>SUMIF('EIM - 2020 WA E Detail '!$C$4:$C$15,"General - Hardware",'EIM - 2020 WA E Detail '!AA$4:AA$15)</f>
        <v>363.95489670000001</v>
      </c>
      <c r="L20" s="2">
        <f>SUMIF('EIM - 2020 WA E Detail '!$C$4:$C$15,"General - Hardware",'EIM - 2020 WA E Detail '!AB$4:AB$15)</f>
        <v>-33036.190747499997</v>
      </c>
      <c r="M20" s="2">
        <f>SUMIF('EIM - 2020 WA E Detail '!$C$4:$C$15,"General - Hardware",'EIM - 2020 WA E Detail '!AC$4:AC$15)</f>
        <v>0</v>
      </c>
      <c r="N20" s="2">
        <f>SUMIF('EIM - 2020 WA E Detail '!$C$4:$C$15,"General - Hardware",'EIM - 2020 WA E Detail '!AD$4:AD$15)</f>
        <v>0</v>
      </c>
      <c r="O20" s="2">
        <f>SUMIF('EIM - 2020 WA E Detail '!$C$4:$C$15,"General - Hardware",'EIM - 2020 WA E Detail '!AE$4:AE$15)</f>
        <v>0</v>
      </c>
      <c r="P20" s="2">
        <f>SUMIF('EIM - 2020 WA E Detail '!$C$4:$C$15,"General - Hardware",'EIM - 2020 WA E Detail '!AF$4:AF$15)</f>
        <v>0</v>
      </c>
      <c r="Q20" s="10">
        <f t="shared" si="80"/>
        <v>32615.002710000008</v>
      </c>
      <c r="R20" s="2">
        <f>SUMIF('EIM - 2021 WA E Detail '!$C$4:$C$14,"General - Hardware",'EIM - 2021 WA E Detail '!U$4:U$14)</f>
        <v>0</v>
      </c>
      <c r="S20" s="2">
        <f>SUMIF('EIM - 2021 WA E Detail '!$C$4:$C$14,"General - Hardware",'EIM - 2021 WA E Detail '!V$4:V$14)</f>
        <v>0</v>
      </c>
      <c r="T20" s="2">
        <f>SUMIF('EIM - 2021 WA E Detail '!$C$4:$C$14,"General - Hardware",'EIM - 2021 WA E Detail '!W$4:W$14)</f>
        <v>0</v>
      </c>
      <c r="U20" s="2">
        <f>SUMIF('EIM - 2021 WA E Detail '!$C$4:$C$14,"General - Hardware",'EIM - 2021 WA E Detail '!X$4:X$14)</f>
        <v>0</v>
      </c>
      <c r="V20" s="2">
        <f>SUMIF('EIM - 2021 WA E Detail '!$C$4:$C$14,"General - Hardware",'EIM - 2021 WA E Detail '!Y$4:Y$14)</f>
        <v>0</v>
      </c>
      <c r="W20" s="2">
        <f>SUMIF('EIM - 2021 WA E Detail '!$C$4:$C$14,"General - Hardware",'EIM - 2021 WA E Detail '!Z$4:Z$14)</f>
        <v>0</v>
      </c>
      <c r="X20" s="2">
        <f>SUMIF('EIM - 2021 WA E Detail '!$C$4:$C$14,"General - Hardware",'EIM - 2021 WA E Detail '!AA$4:AA$14)</f>
        <v>0</v>
      </c>
      <c r="Y20" s="2">
        <f>SUMIF('EIM - 2021 WA E Detail '!$C$4:$C$14,"General - Hardware",'EIM - 2021 WA E Detail '!AB$4:AB$14)</f>
        <v>0</v>
      </c>
      <c r="Z20" s="2">
        <f>SUMIF('EIM - 2021 WA E Detail '!$C$4:$C$14,"General - Hardware",'EIM - 2021 WA E Detail '!AC$4:AC$14)</f>
        <v>0</v>
      </c>
      <c r="AA20" s="2">
        <f>SUMIF('EIM - 2021 WA E Detail '!$C$4:$C$14,"General - Hardware",'EIM - 2021 WA E Detail '!AD$4:AD$14)</f>
        <v>0</v>
      </c>
      <c r="AB20" s="2">
        <f>SUMIF('EIM - 2021 WA E Detail '!$C$4:$C$14,"General - Hardware",'EIM - 2021 WA E Detail '!AE$4:AE$14)</f>
        <v>0</v>
      </c>
      <c r="AC20" s="2">
        <f>SUMIF('EIM - 2021 WA E Detail '!$C$4:$C$14,"General - Hardware",'EIM - 2021 WA E Detail 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>
        <f>SUMIF('EIM - 2020 WA E Detail '!$C$4:$C$15,"Software 303",'EIM - 2020 WA E Detail '!U$4:U$15)</f>
        <v>194862.86176500001</v>
      </c>
      <c r="F21" s="2">
        <f>SUMIF('EIM - 2020 WA E Detail '!$C$4:$C$15,"Software 303",'EIM - 2020 WA E Detail '!V$4:V$15)</f>
        <v>29517.985448700001</v>
      </c>
      <c r="G21" s="2">
        <f>SUMIF('EIM - 2020 WA E Detail '!$C$4:$C$15,"Software 303",'EIM - 2020 WA E Detail '!W$4:W$15)</f>
        <v>8576.3570894999993</v>
      </c>
      <c r="H21" s="2">
        <f>SUMIF('EIM - 2020 WA E Detail '!$C$4:$C$15,"Software 303",'EIM - 2020 WA E Detail '!X$4:X$15)</f>
        <v>8554.8974324426927</v>
      </c>
      <c r="I21" s="2">
        <f>SUMIF('EIM - 2020 WA E Detail '!$C$4:$C$15,"Software 303",'EIM - 2020 WA E Detail '!Y$4:Y$15)</f>
        <v>0</v>
      </c>
      <c r="J21" s="2">
        <f>SUMIF('EIM - 2020 WA E Detail '!$C$4:$C$15,"Software 303",'EIM - 2020 WA E Detail '!Z$4:Z$15)</f>
        <v>0</v>
      </c>
      <c r="K21" s="2">
        <f>SUMIF('EIM - 2020 WA E Detail '!$C$4:$C$15,"Software 303",'EIM - 2020 WA E Detail '!AA$4:AA$15)</f>
        <v>1316.7151022999999</v>
      </c>
      <c r="L21" s="2">
        <f>SUMIF('EIM - 2020 WA E Detail '!$C$4:$C$15,"Software 303",'EIM - 2020 WA E Detail '!AB$4:AB$15)</f>
        <v>-99051.532830900003</v>
      </c>
      <c r="M21" s="2">
        <f>SUMIF('EIM - 2020 WA E Detail '!$C$4:$C$15,"Software 303",'EIM - 2020 WA E Detail '!AC$4:AC$15)</f>
        <v>0</v>
      </c>
      <c r="N21" s="2">
        <f>SUMIF('EIM - 2020 WA E Detail '!$C$4:$C$15,"Software 303",'EIM - 2020 WA E Detail '!AD$4:AD$15)</f>
        <v>0</v>
      </c>
      <c r="O21" s="2">
        <f>SUMIF('EIM - 2020 WA E Detail '!$C$4:$C$15,"Software 303",'EIM - 2020 WA E Detail '!AE$4:AE$15)</f>
        <v>0</v>
      </c>
      <c r="P21" s="2">
        <f>SUMIF('EIM - 2020 WA E Detail '!$C$4:$C$15,"Software 303",'EIM - 2020 WA E Detail '!AF$4:AF$15)</f>
        <v>0</v>
      </c>
      <c r="Q21" s="10">
        <f t="shared" si="80"/>
        <v>143777.2840070427</v>
      </c>
      <c r="R21" s="2">
        <f>SUMIF('EIM - 2021 WA E Detail '!$C$4:$C$14,"Software 303",'EIM - 2021 WA E Detail '!U$4:U$14)</f>
        <v>113002.47411173211</v>
      </c>
      <c r="S21" s="2">
        <f>SUMIF('EIM - 2021 WA E Detail '!$C$4:$C$14,"Software 303",'EIM - 2021 WA E Detail '!V$4:V$14)</f>
        <v>113002.47411173211</v>
      </c>
      <c r="T21" s="2">
        <f>SUMIF('EIM - 2021 WA E Detail '!$C$4:$C$14,"Software 303",'EIM - 2021 WA E Detail '!W$4:W$14)</f>
        <v>113002.47411173211</v>
      </c>
      <c r="U21" s="2">
        <f>SUMIF('EIM - 2021 WA E Detail '!$C$4:$C$14,"Software 303",'EIM - 2021 WA E Detail '!X$4:X$14)</f>
        <v>2944293.8760718941</v>
      </c>
      <c r="V21" s="2">
        <f>SUMIF('EIM - 2021 WA E Detail '!$C$4:$C$14,"Software 303",'EIM - 2021 WA E Detail '!Y$4:Y$14)</f>
        <v>113718.61046646682</v>
      </c>
      <c r="W21" s="2">
        <f>SUMIF('EIM - 2021 WA E Detail '!$C$4:$C$14,"Software 303",'EIM - 2021 WA E Detail '!Z$4:Z$14)</f>
        <v>113718.61046646682</v>
      </c>
      <c r="X21" s="2">
        <f>SUMIF('EIM - 2021 WA E Detail '!$C$4:$C$14,"Software 303",'EIM - 2021 WA E Detail '!AA$4:AA$14)</f>
        <v>0</v>
      </c>
      <c r="Y21" s="2">
        <f>SUMIF('EIM - 2021 WA E Detail '!$C$4:$C$14,"Software 303",'EIM - 2021 WA E Detail '!AB$4:AB$14)</f>
        <v>0</v>
      </c>
      <c r="Z21" s="2">
        <f>SUMIF('EIM - 2021 WA E Detail '!$C$4:$C$14,"Software 303",'EIM - 2021 WA E Detail '!AC$4:AC$14)</f>
        <v>0</v>
      </c>
      <c r="AA21" s="2">
        <f>SUMIF('EIM - 2021 WA E Detail '!$C$4:$C$14,"Software 303",'EIM - 2021 WA E Detail '!AD$4:AD$14)</f>
        <v>0</v>
      </c>
      <c r="AB21" s="2">
        <f>SUMIF('EIM - 2021 WA E Detail '!$C$4:$C$14,"Software 303",'EIM - 2021 WA E Detail '!AE$4:AE$14)</f>
        <v>0</v>
      </c>
      <c r="AC21" s="2">
        <f>SUMIF('EIM - 2021 WA E Detail '!$C$4:$C$14,"Software 303",'EIM - 2021 WA E Detail '!AF$4:AF$14)</f>
        <v>0</v>
      </c>
      <c r="AD21" s="2">
        <f>+'EIM - 2022 WA E Detail'!U4</f>
        <v>0</v>
      </c>
      <c r="AE21" s="2">
        <f>+'EIM - 2022 WA E Detail'!V4</f>
        <v>0</v>
      </c>
      <c r="AF21" s="2"/>
      <c r="AG21" s="2"/>
      <c r="AH21" s="2"/>
      <c r="AI21" s="2">
        <f>+'EIM - 2022 WA E Detail'!Z4</f>
        <v>0</v>
      </c>
      <c r="AJ21" s="2">
        <f>+'EIM - 2022 WA E Detail'!AA4</f>
        <v>0</v>
      </c>
      <c r="AK21" s="2">
        <f>+'EIM - 2022 WA E Detail'!AB4</f>
        <v>0</v>
      </c>
      <c r="AL21" s="2">
        <f>+'EIM - 2022 WA E Detail'!AC4</f>
        <v>0</v>
      </c>
    </row>
    <row r="22" spans="1:38">
      <c r="C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8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229998.71280207887</v>
      </c>
      <c r="S23" s="5">
        <f t="shared" si="81"/>
        <v>229998.71280207887</v>
      </c>
      <c r="T23" s="5">
        <f t="shared" si="81"/>
        <v>410550.45920040639</v>
      </c>
      <c r="U23" s="5">
        <f t="shared" si="81"/>
        <v>3898212.4307146608</v>
      </c>
      <c r="V23" s="5">
        <f t="shared" si="81"/>
        <v>2029836.4455829798</v>
      </c>
      <c r="W23" s="5">
        <f t="shared" si="81"/>
        <v>1255456.3334894155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0</v>
      </c>
      <c r="AG23" s="5">
        <f t="shared" si="81"/>
        <v>0</v>
      </c>
      <c r="AH23" s="5">
        <f t="shared" si="81"/>
        <v>0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191.03921017143571</v>
      </c>
      <c r="X26" s="2">
        <f t="shared" si="83"/>
        <v>382.07842034287142</v>
      </c>
      <c r="Y26" s="2">
        <f t="shared" si="83"/>
        <v>382.07842034287142</v>
      </c>
      <c r="Z26" s="2">
        <f t="shared" si="83"/>
        <v>382.07842034287142</v>
      </c>
      <c r="AA26" s="2">
        <f t="shared" si="83"/>
        <v>382.07842034287142</v>
      </c>
      <c r="AB26" s="2">
        <f t="shared" si="83"/>
        <v>382.07842034287142</v>
      </c>
      <c r="AC26" s="2">
        <f t="shared" si="83"/>
        <v>382.07842034287142</v>
      </c>
      <c r="AD26" s="2">
        <f t="shared" ref="AD26:AL26" si="84">(AC4+((AD15)/2))*$D$4/12</f>
        <v>382.07842034287142</v>
      </c>
      <c r="AE26" s="2">
        <f t="shared" si="84"/>
        <v>382.07842034287142</v>
      </c>
      <c r="AF26" s="2">
        <f t="shared" si="84"/>
        <v>382.07842034287142</v>
      </c>
      <c r="AG26" s="2">
        <f t="shared" si="84"/>
        <v>382.07842034287142</v>
      </c>
      <c r="AH26" s="2">
        <f t="shared" si="84"/>
        <v>382.07842034287142</v>
      </c>
      <c r="AI26" s="2">
        <f t="shared" si="84"/>
        <v>382.07842034287142</v>
      </c>
      <c r="AJ26" s="2">
        <f t="shared" si="84"/>
        <v>382.07842034287142</v>
      </c>
      <c r="AK26" s="2">
        <f t="shared" si="84"/>
        <v>382.07842034287142</v>
      </c>
      <c r="AL26" s="2">
        <f t="shared" si="84"/>
        <v>382.07842034287142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347.40861349574766</v>
      </c>
      <c r="S27" s="2">
        <f>(R5+((S16)/2))*$D$5/12</f>
        <v>548.25215658084289</v>
      </c>
      <c r="T27" s="2">
        <f t="shared" ref="T27:AC27" si="86">(S5+((T16)/2))*$D$5/12</f>
        <v>749.09569966593824</v>
      </c>
      <c r="U27" s="2">
        <f t="shared" si="86"/>
        <v>1041.3252458957982</v>
      </c>
      <c r="V27" s="2">
        <f t="shared" si="86"/>
        <v>1424.9407952704232</v>
      </c>
      <c r="W27" s="2">
        <f t="shared" si="86"/>
        <v>2098.0273880850482</v>
      </c>
      <c r="X27" s="2">
        <f t="shared" si="86"/>
        <v>2579.3062062123604</v>
      </c>
      <c r="Y27" s="2">
        <f t="shared" si="86"/>
        <v>2579.3062062123604</v>
      </c>
      <c r="Z27" s="2">
        <f t="shared" si="86"/>
        <v>2579.3062062123604</v>
      </c>
      <c r="AA27" s="2">
        <f t="shared" si="86"/>
        <v>2579.3062062123604</v>
      </c>
      <c r="AB27" s="2">
        <f t="shared" si="86"/>
        <v>2579.3062062123604</v>
      </c>
      <c r="AC27" s="2">
        <f t="shared" si="86"/>
        <v>2579.3062062123604</v>
      </c>
      <c r="AD27" s="2">
        <f t="shared" ref="AD27:AL27" si="87">(AC5+((AD16)/2))*$D$5/12</f>
        <v>2579.3062062123604</v>
      </c>
      <c r="AE27" s="2">
        <f t="shared" si="87"/>
        <v>2579.3062062123604</v>
      </c>
      <c r="AF27" s="2">
        <f t="shared" si="87"/>
        <v>2579.3062062123604</v>
      </c>
      <c r="AG27" s="2">
        <f t="shared" si="87"/>
        <v>2579.3062062123604</v>
      </c>
      <c r="AH27" s="2">
        <f t="shared" si="87"/>
        <v>2579.3062062123604</v>
      </c>
      <c r="AI27" s="2">
        <f t="shared" si="87"/>
        <v>2579.3062062123604</v>
      </c>
      <c r="AJ27" s="2">
        <f t="shared" si="87"/>
        <v>2579.3062062123604</v>
      </c>
      <c r="AK27" s="2">
        <f t="shared" si="87"/>
        <v>2579.3062062123604</v>
      </c>
      <c r="AL27" s="2">
        <f t="shared" si="87"/>
        <v>2579.3062062123604</v>
      </c>
    </row>
    <row r="28" spans="1:38">
      <c r="C28" t="s">
        <v>142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1017.2975835880001</v>
      </c>
      <c r="S28" s="2">
        <f t="shared" ref="S28:AL28" si="90">(R6+((S17)/2))*$D$6/12</f>
        <v>1017.2975835880001</v>
      </c>
      <c r="T28" s="2">
        <f t="shared" si="90"/>
        <v>1017.2975835880001</v>
      </c>
      <c r="U28" s="2">
        <f t="shared" si="90"/>
        <v>1631.2258284416387</v>
      </c>
      <c r="V28" s="2">
        <f t="shared" si="90"/>
        <v>3741.0983252498495</v>
      </c>
      <c r="W28" s="2">
        <f t="shared" si="90"/>
        <v>5542.4491470580615</v>
      </c>
      <c r="X28" s="2">
        <f t="shared" si="90"/>
        <v>5847.8557169117003</v>
      </c>
      <c r="Y28" s="2">
        <f t="shared" si="90"/>
        <v>5847.8557169117003</v>
      </c>
      <c r="Z28" s="2">
        <f t="shared" si="90"/>
        <v>5847.8557169117003</v>
      </c>
      <c r="AA28" s="2">
        <f t="shared" si="90"/>
        <v>5847.8557169117003</v>
      </c>
      <c r="AB28" s="2">
        <f t="shared" si="90"/>
        <v>5847.8557169117003</v>
      </c>
      <c r="AC28" s="2">
        <f t="shared" si="90"/>
        <v>5847.8557169117003</v>
      </c>
      <c r="AD28" s="2">
        <f t="shared" si="90"/>
        <v>5847.8557169117003</v>
      </c>
      <c r="AE28" s="2">
        <f t="shared" si="90"/>
        <v>5847.8557169117003</v>
      </c>
      <c r="AF28" s="2">
        <f t="shared" si="90"/>
        <v>5847.8557169117003</v>
      </c>
      <c r="AG28" s="2">
        <f t="shared" si="90"/>
        <v>5847.8557169117003</v>
      </c>
      <c r="AH28" s="2">
        <f t="shared" si="90"/>
        <v>5847.8557169117003</v>
      </c>
      <c r="AI28" s="2">
        <f t="shared" si="90"/>
        <v>5847.8557169117003</v>
      </c>
      <c r="AJ28" s="2">
        <f t="shared" si="90"/>
        <v>5847.8557169117003</v>
      </c>
      <c r="AK28" s="2">
        <f t="shared" si="90"/>
        <v>5847.8557169117003</v>
      </c>
      <c r="AL28" s="2">
        <f t="shared" si="90"/>
        <v>5847.8557169117003</v>
      </c>
    </row>
    <row r="29" spans="1:38">
      <c r="C29" t="s">
        <v>149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1326.3446750619999</v>
      </c>
      <c r="S29" s="2">
        <f>(R7+((S18)/2))*$D$7/12</f>
        <v>1326.3446750619999</v>
      </c>
      <c r="T29" s="2">
        <f t="shared" ref="T29:AL29" si="92">(S7+((T18)/2))*$D$7/12</f>
        <v>1326.3446750619999</v>
      </c>
      <c r="U29" s="2">
        <f t="shared" si="92"/>
        <v>1326.3446750619999</v>
      </c>
      <c r="V29" s="2">
        <f t="shared" si="92"/>
        <v>1326.3446750619999</v>
      </c>
      <c r="W29" s="2">
        <f t="shared" si="92"/>
        <v>1326.3446750619999</v>
      </c>
      <c r="X29" s="2">
        <f t="shared" si="92"/>
        <v>1326.3446750619999</v>
      </c>
      <c r="Y29" s="2">
        <f t="shared" si="92"/>
        <v>1326.3446750619999</v>
      </c>
      <c r="Z29" s="2">
        <f t="shared" si="92"/>
        <v>1326.3446750619999</v>
      </c>
      <c r="AA29" s="2">
        <f t="shared" si="92"/>
        <v>1326.3446750619999</v>
      </c>
      <c r="AB29" s="2">
        <f t="shared" si="92"/>
        <v>1326.3446750619999</v>
      </c>
      <c r="AC29" s="2">
        <f t="shared" si="92"/>
        <v>1326.3446750619999</v>
      </c>
      <c r="AD29" s="2">
        <f t="shared" si="92"/>
        <v>1326.3446750619999</v>
      </c>
      <c r="AE29" s="2">
        <f t="shared" si="92"/>
        <v>1326.3446750619999</v>
      </c>
      <c r="AF29" s="2">
        <f t="shared" si="92"/>
        <v>1326.3446750619999</v>
      </c>
      <c r="AG29" s="2">
        <f t="shared" si="92"/>
        <v>1326.3446750619999</v>
      </c>
      <c r="AH29" s="2">
        <f t="shared" si="92"/>
        <v>1326.3446750619999</v>
      </c>
      <c r="AI29" s="2">
        <f t="shared" si="92"/>
        <v>1326.3446750619999</v>
      </c>
      <c r="AJ29" s="2">
        <f t="shared" si="92"/>
        <v>1326.3446750619999</v>
      </c>
      <c r="AK29" s="2">
        <f t="shared" si="92"/>
        <v>1326.3446750619999</v>
      </c>
      <c r="AL29" s="2">
        <f t="shared" si="92"/>
        <v>1326.3446750619999</v>
      </c>
    </row>
    <row r="30" spans="1:38">
      <c r="C30" t="s">
        <v>139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1365.4441666548619</v>
      </c>
      <c r="S30" s="2">
        <f t="shared" ref="S30:AL30" si="94">(R8+((S19)/2))*$D$8/12</f>
        <v>1365.4441666548619</v>
      </c>
      <c r="T30" s="2">
        <f t="shared" si="94"/>
        <v>1650.5654661755543</v>
      </c>
      <c r="U30" s="2">
        <f t="shared" si="94"/>
        <v>2031.5631577994388</v>
      </c>
      <c r="V30" s="2">
        <f t="shared" si="94"/>
        <v>2223.3159420058232</v>
      </c>
      <c r="W30" s="2">
        <f t="shared" si="94"/>
        <v>2415.0687262122083</v>
      </c>
      <c r="X30" s="2">
        <f t="shared" si="94"/>
        <v>2510.9451183154006</v>
      </c>
      <c r="Y30" s="2">
        <f t="shared" si="94"/>
        <v>2510.9451183154006</v>
      </c>
      <c r="Z30" s="2">
        <f t="shared" si="94"/>
        <v>2510.9451183154006</v>
      </c>
      <c r="AA30" s="2">
        <f t="shared" si="94"/>
        <v>2510.9451183154006</v>
      </c>
      <c r="AB30" s="2">
        <f t="shared" si="94"/>
        <v>2510.9451183154006</v>
      </c>
      <c r="AC30" s="2">
        <f t="shared" si="94"/>
        <v>2510.9451183154006</v>
      </c>
      <c r="AD30" s="2">
        <f t="shared" si="94"/>
        <v>2510.9451183154006</v>
      </c>
      <c r="AE30" s="2">
        <f t="shared" si="94"/>
        <v>2510.9451183154006</v>
      </c>
      <c r="AF30" s="2">
        <f t="shared" si="94"/>
        <v>2510.9451183154006</v>
      </c>
      <c r="AG30" s="2">
        <f t="shared" si="94"/>
        <v>2510.9451183154006</v>
      </c>
      <c r="AH30" s="2">
        <f t="shared" si="94"/>
        <v>2510.9451183154006</v>
      </c>
      <c r="AI30" s="2">
        <f t="shared" si="94"/>
        <v>2510.9451183154006</v>
      </c>
      <c r="AJ30" s="2">
        <f t="shared" si="94"/>
        <v>2510.9451183154006</v>
      </c>
      <c r="AK30" s="2">
        <f t="shared" si="94"/>
        <v>2510.9451183154006</v>
      </c>
      <c r="AL30" s="2">
        <f t="shared" si="94"/>
        <v>2510.9451183154006</v>
      </c>
    </row>
    <row r="31" spans="1:38">
      <c r="C31" t="s">
        <v>151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543.58337850000009</v>
      </c>
      <c r="U31" s="2">
        <f t="shared" si="97"/>
        <v>543.58337850000009</v>
      </c>
      <c r="V31" s="2">
        <f t="shared" si="97"/>
        <v>543.58337850000009</v>
      </c>
      <c r="W31" s="2">
        <f t="shared" si="97"/>
        <v>543.58337850000009</v>
      </c>
      <c r="X31" s="2">
        <f t="shared" si="97"/>
        <v>543.58337850000009</v>
      </c>
      <c r="Y31" s="2">
        <f t="shared" si="97"/>
        <v>543.58337850000009</v>
      </c>
      <c r="Z31" s="2">
        <f t="shared" si="97"/>
        <v>543.58337850000009</v>
      </c>
      <c r="AA31" s="2">
        <f t="shared" si="97"/>
        <v>543.58337850000009</v>
      </c>
      <c r="AB31" s="2">
        <f t="shared" si="97"/>
        <v>543.58337850000009</v>
      </c>
      <c r="AC31" s="2">
        <f t="shared" si="97"/>
        <v>543.58337850000009</v>
      </c>
      <c r="AD31" s="2">
        <f t="shared" si="97"/>
        <v>543.58337850000009</v>
      </c>
      <c r="AE31" s="2">
        <f t="shared" si="97"/>
        <v>543.58337850000009</v>
      </c>
      <c r="AF31" s="2">
        <f t="shared" si="97"/>
        <v>543.58337850000009</v>
      </c>
      <c r="AG31" s="2">
        <f t="shared" si="97"/>
        <v>543.58337850000009</v>
      </c>
      <c r="AH31" s="2">
        <f t="shared" si="97"/>
        <v>543.58337850000009</v>
      </c>
      <c r="AI31" s="2">
        <f t="shared" si="97"/>
        <v>543.58337850000009</v>
      </c>
      <c r="AJ31" s="2">
        <f t="shared" si="97"/>
        <v>543.58337850000009</v>
      </c>
      <c r="AK31" s="2">
        <f t="shared" si="97"/>
        <v>543.58337850000009</v>
      </c>
      <c r="AL31" s="2">
        <f t="shared" si="97"/>
        <v>543.58337850000009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3337.9753510484793</v>
      </c>
      <c r="S32" s="2">
        <f t="shared" ref="S32:AL32" si="99">(R10+((S21)/2))*$D$10/12</f>
        <v>5221.3499195773475</v>
      </c>
      <c r="T32" s="2">
        <f t="shared" si="99"/>
        <v>7104.724488106217</v>
      </c>
      <c r="U32" s="2">
        <f t="shared" si="99"/>
        <v>32582.194072969767</v>
      </c>
      <c r="V32" s="2">
        <f t="shared" si="99"/>
        <v>58065.631460789446</v>
      </c>
      <c r="W32" s="2">
        <f t="shared" si="99"/>
        <v>59960.941635230556</v>
      </c>
      <c r="X32" s="2">
        <f t="shared" si="99"/>
        <v>60908.596722451119</v>
      </c>
      <c r="Y32" s="2">
        <f t="shared" si="99"/>
        <v>60908.596722451119</v>
      </c>
      <c r="Z32" s="2">
        <f t="shared" si="99"/>
        <v>60908.596722451119</v>
      </c>
      <c r="AA32" s="2">
        <f t="shared" si="99"/>
        <v>60908.596722451119</v>
      </c>
      <c r="AB32" s="2">
        <f t="shared" si="99"/>
        <v>60908.596722451119</v>
      </c>
      <c r="AC32" s="2">
        <f t="shared" si="99"/>
        <v>60908.596722451119</v>
      </c>
      <c r="AD32" s="2">
        <f t="shared" si="99"/>
        <v>60908.596722451119</v>
      </c>
      <c r="AE32" s="2">
        <f t="shared" si="99"/>
        <v>60908.596722451119</v>
      </c>
      <c r="AF32" s="2">
        <f t="shared" si="99"/>
        <v>60908.596722451119</v>
      </c>
      <c r="AG32" s="2">
        <f t="shared" si="99"/>
        <v>60908.596722451119</v>
      </c>
      <c r="AH32" s="2">
        <f t="shared" si="99"/>
        <v>60908.596722451119</v>
      </c>
      <c r="AI32" s="2">
        <f t="shared" si="99"/>
        <v>60908.596722451119</v>
      </c>
      <c r="AJ32" s="2">
        <f t="shared" si="99"/>
        <v>60908.596722451119</v>
      </c>
      <c r="AK32" s="2">
        <f t="shared" si="99"/>
        <v>60908.596722451119</v>
      </c>
      <c r="AL32" s="2">
        <f t="shared" si="99"/>
        <v>60908.596722451119</v>
      </c>
    </row>
    <row r="33" spans="1:38">
      <c r="C33" s="9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8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7938.0537683490893</v>
      </c>
      <c r="S34" s="5">
        <f t="shared" si="100"/>
        <v>10022.271879963053</v>
      </c>
      <c r="T34" s="5">
        <f t="shared" si="100"/>
        <v>12391.61129109771</v>
      </c>
      <c r="U34" s="5">
        <f t="shared" si="100"/>
        <v>39156.236358668641</v>
      </c>
      <c r="V34" s="5">
        <f t="shared" si="100"/>
        <v>67324.914576877534</v>
      </c>
      <c r="W34" s="5">
        <f t="shared" si="100"/>
        <v>72077.454160319307</v>
      </c>
      <c r="X34" s="5">
        <f t="shared" si="100"/>
        <v>74098.710237795458</v>
      </c>
      <c r="Y34" s="5">
        <f t="shared" si="100"/>
        <v>74098.710237795458</v>
      </c>
      <c r="Z34" s="5">
        <f t="shared" si="100"/>
        <v>74098.710237795458</v>
      </c>
      <c r="AA34" s="5">
        <f t="shared" si="100"/>
        <v>74098.710237795458</v>
      </c>
      <c r="AB34" s="5">
        <f t="shared" si="100"/>
        <v>74098.710237795458</v>
      </c>
      <c r="AC34" s="5">
        <f t="shared" si="100"/>
        <v>74098.710237795458</v>
      </c>
      <c r="AD34" s="5">
        <f t="shared" si="100"/>
        <v>74098.710237795458</v>
      </c>
      <c r="AE34" s="5">
        <f t="shared" si="100"/>
        <v>74098.710237795458</v>
      </c>
      <c r="AF34" s="5">
        <f t="shared" si="100"/>
        <v>74098.710237795458</v>
      </c>
      <c r="AG34" s="5">
        <f t="shared" si="100"/>
        <v>74098.710237795458</v>
      </c>
      <c r="AH34" s="5">
        <f t="shared" si="100"/>
        <v>74098.710237795458</v>
      </c>
      <c r="AI34" s="5">
        <f t="shared" si="100"/>
        <v>74098.710237795458</v>
      </c>
      <c r="AJ34" s="5">
        <f t="shared" si="100"/>
        <v>74098.710237795458</v>
      </c>
      <c r="AK34" s="5">
        <f t="shared" si="100"/>
        <v>74098.710237795458</v>
      </c>
      <c r="AL34" s="5">
        <f t="shared" si="100"/>
        <v>74098.710237795458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-191.03921017143571</v>
      </c>
      <c r="X37" s="2">
        <f t="shared" si="103"/>
        <v>-573.11763051430717</v>
      </c>
      <c r="Y37" s="2">
        <f t="shared" si="103"/>
        <v>-955.19605085717853</v>
      </c>
      <c r="Z37" s="2">
        <f t="shared" si="103"/>
        <v>-1337.2744712000499</v>
      </c>
      <c r="AA37" s="2">
        <f t="shared" si="103"/>
        <v>-1719.3528915429213</v>
      </c>
      <c r="AB37" s="2">
        <f t="shared" si="103"/>
        <v>-2101.4313118857926</v>
      </c>
      <c r="AC37" s="2">
        <f t="shared" si="103"/>
        <v>-2483.5097322286642</v>
      </c>
      <c r="AD37" s="2">
        <f t="shared" si="103"/>
        <v>-2865.5881525715358</v>
      </c>
      <c r="AE37" s="2">
        <f t="shared" si="103"/>
        <v>-3247.6665729144074</v>
      </c>
      <c r="AF37" s="2">
        <f t="shared" si="103"/>
        <v>-3629.744993257279</v>
      </c>
      <c r="AG37" s="2">
        <f t="shared" si="103"/>
        <v>-4011.8234136001506</v>
      </c>
      <c r="AH37" s="2">
        <f t="shared" si="103"/>
        <v>-4393.9018339430222</v>
      </c>
      <c r="AI37" s="2">
        <f t="shared" si="103"/>
        <v>-4775.9802542858934</v>
      </c>
      <c r="AJ37" s="2">
        <f t="shared" si="103"/>
        <v>-5158.0586746287645</v>
      </c>
      <c r="AK37" s="2">
        <f t="shared" si="103"/>
        <v>-5540.1370949716356</v>
      </c>
      <c r="AL37" s="2">
        <f t="shared" si="103"/>
        <v>-5922.2155153145068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-1294.3255917175477</v>
      </c>
      <c r="S38" s="2">
        <f t="shared" si="106"/>
        <v>-1842.5777482983906</v>
      </c>
      <c r="T38" s="2">
        <f t="shared" si="106"/>
        <v>-2591.6734479643287</v>
      </c>
      <c r="U38" s="2">
        <f t="shared" si="106"/>
        <v>-3632.9986938601269</v>
      </c>
      <c r="V38" s="2">
        <f t="shared" si="106"/>
        <v>-5057.9394891305501</v>
      </c>
      <c r="W38" s="2">
        <f t="shared" si="106"/>
        <v>-7155.9668772155983</v>
      </c>
      <c r="X38" s="2">
        <f t="shared" si="106"/>
        <v>-9735.2730834279591</v>
      </c>
      <c r="Y38" s="2">
        <f t="shared" si="106"/>
        <v>-12314.57928964032</v>
      </c>
      <c r="Z38" s="2">
        <f t="shared" si="106"/>
        <v>-14893.885495852681</v>
      </c>
      <c r="AA38" s="2">
        <f t="shared" si="106"/>
        <v>-17473.19170206504</v>
      </c>
      <c r="AB38" s="2">
        <f t="shared" si="106"/>
        <v>-20052.497908277401</v>
      </c>
      <c r="AC38" s="2">
        <f t="shared" si="106"/>
        <v>-22631.804114489762</v>
      </c>
      <c r="AD38" s="2">
        <f t="shared" si="106"/>
        <v>-25211.110320702122</v>
      </c>
      <c r="AE38" s="2">
        <f t="shared" si="106"/>
        <v>-27790.416526914483</v>
      </c>
      <c r="AF38" s="2">
        <f t="shared" si="106"/>
        <v>-30369.722733126844</v>
      </c>
      <c r="AG38" s="2">
        <f t="shared" si="106"/>
        <v>-32949.028939339201</v>
      </c>
      <c r="AH38" s="2">
        <f t="shared" si="106"/>
        <v>-35528.335145551559</v>
      </c>
      <c r="AI38" s="2">
        <f t="shared" si="106"/>
        <v>-38107.641351763916</v>
      </c>
      <c r="AJ38" s="2">
        <f t="shared" si="106"/>
        <v>-40686.947557976273</v>
      </c>
      <c r="AK38" s="2">
        <f t="shared" si="106"/>
        <v>-43266.25376418863</v>
      </c>
      <c r="AL38" s="2">
        <f t="shared" si="106"/>
        <v>-45845.559970400987</v>
      </c>
    </row>
    <row r="39" spans="1:38">
      <c r="C39" t="s">
        <v>142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-6211.3561037879999</v>
      </c>
      <c r="S39" s="2">
        <f t="shared" ref="S39:AG39" si="108">R39-S28</f>
        <v>-7228.6536873759997</v>
      </c>
      <c r="T39" s="2">
        <f t="shared" si="108"/>
        <v>-8245.9512709640003</v>
      </c>
      <c r="U39" s="2">
        <f t="shared" si="108"/>
        <v>-9877.1770994056387</v>
      </c>
      <c r="V39" s="2">
        <f t="shared" si="108"/>
        <v>-13618.275424655489</v>
      </c>
      <c r="W39" s="2">
        <f t="shared" si="108"/>
        <v>-19160.724571713552</v>
      </c>
      <c r="X39" s="2">
        <f t="shared" si="108"/>
        <v>-25008.580288625253</v>
      </c>
      <c r="Y39" s="2">
        <f t="shared" si="108"/>
        <v>-30856.436005536954</v>
      </c>
      <c r="Z39" s="2">
        <f t="shared" si="108"/>
        <v>-36704.291722448652</v>
      </c>
      <c r="AA39" s="2">
        <f t="shared" si="108"/>
        <v>-42552.147439360349</v>
      </c>
      <c r="AB39" s="2">
        <f t="shared" si="108"/>
        <v>-48400.003156272047</v>
      </c>
      <c r="AC39" s="2">
        <f t="shared" si="108"/>
        <v>-54247.858873183744</v>
      </c>
      <c r="AD39" s="2">
        <f t="shared" si="108"/>
        <v>-60095.714590095442</v>
      </c>
      <c r="AE39" s="2">
        <f t="shared" si="108"/>
        <v>-65943.570307007147</v>
      </c>
      <c r="AF39" s="2">
        <f t="shared" si="108"/>
        <v>-71791.426023918844</v>
      </c>
      <c r="AG39" s="2">
        <f t="shared" si="108"/>
        <v>-77639.281740830542</v>
      </c>
      <c r="AH39" s="2">
        <f t="shared" ref="AH39:AL42" si="109">AG39-AH28</f>
        <v>-83487.137457742239</v>
      </c>
      <c r="AI39" s="2">
        <f t="shared" si="109"/>
        <v>-89334.993174653937</v>
      </c>
      <c r="AJ39" s="2">
        <f t="shared" si="109"/>
        <v>-95182.848891565634</v>
      </c>
      <c r="AK39" s="2">
        <f t="shared" si="109"/>
        <v>-101030.70460847733</v>
      </c>
      <c r="AL39" s="2">
        <f t="shared" si="109"/>
        <v>-106878.56032538903</v>
      </c>
    </row>
    <row r="40" spans="1:38">
      <c r="C40" t="s">
        <v>149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-1989.5170125929999</v>
      </c>
      <c r="S40" s="2">
        <f t="shared" ref="S40" si="112">R40-S29</f>
        <v>-3315.8616876549995</v>
      </c>
      <c r="T40" s="2">
        <f t="shared" ref="T40" si="113">S40-T29</f>
        <v>-4642.2063627169991</v>
      </c>
      <c r="U40" s="2">
        <f t="shared" ref="U40" si="114">T40-U29</f>
        <v>-5968.5510377789988</v>
      </c>
      <c r="V40" s="2">
        <f t="shared" ref="V40" si="115">U40-V29</f>
        <v>-7294.8957128409984</v>
      </c>
      <c r="W40" s="2">
        <f t="shared" ref="W40" si="116">V40-W29</f>
        <v>-8621.2403879029989</v>
      </c>
      <c r="X40" s="2">
        <f t="shared" ref="X40" si="117">W40-X29</f>
        <v>-9947.5850629649995</v>
      </c>
      <c r="Y40" s="2">
        <f t="shared" ref="Y40" si="118">X40-Y29</f>
        <v>-11273.929738027</v>
      </c>
      <c r="Z40" s="2">
        <f t="shared" ref="Z40" si="119">Y40-Z29</f>
        <v>-12600.274413089001</v>
      </c>
      <c r="AA40" s="2">
        <f t="shared" ref="AA40" si="120">Z40-AA29</f>
        <v>-13926.619088151001</v>
      </c>
      <c r="AB40" s="2">
        <f t="shared" ref="AB40" si="121">AA40-AB29</f>
        <v>-15252.963763213002</v>
      </c>
      <c r="AC40" s="2">
        <f t="shared" ref="AC40" si="122">AB40-AC29</f>
        <v>-16579.308438275002</v>
      </c>
      <c r="AD40" s="2">
        <f t="shared" ref="AD40" si="123">AC40-AD29</f>
        <v>-17905.653113337001</v>
      </c>
      <c r="AE40" s="2">
        <f t="shared" ref="AE40" si="124">AD40-AE29</f>
        <v>-19231.997788399</v>
      </c>
      <c r="AF40" s="2">
        <f t="shared" ref="AF40" si="125">AE40-AF29</f>
        <v>-20558.342463460998</v>
      </c>
      <c r="AG40" s="2">
        <f t="shared" ref="AG40" si="126">AF40-AG29</f>
        <v>-21884.687138522997</v>
      </c>
      <c r="AH40" s="2">
        <f t="shared" si="109"/>
        <v>-23211.031813584996</v>
      </c>
      <c r="AI40" s="2">
        <f t="shared" si="109"/>
        <v>-24537.376488646994</v>
      </c>
      <c r="AJ40" s="2">
        <f t="shared" si="109"/>
        <v>-25863.721163708993</v>
      </c>
      <c r="AK40" s="2">
        <f t="shared" si="109"/>
        <v>-27190.065838770992</v>
      </c>
      <c r="AL40" s="2">
        <f t="shared" si="109"/>
        <v>-28516.410513832991</v>
      </c>
    </row>
    <row r="41" spans="1:38">
      <c r="C41" t="s">
        <v>139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-5904.2364871890195</v>
      </c>
      <c r="S41" s="2">
        <f t="shared" ref="S41:AG41" si="128">R41-S30</f>
        <v>-7269.6806538438814</v>
      </c>
      <c r="T41" s="2">
        <f t="shared" si="128"/>
        <v>-8920.2461200194357</v>
      </c>
      <c r="U41" s="2">
        <f t="shared" si="128"/>
        <v>-10951.809277818875</v>
      </c>
      <c r="V41" s="2">
        <f t="shared" si="128"/>
        <v>-13175.125219824698</v>
      </c>
      <c r="W41" s="2">
        <f t="shared" si="128"/>
        <v>-15590.193946036907</v>
      </c>
      <c r="X41" s="2">
        <f t="shared" si="128"/>
        <v>-18101.139064352308</v>
      </c>
      <c r="Y41" s="2">
        <f t="shared" si="128"/>
        <v>-20612.08418266771</v>
      </c>
      <c r="Z41" s="2">
        <f t="shared" si="128"/>
        <v>-23123.029300983111</v>
      </c>
      <c r="AA41" s="2">
        <f t="shared" si="128"/>
        <v>-25633.974419298513</v>
      </c>
      <c r="AB41" s="2">
        <f t="shared" si="128"/>
        <v>-28144.919537613914</v>
      </c>
      <c r="AC41" s="2">
        <f t="shared" si="128"/>
        <v>-30655.864655929316</v>
      </c>
      <c r="AD41" s="2">
        <f t="shared" si="128"/>
        <v>-33166.809774244713</v>
      </c>
      <c r="AE41" s="2">
        <f t="shared" si="128"/>
        <v>-35677.754892560115</v>
      </c>
      <c r="AF41" s="2">
        <f t="shared" si="128"/>
        <v>-38188.700010875516</v>
      </c>
      <c r="AG41" s="2">
        <f t="shared" si="128"/>
        <v>-40699.645129190918</v>
      </c>
      <c r="AH41" s="2">
        <f t="shared" si="109"/>
        <v>-43210.590247506319</v>
      </c>
      <c r="AI41" s="2">
        <f t="shared" si="109"/>
        <v>-45721.535365821721</v>
      </c>
      <c r="AJ41" s="2">
        <f t="shared" si="109"/>
        <v>-48232.480484137122</v>
      </c>
      <c r="AK41" s="2">
        <f t="shared" si="109"/>
        <v>-50743.425602452524</v>
      </c>
      <c r="AL41" s="2">
        <f t="shared" si="109"/>
        <v>-53254.370720767925</v>
      </c>
    </row>
    <row r="42" spans="1:38">
      <c r="C42" t="s">
        <v>151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-11440.016113214999</v>
      </c>
      <c r="U42" s="2">
        <f t="shared" si="131"/>
        <v>-11983.599491714998</v>
      </c>
      <c r="V42" s="2">
        <f t="shared" si="131"/>
        <v>-12527.182870214998</v>
      </c>
      <c r="W42" s="2">
        <f t="shared" si="131"/>
        <v>-13070.766248714997</v>
      </c>
      <c r="X42" s="2">
        <f t="shared" si="131"/>
        <v>-13614.349627214997</v>
      </c>
      <c r="Y42" s="2">
        <f t="shared" si="131"/>
        <v>-14157.933005714996</v>
      </c>
      <c r="Z42" s="2">
        <f t="shared" si="131"/>
        <v>-14701.516384214996</v>
      </c>
      <c r="AA42" s="2">
        <f t="shared" si="131"/>
        <v>-15245.099762714995</v>
      </c>
      <c r="AB42" s="2">
        <f t="shared" si="131"/>
        <v>-15788.683141214995</v>
      </c>
      <c r="AC42" s="2">
        <f t="shared" si="131"/>
        <v>-16332.266519714995</v>
      </c>
      <c r="AD42" s="2">
        <f t="shared" si="131"/>
        <v>-16875.849898214994</v>
      </c>
      <c r="AE42" s="2">
        <f t="shared" si="131"/>
        <v>-17419.433276714994</v>
      </c>
      <c r="AF42" s="2">
        <f t="shared" si="131"/>
        <v>-17963.016655214993</v>
      </c>
      <c r="AG42" s="2">
        <f t="shared" si="131"/>
        <v>-18506.600033714993</v>
      </c>
      <c r="AH42" s="2">
        <f t="shared" si="109"/>
        <v>-19050.183412214992</v>
      </c>
      <c r="AI42" s="2">
        <f t="shared" si="109"/>
        <v>-19593.766790714992</v>
      </c>
      <c r="AJ42" s="2">
        <f t="shared" si="109"/>
        <v>-20137.350169214991</v>
      </c>
      <c r="AK42" s="2">
        <f t="shared" si="109"/>
        <v>-20680.933547714991</v>
      </c>
      <c r="AL42" s="2">
        <f t="shared" si="109"/>
        <v>-21224.51692621499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-41114.038907022863</v>
      </c>
      <c r="S43" s="2">
        <f t="shared" ref="S43:AL43" si="134">R43-S32</f>
        <v>-46335.38882660021</v>
      </c>
      <c r="T43" s="2">
        <f t="shared" si="134"/>
        <v>-53440.113314706425</v>
      </c>
      <c r="U43" s="2">
        <f t="shared" si="134"/>
        <v>-86022.307387676192</v>
      </c>
      <c r="V43" s="2">
        <f t="shared" si="134"/>
        <v>-144087.93884846562</v>
      </c>
      <c r="W43" s="2">
        <f t="shared" si="134"/>
        <v>-204048.88048369618</v>
      </c>
      <c r="X43" s="2">
        <f t="shared" si="134"/>
        <v>-264957.47720614728</v>
      </c>
      <c r="Y43" s="2">
        <f t="shared" si="134"/>
        <v>-325866.07392859837</v>
      </c>
      <c r="Z43" s="2">
        <f t="shared" si="134"/>
        <v>-386774.67065104947</v>
      </c>
      <c r="AA43" s="2">
        <f t="shared" si="134"/>
        <v>-447683.26737350057</v>
      </c>
      <c r="AB43" s="2">
        <f t="shared" si="134"/>
        <v>-508591.86409595166</v>
      </c>
      <c r="AC43" s="2">
        <f t="shared" si="134"/>
        <v>-569500.46081840282</v>
      </c>
      <c r="AD43" s="2">
        <f t="shared" si="134"/>
        <v>-630409.05754085397</v>
      </c>
      <c r="AE43" s="2">
        <f t="shared" si="134"/>
        <v>-691317.65426330513</v>
      </c>
      <c r="AF43" s="2">
        <f t="shared" si="134"/>
        <v>-752226.25098575628</v>
      </c>
      <c r="AG43" s="2">
        <f t="shared" si="134"/>
        <v>-813134.84770820744</v>
      </c>
      <c r="AH43" s="2">
        <f t="shared" si="134"/>
        <v>-874043.44443065859</v>
      </c>
      <c r="AI43" s="2">
        <f t="shared" si="134"/>
        <v>-934952.04115310975</v>
      </c>
      <c r="AJ43" s="2">
        <f t="shared" si="134"/>
        <v>-995860.6378755609</v>
      </c>
      <c r="AK43" s="2">
        <f t="shared" si="134"/>
        <v>-1056769.2345980119</v>
      </c>
      <c r="AL43" s="2">
        <f t="shared" si="134"/>
        <v>-1117677.831320463</v>
      </c>
    </row>
    <row r="44" spans="1:38">
      <c r="C44" s="9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8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-66866.323458525425</v>
      </c>
      <c r="S45" s="5">
        <f>SUM(S37:S44)</f>
        <v>-76888.595338488478</v>
      </c>
      <c r="T45" s="5">
        <f t="shared" si="135"/>
        <v>-89280.206629586188</v>
      </c>
      <c r="U45" s="5">
        <f t="shared" si="135"/>
        <v>-128436.44298825483</v>
      </c>
      <c r="V45" s="5">
        <f t="shared" si="135"/>
        <v>-195761.35756513235</v>
      </c>
      <c r="W45" s="5">
        <f t="shared" si="135"/>
        <v>-267838.81172545167</v>
      </c>
      <c r="X45" s="5">
        <f t="shared" si="135"/>
        <v>-341937.5219632471</v>
      </c>
      <c r="Y45" s="5">
        <f t="shared" si="135"/>
        <v>-416036.23220104253</v>
      </c>
      <c r="Z45" s="5">
        <f t="shared" si="135"/>
        <v>-490134.94243883796</v>
      </c>
      <c r="AA45" s="5">
        <f t="shared" si="135"/>
        <v>-564233.65267663333</v>
      </c>
      <c r="AB45" s="5">
        <f t="shared" si="135"/>
        <v>-638332.36291442881</v>
      </c>
      <c r="AC45" s="5">
        <f t="shared" si="135"/>
        <v>-712431.0731522243</v>
      </c>
      <c r="AD45" s="5">
        <f t="shared" si="135"/>
        <v>-786529.78339001979</v>
      </c>
      <c r="AE45" s="5">
        <f t="shared" si="135"/>
        <v>-860628.49362781527</v>
      </c>
      <c r="AF45" s="5">
        <f t="shared" si="135"/>
        <v>-934727.20386561076</v>
      </c>
      <c r="AG45" s="5">
        <f t="shared" si="135"/>
        <v>-1008825.9141034062</v>
      </c>
      <c r="AH45" s="5">
        <f t="shared" si="135"/>
        <v>-1082924.6243412017</v>
      </c>
      <c r="AI45" s="5">
        <f t="shared" si="135"/>
        <v>-1157023.3345789972</v>
      </c>
      <c r="AJ45" s="5">
        <f t="shared" si="135"/>
        <v>-1231122.0448167927</v>
      </c>
      <c r="AK45" s="5">
        <f t="shared" si="135"/>
        <v>-1305220.755054588</v>
      </c>
      <c r="AL45" s="5">
        <f>SUM(AL37:AL44)</f>
        <v>-1379319.4652923835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584.81390868806841</v>
      </c>
      <c r="S48" s="2">
        <f t="shared" si="138"/>
        <v>584.81390868806841</v>
      </c>
      <c r="T48" s="2">
        <f t="shared" si="138"/>
        <v>584.81390868806841</v>
      </c>
      <c r="U48" s="2">
        <f t="shared" si="138"/>
        <v>584.81390868806841</v>
      </c>
      <c r="V48" s="2">
        <f t="shared" si="138"/>
        <v>584.81390868806841</v>
      </c>
      <c r="W48" s="2">
        <f t="shared" si="138"/>
        <v>584.81390868806841</v>
      </c>
      <c r="X48" s="2">
        <f t="shared" si="138"/>
        <v>584.81390868806841</v>
      </c>
      <c r="Y48" s="2">
        <f t="shared" si="138"/>
        <v>584.81390868806841</v>
      </c>
      <c r="Z48" s="2">
        <f t="shared" si="138"/>
        <v>584.81390868806841</v>
      </c>
      <c r="AA48" s="2">
        <f t="shared" si="138"/>
        <v>584.81390868806841</v>
      </c>
      <c r="AB48" s="2">
        <f t="shared" si="138"/>
        <v>584.81390868806841</v>
      </c>
      <c r="AC48" s="2">
        <f t="shared" si="138"/>
        <v>584.81390868806841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4245.7269980445881</v>
      </c>
      <c r="S49" s="2">
        <f t="shared" si="141"/>
        <v>4245.7269980445881</v>
      </c>
      <c r="T49" s="2">
        <f t="shared" si="141"/>
        <v>4245.7269980445881</v>
      </c>
      <c r="U49" s="2">
        <f t="shared" si="141"/>
        <v>4245.7269980445881</v>
      </c>
      <c r="V49" s="2">
        <f t="shared" si="141"/>
        <v>4245.7269980445881</v>
      </c>
      <c r="W49" s="2">
        <f t="shared" si="141"/>
        <v>4245.7269980445881</v>
      </c>
      <c r="X49" s="2">
        <f t="shared" si="141"/>
        <v>4245.7269980445881</v>
      </c>
      <c r="Y49" s="2">
        <f t="shared" si="141"/>
        <v>4245.7269980445881</v>
      </c>
      <c r="Z49" s="2">
        <f t="shared" si="141"/>
        <v>4245.7269980445881</v>
      </c>
      <c r="AA49" s="2">
        <f t="shared" si="141"/>
        <v>4245.7269980445881</v>
      </c>
      <c r="AB49" s="2">
        <f t="shared" si="141"/>
        <v>4245.7269980445881</v>
      </c>
      <c r="AC49" s="2">
        <f t="shared" si="141"/>
        <v>4245.7269980445881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142</v>
      </c>
      <c r="D50" s="107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8233.9059090744886</v>
      </c>
      <c r="S50" s="2">
        <f t="shared" si="144"/>
        <v>8233.9059090744886</v>
      </c>
      <c r="T50" s="2">
        <f t="shared" si="144"/>
        <v>8233.9059090744886</v>
      </c>
      <c r="U50" s="2">
        <f t="shared" si="144"/>
        <v>8233.9059090744886</v>
      </c>
      <c r="V50" s="2">
        <f t="shared" si="144"/>
        <v>8233.9059090744886</v>
      </c>
      <c r="W50" s="2">
        <f t="shared" si="144"/>
        <v>8233.9059090744886</v>
      </c>
      <c r="X50" s="2">
        <f t="shared" si="144"/>
        <v>8233.9059090744886</v>
      </c>
      <c r="Y50" s="2">
        <f t="shared" si="144"/>
        <v>8233.9059090744886</v>
      </c>
      <c r="Z50" s="2">
        <f t="shared" si="144"/>
        <v>8233.9059090744886</v>
      </c>
      <c r="AA50" s="2">
        <f t="shared" si="144"/>
        <v>8233.9059090744886</v>
      </c>
      <c r="AB50" s="2">
        <f t="shared" si="144"/>
        <v>8233.9059090744886</v>
      </c>
      <c r="AC50" s="2">
        <f t="shared" si="144"/>
        <v>8233.9059090744886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149</v>
      </c>
      <c r="D51" s="107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139</v>
      </c>
      <c r="D52" s="109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4319.0524008520042</v>
      </c>
      <c r="S52" s="2">
        <f t="shared" si="150"/>
        <v>4319.0524008520042</v>
      </c>
      <c r="T52" s="2">
        <f t="shared" si="150"/>
        <v>4319.0524008520042</v>
      </c>
      <c r="U52" s="2">
        <f t="shared" si="150"/>
        <v>4319.0524008520042</v>
      </c>
      <c r="V52" s="2">
        <f t="shared" si="150"/>
        <v>4319.0524008520042</v>
      </c>
      <c r="W52" s="2">
        <f t="shared" si="150"/>
        <v>4319.0524008520042</v>
      </c>
      <c r="X52" s="2">
        <f t="shared" si="150"/>
        <v>4319.0524008520042</v>
      </c>
      <c r="Y52" s="2">
        <f t="shared" si="150"/>
        <v>4319.0524008520042</v>
      </c>
      <c r="Z52" s="2">
        <f t="shared" si="150"/>
        <v>4319.0524008520042</v>
      </c>
      <c r="AA52" s="2">
        <f t="shared" si="150"/>
        <v>4319.0524008520042</v>
      </c>
      <c r="AB52" s="2">
        <f t="shared" si="150"/>
        <v>4319.0524008520042</v>
      </c>
      <c r="AC52" s="2">
        <f t="shared" si="150"/>
        <v>4319.0524008520042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151</v>
      </c>
      <c r="D53" s="109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48770.009264498491</v>
      </c>
      <c r="S54" s="2">
        <f t="shared" si="157"/>
        <v>48770.009264498491</v>
      </c>
      <c r="T54" s="2">
        <f t="shared" si="157"/>
        <v>48770.009264498491</v>
      </c>
      <c r="U54" s="2">
        <f t="shared" si="157"/>
        <v>48770.009264498491</v>
      </c>
      <c r="V54" s="2">
        <f t="shared" si="157"/>
        <v>48770.009264498491</v>
      </c>
      <c r="W54" s="2">
        <f t="shared" si="157"/>
        <v>48770.009264498491</v>
      </c>
      <c r="X54" s="2">
        <f t="shared" si="157"/>
        <v>48770.009264498491</v>
      </c>
      <c r="Y54" s="2">
        <f t="shared" si="157"/>
        <v>48770.009264498491</v>
      </c>
      <c r="Z54" s="2">
        <f t="shared" si="157"/>
        <v>48770.009264498491</v>
      </c>
      <c r="AA54" s="2">
        <f t="shared" si="157"/>
        <v>48770.009264498491</v>
      </c>
      <c r="AB54" s="2">
        <f t="shared" si="157"/>
        <v>48770.009264498491</v>
      </c>
      <c r="AC54" s="2">
        <f t="shared" si="157"/>
        <v>48770.009264498491</v>
      </c>
      <c r="AD54" s="2">
        <f>($AL$10-$AC$10)*$D$54/12</f>
        <v>0</v>
      </c>
      <c r="AE54" s="2">
        <f t="shared" ref="AE54:AL54" si="158">($AL$10-$AC$10)*$D$54/12</f>
        <v>0</v>
      </c>
      <c r="AF54" s="2">
        <f t="shared" si="158"/>
        <v>0</v>
      </c>
      <c r="AG54" s="2">
        <f t="shared" si="158"/>
        <v>0</v>
      </c>
      <c r="AH54" s="2">
        <f t="shared" si="158"/>
        <v>0</v>
      </c>
      <c r="AI54" s="2">
        <f t="shared" si="158"/>
        <v>0</v>
      </c>
      <c r="AJ54" s="2">
        <f t="shared" si="158"/>
        <v>0</v>
      </c>
      <c r="AK54" s="2">
        <f t="shared" si="158"/>
        <v>0</v>
      </c>
      <c r="AL54" s="2">
        <f t="shared" si="158"/>
        <v>0</v>
      </c>
    </row>
    <row r="55" spans="1:38">
      <c r="C55" s="9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8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66153.508481157638</v>
      </c>
      <c r="S56" s="5">
        <f t="shared" ref="S56:AL56" si="160">SUM(S48:S55)</f>
        <v>66153.508481157638</v>
      </c>
      <c r="T56" s="5">
        <f t="shared" si="160"/>
        <v>66153.508481157638</v>
      </c>
      <c r="U56" s="5">
        <f t="shared" si="160"/>
        <v>66153.508481157638</v>
      </c>
      <c r="V56" s="5">
        <f t="shared" si="160"/>
        <v>66153.508481157638</v>
      </c>
      <c r="W56" s="5">
        <f t="shared" si="160"/>
        <v>66153.508481157638</v>
      </c>
      <c r="X56" s="5">
        <f t="shared" si="160"/>
        <v>66153.508481157638</v>
      </c>
      <c r="Y56" s="5">
        <f t="shared" si="160"/>
        <v>66153.508481157638</v>
      </c>
      <c r="Z56" s="5">
        <f t="shared" si="160"/>
        <v>66153.508481157638</v>
      </c>
      <c r="AA56" s="5">
        <f t="shared" si="160"/>
        <v>66153.508481157638</v>
      </c>
      <c r="AB56" s="5">
        <f t="shared" si="160"/>
        <v>66153.508481157638</v>
      </c>
      <c r="AC56" s="5">
        <f t="shared" si="160"/>
        <v>66153.508481157638</v>
      </c>
      <c r="AD56" s="5">
        <f>SUM(AD48:AD55)</f>
        <v>0</v>
      </c>
      <c r="AE56" s="5">
        <f t="shared" si="160"/>
        <v>0</v>
      </c>
      <c r="AF56" s="5">
        <f t="shared" si="160"/>
        <v>0</v>
      </c>
      <c r="AG56" s="5">
        <f t="shared" si="160"/>
        <v>0</v>
      </c>
      <c r="AH56" s="5">
        <f t="shared" si="160"/>
        <v>0</v>
      </c>
      <c r="AI56" s="5">
        <f t="shared" si="160"/>
        <v>0</v>
      </c>
      <c r="AJ56" s="5">
        <f t="shared" si="160"/>
        <v>0</v>
      </c>
      <c r="AK56" s="5">
        <f t="shared" si="160"/>
        <v>0</v>
      </c>
      <c r="AL56" s="5">
        <f t="shared" si="160"/>
        <v>0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1125.8057618184444</v>
      </c>
      <c r="AE58" s="2">
        <f t="shared" ref="AE58:AL58" si="162">($AC$4-$P$4)*$D$58/12</f>
        <v>1125.8057618184444</v>
      </c>
      <c r="AF58" s="2">
        <f t="shared" si="162"/>
        <v>1125.8057618184444</v>
      </c>
      <c r="AG58" s="2">
        <f t="shared" si="162"/>
        <v>1125.8057618184444</v>
      </c>
      <c r="AH58" s="2">
        <f t="shared" si="162"/>
        <v>1125.8057618184444</v>
      </c>
      <c r="AI58" s="2">
        <f t="shared" si="162"/>
        <v>1125.8057618184444</v>
      </c>
      <c r="AJ58" s="2">
        <f t="shared" si="162"/>
        <v>1125.8057618184444</v>
      </c>
      <c r="AK58" s="2">
        <f t="shared" si="162"/>
        <v>1125.8057618184444</v>
      </c>
      <c r="AL58" s="2">
        <f t="shared" si="162"/>
        <v>1125.8057618184444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8173.3075197023691</v>
      </c>
      <c r="AE59" s="2">
        <f t="shared" ref="AE59:AL59" si="165">($AC$5-$P$5)*$D$59/12</f>
        <v>8173.3075197023691</v>
      </c>
      <c r="AF59" s="2">
        <f t="shared" si="165"/>
        <v>8173.3075197023691</v>
      </c>
      <c r="AG59" s="2">
        <f t="shared" si="165"/>
        <v>8173.3075197023691</v>
      </c>
      <c r="AH59" s="2">
        <f t="shared" si="165"/>
        <v>8173.3075197023691</v>
      </c>
      <c r="AI59" s="2">
        <f t="shared" si="165"/>
        <v>8173.3075197023691</v>
      </c>
      <c r="AJ59" s="2">
        <f t="shared" si="165"/>
        <v>8173.3075197023691</v>
      </c>
      <c r="AK59" s="2">
        <f t="shared" si="165"/>
        <v>8173.3075197023691</v>
      </c>
      <c r="AL59" s="2">
        <f t="shared" si="165"/>
        <v>8173.3075197023691</v>
      </c>
    </row>
    <row r="60" spans="1:38">
      <c r="C60" t="s">
        <v>142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15850.817802028998</v>
      </c>
      <c r="AE60" s="2">
        <f t="shared" ref="AE60:AL60" si="167">($AC$6-$P$6)*$D$60/12</f>
        <v>15850.817802028998</v>
      </c>
      <c r="AF60" s="2">
        <f t="shared" si="167"/>
        <v>15850.817802028998</v>
      </c>
      <c r="AG60" s="2">
        <f t="shared" si="167"/>
        <v>15850.817802028998</v>
      </c>
      <c r="AH60" s="2">
        <f t="shared" si="167"/>
        <v>15850.817802028998</v>
      </c>
      <c r="AI60" s="2">
        <f t="shared" si="167"/>
        <v>15850.817802028998</v>
      </c>
      <c r="AJ60" s="2">
        <f t="shared" si="167"/>
        <v>15850.817802028998</v>
      </c>
      <c r="AK60" s="2">
        <f t="shared" si="167"/>
        <v>15850.817802028998</v>
      </c>
      <c r="AL60" s="2">
        <f t="shared" si="167"/>
        <v>15850.817802028998</v>
      </c>
    </row>
    <row r="61" spans="1:38">
      <c r="C61" t="s">
        <v>149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139</v>
      </c>
      <c r="D62" s="107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7401.9309514951419</v>
      </c>
      <c r="AE62" s="2">
        <f t="shared" ref="AE62:AL62" si="171">($AC$8-$P$8)*$D$62/12</f>
        <v>7401.9309514951419</v>
      </c>
      <c r="AF62" s="2">
        <f t="shared" si="171"/>
        <v>7401.9309514951419</v>
      </c>
      <c r="AG62" s="2">
        <f t="shared" si="171"/>
        <v>7401.9309514951419</v>
      </c>
      <c r="AH62" s="2">
        <f t="shared" si="171"/>
        <v>7401.9309514951419</v>
      </c>
      <c r="AI62" s="2">
        <f t="shared" si="171"/>
        <v>7401.9309514951419</v>
      </c>
      <c r="AJ62" s="2">
        <f t="shared" si="171"/>
        <v>7401.9309514951419</v>
      </c>
      <c r="AK62" s="2">
        <f t="shared" si="171"/>
        <v>7401.9309514951419</v>
      </c>
      <c r="AL62" s="2">
        <f t="shared" si="171"/>
        <v>7401.9309514951419</v>
      </c>
    </row>
    <row r="63" spans="1:38">
      <c r="C63" t="s">
        <v>151</v>
      </c>
      <c r="D63" s="107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97510.762374669153</v>
      </c>
      <c r="AE64" s="2">
        <f t="shared" ref="AE64:AL64" si="175">($AC$10-$P$10)*$D$64/12</f>
        <v>97510.762374669153</v>
      </c>
      <c r="AF64" s="2">
        <f t="shared" si="175"/>
        <v>97510.762374669153</v>
      </c>
      <c r="AG64" s="2">
        <f t="shared" si="175"/>
        <v>97510.762374669153</v>
      </c>
      <c r="AH64" s="2">
        <f t="shared" si="175"/>
        <v>97510.762374669153</v>
      </c>
      <c r="AI64" s="2">
        <f t="shared" si="175"/>
        <v>97510.762374669153</v>
      </c>
      <c r="AJ64" s="2">
        <f t="shared" si="175"/>
        <v>97510.762374669153</v>
      </c>
      <c r="AK64" s="2">
        <f t="shared" si="175"/>
        <v>97510.762374669153</v>
      </c>
      <c r="AL64" s="2">
        <f t="shared" si="175"/>
        <v>97510.762374669153</v>
      </c>
    </row>
    <row r="65" spans="1:38">
      <c r="C65" s="9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8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130062.6244097141</v>
      </c>
      <c r="AE66" s="5">
        <f t="shared" si="177"/>
        <v>130062.6244097141</v>
      </c>
      <c r="AF66" s="5">
        <f t="shared" si="177"/>
        <v>130062.6244097141</v>
      </c>
      <c r="AG66" s="5">
        <f t="shared" si="177"/>
        <v>130062.6244097141</v>
      </c>
      <c r="AH66" s="5">
        <f t="shared" si="177"/>
        <v>130062.6244097141</v>
      </c>
      <c r="AI66" s="5">
        <f t="shared" si="177"/>
        <v>130062.6244097141</v>
      </c>
      <c r="AJ66" s="5">
        <f t="shared" si="177"/>
        <v>130062.6244097141</v>
      </c>
      <c r="AK66" s="5">
        <f t="shared" si="177"/>
        <v>130062.6244097141</v>
      </c>
      <c r="AL66" s="5">
        <f t="shared" si="177"/>
        <v>130062.6244097141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142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149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139</v>
      </c>
      <c r="D72" s="107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151</v>
      </c>
      <c r="D73" s="107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9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8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584.81390868806841</v>
      </c>
      <c r="S78" s="2">
        <f t="shared" si="188"/>
        <v>584.81390868806841</v>
      </c>
      <c r="T78" s="2">
        <f t="shared" si="188"/>
        <v>584.81390868806841</v>
      </c>
      <c r="U78" s="2">
        <f t="shared" si="188"/>
        <v>584.81390868806841</v>
      </c>
      <c r="V78" s="2">
        <f t="shared" si="188"/>
        <v>584.81390868806841</v>
      </c>
      <c r="W78" s="2">
        <f t="shared" si="188"/>
        <v>584.81390868806841</v>
      </c>
      <c r="X78" s="2">
        <f t="shared" si="188"/>
        <v>584.81390868806841</v>
      </c>
      <c r="Y78" s="2">
        <f t="shared" si="188"/>
        <v>584.81390868806841</v>
      </c>
      <c r="Z78" s="2">
        <f t="shared" si="188"/>
        <v>584.81390868806841</v>
      </c>
      <c r="AA78" s="2">
        <f t="shared" si="188"/>
        <v>584.81390868806841</v>
      </c>
      <c r="AB78" s="2">
        <f t="shared" si="188"/>
        <v>584.81390868806841</v>
      </c>
      <c r="AC78" s="2">
        <f t="shared" si="188"/>
        <v>584.81390868806841</v>
      </c>
      <c r="AD78" s="2">
        <f t="shared" si="188"/>
        <v>1125.8057618184444</v>
      </c>
      <c r="AE78" s="2">
        <f t="shared" si="188"/>
        <v>1125.8057618184444</v>
      </c>
      <c r="AF78" s="2">
        <f t="shared" si="188"/>
        <v>1125.8057618184444</v>
      </c>
      <c r="AG78" s="2">
        <f t="shared" si="188"/>
        <v>1125.8057618184444</v>
      </c>
      <c r="AH78" s="2">
        <f t="shared" si="188"/>
        <v>1125.8057618184444</v>
      </c>
      <c r="AI78" s="2">
        <f t="shared" si="188"/>
        <v>1125.8057618184444</v>
      </c>
      <c r="AJ78" s="2">
        <f t="shared" si="188"/>
        <v>1125.8057618184444</v>
      </c>
      <c r="AK78" s="2">
        <f t="shared" si="188"/>
        <v>1125.8057618184444</v>
      </c>
      <c r="AL78" s="2">
        <f t="shared" si="188"/>
        <v>1125.8057618184444</v>
      </c>
    </row>
    <row r="79" spans="1:38">
      <c r="C79" t="s">
        <v>14</v>
      </c>
      <c r="D79" s="15"/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5111.2600136077681</v>
      </c>
      <c r="S79" s="2">
        <f t="shared" si="191"/>
        <v>5111.2600136077681</v>
      </c>
      <c r="T79" s="2">
        <f t="shared" si="191"/>
        <v>5111.2600136077681</v>
      </c>
      <c r="U79" s="2">
        <f t="shared" si="191"/>
        <v>5111.2600136077681</v>
      </c>
      <c r="V79" s="2">
        <f t="shared" si="191"/>
        <v>5111.2600136077681</v>
      </c>
      <c r="W79" s="2">
        <f t="shared" si="191"/>
        <v>5111.2600136077681</v>
      </c>
      <c r="X79" s="2">
        <f t="shared" si="191"/>
        <v>5111.2600136077681</v>
      </c>
      <c r="Y79" s="2">
        <f t="shared" si="191"/>
        <v>5111.2600136077681</v>
      </c>
      <c r="Z79" s="2">
        <f t="shared" si="191"/>
        <v>5111.2600136077681</v>
      </c>
      <c r="AA79" s="2">
        <f t="shared" si="191"/>
        <v>5111.2600136077681</v>
      </c>
      <c r="AB79" s="2">
        <f t="shared" si="191"/>
        <v>5111.2600136077681</v>
      </c>
      <c r="AC79" s="2">
        <f t="shared" si="191"/>
        <v>5111.2600136077681</v>
      </c>
      <c r="AD79" s="2">
        <f t="shared" si="191"/>
        <v>8973.85661859631</v>
      </c>
      <c r="AE79" s="2">
        <f t="shared" si="191"/>
        <v>8973.85661859631</v>
      </c>
      <c r="AF79" s="2">
        <f t="shared" si="191"/>
        <v>8973.85661859631</v>
      </c>
      <c r="AG79" s="2">
        <f t="shared" si="191"/>
        <v>8973.85661859631</v>
      </c>
      <c r="AH79" s="2">
        <f t="shared" si="191"/>
        <v>8973.85661859631</v>
      </c>
      <c r="AI79" s="2">
        <f t="shared" si="191"/>
        <v>8973.85661859631</v>
      </c>
      <c r="AJ79" s="2">
        <f t="shared" si="191"/>
        <v>8973.85661859631</v>
      </c>
      <c r="AK79" s="2">
        <f t="shared" si="191"/>
        <v>8973.85661859631</v>
      </c>
      <c r="AL79" s="2">
        <f t="shared" si="191"/>
        <v>8973.85661859631</v>
      </c>
    </row>
    <row r="80" spans="1:38">
      <c r="C80" t="s">
        <v>142</v>
      </c>
      <c r="D80" s="15"/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11572.029207220749</v>
      </c>
      <c r="S80" s="2">
        <f t="shared" si="193"/>
        <v>11572.029207220749</v>
      </c>
      <c r="T80" s="2">
        <f t="shared" si="193"/>
        <v>11572.029207220749</v>
      </c>
      <c r="U80" s="2">
        <f t="shared" si="193"/>
        <v>11572.029207220749</v>
      </c>
      <c r="V80" s="2">
        <f t="shared" si="193"/>
        <v>11572.029207220749</v>
      </c>
      <c r="W80" s="2">
        <f t="shared" si="193"/>
        <v>11572.029207220749</v>
      </c>
      <c r="X80" s="2">
        <f t="shared" si="193"/>
        <v>11572.029207220749</v>
      </c>
      <c r="Y80" s="2">
        <f t="shared" si="193"/>
        <v>11572.029207220749</v>
      </c>
      <c r="Z80" s="2">
        <f t="shared" si="193"/>
        <v>11572.029207220749</v>
      </c>
      <c r="AA80" s="2">
        <f t="shared" si="193"/>
        <v>11572.029207220749</v>
      </c>
      <c r="AB80" s="2">
        <f t="shared" si="193"/>
        <v>11572.029207220749</v>
      </c>
      <c r="AC80" s="2">
        <f t="shared" si="193"/>
        <v>11572.029207220749</v>
      </c>
      <c r="AD80" s="2">
        <f t="shared" si="193"/>
        <v>18938.31596821858</v>
      </c>
      <c r="AE80" s="2">
        <f t="shared" si="193"/>
        <v>18938.31596821858</v>
      </c>
      <c r="AF80" s="2">
        <f t="shared" si="193"/>
        <v>18938.31596821858</v>
      </c>
      <c r="AG80" s="2">
        <f t="shared" si="193"/>
        <v>18938.31596821858</v>
      </c>
      <c r="AH80" s="2">
        <f t="shared" si="193"/>
        <v>18938.31596821858</v>
      </c>
      <c r="AI80" s="2">
        <f t="shared" si="193"/>
        <v>18938.31596821858</v>
      </c>
      <c r="AJ80" s="2">
        <f t="shared" si="193"/>
        <v>18938.31596821858</v>
      </c>
      <c r="AK80" s="2">
        <f t="shared" si="193"/>
        <v>18938.31596821858</v>
      </c>
      <c r="AL80" s="2">
        <f t="shared" si="193"/>
        <v>18938.31596821858</v>
      </c>
    </row>
    <row r="81" spans="1:38">
      <c r="C81" t="s">
        <v>149</v>
      </c>
      <c r="D81" s="15"/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2689.5736542900499</v>
      </c>
      <c r="S81" s="2">
        <f t="shared" si="195"/>
        <v>2689.5736542900499</v>
      </c>
      <c r="T81" s="2">
        <f t="shared" si="195"/>
        <v>2689.5736542900499</v>
      </c>
      <c r="U81" s="2">
        <f t="shared" si="195"/>
        <v>2689.5736542900499</v>
      </c>
      <c r="V81" s="2">
        <f t="shared" si="195"/>
        <v>2689.5736542900499</v>
      </c>
      <c r="W81" s="2">
        <f t="shared" si="195"/>
        <v>2689.5736542900499</v>
      </c>
      <c r="X81" s="2">
        <f t="shared" si="195"/>
        <v>2689.5736542900499</v>
      </c>
      <c r="Y81" s="2">
        <f t="shared" si="195"/>
        <v>2689.5736542900499</v>
      </c>
      <c r="Z81" s="2">
        <f t="shared" si="195"/>
        <v>2689.5736542900499</v>
      </c>
      <c r="AA81" s="2">
        <f t="shared" si="195"/>
        <v>2689.5736542900499</v>
      </c>
      <c r="AB81" s="2">
        <f t="shared" si="195"/>
        <v>2689.5736542900499</v>
      </c>
      <c r="AC81" s="2">
        <f t="shared" si="195"/>
        <v>2689.5736542900499</v>
      </c>
      <c r="AD81" s="2">
        <f t="shared" si="195"/>
        <v>2487.6414031991499</v>
      </c>
      <c r="AE81" s="2">
        <f t="shared" si="195"/>
        <v>2487.6414031991499</v>
      </c>
      <c r="AF81" s="2">
        <f t="shared" si="195"/>
        <v>2487.6414031991499</v>
      </c>
      <c r="AG81" s="2">
        <f t="shared" si="195"/>
        <v>2487.6414031991499</v>
      </c>
      <c r="AH81" s="2">
        <f t="shared" si="195"/>
        <v>2487.6414031991499</v>
      </c>
      <c r="AI81" s="2">
        <f t="shared" si="195"/>
        <v>2487.6414031991499</v>
      </c>
      <c r="AJ81" s="2">
        <f t="shared" si="195"/>
        <v>2487.6414031991499</v>
      </c>
      <c r="AK81" s="2">
        <f t="shared" si="195"/>
        <v>2487.6414031991499</v>
      </c>
      <c r="AL81" s="2">
        <f t="shared" si="195"/>
        <v>2487.6414031991499</v>
      </c>
    </row>
    <row r="82" spans="1:38">
      <c r="C82" t="s">
        <v>139</v>
      </c>
      <c r="D82" s="15"/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13142.199535780122</v>
      </c>
      <c r="S82" s="2">
        <f t="shared" si="197"/>
        <v>13142.199535780122</v>
      </c>
      <c r="T82" s="2">
        <f t="shared" si="197"/>
        <v>13142.199535780122</v>
      </c>
      <c r="U82" s="2">
        <f t="shared" si="197"/>
        <v>13142.199535780122</v>
      </c>
      <c r="V82" s="2">
        <f t="shared" si="197"/>
        <v>13142.199535780122</v>
      </c>
      <c r="W82" s="2">
        <f t="shared" si="197"/>
        <v>13142.199535780122</v>
      </c>
      <c r="X82" s="2">
        <f t="shared" si="197"/>
        <v>13142.199535780122</v>
      </c>
      <c r="Y82" s="2">
        <f t="shared" si="197"/>
        <v>13142.199535780122</v>
      </c>
      <c r="Z82" s="2">
        <f t="shared" si="197"/>
        <v>13142.199535780122</v>
      </c>
      <c r="AA82" s="2">
        <f t="shared" si="197"/>
        <v>13142.199535780122</v>
      </c>
      <c r="AB82" s="2">
        <f t="shared" si="197"/>
        <v>13142.199535780122</v>
      </c>
      <c r="AC82" s="2">
        <f t="shared" si="197"/>
        <v>13142.199535780122</v>
      </c>
      <c r="AD82" s="2">
        <f t="shared" si="197"/>
        <v>13703.149546427474</v>
      </c>
      <c r="AE82" s="2">
        <f t="shared" si="197"/>
        <v>13703.149546427474</v>
      </c>
      <c r="AF82" s="2">
        <f t="shared" si="197"/>
        <v>13703.149546427474</v>
      </c>
      <c r="AG82" s="2">
        <f t="shared" si="197"/>
        <v>13703.149546427474</v>
      </c>
      <c r="AH82" s="2">
        <f t="shared" si="197"/>
        <v>13703.149546427474</v>
      </c>
      <c r="AI82" s="2">
        <f t="shared" si="197"/>
        <v>13703.149546427474</v>
      </c>
      <c r="AJ82" s="2">
        <f t="shared" si="197"/>
        <v>13703.149546427474</v>
      </c>
      <c r="AK82" s="2">
        <f t="shared" si="197"/>
        <v>13703.149546427474</v>
      </c>
      <c r="AL82" s="2">
        <f t="shared" si="197"/>
        <v>13703.149546427474</v>
      </c>
    </row>
    <row r="83" spans="1:38">
      <c r="C83" t="s">
        <v>151</v>
      </c>
      <c r="D83" s="15"/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869.73340560000031</v>
      </c>
      <c r="S83" s="2">
        <f t="shared" si="199"/>
        <v>869.73340560000031</v>
      </c>
      <c r="T83" s="2">
        <f t="shared" si="199"/>
        <v>869.73340560000031</v>
      </c>
      <c r="U83" s="2">
        <f t="shared" si="199"/>
        <v>869.73340560000031</v>
      </c>
      <c r="V83" s="2">
        <f t="shared" si="199"/>
        <v>869.73340560000031</v>
      </c>
      <c r="W83" s="2">
        <f t="shared" si="199"/>
        <v>869.73340560000031</v>
      </c>
      <c r="X83" s="2">
        <f t="shared" si="199"/>
        <v>869.73340560000031</v>
      </c>
      <c r="Y83" s="2">
        <f t="shared" si="199"/>
        <v>869.73340560000031</v>
      </c>
      <c r="Z83" s="2">
        <f t="shared" si="199"/>
        <v>869.73340560000031</v>
      </c>
      <c r="AA83" s="2">
        <f t="shared" si="199"/>
        <v>869.73340560000031</v>
      </c>
      <c r="AB83" s="2">
        <f t="shared" si="199"/>
        <v>869.73340560000031</v>
      </c>
      <c r="AC83" s="2">
        <f t="shared" si="199"/>
        <v>869.73340560000031</v>
      </c>
      <c r="AD83" s="2">
        <f t="shared" si="199"/>
        <v>521.8400433600001</v>
      </c>
      <c r="AE83" s="2">
        <f t="shared" si="199"/>
        <v>521.8400433600001</v>
      </c>
      <c r="AF83" s="2">
        <f t="shared" si="199"/>
        <v>521.8400433600001</v>
      </c>
      <c r="AG83" s="2">
        <f t="shared" si="199"/>
        <v>521.8400433600001</v>
      </c>
      <c r="AH83" s="2">
        <f t="shared" si="199"/>
        <v>521.8400433600001</v>
      </c>
      <c r="AI83" s="2">
        <f t="shared" si="199"/>
        <v>521.8400433600001</v>
      </c>
      <c r="AJ83" s="2">
        <f t="shared" si="199"/>
        <v>521.8400433600001</v>
      </c>
      <c r="AK83" s="2">
        <f t="shared" si="199"/>
        <v>521.8400433600001</v>
      </c>
      <c r="AL83" s="2">
        <f t="shared" si="199"/>
        <v>521.8400433600001</v>
      </c>
    </row>
    <row r="84" spans="1:38">
      <c r="C84" t="s">
        <v>19</v>
      </c>
      <c r="D84" s="15"/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52763.423327794102</v>
      </c>
      <c r="S84" s="2">
        <f t="shared" si="201"/>
        <v>52763.423327794102</v>
      </c>
      <c r="T84" s="2">
        <f t="shared" si="201"/>
        <v>52763.423327794102</v>
      </c>
      <c r="U84" s="2">
        <f t="shared" si="201"/>
        <v>52763.423327794102</v>
      </c>
      <c r="V84" s="2">
        <f t="shared" si="201"/>
        <v>52763.423327794102</v>
      </c>
      <c r="W84" s="2">
        <f t="shared" si="201"/>
        <v>52763.423327794102</v>
      </c>
      <c r="X84" s="2">
        <f t="shared" si="201"/>
        <v>52763.423327794102</v>
      </c>
      <c r="Y84" s="2">
        <f t="shared" si="201"/>
        <v>52763.423327794102</v>
      </c>
      <c r="Z84" s="2">
        <f t="shared" si="201"/>
        <v>52763.423327794102</v>
      </c>
      <c r="AA84" s="2">
        <f t="shared" si="201"/>
        <v>52763.423327794102</v>
      </c>
      <c r="AB84" s="2">
        <f t="shared" si="201"/>
        <v>52763.423327794102</v>
      </c>
      <c r="AC84" s="2">
        <f t="shared" si="201"/>
        <v>52763.423327794102</v>
      </c>
      <c r="AD84" s="2">
        <f t="shared" si="201"/>
        <v>101504.17643796476</v>
      </c>
      <c r="AE84" s="2">
        <f t="shared" si="201"/>
        <v>101504.17643796476</v>
      </c>
      <c r="AF84" s="2">
        <f t="shared" si="201"/>
        <v>101504.17643796476</v>
      </c>
      <c r="AG84" s="2">
        <f t="shared" si="201"/>
        <v>101504.17643796476</v>
      </c>
      <c r="AH84" s="2">
        <f t="shared" si="201"/>
        <v>101504.17643796476</v>
      </c>
      <c r="AI84" s="2">
        <f t="shared" si="201"/>
        <v>101504.17643796476</v>
      </c>
      <c r="AJ84" s="2">
        <f t="shared" si="201"/>
        <v>101504.17643796476</v>
      </c>
      <c r="AK84" s="2">
        <f t="shared" si="201"/>
        <v>101504.17643796476</v>
      </c>
      <c r="AL84" s="2">
        <f t="shared" si="201"/>
        <v>101504.17643796476</v>
      </c>
    </row>
    <row r="85" spans="1:38" ht="13.8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86733.033052980871</v>
      </c>
      <c r="S85" s="5">
        <f t="shared" ref="S85:AL85" si="203">SUM(S78:S84)</f>
        <v>86733.033052980871</v>
      </c>
      <c r="T85" s="5">
        <f t="shared" si="203"/>
        <v>86733.033052980871</v>
      </c>
      <c r="U85" s="5">
        <f t="shared" si="203"/>
        <v>86733.033052980871</v>
      </c>
      <c r="V85" s="5">
        <f t="shared" si="203"/>
        <v>86733.033052980871</v>
      </c>
      <c r="W85" s="5">
        <f t="shared" si="203"/>
        <v>86733.033052980871</v>
      </c>
      <c r="X85" s="5">
        <f t="shared" si="203"/>
        <v>86733.033052980871</v>
      </c>
      <c r="Y85" s="5">
        <f t="shared" si="203"/>
        <v>86733.033052980871</v>
      </c>
      <c r="Z85" s="5">
        <f t="shared" si="203"/>
        <v>86733.033052980871</v>
      </c>
      <c r="AA85" s="5">
        <f t="shared" si="203"/>
        <v>86733.033052980871</v>
      </c>
      <c r="AB85" s="5">
        <f t="shared" si="203"/>
        <v>86733.033052980871</v>
      </c>
      <c r="AC85" s="5">
        <f t="shared" si="203"/>
        <v>86733.033052980871</v>
      </c>
      <c r="AD85" s="5">
        <f t="shared" si="203"/>
        <v>147254.78577958472</v>
      </c>
      <c r="AE85" s="5">
        <f t="shared" si="203"/>
        <v>147254.78577958472</v>
      </c>
      <c r="AF85" s="5">
        <f t="shared" si="203"/>
        <v>147254.78577958472</v>
      </c>
      <c r="AG85" s="5">
        <f t="shared" si="203"/>
        <v>147254.78577958472</v>
      </c>
      <c r="AH85" s="5">
        <f t="shared" si="203"/>
        <v>147254.78577958472</v>
      </c>
      <c r="AI85" s="5">
        <f t="shared" si="203"/>
        <v>147254.78577958472</v>
      </c>
      <c r="AJ85" s="5">
        <f t="shared" si="203"/>
        <v>147254.78577958472</v>
      </c>
      <c r="AK85" s="5">
        <f t="shared" si="203"/>
        <v>147254.78577958472</v>
      </c>
      <c r="AL85" s="5">
        <f t="shared" si="203"/>
        <v>147254.78577958472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-584.81390868806841</v>
      </c>
      <c r="S88" s="2">
        <f t="shared" ref="S88" si="206">R88-S78</f>
        <v>-1169.6278173761368</v>
      </c>
      <c r="T88" s="2">
        <f t="shared" ref="T88:AL88" si="207">S88-T78</f>
        <v>-1754.4417260642053</v>
      </c>
      <c r="U88" s="2">
        <f t="shared" si="207"/>
        <v>-2339.2556347522736</v>
      </c>
      <c r="V88" s="2">
        <f t="shared" si="207"/>
        <v>-2924.0695434403419</v>
      </c>
      <c r="W88" s="2">
        <f t="shared" si="207"/>
        <v>-3508.8834521284102</v>
      </c>
      <c r="X88" s="2">
        <f t="shared" si="207"/>
        <v>-4093.6973608164785</v>
      </c>
      <c r="Y88" s="2">
        <f t="shared" si="207"/>
        <v>-4678.5112695045473</v>
      </c>
      <c r="Z88" s="2">
        <f t="shared" si="207"/>
        <v>-5263.3251781926156</v>
      </c>
      <c r="AA88" s="2">
        <f t="shared" si="207"/>
        <v>-5848.1390868806839</v>
      </c>
      <c r="AB88" s="2">
        <f t="shared" si="207"/>
        <v>-6432.9529955687522</v>
      </c>
      <c r="AC88" s="2">
        <f t="shared" si="207"/>
        <v>-7017.7669042568205</v>
      </c>
      <c r="AD88" s="2">
        <f t="shared" si="207"/>
        <v>-8143.5726660752644</v>
      </c>
      <c r="AE88" s="2">
        <f t="shared" si="207"/>
        <v>-9269.3784278937092</v>
      </c>
      <c r="AF88" s="2">
        <f t="shared" si="207"/>
        <v>-10395.184189712154</v>
      </c>
      <c r="AG88" s="2">
        <f t="shared" si="207"/>
        <v>-11520.989951530599</v>
      </c>
      <c r="AH88" s="2">
        <f t="shared" si="207"/>
        <v>-12646.795713349044</v>
      </c>
      <c r="AI88" s="2">
        <f t="shared" si="207"/>
        <v>-13772.601475167488</v>
      </c>
      <c r="AJ88" s="2">
        <f t="shared" si="207"/>
        <v>-14898.407236985933</v>
      </c>
      <c r="AK88" s="2">
        <f t="shared" si="207"/>
        <v>-16024.212998804378</v>
      </c>
      <c r="AL88" s="2">
        <f t="shared" si="207"/>
        <v>-17150.018760622821</v>
      </c>
    </row>
    <row r="89" spans="1:38">
      <c r="C89" t="s">
        <v>14</v>
      </c>
      <c r="D89" s="15"/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-10506.603648507768</v>
      </c>
      <c r="S89" s="2">
        <f t="shared" ref="S89:AL89" si="212">R89-S79</f>
        <v>-15617.863662115535</v>
      </c>
      <c r="T89" s="2">
        <f t="shared" si="212"/>
        <v>-20729.123675723302</v>
      </c>
      <c r="U89" s="2">
        <f t="shared" si="212"/>
        <v>-25840.383689331069</v>
      </c>
      <c r="V89" s="2">
        <f t="shared" si="212"/>
        <v>-30951.643702938836</v>
      </c>
      <c r="W89" s="2">
        <f t="shared" si="212"/>
        <v>-36062.903716546607</v>
      </c>
      <c r="X89" s="2">
        <f t="shared" si="212"/>
        <v>-41174.163730154374</v>
      </c>
      <c r="Y89" s="2">
        <f t="shared" si="212"/>
        <v>-46285.423743762141</v>
      </c>
      <c r="Z89" s="2">
        <f t="shared" si="212"/>
        <v>-51396.683757369909</v>
      </c>
      <c r="AA89" s="2">
        <f t="shared" si="212"/>
        <v>-56507.943770977676</v>
      </c>
      <c r="AB89" s="2">
        <f t="shared" si="212"/>
        <v>-61619.203784585443</v>
      </c>
      <c r="AC89" s="2">
        <f t="shared" si="212"/>
        <v>-66730.463798193217</v>
      </c>
      <c r="AD89" s="2">
        <f t="shared" si="212"/>
        <v>-75704.320416789531</v>
      </c>
      <c r="AE89" s="2">
        <f t="shared" si="212"/>
        <v>-84678.177035385845</v>
      </c>
      <c r="AF89" s="2">
        <f t="shared" si="212"/>
        <v>-93652.033653982158</v>
      </c>
      <c r="AG89" s="2">
        <f t="shared" si="212"/>
        <v>-102625.89027257847</v>
      </c>
      <c r="AH89" s="2">
        <f t="shared" si="212"/>
        <v>-111599.74689117479</v>
      </c>
      <c r="AI89" s="2">
        <f t="shared" si="212"/>
        <v>-120573.6035097711</v>
      </c>
      <c r="AJ89" s="2">
        <f t="shared" si="212"/>
        <v>-129547.46012836741</v>
      </c>
      <c r="AK89" s="2">
        <f t="shared" si="212"/>
        <v>-138521.31674696371</v>
      </c>
      <c r="AL89" s="2">
        <f t="shared" si="212"/>
        <v>-147495.17336556001</v>
      </c>
    </row>
    <row r="90" spans="1:38">
      <c r="C90" t="s">
        <v>142</v>
      </c>
      <c r="D90" s="15"/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-32380.38887152075</v>
      </c>
      <c r="S90" s="2">
        <f t="shared" ref="S90:AL90" si="214">R90-S80</f>
        <v>-43952.418078741495</v>
      </c>
      <c r="T90" s="2">
        <f t="shared" si="214"/>
        <v>-55524.447285962247</v>
      </c>
      <c r="U90" s="2">
        <f t="shared" si="214"/>
        <v>-67096.476493183</v>
      </c>
      <c r="V90" s="2">
        <f t="shared" si="214"/>
        <v>-78668.505700403752</v>
      </c>
      <c r="W90" s="2">
        <f t="shared" si="214"/>
        <v>-90240.534907624504</v>
      </c>
      <c r="X90" s="2">
        <f t="shared" si="214"/>
        <v>-101812.56411484526</v>
      </c>
      <c r="Y90" s="2">
        <f t="shared" si="214"/>
        <v>-113384.59332206601</v>
      </c>
      <c r="Z90" s="2">
        <f t="shared" si="214"/>
        <v>-124956.62252928676</v>
      </c>
      <c r="AA90" s="2">
        <f t="shared" si="214"/>
        <v>-136528.65173650751</v>
      </c>
      <c r="AB90" s="2">
        <f t="shared" si="214"/>
        <v>-148100.68094372825</v>
      </c>
      <c r="AC90" s="2">
        <f t="shared" si="214"/>
        <v>-159672.71015094899</v>
      </c>
      <c r="AD90" s="2">
        <f t="shared" si="214"/>
        <v>-178611.02611916757</v>
      </c>
      <c r="AE90" s="2">
        <f t="shared" si="214"/>
        <v>-197549.34208738615</v>
      </c>
      <c r="AF90" s="2">
        <f t="shared" si="214"/>
        <v>-216487.65805560473</v>
      </c>
      <c r="AG90" s="2">
        <f t="shared" si="214"/>
        <v>-235425.97402382331</v>
      </c>
      <c r="AH90" s="2">
        <f t="shared" si="214"/>
        <v>-254364.28999204189</v>
      </c>
      <c r="AI90" s="2">
        <f t="shared" si="214"/>
        <v>-273302.60596026049</v>
      </c>
      <c r="AJ90" s="2">
        <f t="shared" si="214"/>
        <v>-292240.9219284791</v>
      </c>
      <c r="AK90" s="2">
        <f t="shared" si="214"/>
        <v>-311179.23789669771</v>
      </c>
      <c r="AL90" s="2">
        <f t="shared" si="214"/>
        <v>-330117.55386491632</v>
      </c>
    </row>
    <row r="91" spans="1:38">
      <c r="C91" t="s">
        <v>149</v>
      </c>
      <c r="D91" s="15"/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-19455.166457040043</v>
      </c>
      <c r="S91" s="2">
        <f t="shared" ref="S91:AL91" si="216">R91-S81</f>
        <v>-22144.740111330091</v>
      </c>
      <c r="T91" s="2">
        <f t="shared" si="216"/>
        <v>-24834.31376562014</v>
      </c>
      <c r="U91" s="2">
        <f t="shared" si="216"/>
        <v>-27523.887419910188</v>
      </c>
      <c r="V91" s="2">
        <f t="shared" si="216"/>
        <v>-30213.461074200237</v>
      </c>
      <c r="W91" s="2">
        <f t="shared" si="216"/>
        <v>-32903.034728490289</v>
      </c>
      <c r="X91" s="2">
        <f t="shared" si="216"/>
        <v>-35592.608382780338</v>
      </c>
      <c r="Y91" s="2">
        <f t="shared" si="216"/>
        <v>-38282.182037070386</v>
      </c>
      <c r="Z91" s="2">
        <f t="shared" si="216"/>
        <v>-40971.755691360435</v>
      </c>
      <c r="AA91" s="2">
        <f t="shared" si="216"/>
        <v>-43661.329345650483</v>
      </c>
      <c r="AB91" s="2">
        <f t="shared" si="216"/>
        <v>-46350.902999940532</v>
      </c>
      <c r="AC91" s="2">
        <f t="shared" si="216"/>
        <v>-49040.476654230581</v>
      </c>
      <c r="AD91" s="2">
        <f t="shared" si="216"/>
        <v>-51528.118057429732</v>
      </c>
      <c r="AE91" s="2">
        <f t="shared" si="216"/>
        <v>-54015.759460628884</v>
      </c>
      <c r="AF91" s="2">
        <f t="shared" si="216"/>
        <v>-56503.400863828036</v>
      </c>
      <c r="AG91" s="2">
        <f t="shared" si="216"/>
        <v>-58991.042267027187</v>
      </c>
      <c r="AH91" s="2">
        <f t="shared" si="216"/>
        <v>-61478.683670226339</v>
      </c>
      <c r="AI91" s="2">
        <f t="shared" si="216"/>
        <v>-63966.325073425491</v>
      </c>
      <c r="AJ91" s="2">
        <f t="shared" si="216"/>
        <v>-66453.966476624642</v>
      </c>
      <c r="AK91" s="2">
        <f t="shared" si="216"/>
        <v>-68941.607879823787</v>
      </c>
      <c r="AL91" s="2">
        <f t="shared" si="216"/>
        <v>-71429.249283022931</v>
      </c>
    </row>
    <row r="92" spans="1:38">
      <c r="C92" t="s">
        <v>139</v>
      </c>
      <c r="D92" s="15"/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-74922.243255562629</v>
      </c>
      <c r="S92" s="2">
        <f t="shared" ref="S92:AL92" si="218">R92-S82</f>
        <v>-88064.44279134275</v>
      </c>
      <c r="T92" s="2">
        <f t="shared" si="218"/>
        <v>-101206.64232712287</v>
      </c>
      <c r="U92" s="2">
        <f t="shared" si="218"/>
        <v>-114348.84186290299</v>
      </c>
      <c r="V92" s="2">
        <f t="shared" si="218"/>
        <v>-127491.04139868311</v>
      </c>
      <c r="W92" s="2">
        <f t="shared" si="218"/>
        <v>-140633.24093446325</v>
      </c>
      <c r="X92" s="2">
        <f t="shared" si="218"/>
        <v>-153775.44047024337</v>
      </c>
      <c r="Y92" s="2">
        <f t="shared" si="218"/>
        <v>-166917.64000602349</v>
      </c>
      <c r="Z92" s="2">
        <f t="shared" si="218"/>
        <v>-180059.83954180361</v>
      </c>
      <c r="AA92" s="2">
        <f t="shared" si="218"/>
        <v>-193202.03907758373</v>
      </c>
      <c r="AB92" s="2">
        <f t="shared" si="218"/>
        <v>-206344.23861336385</v>
      </c>
      <c r="AC92" s="2">
        <f t="shared" si="218"/>
        <v>-219486.43814914397</v>
      </c>
      <c r="AD92" s="2">
        <f t="shared" si="218"/>
        <v>-233189.58769557145</v>
      </c>
      <c r="AE92" s="2">
        <f t="shared" si="218"/>
        <v>-246892.73724199893</v>
      </c>
      <c r="AF92" s="2">
        <f t="shared" si="218"/>
        <v>-260595.8867884264</v>
      </c>
      <c r="AG92" s="2">
        <f t="shared" si="218"/>
        <v>-274299.03633485385</v>
      </c>
      <c r="AH92" s="2">
        <f t="shared" si="218"/>
        <v>-288002.18588128133</v>
      </c>
      <c r="AI92" s="2">
        <f t="shared" si="218"/>
        <v>-301705.33542770881</v>
      </c>
      <c r="AJ92" s="2">
        <f t="shared" si="218"/>
        <v>-315408.48497413629</v>
      </c>
      <c r="AK92" s="2">
        <f t="shared" si="218"/>
        <v>-329111.63452056376</v>
      </c>
      <c r="AL92" s="2">
        <f t="shared" si="218"/>
        <v>-342814.78406699124</v>
      </c>
    </row>
    <row r="93" spans="1:38">
      <c r="C93" t="s">
        <v>151</v>
      </c>
      <c r="D93" s="15"/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-7392.7339476000025</v>
      </c>
      <c r="S93" s="2">
        <f t="shared" ref="S93:AL93" si="220">R93-S83</f>
        <v>-8262.4673532000033</v>
      </c>
      <c r="T93" s="2">
        <f t="shared" si="220"/>
        <v>-9132.2007588000033</v>
      </c>
      <c r="U93" s="2">
        <f t="shared" si="220"/>
        <v>-10001.934164400003</v>
      </c>
      <c r="V93" s="2">
        <f t="shared" si="220"/>
        <v>-10871.667570000003</v>
      </c>
      <c r="W93" s="2">
        <f t="shared" si="220"/>
        <v>-11741.400975600003</v>
      </c>
      <c r="X93" s="2">
        <f t="shared" si="220"/>
        <v>-12611.134381200003</v>
      </c>
      <c r="Y93" s="2">
        <f t="shared" si="220"/>
        <v>-13480.867786800003</v>
      </c>
      <c r="Z93" s="2">
        <f t="shared" si="220"/>
        <v>-14350.601192400003</v>
      </c>
      <c r="AA93" s="2">
        <f t="shared" si="220"/>
        <v>-15220.334598000003</v>
      </c>
      <c r="AB93" s="2">
        <f t="shared" si="220"/>
        <v>-16090.068003600003</v>
      </c>
      <c r="AC93" s="2">
        <f t="shared" si="220"/>
        <v>-16959.801409200005</v>
      </c>
      <c r="AD93" s="2">
        <f t="shared" si="220"/>
        <v>-17481.641452560005</v>
      </c>
      <c r="AE93" s="2">
        <f t="shared" si="220"/>
        <v>-18003.481495920005</v>
      </c>
      <c r="AF93" s="2">
        <f t="shared" si="220"/>
        <v>-18525.321539280005</v>
      </c>
      <c r="AG93" s="2">
        <f t="shared" si="220"/>
        <v>-19047.161582640005</v>
      </c>
      <c r="AH93" s="2">
        <f t="shared" si="220"/>
        <v>-19569.001626000005</v>
      </c>
      <c r="AI93" s="2">
        <f t="shared" si="220"/>
        <v>-20090.841669360005</v>
      </c>
      <c r="AJ93" s="2">
        <f t="shared" si="220"/>
        <v>-20612.681712720005</v>
      </c>
      <c r="AK93" s="2">
        <f t="shared" si="220"/>
        <v>-21134.521756080005</v>
      </c>
      <c r="AL93" s="2">
        <f t="shared" si="220"/>
        <v>-21656.361799440005</v>
      </c>
    </row>
    <row r="94" spans="1:38">
      <c r="C94" t="s">
        <v>19</v>
      </c>
      <c r="D94" s="15"/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-76731.09657176811</v>
      </c>
      <c r="S94" s="2">
        <f t="shared" ref="S94:AL94" si="222">R94-S84</f>
        <v>-129494.5198995622</v>
      </c>
      <c r="T94" s="2">
        <f t="shared" si="222"/>
        <v>-182257.9432273563</v>
      </c>
      <c r="U94" s="2">
        <f t="shared" si="222"/>
        <v>-235021.36655515039</v>
      </c>
      <c r="V94" s="2">
        <f t="shared" si="222"/>
        <v>-287784.78988294449</v>
      </c>
      <c r="W94" s="2">
        <f t="shared" si="222"/>
        <v>-340548.21321073861</v>
      </c>
      <c r="X94" s="2">
        <f t="shared" si="222"/>
        <v>-393311.63653853274</v>
      </c>
      <c r="Y94" s="2">
        <f t="shared" si="222"/>
        <v>-446075.05986632686</v>
      </c>
      <c r="Z94" s="2">
        <f t="shared" si="222"/>
        <v>-498838.48319412098</v>
      </c>
      <c r="AA94" s="2">
        <f t="shared" si="222"/>
        <v>-551601.90652191511</v>
      </c>
      <c r="AB94" s="2">
        <f t="shared" si="222"/>
        <v>-604365.32984970917</v>
      </c>
      <c r="AC94" s="2">
        <f t="shared" si="222"/>
        <v>-657128.75317750324</v>
      </c>
      <c r="AD94" s="2">
        <f t="shared" si="222"/>
        <v>-758632.92961546802</v>
      </c>
      <c r="AE94" s="2">
        <f t="shared" si="222"/>
        <v>-860137.1060534328</v>
      </c>
      <c r="AF94" s="2">
        <f t="shared" si="222"/>
        <v>-961641.28249139758</v>
      </c>
      <c r="AG94" s="2">
        <f t="shared" si="222"/>
        <v>-1063145.4589293622</v>
      </c>
      <c r="AH94" s="2">
        <f t="shared" si="222"/>
        <v>-1164649.6353673269</v>
      </c>
      <c r="AI94" s="2">
        <f t="shared" si="222"/>
        <v>-1266153.8118052916</v>
      </c>
      <c r="AJ94" s="2">
        <f t="shared" si="222"/>
        <v>-1367657.9882432562</v>
      </c>
      <c r="AK94" s="2">
        <f t="shared" si="222"/>
        <v>-1469162.1646812209</v>
      </c>
      <c r="AL94" s="2">
        <f t="shared" si="222"/>
        <v>-1570666.3411191856</v>
      </c>
    </row>
    <row r="95" spans="1:38" ht="13.8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-221973.04666068737</v>
      </c>
      <c r="S95" s="5">
        <f t="shared" ref="S95:AL95" si="224">SUM(S88:S94)</f>
        <v>-308706.07971366821</v>
      </c>
      <c r="T95" s="5">
        <f t="shared" si="224"/>
        <v>-395439.11276664911</v>
      </c>
      <c r="U95" s="5">
        <f t="shared" si="224"/>
        <v>-482172.14581962989</v>
      </c>
      <c r="V95" s="5">
        <f t="shared" si="224"/>
        <v>-568905.17887261068</v>
      </c>
      <c r="W95" s="5">
        <f t="shared" si="224"/>
        <v>-655638.21192559169</v>
      </c>
      <c r="X95" s="5">
        <f t="shared" si="224"/>
        <v>-742371.24497857259</v>
      </c>
      <c r="Y95" s="5">
        <f t="shared" si="224"/>
        <v>-829104.27803155349</v>
      </c>
      <c r="Z95" s="5">
        <f t="shared" si="224"/>
        <v>-915837.31108453427</v>
      </c>
      <c r="AA95" s="5">
        <f t="shared" si="224"/>
        <v>-1002570.3441375152</v>
      </c>
      <c r="AB95" s="5">
        <f t="shared" si="224"/>
        <v>-1089303.3771904958</v>
      </c>
      <c r="AC95" s="5">
        <f t="shared" si="224"/>
        <v>-1176036.4102434767</v>
      </c>
      <c r="AD95" s="5">
        <f t="shared" si="224"/>
        <v>-1323291.1960230614</v>
      </c>
      <c r="AE95" s="5">
        <f t="shared" si="224"/>
        <v>-1470545.9818026463</v>
      </c>
      <c r="AF95" s="5">
        <f t="shared" si="224"/>
        <v>-1617800.7675822312</v>
      </c>
      <c r="AG95" s="5">
        <f t="shared" si="224"/>
        <v>-1765055.5533618159</v>
      </c>
      <c r="AH95" s="5">
        <f t="shared" si="224"/>
        <v>-1912310.3391414003</v>
      </c>
      <c r="AI95" s="5">
        <f t="shared" si="224"/>
        <v>-2059565.1249209852</v>
      </c>
      <c r="AJ95" s="5">
        <f t="shared" si="224"/>
        <v>-2206819.9107005694</v>
      </c>
      <c r="AK95" s="5">
        <f t="shared" si="224"/>
        <v>-2354074.6964801541</v>
      </c>
      <c r="AL95" s="5">
        <f t="shared" si="224"/>
        <v>-2501329.4822597387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-584.81390868806841</v>
      </c>
      <c r="S98" s="2">
        <f t="shared" ref="S98:AL104" si="226">S88-S37</f>
        <v>-1169.6278173761368</v>
      </c>
      <c r="T98" s="2">
        <f t="shared" si="226"/>
        <v>-1754.4417260642053</v>
      </c>
      <c r="U98" s="2">
        <f t="shared" si="226"/>
        <v>-2339.2556347522736</v>
      </c>
      <c r="V98" s="2">
        <f t="shared" si="226"/>
        <v>-2924.0695434403419</v>
      </c>
      <c r="W98" s="2">
        <f t="shared" si="226"/>
        <v>-3317.8442419569747</v>
      </c>
      <c r="X98" s="2">
        <f t="shared" si="226"/>
        <v>-3520.5797303021714</v>
      </c>
      <c r="Y98" s="2">
        <f t="shared" si="226"/>
        <v>-3723.315218647369</v>
      </c>
      <c r="Z98" s="2">
        <f t="shared" si="226"/>
        <v>-3926.0507069925657</v>
      </c>
      <c r="AA98" s="2">
        <f t="shared" si="226"/>
        <v>-4128.7861953377624</v>
      </c>
      <c r="AB98" s="2">
        <f t="shared" si="226"/>
        <v>-4331.5216836829595</v>
      </c>
      <c r="AC98" s="2">
        <f t="shared" si="226"/>
        <v>-4534.2571720281558</v>
      </c>
      <c r="AD98" s="2">
        <f t="shared" si="226"/>
        <v>-5277.9845135037285</v>
      </c>
      <c r="AE98" s="2">
        <f t="shared" si="226"/>
        <v>-6021.7118549793013</v>
      </c>
      <c r="AF98" s="2">
        <f t="shared" si="226"/>
        <v>-6765.4391964548749</v>
      </c>
      <c r="AG98" s="2">
        <f t="shared" si="226"/>
        <v>-7509.1665379304486</v>
      </c>
      <c r="AH98" s="2">
        <f t="shared" si="226"/>
        <v>-8252.8938794060214</v>
      </c>
      <c r="AI98" s="2">
        <f t="shared" si="226"/>
        <v>-8996.6212208815959</v>
      </c>
      <c r="AJ98" s="2">
        <f t="shared" si="226"/>
        <v>-9740.3485623571687</v>
      </c>
      <c r="AK98" s="2">
        <f t="shared" si="226"/>
        <v>-10484.075903832741</v>
      </c>
      <c r="AL98" s="2">
        <f t="shared" si="226"/>
        <v>-11227.803245308314</v>
      </c>
    </row>
    <row r="99" spans="1:38">
      <c r="C99" t="s">
        <v>14</v>
      </c>
      <c r="D99" s="15"/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-9212.2780567902191</v>
      </c>
      <c r="S99" s="2">
        <f t="shared" si="229"/>
        <v>-13775.285913817144</v>
      </c>
      <c r="T99" s="2">
        <f t="shared" si="229"/>
        <v>-18137.450227758975</v>
      </c>
      <c r="U99" s="2">
        <f t="shared" si="229"/>
        <v>-22207.384995470944</v>
      </c>
      <c r="V99" s="2">
        <f t="shared" si="229"/>
        <v>-25893.704213808287</v>
      </c>
      <c r="W99" s="2">
        <f t="shared" si="229"/>
        <v>-28906.936839331007</v>
      </c>
      <c r="X99" s="2">
        <f t="shared" si="229"/>
        <v>-31438.890646726417</v>
      </c>
      <c r="Y99" s="2">
        <f t="shared" si="229"/>
        <v>-33970.84445412182</v>
      </c>
      <c r="Z99" s="2">
        <f t="shared" si="229"/>
        <v>-36502.79826151723</v>
      </c>
      <c r="AA99" s="2">
        <f t="shared" si="229"/>
        <v>-39034.75206891264</v>
      </c>
      <c r="AB99" s="2">
        <f t="shared" si="229"/>
        <v>-41566.705876308042</v>
      </c>
      <c r="AC99" s="2">
        <f t="shared" si="229"/>
        <v>-44098.659683703459</v>
      </c>
      <c r="AD99" s="2">
        <f t="shared" si="229"/>
        <v>-50493.210096087409</v>
      </c>
      <c r="AE99" s="2">
        <f t="shared" si="229"/>
        <v>-56887.760508471358</v>
      </c>
      <c r="AF99" s="2">
        <f t="shared" si="229"/>
        <v>-63282.310920855314</v>
      </c>
      <c r="AG99" s="2">
        <f t="shared" si="229"/>
        <v>-69676.861333239271</v>
      </c>
      <c r="AH99" s="2">
        <f t="shared" si="226"/>
        <v>-76071.41174562322</v>
      </c>
      <c r="AI99" s="2">
        <f t="shared" si="226"/>
        <v>-82465.962158007183</v>
      </c>
      <c r="AJ99" s="2">
        <f t="shared" si="226"/>
        <v>-88860.512570391147</v>
      </c>
      <c r="AK99" s="2">
        <f t="shared" si="226"/>
        <v>-95255.062982775082</v>
      </c>
      <c r="AL99" s="2">
        <f t="shared" si="226"/>
        <v>-101649.61339515902</v>
      </c>
    </row>
    <row r="100" spans="1:38">
      <c r="C100" t="s">
        <v>142</v>
      </c>
      <c r="D100" s="15"/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-26169.032767732751</v>
      </c>
      <c r="S100" s="2">
        <f t="shared" si="226"/>
        <v>-36723.764391365497</v>
      </c>
      <c r="T100" s="2">
        <f t="shared" si="226"/>
        <v>-47278.496014998251</v>
      </c>
      <c r="U100" s="2">
        <f t="shared" si="226"/>
        <v>-57219.299393777357</v>
      </c>
      <c r="V100" s="2">
        <f t="shared" si="226"/>
        <v>-65050.230275748261</v>
      </c>
      <c r="W100" s="2">
        <f t="shared" si="226"/>
        <v>-71079.810335910952</v>
      </c>
      <c r="X100" s="2">
        <f t="shared" si="226"/>
        <v>-76803.983826220006</v>
      </c>
      <c r="Y100" s="2">
        <f t="shared" si="226"/>
        <v>-82528.157316529047</v>
      </c>
      <c r="Z100" s="2">
        <f t="shared" si="226"/>
        <v>-88252.330806838116</v>
      </c>
      <c r="AA100" s="2">
        <f t="shared" si="226"/>
        <v>-93976.504297147156</v>
      </c>
      <c r="AB100" s="2">
        <f t="shared" si="226"/>
        <v>-99700.677787456196</v>
      </c>
      <c r="AC100" s="2">
        <f t="shared" si="226"/>
        <v>-105424.85127776524</v>
      </c>
      <c r="AD100" s="2">
        <f t="shared" si="226"/>
        <v>-118515.31152907212</v>
      </c>
      <c r="AE100" s="2">
        <f t="shared" si="226"/>
        <v>-131605.771780379</v>
      </c>
      <c r="AF100" s="2">
        <f t="shared" si="226"/>
        <v>-144696.23203168588</v>
      </c>
      <c r="AG100" s="2">
        <f t="shared" si="226"/>
        <v>-157786.69228299276</v>
      </c>
      <c r="AH100" s="2">
        <f t="shared" si="226"/>
        <v>-170877.15253429965</v>
      </c>
      <c r="AI100" s="2">
        <f t="shared" si="226"/>
        <v>-183967.61278560656</v>
      </c>
      <c r="AJ100" s="2">
        <f t="shared" si="226"/>
        <v>-197058.07303691347</v>
      </c>
      <c r="AK100" s="2">
        <f t="shared" si="226"/>
        <v>-210148.53328822038</v>
      </c>
      <c r="AL100" s="2">
        <f t="shared" si="226"/>
        <v>-223238.99353952729</v>
      </c>
    </row>
    <row r="101" spans="1:38">
      <c r="C101" t="s">
        <v>149</v>
      </c>
      <c r="D101" s="15"/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-17465.649444447045</v>
      </c>
      <c r="S101" s="2">
        <f t="shared" si="226"/>
        <v>-18828.878423675091</v>
      </c>
      <c r="T101" s="2">
        <f t="shared" si="226"/>
        <v>-20192.107402903141</v>
      </c>
      <c r="U101" s="2">
        <f t="shared" si="226"/>
        <v>-21555.33638213119</v>
      </c>
      <c r="V101" s="2">
        <f t="shared" si="226"/>
        <v>-22918.565361359237</v>
      </c>
      <c r="W101" s="2">
        <f t="shared" si="226"/>
        <v>-24281.79434058729</v>
      </c>
      <c r="X101" s="2">
        <f t="shared" si="226"/>
        <v>-25645.023319815336</v>
      </c>
      <c r="Y101" s="2">
        <f t="shared" si="226"/>
        <v>-27008.252299043386</v>
      </c>
      <c r="Z101" s="2">
        <f t="shared" si="226"/>
        <v>-28371.481278271436</v>
      </c>
      <c r="AA101" s="2">
        <f t="shared" si="226"/>
        <v>-29734.710257499482</v>
      </c>
      <c r="AB101" s="2">
        <f t="shared" si="226"/>
        <v>-31097.939236727529</v>
      </c>
      <c r="AC101" s="2">
        <f t="shared" si="226"/>
        <v>-32461.168215955578</v>
      </c>
      <c r="AD101" s="2">
        <f t="shared" si="226"/>
        <v>-33622.464944092731</v>
      </c>
      <c r="AE101" s="2">
        <f t="shared" si="226"/>
        <v>-34783.761672229884</v>
      </c>
      <c r="AF101" s="2">
        <f t="shared" si="226"/>
        <v>-35945.058400367037</v>
      </c>
      <c r="AG101" s="2">
        <f t="shared" si="226"/>
        <v>-37106.35512850419</v>
      </c>
      <c r="AH101" s="2">
        <f t="shared" si="226"/>
        <v>-38267.651856641343</v>
      </c>
      <c r="AI101" s="2">
        <f t="shared" si="226"/>
        <v>-39428.948584778496</v>
      </c>
      <c r="AJ101" s="2">
        <f t="shared" si="226"/>
        <v>-40590.245312915649</v>
      </c>
      <c r="AK101" s="2">
        <f t="shared" si="226"/>
        <v>-41751.542041052795</v>
      </c>
      <c r="AL101" s="2">
        <f t="shared" si="226"/>
        <v>-42912.838769189941</v>
      </c>
    </row>
    <row r="102" spans="1:38">
      <c r="C102" t="s">
        <v>139</v>
      </c>
      <c r="D102" s="15"/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-69018.006768373612</v>
      </c>
      <c r="S102" s="2">
        <f t="shared" si="226"/>
        <v>-80794.762137498867</v>
      </c>
      <c r="T102" s="2">
        <f t="shared" si="226"/>
        <v>-92286.396207103433</v>
      </c>
      <c r="U102" s="2">
        <f t="shared" si="226"/>
        <v>-103397.03258508412</v>
      </c>
      <c r="V102" s="2">
        <f t="shared" si="226"/>
        <v>-114315.91617885842</v>
      </c>
      <c r="W102" s="2">
        <f t="shared" si="226"/>
        <v>-125043.04698842634</v>
      </c>
      <c r="X102" s="2">
        <f t="shared" si="226"/>
        <v>-135674.30140589105</v>
      </c>
      <c r="Y102" s="2">
        <f t="shared" si="226"/>
        <v>-146305.55582335577</v>
      </c>
      <c r="Z102" s="2">
        <f t="shared" si="226"/>
        <v>-156936.81024082049</v>
      </c>
      <c r="AA102" s="2">
        <f t="shared" si="226"/>
        <v>-167568.06465828521</v>
      </c>
      <c r="AB102" s="2">
        <f t="shared" si="226"/>
        <v>-178199.31907574993</v>
      </c>
      <c r="AC102" s="2">
        <f t="shared" si="226"/>
        <v>-188830.57349321464</v>
      </c>
      <c r="AD102" s="2">
        <f t="shared" si="226"/>
        <v>-200022.77792132675</v>
      </c>
      <c r="AE102" s="2">
        <f t="shared" si="226"/>
        <v>-211214.98234943883</v>
      </c>
      <c r="AF102" s="2">
        <f t="shared" si="226"/>
        <v>-222407.1867775509</v>
      </c>
      <c r="AG102" s="2">
        <f t="shared" si="226"/>
        <v>-233599.39120566292</v>
      </c>
      <c r="AH102" s="2">
        <f t="shared" si="226"/>
        <v>-244791.595633775</v>
      </c>
      <c r="AI102" s="2">
        <f t="shared" si="226"/>
        <v>-255983.80006188707</v>
      </c>
      <c r="AJ102" s="2">
        <f t="shared" si="226"/>
        <v>-267176.00448999915</v>
      </c>
      <c r="AK102" s="2">
        <f t="shared" si="226"/>
        <v>-278368.20891811122</v>
      </c>
      <c r="AL102" s="2">
        <f t="shared" si="226"/>
        <v>-289560.4133462233</v>
      </c>
    </row>
    <row r="103" spans="1:38">
      <c r="C103" t="s">
        <v>151</v>
      </c>
      <c r="D103" s="15"/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2960.1154086149972</v>
      </c>
      <c r="S103" s="2">
        <f t="shared" si="226"/>
        <v>2633.9653815149959</v>
      </c>
      <c r="T103" s="2">
        <f t="shared" si="226"/>
        <v>2307.8153544149955</v>
      </c>
      <c r="U103" s="2">
        <f t="shared" si="226"/>
        <v>1981.665327314995</v>
      </c>
      <c r="V103" s="2">
        <f t="shared" si="226"/>
        <v>1655.5153002149946</v>
      </c>
      <c r="W103" s="2">
        <f t="shared" si="226"/>
        <v>1329.3652731149941</v>
      </c>
      <c r="X103" s="2">
        <f t="shared" si="226"/>
        <v>1003.2152460149937</v>
      </c>
      <c r="Y103" s="2">
        <f t="shared" si="226"/>
        <v>677.06521891499324</v>
      </c>
      <c r="Z103" s="2">
        <f t="shared" si="226"/>
        <v>350.9151918149928</v>
      </c>
      <c r="AA103" s="2">
        <f t="shared" si="226"/>
        <v>24.765164714992352</v>
      </c>
      <c r="AB103" s="2">
        <f t="shared" si="226"/>
        <v>-301.38486238500809</v>
      </c>
      <c r="AC103" s="2">
        <f t="shared" si="226"/>
        <v>-627.53488948501035</v>
      </c>
      <c r="AD103" s="2">
        <f t="shared" si="226"/>
        <v>-605.79155434501081</v>
      </c>
      <c r="AE103" s="2">
        <f t="shared" si="226"/>
        <v>-584.04821920501126</v>
      </c>
      <c r="AF103" s="2">
        <f t="shared" si="226"/>
        <v>-562.30488406501172</v>
      </c>
      <c r="AG103" s="2">
        <f t="shared" si="226"/>
        <v>-540.56154892501218</v>
      </c>
      <c r="AH103" s="2">
        <f t="shared" si="226"/>
        <v>-518.81821378501263</v>
      </c>
      <c r="AI103" s="2">
        <f t="shared" si="226"/>
        <v>-497.07487864501309</v>
      </c>
      <c r="AJ103" s="2">
        <f t="shared" si="226"/>
        <v>-475.33154350501354</v>
      </c>
      <c r="AK103" s="2">
        <f t="shared" si="226"/>
        <v>-453.588208365014</v>
      </c>
      <c r="AL103" s="2">
        <f t="shared" si="226"/>
        <v>-431.84487322501445</v>
      </c>
    </row>
    <row r="104" spans="1:38">
      <c r="C104" t="s">
        <v>19</v>
      </c>
      <c r="D104" s="15"/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-35617.057664745247</v>
      </c>
      <c r="S104" s="2">
        <f t="shared" si="226"/>
        <v>-83159.131072961987</v>
      </c>
      <c r="T104" s="2">
        <f t="shared" si="226"/>
        <v>-128817.82991264988</v>
      </c>
      <c r="U104" s="2">
        <f t="shared" si="226"/>
        <v>-148999.05916747422</v>
      </c>
      <c r="V104" s="2">
        <f t="shared" si="226"/>
        <v>-143696.85103447887</v>
      </c>
      <c r="W104" s="2">
        <f t="shared" si="226"/>
        <v>-136499.33272704243</v>
      </c>
      <c r="X104" s="2">
        <f t="shared" si="226"/>
        <v>-128354.15933238546</v>
      </c>
      <c r="Y104" s="2">
        <f t="shared" si="226"/>
        <v>-120208.98593772849</v>
      </c>
      <c r="Z104" s="2">
        <f t="shared" si="226"/>
        <v>-112063.81254307152</v>
      </c>
      <c r="AA104" s="2">
        <f t="shared" si="226"/>
        <v>-103918.63914841454</v>
      </c>
      <c r="AB104" s="2">
        <f t="shared" si="226"/>
        <v>-95773.465753757511</v>
      </c>
      <c r="AC104" s="2">
        <f t="shared" si="226"/>
        <v>-87628.292359100422</v>
      </c>
      <c r="AD104" s="2">
        <f t="shared" si="226"/>
        <v>-128223.87207461405</v>
      </c>
      <c r="AE104" s="2">
        <f t="shared" si="226"/>
        <v>-168819.45179012767</v>
      </c>
      <c r="AF104" s="2">
        <f t="shared" si="226"/>
        <v>-209415.03150564129</v>
      </c>
      <c r="AG104" s="2">
        <f t="shared" si="226"/>
        <v>-250010.6112211548</v>
      </c>
      <c r="AH104" s="2">
        <f t="shared" si="226"/>
        <v>-290606.19093666831</v>
      </c>
      <c r="AI104" s="2">
        <f t="shared" si="226"/>
        <v>-331201.77065218182</v>
      </c>
      <c r="AJ104" s="2">
        <f t="shared" si="226"/>
        <v>-371797.35036769533</v>
      </c>
      <c r="AK104" s="2">
        <f t="shared" si="226"/>
        <v>-412392.93008320895</v>
      </c>
      <c r="AL104" s="2">
        <f t="shared" si="226"/>
        <v>-452988.50979872257</v>
      </c>
    </row>
    <row r="105" spans="1:38" ht="13.8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-155106.72320216196</v>
      </c>
      <c r="S105" s="5">
        <f t="shared" ref="S105:AL105" si="231">SUM(S98:S104)</f>
        <v>-231817.48437517972</v>
      </c>
      <c r="T105" s="5">
        <f t="shared" si="231"/>
        <v>-306158.90613706288</v>
      </c>
      <c r="U105" s="5">
        <f t="shared" si="231"/>
        <v>-353735.70283137512</v>
      </c>
      <c r="V105" s="5">
        <f t="shared" si="231"/>
        <v>-373143.82130747841</v>
      </c>
      <c r="W105" s="5">
        <f t="shared" si="231"/>
        <v>-387799.40020014002</v>
      </c>
      <c r="X105" s="5">
        <f t="shared" si="231"/>
        <v>-400433.72301532543</v>
      </c>
      <c r="Y105" s="5">
        <f t="shared" si="231"/>
        <v>-413068.04583051085</v>
      </c>
      <c r="Z105" s="5">
        <f t="shared" si="231"/>
        <v>-425702.36864569638</v>
      </c>
      <c r="AA105" s="5">
        <f t="shared" si="231"/>
        <v>-438336.69146088179</v>
      </c>
      <c r="AB105" s="5">
        <f t="shared" si="231"/>
        <v>-450971.01427606714</v>
      </c>
      <c r="AC105" s="5">
        <f t="shared" si="231"/>
        <v>-463605.3370912525</v>
      </c>
      <c r="AD105" s="5">
        <f t="shared" si="231"/>
        <v>-536761.41263304185</v>
      </c>
      <c r="AE105" s="5">
        <f t="shared" si="231"/>
        <v>-609917.48817483103</v>
      </c>
      <c r="AF105" s="5">
        <f t="shared" si="231"/>
        <v>-683073.56371662032</v>
      </c>
      <c r="AG105" s="5">
        <f t="shared" si="231"/>
        <v>-756229.63925840938</v>
      </c>
      <c r="AH105" s="5">
        <f t="shared" si="231"/>
        <v>-829385.71480019856</v>
      </c>
      <c r="AI105" s="5">
        <f t="shared" si="231"/>
        <v>-902541.79034198774</v>
      </c>
      <c r="AJ105" s="5">
        <f t="shared" si="231"/>
        <v>-975697.86588377692</v>
      </c>
      <c r="AK105" s="5">
        <f t="shared" si="231"/>
        <v>-1048853.9414255661</v>
      </c>
      <c r="AL105" s="5">
        <f t="shared" si="231"/>
        <v>-1122010.0169673553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-122.81092082449436</v>
      </c>
      <c r="S107" s="2">
        <f t="shared" si="233"/>
        <v>-245.62184164898872</v>
      </c>
      <c r="T107" s="2">
        <f t="shared" si="233"/>
        <v>-368.43276247348308</v>
      </c>
      <c r="U107" s="2">
        <f t="shared" si="233"/>
        <v>-491.24368329797744</v>
      </c>
      <c r="V107" s="2">
        <f t="shared" si="233"/>
        <v>-614.0546041224718</v>
      </c>
      <c r="W107" s="2">
        <f t="shared" si="233"/>
        <v>-696.74729081096461</v>
      </c>
      <c r="X107" s="2">
        <f t="shared" si="233"/>
        <v>-739.32174336345599</v>
      </c>
      <c r="Y107" s="2">
        <f t="shared" si="233"/>
        <v>-781.89619591594749</v>
      </c>
      <c r="Z107" s="2">
        <f t="shared" si="233"/>
        <v>-824.47064846843875</v>
      </c>
      <c r="AA107" s="2">
        <f t="shared" si="233"/>
        <v>-867.04510102093002</v>
      </c>
      <c r="AB107" s="2">
        <f t="shared" si="233"/>
        <v>-909.61955357342151</v>
      </c>
      <c r="AC107" s="2">
        <f t="shared" si="233"/>
        <v>-952.19400612591267</v>
      </c>
      <c r="AD107" s="2">
        <f t="shared" si="233"/>
        <v>-1108.3767478357829</v>
      </c>
      <c r="AE107" s="2">
        <f t="shared" si="233"/>
        <v>-1264.5594895456532</v>
      </c>
      <c r="AF107" s="2">
        <f t="shared" si="233"/>
        <v>-1420.7422312555236</v>
      </c>
      <c r="AG107" s="2">
        <f t="shared" si="233"/>
        <v>-1576.9249729653941</v>
      </c>
      <c r="AH107" s="2">
        <f t="shared" si="233"/>
        <v>-1733.1077146752643</v>
      </c>
      <c r="AI107" s="2">
        <f t="shared" si="233"/>
        <v>-1889.290456385135</v>
      </c>
      <c r="AJ107" s="2">
        <f t="shared" si="233"/>
        <v>-2045.4731980950053</v>
      </c>
      <c r="AK107" s="2">
        <f t="shared" si="233"/>
        <v>-2201.6559398048757</v>
      </c>
      <c r="AL107" s="2">
        <f t="shared" si="233"/>
        <v>-2357.838681514746</v>
      </c>
    </row>
    <row r="108" spans="1:38">
      <c r="C108" t="s">
        <v>14</v>
      </c>
      <c r="D108" s="15"/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-1934.5783919259459</v>
      </c>
      <c r="S108" s="2">
        <f t="shared" si="236"/>
        <v>-2892.8100419016</v>
      </c>
      <c r="T108" s="2">
        <f t="shared" si="236"/>
        <v>-3808.8645478293847</v>
      </c>
      <c r="U108" s="2">
        <f t="shared" si="236"/>
        <v>-4663.5508490488983</v>
      </c>
      <c r="V108" s="2">
        <f t="shared" si="236"/>
        <v>-5437.6778848997401</v>
      </c>
      <c r="W108" s="2">
        <f t="shared" si="236"/>
        <v>-6070.4567362595117</v>
      </c>
      <c r="X108" s="2">
        <f t="shared" si="236"/>
        <v>-6602.1670358125475</v>
      </c>
      <c r="Y108" s="2">
        <f t="shared" si="236"/>
        <v>-7133.8773353655815</v>
      </c>
      <c r="Z108" s="2">
        <f t="shared" si="236"/>
        <v>-7665.5876349186183</v>
      </c>
      <c r="AA108" s="2">
        <f t="shared" si="236"/>
        <v>-8197.2979344716532</v>
      </c>
      <c r="AB108" s="2">
        <f t="shared" si="236"/>
        <v>-8729.0082340246881</v>
      </c>
      <c r="AC108" s="2">
        <f t="shared" si="236"/>
        <v>-9260.7185335777267</v>
      </c>
      <c r="AD108" s="2">
        <f t="shared" si="236"/>
        <v>-10603.574120178355</v>
      </c>
      <c r="AE108" s="2">
        <f t="shared" si="236"/>
        <v>-11946.429706778985</v>
      </c>
      <c r="AF108" s="2">
        <f t="shared" si="236"/>
        <v>-13289.285293379615</v>
      </c>
      <c r="AG108" s="2">
        <f t="shared" si="236"/>
        <v>-14632.140879980247</v>
      </c>
      <c r="AH108" s="2">
        <f t="shared" si="236"/>
        <v>-15974.996466580875</v>
      </c>
      <c r="AI108" s="2">
        <f t="shared" si="236"/>
        <v>-17317.852053181508</v>
      </c>
      <c r="AJ108" s="2">
        <f t="shared" si="236"/>
        <v>-18660.70763978214</v>
      </c>
      <c r="AK108" s="2">
        <f t="shared" si="236"/>
        <v>-20003.563226382765</v>
      </c>
      <c r="AL108" s="2">
        <f t="shared" si="236"/>
        <v>-21346.418812983393</v>
      </c>
    </row>
    <row r="109" spans="1:38">
      <c r="C109" t="s">
        <v>142</v>
      </c>
      <c r="D109" s="15"/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-5495.4968812238776</v>
      </c>
      <c r="S109" s="2">
        <f t="shared" si="238"/>
        <v>-7711.9905221867539</v>
      </c>
      <c r="T109" s="2">
        <f t="shared" si="238"/>
        <v>-9928.4841631496329</v>
      </c>
      <c r="U109" s="2">
        <f t="shared" si="238"/>
        <v>-12016.052872693244</v>
      </c>
      <c r="V109" s="2">
        <f t="shared" si="238"/>
        <v>-13660.548357907135</v>
      </c>
      <c r="W109" s="2">
        <f t="shared" si="238"/>
        <v>-14926.7601705413</v>
      </c>
      <c r="X109" s="2">
        <f t="shared" si="238"/>
        <v>-16128.836603506201</v>
      </c>
      <c r="Y109" s="2">
        <f t="shared" si="238"/>
        <v>-17330.913036471098</v>
      </c>
      <c r="Z109" s="2">
        <f t="shared" si="238"/>
        <v>-18532.989469436005</v>
      </c>
      <c r="AA109" s="2">
        <f t="shared" si="238"/>
        <v>-19735.065902400904</v>
      </c>
      <c r="AB109" s="2">
        <f t="shared" si="238"/>
        <v>-20937.142335365799</v>
      </c>
      <c r="AC109" s="2">
        <f t="shared" si="238"/>
        <v>-22139.218768330698</v>
      </c>
      <c r="AD109" s="2">
        <f t="shared" si="238"/>
        <v>-24888.215421105146</v>
      </c>
      <c r="AE109" s="2">
        <f t="shared" si="238"/>
        <v>-27637.212073879589</v>
      </c>
      <c r="AF109" s="2">
        <f t="shared" si="238"/>
        <v>-30386.208726654033</v>
      </c>
      <c r="AG109" s="2">
        <f t="shared" si="238"/>
        <v>-33135.20537942848</v>
      </c>
      <c r="AH109" s="2">
        <f t="shared" si="238"/>
        <v>-35884.202032202928</v>
      </c>
      <c r="AI109" s="2">
        <f t="shared" si="238"/>
        <v>-38633.198684977375</v>
      </c>
      <c r="AJ109" s="2">
        <f t="shared" si="238"/>
        <v>-41382.195337751829</v>
      </c>
      <c r="AK109" s="2">
        <f t="shared" si="238"/>
        <v>-44131.191990526277</v>
      </c>
      <c r="AL109" s="2">
        <f t="shared" si="238"/>
        <v>-46880.188643300731</v>
      </c>
    </row>
    <row r="110" spans="1:38">
      <c r="C110" t="s">
        <v>149</v>
      </c>
      <c r="D110" s="15"/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-3667.7863833338793</v>
      </c>
      <c r="S110" s="2">
        <f t="shared" si="240"/>
        <v>-3954.0644689717687</v>
      </c>
      <c r="T110" s="2">
        <f t="shared" si="240"/>
        <v>-4240.3425546096596</v>
      </c>
      <c r="U110" s="2">
        <f t="shared" si="240"/>
        <v>-4526.62064024755</v>
      </c>
      <c r="V110" s="2">
        <f t="shared" si="240"/>
        <v>-4812.8987258854395</v>
      </c>
      <c r="W110" s="2">
        <f t="shared" si="240"/>
        <v>-5099.1768115233308</v>
      </c>
      <c r="X110" s="2">
        <f t="shared" si="240"/>
        <v>-5385.4548971612203</v>
      </c>
      <c r="Y110" s="2">
        <f t="shared" si="240"/>
        <v>-5671.7329827991107</v>
      </c>
      <c r="Z110" s="2">
        <f t="shared" si="240"/>
        <v>-5958.0110684370011</v>
      </c>
      <c r="AA110" s="2">
        <f t="shared" si="240"/>
        <v>-6244.2891540748915</v>
      </c>
      <c r="AB110" s="2">
        <f t="shared" si="240"/>
        <v>-6530.567239712781</v>
      </c>
      <c r="AC110" s="2">
        <f t="shared" si="240"/>
        <v>-6816.8453253506714</v>
      </c>
      <c r="AD110" s="2">
        <f t="shared" si="240"/>
        <v>-7060.7176382594735</v>
      </c>
      <c r="AE110" s="2">
        <f t="shared" si="240"/>
        <v>-7304.5899511682755</v>
      </c>
      <c r="AF110" s="2">
        <f t="shared" si="240"/>
        <v>-7548.4622640770776</v>
      </c>
      <c r="AG110" s="2">
        <f t="shared" si="240"/>
        <v>-7792.3345769858797</v>
      </c>
      <c r="AH110" s="2">
        <f t="shared" si="240"/>
        <v>-8036.2068898946818</v>
      </c>
      <c r="AI110" s="2">
        <f t="shared" si="240"/>
        <v>-8280.0792028034848</v>
      </c>
      <c r="AJ110" s="2">
        <f t="shared" si="240"/>
        <v>-8523.951515712286</v>
      </c>
      <c r="AK110" s="2">
        <f t="shared" si="240"/>
        <v>-8767.8238286210872</v>
      </c>
      <c r="AL110" s="2">
        <f t="shared" si="240"/>
        <v>-9011.6961415298865</v>
      </c>
    </row>
    <row r="111" spans="1:38">
      <c r="C111" t="s">
        <v>139</v>
      </c>
      <c r="D111" s="15"/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-14493.781421358459</v>
      </c>
      <c r="S111" s="2">
        <f t="shared" si="242"/>
        <v>-16966.900048874762</v>
      </c>
      <c r="T111" s="2">
        <f t="shared" si="242"/>
        <v>-19380.14320349172</v>
      </c>
      <c r="U111" s="2">
        <f t="shared" si="242"/>
        <v>-21713.376842867663</v>
      </c>
      <c r="V111" s="2">
        <f t="shared" si="242"/>
        <v>-24006.342397560267</v>
      </c>
      <c r="W111" s="2">
        <f t="shared" si="242"/>
        <v>-26259.039867569532</v>
      </c>
      <c r="X111" s="2">
        <f t="shared" si="242"/>
        <v>-28491.603295237121</v>
      </c>
      <c r="Y111" s="2">
        <f t="shared" si="242"/>
        <v>-30724.166722904709</v>
      </c>
      <c r="Z111" s="2">
        <f t="shared" si="242"/>
        <v>-32956.730150572301</v>
      </c>
      <c r="AA111" s="2">
        <f t="shared" si="242"/>
        <v>-35189.293578239893</v>
      </c>
      <c r="AB111" s="2">
        <f t="shared" si="242"/>
        <v>-37421.857005907485</v>
      </c>
      <c r="AC111" s="2">
        <f t="shared" si="242"/>
        <v>-39654.420433575076</v>
      </c>
      <c r="AD111" s="2">
        <f t="shared" si="242"/>
        <v>-42004.783363478615</v>
      </c>
      <c r="AE111" s="2">
        <f t="shared" si="242"/>
        <v>-44355.146293382153</v>
      </c>
      <c r="AF111" s="2">
        <f t="shared" si="242"/>
        <v>-46705.509223285684</v>
      </c>
      <c r="AG111" s="2">
        <f t="shared" si="242"/>
        <v>-49055.872153189208</v>
      </c>
      <c r="AH111" s="2">
        <f t="shared" si="242"/>
        <v>-51406.235083092746</v>
      </c>
      <c r="AI111" s="2">
        <f t="shared" si="242"/>
        <v>-53756.598012996285</v>
      </c>
      <c r="AJ111" s="2">
        <f t="shared" si="242"/>
        <v>-56106.960942899816</v>
      </c>
      <c r="AK111" s="2">
        <f t="shared" si="242"/>
        <v>-58457.323872803354</v>
      </c>
      <c r="AL111" s="2">
        <f t="shared" si="242"/>
        <v>-60807.686802706892</v>
      </c>
    </row>
    <row r="112" spans="1:38">
      <c r="C112" t="s">
        <v>151</v>
      </c>
      <c r="D112" s="15"/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621.62423580914935</v>
      </c>
      <c r="S112" s="2">
        <f t="shared" si="244"/>
        <v>553.13273011814908</v>
      </c>
      <c r="T112" s="2">
        <f t="shared" si="244"/>
        <v>484.64122442714904</v>
      </c>
      <c r="U112" s="2">
        <f t="shared" si="244"/>
        <v>416.14971873614894</v>
      </c>
      <c r="V112" s="2">
        <f t="shared" si="244"/>
        <v>347.65821304514884</v>
      </c>
      <c r="W112" s="2">
        <f t="shared" si="244"/>
        <v>279.16670735414874</v>
      </c>
      <c r="X112" s="2">
        <f t="shared" si="244"/>
        <v>210.67520166314867</v>
      </c>
      <c r="Y112" s="2">
        <f t="shared" si="244"/>
        <v>142.18369597214857</v>
      </c>
      <c r="Z112" s="2">
        <f t="shared" si="244"/>
        <v>73.692190281148484</v>
      </c>
      <c r="AA112" s="2">
        <f t="shared" si="244"/>
        <v>5.200684590148394</v>
      </c>
      <c r="AB112" s="2">
        <f t="shared" si="244"/>
        <v>-63.290821100851694</v>
      </c>
      <c r="AC112" s="2">
        <f t="shared" si="244"/>
        <v>-131.78232679185217</v>
      </c>
      <c r="AD112" s="2">
        <f t="shared" si="244"/>
        <v>-127.21622641245227</v>
      </c>
      <c r="AE112" s="2">
        <f t="shared" si="244"/>
        <v>-122.65012603305236</v>
      </c>
      <c r="AF112" s="2">
        <f t="shared" si="244"/>
        <v>-118.08402565365246</v>
      </c>
      <c r="AG112" s="2">
        <f t="shared" si="244"/>
        <v>-113.51792527425255</v>
      </c>
      <c r="AH112" s="2">
        <f t="shared" si="244"/>
        <v>-108.95182489485265</v>
      </c>
      <c r="AI112" s="2">
        <f t="shared" si="244"/>
        <v>-104.38572451545275</v>
      </c>
      <c r="AJ112" s="2">
        <f t="shared" si="244"/>
        <v>-99.819624136052838</v>
      </c>
      <c r="AK112" s="2">
        <f t="shared" si="244"/>
        <v>-95.253523756652939</v>
      </c>
      <c r="AL112" s="2">
        <f t="shared" si="244"/>
        <v>-90.687423377253026</v>
      </c>
    </row>
    <row r="113" spans="2:38">
      <c r="C113" t="s">
        <v>19</v>
      </c>
      <c r="D113" s="15"/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-7479.5821095965021</v>
      </c>
      <c r="S113" s="2">
        <f t="shared" si="246"/>
        <v>-17463.417525322016</v>
      </c>
      <c r="T113" s="2">
        <f t="shared" si="246"/>
        <v>-27051.744281656473</v>
      </c>
      <c r="U113" s="2">
        <f t="shared" si="246"/>
        <v>-31289.802425169586</v>
      </c>
      <c r="V113" s="2">
        <f t="shared" si="246"/>
        <v>-30176.33871724056</v>
      </c>
      <c r="W113" s="2">
        <f t="shared" si="246"/>
        <v>-28664.85987267891</v>
      </c>
      <c r="X113" s="2">
        <f t="shared" si="246"/>
        <v>-26954.373459800947</v>
      </c>
      <c r="Y113" s="2">
        <f t="shared" si="246"/>
        <v>-25243.887046922981</v>
      </c>
      <c r="Z113" s="2">
        <f t="shared" si="246"/>
        <v>-23533.400634045018</v>
      </c>
      <c r="AA113" s="2">
        <f t="shared" si="246"/>
        <v>-21822.914221167051</v>
      </c>
      <c r="AB113" s="2">
        <f t="shared" si="246"/>
        <v>-20112.427808289078</v>
      </c>
      <c r="AC113" s="2">
        <f t="shared" si="246"/>
        <v>-18401.94139541109</v>
      </c>
      <c r="AD113" s="2">
        <f t="shared" si="246"/>
        <v>-26927.013135668949</v>
      </c>
      <c r="AE113" s="2">
        <f t="shared" si="246"/>
        <v>-35452.084875926812</v>
      </c>
      <c r="AF113" s="2">
        <f t="shared" si="246"/>
        <v>-43977.156616184671</v>
      </c>
      <c r="AG113" s="2">
        <f t="shared" si="246"/>
        <v>-52502.228356442509</v>
      </c>
      <c r="AH113" s="2">
        <f t="shared" si="246"/>
        <v>-61027.300096700346</v>
      </c>
      <c r="AI113" s="2">
        <f t="shared" si="246"/>
        <v>-69552.371836958177</v>
      </c>
      <c r="AJ113" s="2">
        <f t="shared" si="246"/>
        <v>-78077.443577216021</v>
      </c>
      <c r="AK113" s="2">
        <f t="shared" si="246"/>
        <v>-86602.515317473881</v>
      </c>
      <c r="AL113" s="2">
        <f t="shared" si="246"/>
        <v>-95127.58705773174</v>
      </c>
    </row>
    <row r="114" spans="2:38" ht="13.8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-32572.411872454009</v>
      </c>
      <c r="S114" s="5">
        <f t="shared" ref="S114:AL114" si="248">SUM(S107:S113)</f>
        <v>-48681.671718787737</v>
      </c>
      <c r="T114" s="5">
        <f t="shared" si="248"/>
        <v>-64293.370288783204</v>
      </c>
      <c r="U114" s="5">
        <f t="shared" si="248"/>
        <v>-74284.497594588771</v>
      </c>
      <c r="V114" s="5">
        <f t="shared" si="248"/>
        <v>-78360.202474570455</v>
      </c>
      <c r="W114" s="5">
        <f t="shared" si="248"/>
        <v>-81437.874042029405</v>
      </c>
      <c r="X114" s="5">
        <f t="shared" si="248"/>
        <v>-84091.081833218341</v>
      </c>
      <c r="Y114" s="5">
        <f t="shared" si="248"/>
        <v>-86744.289624407276</v>
      </c>
      <c r="Z114" s="5">
        <f t="shared" si="248"/>
        <v>-89397.497415596241</v>
      </c>
      <c r="AA114" s="5">
        <f t="shared" si="248"/>
        <v>-92050.705206785176</v>
      </c>
      <c r="AB114" s="5">
        <f t="shared" si="248"/>
        <v>-94703.912997974097</v>
      </c>
      <c r="AC114" s="5">
        <f t="shared" si="248"/>
        <v>-97357.120789163033</v>
      </c>
      <c r="AD114" s="5">
        <f t="shared" si="248"/>
        <v>-112719.89665293878</v>
      </c>
      <c r="AE114" s="5">
        <f t="shared" si="248"/>
        <v>-128082.67251671452</v>
      </c>
      <c r="AF114" s="5">
        <f t="shared" si="248"/>
        <v>-143445.44838049024</v>
      </c>
      <c r="AG114" s="5">
        <f t="shared" si="248"/>
        <v>-158808.22424426596</v>
      </c>
      <c r="AH114" s="5">
        <f t="shared" si="248"/>
        <v>-174171.00010804168</v>
      </c>
      <c r="AI114" s="5">
        <f t="shared" si="248"/>
        <v>-189533.77597181743</v>
      </c>
      <c r="AJ114" s="5">
        <f t="shared" si="248"/>
        <v>-204896.55183559313</v>
      </c>
      <c r="AK114" s="5">
        <f t="shared" si="248"/>
        <v>-220259.32769936891</v>
      </c>
      <c r="AL114" s="5">
        <f t="shared" si="248"/>
        <v>-235622.10356314463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8"/>
  <sheetViews>
    <sheetView zoomScaleNormal="100" workbookViewId="0"/>
  </sheetViews>
  <sheetFormatPr defaultColWidth="9.109375" defaultRowHeight="14.4" outlineLevelCol="1"/>
  <cols>
    <col min="1" max="1" width="5.109375" style="18" customWidth="1"/>
    <col min="2" max="2" width="37.33203125" style="18" customWidth="1"/>
    <col min="3" max="3" width="19.88671875" style="18" customWidth="1"/>
    <col min="4" max="4" width="7.88671875" style="18" customWidth="1"/>
    <col min="5" max="5" width="5.88671875" style="18" customWidth="1"/>
    <col min="6" max="6" width="8" style="18" customWidth="1"/>
    <col min="7" max="12" width="7.33203125" style="18" bestFit="1" customWidth="1"/>
    <col min="13" max="13" width="7.6640625" style="18" bestFit="1" customWidth="1"/>
    <col min="14" max="16" width="7.33203125" style="18" bestFit="1" customWidth="1"/>
    <col min="17" max="17" width="11.33203125" style="18" bestFit="1" customWidth="1"/>
    <col min="18" max="18" width="11.5546875" style="18" customWidth="1"/>
    <col min="19" max="19" width="4.5546875" style="18" customWidth="1"/>
    <col min="20" max="20" width="17.88671875" style="18" bestFit="1" customWidth="1"/>
    <col min="21" max="21" width="8.5546875" style="18" bestFit="1" customWidth="1" outlineLevel="1"/>
    <col min="22" max="23" width="7.5546875" style="18" bestFit="1" customWidth="1" outlineLevel="1"/>
    <col min="24" max="24" width="7.44140625" style="18" bestFit="1" customWidth="1" outlineLevel="1"/>
    <col min="25" max="25" width="7.44140625" style="18" customWidth="1" outlineLevel="1"/>
    <col min="26" max="26" width="8.5546875" style="18" bestFit="1" customWidth="1" outlineLevel="1"/>
    <col min="27" max="27" width="7.5546875" style="18" bestFit="1" customWidth="1" outlineLevel="1"/>
    <col min="28" max="28" width="9.109375" style="18" bestFit="1" customWidth="1" outlineLevel="1"/>
    <col min="29" max="30" width="8.5546875" style="18" bestFit="1" customWidth="1" outlineLevel="1"/>
    <col min="31" max="31" width="7.5546875" style="18" bestFit="1" customWidth="1" outlineLevel="1"/>
    <col min="32" max="32" width="8.5546875" style="18" bestFit="1" customWidth="1" outlineLevel="1"/>
    <col min="33" max="33" width="13.5546875" style="18" customWidth="1"/>
    <col min="34" max="16384" width="9.109375" style="18"/>
  </cols>
  <sheetData>
    <row r="1" spans="1:33">
      <c r="A1" s="17" t="s">
        <v>123</v>
      </c>
      <c r="F1" s="83" t="s">
        <v>115</v>
      </c>
      <c r="R1" s="75"/>
      <c r="S1" s="75"/>
      <c r="T1" s="83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75" t="s">
        <v>43</v>
      </c>
      <c r="G2" s="75" t="s">
        <v>43</v>
      </c>
      <c r="H2" s="75" t="s">
        <v>43</v>
      </c>
      <c r="I2" s="75" t="s">
        <v>43</v>
      </c>
      <c r="J2" s="75" t="s">
        <v>43</v>
      </c>
      <c r="K2" s="75" t="s">
        <v>43</v>
      </c>
      <c r="L2" s="75" t="s">
        <v>43</v>
      </c>
      <c r="M2" s="75" t="s">
        <v>43</v>
      </c>
      <c r="N2" s="75" t="s">
        <v>43</v>
      </c>
      <c r="O2" s="75" t="s">
        <v>43</v>
      </c>
      <c r="P2" s="75" t="s">
        <v>43</v>
      </c>
      <c r="Q2" s="75" t="s">
        <v>43</v>
      </c>
      <c r="R2" s="75" t="s">
        <v>43</v>
      </c>
      <c r="S2" s="75"/>
      <c r="T2" s="75" t="s">
        <v>116</v>
      </c>
      <c r="U2" s="74" t="s">
        <v>43</v>
      </c>
      <c r="V2" s="74" t="s">
        <v>43</v>
      </c>
      <c r="W2" s="74" t="s">
        <v>43</v>
      </c>
      <c r="X2" s="74" t="s">
        <v>43</v>
      </c>
      <c r="Y2" s="74" t="s">
        <v>43</v>
      </c>
      <c r="Z2" s="74" t="s">
        <v>43</v>
      </c>
      <c r="AA2" s="74" t="s">
        <v>43</v>
      </c>
      <c r="AB2" s="74" t="s">
        <v>43</v>
      </c>
      <c r="AC2" s="74" t="s">
        <v>43</v>
      </c>
      <c r="AD2" s="74" t="s">
        <v>43</v>
      </c>
      <c r="AE2" s="74" t="s">
        <v>43</v>
      </c>
      <c r="AF2" s="74" t="s">
        <v>43</v>
      </c>
      <c r="AG2" s="78"/>
    </row>
    <row r="3" spans="1:33">
      <c r="A3" s="18" t="s">
        <v>26</v>
      </c>
      <c r="B3" s="87" t="s">
        <v>109</v>
      </c>
      <c r="C3" s="87" t="s">
        <v>108</v>
      </c>
      <c r="D3" s="87" t="s">
        <v>114</v>
      </c>
      <c r="E3" s="87" t="s">
        <v>110</v>
      </c>
      <c r="F3" s="75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5" t="s">
        <v>34</v>
      </c>
      <c r="L3" s="75" t="s">
        <v>35</v>
      </c>
      <c r="M3" s="75" t="s">
        <v>36</v>
      </c>
      <c r="N3" s="75" t="s">
        <v>37</v>
      </c>
      <c r="O3" s="75" t="s">
        <v>38</v>
      </c>
      <c r="P3" s="75" t="s">
        <v>39</v>
      </c>
      <c r="Q3" s="75" t="s">
        <v>40</v>
      </c>
      <c r="R3" s="82" t="s">
        <v>115</v>
      </c>
      <c r="S3" s="82"/>
      <c r="T3" s="79" t="s">
        <v>117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5" t="s">
        <v>118</v>
      </c>
    </row>
    <row r="4" spans="1:33">
      <c r="A4" s="18">
        <v>7141</v>
      </c>
      <c r="B4" s="103" t="s">
        <v>131</v>
      </c>
      <c r="C4" s="104" t="s">
        <v>148</v>
      </c>
      <c r="D4" s="105" t="s">
        <v>134</v>
      </c>
      <c r="E4" s="105" t="s">
        <v>140</v>
      </c>
      <c r="F4" s="111">
        <v>0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0</v>
      </c>
      <c r="M4" s="112">
        <v>0</v>
      </c>
      <c r="N4" s="112">
        <v>73727.509999999995</v>
      </c>
      <c r="O4" s="112">
        <v>444234.48</v>
      </c>
      <c r="P4" s="112">
        <v>26820.2</v>
      </c>
      <c r="Q4" s="112">
        <v>16121.85</v>
      </c>
      <c r="R4" s="76">
        <f>+SUM(F4:Q4)</f>
        <v>560904.03999999992</v>
      </c>
      <c r="S4" s="76"/>
      <c r="T4" s="84">
        <v>0.48309143579999997</v>
      </c>
      <c r="U4" s="106">
        <f>+F4*$T4</f>
        <v>0</v>
      </c>
      <c r="V4" s="106">
        <f t="shared" ref="V4:AF4" si="0">+G4*$T4</f>
        <v>0</v>
      </c>
      <c r="W4" s="106">
        <f t="shared" si="0"/>
        <v>0</v>
      </c>
      <c r="X4" s="106">
        <f t="shared" si="0"/>
        <v>0</v>
      </c>
      <c r="Y4" s="106">
        <f t="shared" si="0"/>
        <v>0</v>
      </c>
      <c r="Z4" s="106">
        <f t="shared" si="0"/>
        <v>0</v>
      </c>
      <c r="AA4" s="106">
        <f t="shared" si="0"/>
        <v>0</v>
      </c>
      <c r="AB4" s="106">
        <f t="shared" si="0"/>
        <v>0</v>
      </c>
      <c r="AC4" s="106">
        <f t="shared" si="0"/>
        <v>35617.12866385885</v>
      </c>
      <c r="AD4" s="106">
        <f t="shared" si="0"/>
        <v>214605.87277506635</v>
      </c>
      <c r="AE4" s="106">
        <f t="shared" si="0"/>
        <v>12956.608926443159</v>
      </c>
      <c r="AF4" s="106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103" t="s">
        <v>131</v>
      </c>
      <c r="C5" s="104" t="s">
        <v>148</v>
      </c>
      <c r="D5" s="105" t="s">
        <v>113</v>
      </c>
      <c r="E5" s="105" t="s">
        <v>112</v>
      </c>
      <c r="F5" s="111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39591.279999999999</v>
      </c>
      <c r="M5" s="112">
        <v>1360.14</v>
      </c>
      <c r="N5" s="112">
        <v>1358.7799999999988</v>
      </c>
      <c r="O5" s="112">
        <v>0</v>
      </c>
      <c r="P5" s="112">
        <v>0</v>
      </c>
      <c r="Q5" s="112">
        <v>1.36</v>
      </c>
      <c r="R5" s="76">
        <f t="shared" ref="R5:R15" si="1">+SUM(F5:Q5)</f>
        <v>42311.56</v>
      </c>
      <c r="S5" s="76"/>
      <c r="T5" s="84">
        <v>0.69189000000000001</v>
      </c>
      <c r="U5" s="106">
        <f t="shared" ref="U5:U15" si="2">+F5*$T5</f>
        <v>0</v>
      </c>
      <c r="V5" s="106">
        <f t="shared" ref="V5:V15" si="3">+G5*$T5</f>
        <v>0</v>
      </c>
      <c r="W5" s="106">
        <f t="shared" ref="W5:W15" si="4">+H5*$T5</f>
        <v>0</v>
      </c>
      <c r="X5" s="106">
        <f t="shared" ref="X5:X15" si="5">+I5*$T5</f>
        <v>0</v>
      </c>
      <c r="Y5" s="106">
        <f t="shared" ref="Y5:Y15" si="6">+J5*$T5</f>
        <v>0</v>
      </c>
      <c r="Z5" s="106">
        <f t="shared" ref="Z5:Z15" si="7">+K5*$T5</f>
        <v>0</v>
      </c>
      <c r="AA5" s="106">
        <f t="shared" ref="AA5:AA15" si="8">+L5*$T5</f>
        <v>27392.810719199999</v>
      </c>
      <c r="AB5" s="106">
        <f t="shared" ref="AB5:AB15" si="9">+M5*$T5</f>
        <v>941.06726460000004</v>
      </c>
      <c r="AC5" s="106">
        <f t="shared" ref="AC5:AC15" si="10">+N5*$T5</f>
        <v>940.12629419999917</v>
      </c>
      <c r="AD5" s="106">
        <f t="shared" ref="AD5:AD15" si="11">+O5*$T5</f>
        <v>0</v>
      </c>
      <c r="AE5" s="106">
        <f t="shared" ref="AE5:AE15" si="12">+P5*$T5</f>
        <v>0</v>
      </c>
      <c r="AF5" s="106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103" t="s">
        <v>131</v>
      </c>
      <c r="C6" s="104" t="s">
        <v>133</v>
      </c>
      <c r="D6" s="105" t="s">
        <v>113</v>
      </c>
      <c r="E6" s="105" t="s">
        <v>112</v>
      </c>
      <c r="F6" s="111">
        <v>0</v>
      </c>
      <c r="G6" s="112">
        <v>0</v>
      </c>
      <c r="H6" s="112">
        <v>0</v>
      </c>
      <c r="I6" s="112">
        <v>0</v>
      </c>
      <c r="J6" s="112">
        <v>0</v>
      </c>
      <c r="K6" s="112">
        <v>50488.76</v>
      </c>
      <c r="L6" s="112">
        <v>49322.07</v>
      </c>
      <c r="M6" s="112">
        <v>1471.7199999999998</v>
      </c>
      <c r="N6" s="112">
        <v>104.91999999999825</v>
      </c>
      <c r="O6" s="112">
        <v>57904.62</v>
      </c>
      <c r="P6" s="112">
        <v>13718.720000000001</v>
      </c>
      <c r="Q6" s="112">
        <v>38722.380000000005</v>
      </c>
      <c r="R6" s="76">
        <f t="shared" si="1"/>
        <v>211733.19</v>
      </c>
      <c r="S6" s="76"/>
      <c r="T6" s="84">
        <v>0.65639999999999998</v>
      </c>
      <c r="U6" s="106">
        <f t="shared" si="2"/>
        <v>0</v>
      </c>
      <c r="V6" s="106">
        <f t="shared" si="3"/>
        <v>0</v>
      </c>
      <c r="W6" s="106">
        <f t="shared" si="4"/>
        <v>0</v>
      </c>
      <c r="X6" s="106">
        <f t="shared" si="5"/>
        <v>0</v>
      </c>
      <c r="Y6" s="106">
        <f t="shared" si="6"/>
        <v>0</v>
      </c>
      <c r="Z6" s="106">
        <f t="shared" si="7"/>
        <v>33140.822064</v>
      </c>
      <c r="AA6" s="106">
        <f t="shared" si="8"/>
        <v>32375.006748</v>
      </c>
      <c r="AB6" s="106">
        <f t="shared" si="9"/>
        <v>966.0370079999999</v>
      </c>
      <c r="AC6" s="106">
        <f t="shared" si="10"/>
        <v>68.869487999998853</v>
      </c>
      <c r="AD6" s="106">
        <f t="shared" si="11"/>
        <v>38008.592568</v>
      </c>
      <c r="AE6" s="106">
        <f t="shared" si="12"/>
        <v>9004.9678080000012</v>
      </c>
      <c r="AF6" s="106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103" t="s">
        <v>130</v>
      </c>
      <c r="C7" s="104" t="s">
        <v>148</v>
      </c>
      <c r="D7" s="105" t="s">
        <v>113</v>
      </c>
      <c r="E7" s="105" t="s">
        <v>112</v>
      </c>
      <c r="F7" s="111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190908.56</v>
      </c>
      <c r="N7" s="112">
        <v>0</v>
      </c>
      <c r="O7" s="112">
        <v>0</v>
      </c>
      <c r="P7" s="112">
        <v>0</v>
      </c>
      <c r="Q7" s="112">
        <v>0</v>
      </c>
      <c r="R7" s="76">
        <f t="shared" si="1"/>
        <v>190908.56</v>
      </c>
      <c r="S7" s="76"/>
      <c r="T7" s="84">
        <v>0.69189000000000001</v>
      </c>
      <c r="U7" s="106">
        <f t="shared" si="2"/>
        <v>0</v>
      </c>
      <c r="V7" s="106">
        <f t="shared" si="3"/>
        <v>0</v>
      </c>
      <c r="W7" s="106">
        <f t="shared" si="4"/>
        <v>0</v>
      </c>
      <c r="X7" s="106">
        <f t="shared" si="5"/>
        <v>0</v>
      </c>
      <c r="Y7" s="106">
        <f t="shared" si="6"/>
        <v>0</v>
      </c>
      <c r="Z7" s="106">
        <f t="shared" si="7"/>
        <v>0</v>
      </c>
      <c r="AA7" s="106">
        <f t="shared" si="8"/>
        <v>0</v>
      </c>
      <c r="AB7" s="106">
        <f t="shared" si="9"/>
        <v>132087.72357840001</v>
      </c>
      <c r="AC7" s="106">
        <f t="shared" si="10"/>
        <v>0</v>
      </c>
      <c r="AD7" s="106">
        <f t="shared" si="11"/>
        <v>0</v>
      </c>
      <c r="AE7" s="106">
        <f t="shared" si="12"/>
        <v>0</v>
      </c>
      <c r="AF7" s="106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103" t="s">
        <v>130</v>
      </c>
      <c r="C8" s="104" t="s">
        <v>122</v>
      </c>
      <c r="D8" s="105" t="s">
        <v>134</v>
      </c>
      <c r="E8" s="105" t="s">
        <v>140</v>
      </c>
      <c r="F8" s="111">
        <v>0</v>
      </c>
      <c r="G8" s="112">
        <v>0</v>
      </c>
      <c r="H8" s="112">
        <v>0</v>
      </c>
      <c r="I8" s="112">
        <v>11003.93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76">
        <f t="shared" si="1"/>
        <v>11003.93</v>
      </c>
      <c r="S8" s="76"/>
      <c r="T8" s="84">
        <v>0.48309143579999997</v>
      </c>
      <c r="U8" s="106">
        <f t="shared" si="2"/>
        <v>0</v>
      </c>
      <c r="V8" s="106">
        <f t="shared" si="3"/>
        <v>0</v>
      </c>
      <c r="W8" s="106">
        <f t="shared" si="4"/>
        <v>0</v>
      </c>
      <c r="X8" s="106">
        <f t="shared" si="5"/>
        <v>5315.9043431426935</v>
      </c>
      <c r="Y8" s="106">
        <f t="shared" si="6"/>
        <v>0</v>
      </c>
      <c r="Z8" s="106">
        <f t="shared" si="7"/>
        <v>0</v>
      </c>
      <c r="AA8" s="106">
        <f t="shared" si="8"/>
        <v>0</v>
      </c>
      <c r="AB8" s="106">
        <f t="shared" si="9"/>
        <v>0</v>
      </c>
      <c r="AC8" s="106">
        <f t="shared" si="10"/>
        <v>0</v>
      </c>
      <c r="AD8" s="106">
        <f t="shared" si="11"/>
        <v>0</v>
      </c>
      <c r="AE8" s="106">
        <f t="shared" si="12"/>
        <v>0</v>
      </c>
      <c r="AF8" s="106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103" t="s">
        <v>130</v>
      </c>
      <c r="C9" s="104" t="s">
        <v>122</v>
      </c>
      <c r="D9" s="105" t="s">
        <v>113</v>
      </c>
      <c r="E9" s="105" t="s">
        <v>112</v>
      </c>
      <c r="F9" s="111">
        <v>281638.5</v>
      </c>
      <c r="G9" s="112">
        <v>42662.83</v>
      </c>
      <c r="H9" s="112">
        <v>12395.55</v>
      </c>
      <c r="I9" s="112">
        <v>4681.37</v>
      </c>
      <c r="J9" s="112">
        <v>0</v>
      </c>
      <c r="K9" s="112">
        <v>0</v>
      </c>
      <c r="L9" s="112">
        <v>1903.07</v>
      </c>
      <c r="M9" s="112">
        <v>-143160.81</v>
      </c>
      <c r="N9" s="112">
        <v>0</v>
      </c>
      <c r="O9" s="112">
        <v>0</v>
      </c>
      <c r="P9" s="112">
        <v>0</v>
      </c>
      <c r="Q9" s="112">
        <v>0</v>
      </c>
      <c r="R9" s="76">
        <f t="shared" si="1"/>
        <v>200120.51</v>
      </c>
      <c r="S9" s="76"/>
      <c r="T9" s="84">
        <v>0.69189000000000001</v>
      </c>
      <c r="U9" s="106">
        <f t="shared" si="2"/>
        <v>194862.86176500001</v>
      </c>
      <c r="V9" s="106">
        <f t="shared" si="3"/>
        <v>29517.985448700001</v>
      </c>
      <c r="W9" s="106">
        <f t="shared" si="4"/>
        <v>8576.3570894999993</v>
      </c>
      <c r="X9" s="106">
        <f t="shared" si="5"/>
        <v>3238.9930893000001</v>
      </c>
      <c r="Y9" s="106">
        <f t="shared" si="6"/>
        <v>0</v>
      </c>
      <c r="Z9" s="106">
        <f t="shared" si="7"/>
        <v>0</v>
      </c>
      <c r="AA9" s="106">
        <f t="shared" si="8"/>
        <v>1316.7151022999999</v>
      </c>
      <c r="AB9" s="106">
        <f t="shared" si="9"/>
        <v>-99051.532830900003</v>
      </c>
      <c r="AC9" s="106">
        <f t="shared" si="10"/>
        <v>0</v>
      </c>
      <c r="AD9" s="106">
        <f t="shared" si="11"/>
        <v>0</v>
      </c>
      <c r="AE9" s="106">
        <f t="shared" si="12"/>
        <v>0</v>
      </c>
      <c r="AF9" s="106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103" t="s">
        <v>130</v>
      </c>
      <c r="C10" s="104" t="s">
        <v>150</v>
      </c>
      <c r="D10" s="105" t="s">
        <v>113</v>
      </c>
      <c r="E10" s="105" t="s">
        <v>112</v>
      </c>
      <c r="F10" s="111">
        <v>77847.990000000005</v>
      </c>
      <c r="G10" s="112">
        <v>11792.48</v>
      </c>
      <c r="H10" s="112">
        <v>3426.27</v>
      </c>
      <c r="I10" s="112">
        <v>1293.98</v>
      </c>
      <c r="J10" s="112">
        <v>0</v>
      </c>
      <c r="K10" s="112">
        <v>0</v>
      </c>
      <c r="L10" s="112">
        <v>526.03</v>
      </c>
      <c r="M10" s="112">
        <v>-47747.75</v>
      </c>
      <c r="N10" s="112">
        <v>0</v>
      </c>
      <c r="O10" s="112">
        <v>0</v>
      </c>
      <c r="P10" s="112">
        <v>0</v>
      </c>
      <c r="Q10" s="112">
        <v>0</v>
      </c>
      <c r="R10" s="76">
        <f t="shared" si="1"/>
        <v>47139</v>
      </c>
      <c r="S10" s="76"/>
      <c r="T10" s="84">
        <v>0.69189000000000001</v>
      </c>
      <c r="U10" s="106">
        <f t="shared" si="2"/>
        <v>53862.245801100005</v>
      </c>
      <c r="V10" s="106">
        <f t="shared" si="3"/>
        <v>8159.0989872</v>
      </c>
      <c r="W10" s="106">
        <f t="shared" si="4"/>
        <v>2370.6019503000002</v>
      </c>
      <c r="X10" s="106">
        <f t="shared" si="5"/>
        <v>895.29182220000007</v>
      </c>
      <c r="Y10" s="106">
        <f t="shared" si="6"/>
        <v>0</v>
      </c>
      <c r="Z10" s="106">
        <f t="shared" si="7"/>
        <v>0</v>
      </c>
      <c r="AA10" s="106">
        <f t="shared" si="8"/>
        <v>363.95489670000001</v>
      </c>
      <c r="AB10" s="106">
        <f t="shared" si="9"/>
        <v>-33036.190747499997</v>
      </c>
      <c r="AC10" s="106">
        <f t="shared" si="10"/>
        <v>0</v>
      </c>
      <c r="AD10" s="106">
        <f t="shared" si="11"/>
        <v>0</v>
      </c>
      <c r="AE10" s="106">
        <f t="shared" si="12"/>
        <v>0</v>
      </c>
      <c r="AF10" s="106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103" t="s">
        <v>128</v>
      </c>
      <c r="C11" s="104" t="s">
        <v>133</v>
      </c>
      <c r="D11" s="105" t="s">
        <v>113</v>
      </c>
      <c r="E11" s="105" t="s">
        <v>112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240132.2</v>
      </c>
      <c r="O11" s="112">
        <v>-36989.279999999999</v>
      </c>
      <c r="P11" s="112">
        <v>645.70000000000005</v>
      </c>
      <c r="Q11" s="112">
        <v>0</v>
      </c>
      <c r="R11" s="76">
        <f t="shared" si="1"/>
        <v>203788.62000000002</v>
      </c>
      <c r="S11" s="76"/>
      <c r="T11" s="84">
        <v>0.65639999999999998</v>
      </c>
      <c r="U11" s="106">
        <f t="shared" si="2"/>
        <v>0</v>
      </c>
      <c r="V11" s="106">
        <f t="shared" si="3"/>
        <v>0</v>
      </c>
      <c r="W11" s="106">
        <f t="shared" si="4"/>
        <v>0</v>
      </c>
      <c r="X11" s="106">
        <f t="shared" si="5"/>
        <v>0</v>
      </c>
      <c r="Y11" s="106">
        <f t="shared" si="6"/>
        <v>0</v>
      </c>
      <c r="Z11" s="106">
        <f t="shared" si="7"/>
        <v>0</v>
      </c>
      <c r="AA11" s="106">
        <f t="shared" si="8"/>
        <v>0</v>
      </c>
      <c r="AB11" s="106">
        <f t="shared" si="9"/>
        <v>0</v>
      </c>
      <c r="AC11" s="106">
        <f t="shared" si="10"/>
        <v>157622.77608000001</v>
      </c>
      <c r="AD11" s="106">
        <f t="shared" si="11"/>
        <v>-24279.763391999997</v>
      </c>
      <c r="AE11" s="106">
        <f t="shared" si="12"/>
        <v>423.83748000000003</v>
      </c>
      <c r="AF11" s="106">
        <f t="shared" si="13"/>
        <v>0</v>
      </c>
      <c r="AG11" s="19">
        <f t="shared" si="14"/>
        <v>133766.850168</v>
      </c>
    </row>
    <row r="12" spans="1:33">
      <c r="A12" s="18">
        <v>7141</v>
      </c>
      <c r="B12" s="103" t="s">
        <v>129</v>
      </c>
      <c r="C12" s="104" t="s">
        <v>133</v>
      </c>
      <c r="D12" s="105" t="s">
        <v>113</v>
      </c>
      <c r="E12" s="105" t="s">
        <v>112</v>
      </c>
      <c r="F12" s="111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420262.29</v>
      </c>
      <c r="L12" s="112">
        <v>3372.1</v>
      </c>
      <c r="M12" s="112">
        <v>4168.8900000000003</v>
      </c>
      <c r="N12" s="112">
        <v>1975.08</v>
      </c>
      <c r="O12" s="112">
        <v>52.65</v>
      </c>
      <c r="P12" s="112">
        <v>0</v>
      </c>
      <c r="Q12" s="112">
        <v>0</v>
      </c>
      <c r="R12" s="76">
        <f t="shared" si="1"/>
        <v>429831.01</v>
      </c>
      <c r="S12" s="76"/>
      <c r="T12" s="84">
        <v>0.65639999999999998</v>
      </c>
      <c r="U12" s="106">
        <f t="shared" si="2"/>
        <v>0</v>
      </c>
      <c r="V12" s="106">
        <f t="shared" si="3"/>
        <v>0</v>
      </c>
      <c r="W12" s="106">
        <f t="shared" si="4"/>
        <v>0</v>
      </c>
      <c r="X12" s="106">
        <f t="shared" si="5"/>
        <v>0</v>
      </c>
      <c r="Y12" s="106">
        <f t="shared" si="6"/>
        <v>0</v>
      </c>
      <c r="Z12" s="106">
        <f t="shared" si="7"/>
        <v>275860.16715599998</v>
      </c>
      <c r="AA12" s="106">
        <f t="shared" si="8"/>
        <v>2213.4464399999997</v>
      </c>
      <c r="AB12" s="106">
        <f t="shared" si="9"/>
        <v>2736.4593960000002</v>
      </c>
      <c r="AC12" s="106">
        <f t="shared" si="10"/>
        <v>1296.4425119999999</v>
      </c>
      <c r="AD12" s="106">
        <f t="shared" si="11"/>
        <v>34.559460000000001</v>
      </c>
      <c r="AE12" s="106">
        <f t="shared" si="12"/>
        <v>0</v>
      </c>
      <c r="AF12" s="106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103" t="s">
        <v>129</v>
      </c>
      <c r="C13" s="104" t="s">
        <v>149</v>
      </c>
      <c r="D13" s="105" t="s">
        <v>113</v>
      </c>
      <c r="E13" s="105" t="s">
        <v>112</v>
      </c>
      <c r="F13" s="111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681112.85</v>
      </c>
      <c r="R13" s="76">
        <f t="shared" si="1"/>
        <v>681112.85</v>
      </c>
      <c r="S13" s="76"/>
      <c r="T13" s="84">
        <v>0.65639999999999998</v>
      </c>
      <c r="U13" s="106">
        <f t="shared" si="2"/>
        <v>0</v>
      </c>
      <c r="V13" s="106">
        <f t="shared" si="3"/>
        <v>0</v>
      </c>
      <c r="W13" s="106">
        <f t="shared" si="4"/>
        <v>0</v>
      </c>
      <c r="X13" s="106">
        <f t="shared" si="5"/>
        <v>0</v>
      </c>
      <c r="Y13" s="106">
        <f t="shared" si="6"/>
        <v>0</v>
      </c>
      <c r="Z13" s="106">
        <f t="shared" si="7"/>
        <v>0</v>
      </c>
      <c r="AA13" s="106">
        <f t="shared" si="8"/>
        <v>0</v>
      </c>
      <c r="AB13" s="106">
        <f t="shared" si="9"/>
        <v>0</v>
      </c>
      <c r="AC13" s="106">
        <f t="shared" si="10"/>
        <v>0</v>
      </c>
      <c r="AD13" s="106">
        <f t="shared" si="11"/>
        <v>0</v>
      </c>
      <c r="AE13" s="106">
        <f t="shared" si="12"/>
        <v>0</v>
      </c>
      <c r="AF13" s="106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103" t="s">
        <v>125</v>
      </c>
      <c r="C14" s="104" t="s">
        <v>42</v>
      </c>
      <c r="D14" s="105" t="s">
        <v>113</v>
      </c>
      <c r="E14" s="105" t="s">
        <v>111</v>
      </c>
      <c r="F14" s="111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33962.11</v>
      </c>
      <c r="P14" s="112">
        <v>51.9</v>
      </c>
      <c r="Q14" s="112">
        <v>270.23</v>
      </c>
      <c r="R14" s="76">
        <f t="shared" si="1"/>
        <v>34284.240000000005</v>
      </c>
      <c r="S14" s="76"/>
      <c r="T14" s="84">
        <v>0</v>
      </c>
      <c r="U14" s="106">
        <f t="shared" ref="U14" si="15">+F14*$T14</f>
        <v>0</v>
      </c>
      <c r="V14" s="106">
        <f t="shared" ref="V14" si="16">+G14*$T14</f>
        <v>0</v>
      </c>
      <c r="W14" s="106">
        <f t="shared" ref="W14" si="17">+H14*$T14</f>
        <v>0</v>
      </c>
      <c r="X14" s="106">
        <f t="shared" ref="X14" si="18">+I14*$T14</f>
        <v>0</v>
      </c>
      <c r="Y14" s="106">
        <f t="shared" ref="Y14" si="19">+J14*$T14</f>
        <v>0</v>
      </c>
      <c r="Z14" s="106">
        <f t="shared" ref="Z14" si="20">+K14*$T14</f>
        <v>0</v>
      </c>
      <c r="AA14" s="106">
        <f t="shared" ref="AA14" si="21">+L14*$T14</f>
        <v>0</v>
      </c>
      <c r="AB14" s="106">
        <f t="shared" ref="AB14" si="22">+M14*$T14</f>
        <v>0</v>
      </c>
      <c r="AC14" s="106">
        <f t="shared" ref="AC14" si="23">+N14*$T14</f>
        <v>0</v>
      </c>
      <c r="AD14" s="106">
        <f t="shared" ref="AD14" si="24">+O14*$T14</f>
        <v>0</v>
      </c>
      <c r="AE14" s="106">
        <f t="shared" ref="AE14" si="25">+P14*$T14</f>
        <v>0</v>
      </c>
      <c r="AF14" s="106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103" t="s">
        <v>126</v>
      </c>
      <c r="C15" s="104" t="s">
        <v>41</v>
      </c>
      <c r="D15" s="105" t="s">
        <v>113</v>
      </c>
      <c r="E15" s="105" t="s">
        <v>112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152597.69</v>
      </c>
      <c r="N15" s="112">
        <v>0</v>
      </c>
      <c r="O15" s="112">
        <v>59502.21</v>
      </c>
      <c r="P15" s="112">
        <v>1354.68</v>
      </c>
      <c r="Q15" s="112">
        <v>5734.68</v>
      </c>
      <c r="R15" s="76">
        <f t="shared" si="1"/>
        <v>219189.25999999998</v>
      </c>
      <c r="S15" s="76"/>
      <c r="T15" s="84">
        <v>0.65639999999999998</v>
      </c>
      <c r="U15" s="106">
        <f t="shared" si="2"/>
        <v>0</v>
      </c>
      <c r="V15" s="106">
        <f t="shared" si="3"/>
        <v>0</v>
      </c>
      <c r="W15" s="106">
        <f t="shared" si="4"/>
        <v>0</v>
      </c>
      <c r="X15" s="106">
        <f t="shared" si="5"/>
        <v>0</v>
      </c>
      <c r="Y15" s="106">
        <f t="shared" si="6"/>
        <v>0</v>
      </c>
      <c r="Z15" s="106">
        <f t="shared" si="7"/>
        <v>0</v>
      </c>
      <c r="AA15" s="106">
        <f t="shared" si="8"/>
        <v>0</v>
      </c>
      <c r="AB15" s="106">
        <f t="shared" si="9"/>
        <v>100165.123716</v>
      </c>
      <c r="AC15" s="106">
        <f t="shared" si="10"/>
        <v>0</v>
      </c>
      <c r="AD15" s="106">
        <f t="shared" si="11"/>
        <v>39057.250644</v>
      </c>
      <c r="AE15" s="106">
        <f t="shared" si="12"/>
        <v>889.211952</v>
      </c>
      <c r="AF15" s="106">
        <f t="shared" si="13"/>
        <v>3764.2439520000003</v>
      </c>
      <c r="AG15" s="19">
        <f t="shared" si="14"/>
        <v>143875.83026400002</v>
      </c>
    </row>
    <row r="16" spans="1:33" ht="15" thickBot="1">
      <c r="B16" s="86"/>
      <c r="C16" s="86"/>
      <c r="D16"/>
      <c r="E1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6"/>
      <c r="S16" s="76"/>
      <c r="T16" s="84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9"/>
    </row>
    <row r="17" spans="5:33" ht="15" thickBot="1">
      <c r="R17" s="89">
        <f>SUM(R4:R16)</f>
        <v>2832326.77</v>
      </c>
      <c r="AG17" s="20">
        <f>SUM(AG4:AG16)</f>
        <v>1754570.7896254633</v>
      </c>
    </row>
    <row r="18" spans="5:33">
      <c r="E18" s="29"/>
      <c r="R18" s="117" t="s">
        <v>157</v>
      </c>
      <c r="AA18" s="24"/>
      <c r="AG18" s="23" t="s">
        <v>158</v>
      </c>
    </row>
  </sheetData>
  <autoFilter ref="A3:AG6"/>
  <phoneticPr fontId="24" type="noConversion"/>
  <pageMargins left="0.7" right="0.7" top="0.75" bottom="0.75" header="0.3" footer="0.3"/>
  <pageSetup scale="40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31"/>
  <sheetViews>
    <sheetView zoomScaleNormal="100" workbookViewId="0"/>
  </sheetViews>
  <sheetFormatPr defaultColWidth="9.109375" defaultRowHeight="14.4" outlineLevelCol="1"/>
  <cols>
    <col min="1" max="1" width="6" style="18" customWidth="1"/>
    <col min="2" max="2" width="38.44140625" style="18" customWidth="1"/>
    <col min="3" max="3" width="19.109375" style="18" customWidth="1"/>
    <col min="4" max="4" width="7.33203125" style="18" customWidth="1"/>
    <col min="5" max="5" width="5.88671875" style="18" bestFit="1" customWidth="1"/>
    <col min="6" max="6" width="12.33203125" style="18" bestFit="1" customWidth="1" outlineLevel="1"/>
    <col min="7" max="17" width="10.33203125" style="18" bestFit="1" customWidth="1" outlineLevel="1"/>
    <col min="18" max="18" width="26.44140625" style="18" customWidth="1"/>
    <col min="19" max="19" width="9" style="18" customWidth="1"/>
    <col min="20" max="20" width="16.109375" style="18" customWidth="1"/>
    <col min="21" max="21" width="10" style="18" bestFit="1" customWidth="1"/>
    <col min="22" max="22" width="14.33203125" style="18" bestFit="1" customWidth="1"/>
    <col min="23" max="26" width="11.5546875" style="18" bestFit="1" customWidth="1"/>
    <col min="27" max="32" width="8.6640625" style="18" customWidth="1"/>
    <col min="33" max="33" width="13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99" t="s">
        <v>138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135</v>
      </c>
      <c r="C4" s="97" t="s">
        <v>42</v>
      </c>
      <c r="D4" s="98" t="s">
        <v>113</v>
      </c>
      <c r="E4" s="98" t="s">
        <v>112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90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97" t="s">
        <v>125</v>
      </c>
      <c r="C5" s="97" t="s">
        <v>41</v>
      </c>
      <c r="D5" s="98" t="s">
        <v>113</v>
      </c>
      <c r="E5" s="98" t="s">
        <v>112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91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97" t="s">
        <v>126</v>
      </c>
      <c r="C6" s="97" t="s">
        <v>41</v>
      </c>
      <c r="D6" s="98" t="s">
        <v>113</v>
      </c>
      <c r="E6" s="98" t="s">
        <v>112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91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97" t="s">
        <v>127</v>
      </c>
      <c r="C7" s="97" t="s">
        <v>132</v>
      </c>
      <c r="D7" s="98" t="s">
        <v>113</v>
      </c>
      <c r="E7" s="98" t="s">
        <v>112</v>
      </c>
      <c r="F7" s="77">
        <v>0</v>
      </c>
      <c r="G7" s="77">
        <v>0</v>
      </c>
      <c r="H7" s="77">
        <v>260950.63795104434</v>
      </c>
      <c r="I7" s="77">
        <v>87748.637951044322</v>
      </c>
      <c r="J7" s="77">
        <v>87748.637951044322</v>
      </c>
      <c r="K7" s="77">
        <v>87748.637951044322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25">
        <f t="shared" si="1"/>
        <v>524196.55180417729</v>
      </c>
      <c r="T7" s="91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97" t="s">
        <v>128</v>
      </c>
      <c r="C8" s="97" t="s">
        <v>133</v>
      </c>
      <c r="D8" s="98" t="s">
        <v>113</v>
      </c>
      <c r="E8" s="98" t="s">
        <v>112</v>
      </c>
      <c r="F8" s="77">
        <v>0</v>
      </c>
      <c r="G8" s="77">
        <v>0</v>
      </c>
      <c r="H8" s="77">
        <v>0</v>
      </c>
      <c r="I8" s="77">
        <v>322248.38258207403</v>
      </c>
      <c r="J8" s="77">
        <v>108248.38258207406</v>
      </c>
      <c r="K8" s="77">
        <v>409598.38258207403</v>
      </c>
      <c r="L8" s="2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25">
        <f t="shared" si="1"/>
        <v>840095.14774622209</v>
      </c>
      <c r="T8" s="91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97" t="s">
        <v>129</v>
      </c>
      <c r="C9" s="97" t="s">
        <v>133</v>
      </c>
      <c r="D9" s="98" t="s">
        <v>113</v>
      </c>
      <c r="E9" s="98" t="s">
        <v>112</v>
      </c>
      <c r="F9" s="77">
        <v>0</v>
      </c>
      <c r="G9" s="77">
        <v>0</v>
      </c>
      <c r="H9" s="77">
        <v>0</v>
      </c>
      <c r="I9" s="77">
        <v>698074.4441648738</v>
      </c>
      <c r="J9" s="77">
        <v>488014.4441648738</v>
      </c>
      <c r="K9" s="77">
        <v>97974.444164873799</v>
      </c>
      <c r="L9" s="2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25">
        <f t="shared" si="1"/>
        <v>1284063.3324946214</v>
      </c>
      <c r="T9" s="90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97" t="s">
        <v>136</v>
      </c>
      <c r="C10" s="97" t="s">
        <v>133</v>
      </c>
      <c r="D10" s="98" t="s">
        <v>113</v>
      </c>
      <c r="E10" s="98" t="s">
        <v>112</v>
      </c>
      <c r="F10" s="77">
        <v>0</v>
      </c>
      <c r="G10" s="77">
        <v>0</v>
      </c>
      <c r="H10" s="77">
        <v>0</v>
      </c>
      <c r="I10" s="77">
        <v>0</v>
      </c>
      <c r="J10" s="77">
        <v>1889933.3706181389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25">
        <f t="shared" si="1"/>
        <v>1889933.3706181389</v>
      </c>
      <c r="T10" s="84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97" t="s">
        <v>130</v>
      </c>
      <c r="C11" s="97" t="s">
        <v>122</v>
      </c>
      <c r="D11" s="98" t="s">
        <v>113</v>
      </c>
      <c r="E11" s="98" t="s">
        <v>112</v>
      </c>
      <c r="F11" s="77">
        <v>0</v>
      </c>
      <c r="G11" s="77">
        <v>0</v>
      </c>
      <c r="H11" s="77">
        <v>0</v>
      </c>
      <c r="I11" s="77">
        <v>4091017.8719546576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25">
        <f t="shared" si="1"/>
        <v>4091017.8719546576</v>
      </c>
      <c r="T11" s="84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97" t="s">
        <v>131</v>
      </c>
      <c r="C12" s="97" t="s">
        <v>122</v>
      </c>
      <c r="D12" s="98" t="s">
        <v>134</v>
      </c>
      <c r="E12" s="98" t="s">
        <v>140</v>
      </c>
      <c r="F12" s="77">
        <v>233915.29167682279</v>
      </c>
      <c r="G12" s="77">
        <v>233915.29167682279</v>
      </c>
      <c r="H12" s="77">
        <v>233915.29167682279</v>
      </c>
      <c r="I12" s="77">
        <v>235397.69501015614</v>
      </c>
      <c r="J12" s="77">
        <v>235397.69501015614</v>
      </c>
      <c r="K12" s="77">
        <v>235397.69501015614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25">
        <f t="shared" si="1"/>
        <v>1407938.9600609366</v>
      </c>
      <c r="T12" s="84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97"/>
      <c r="C13" s="97"/>
      <c r="D13" s="98"/>
      <c r="E13" s="9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25"/>
      <c r="T13" s="8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" thickBot="1">
      <c r="B14" s="86"/>
      <c r="C14" s="86"/>
      <c r="D14"/>
      <c r="E14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25"/>
      <c r="T14" s="8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>
        <f>SUM(R4:R14)</f>
        <v>12377934.23</v>
      </c>
      <c r="S15" s="88"/>
      <c r="U15" s="26">
        <f>SUM(U4:U14)</f>
        <v>229998.71280207887</v>
      </c>
      <c r="V15" s="26">
        <f t="shared" ref="V15:Z15" si="5">SUM(V4:V14)</f>
        <v>229998.71280207887</v>
      </c>
      <c r="W15" s="26">
        <f t="shared" si="5"/>
        <v>410550.45920040639</v>
      </c>
      <c r="X15" s="26">
        <f t="shared" si="5"/>
        <v>3898212.4307146608</v>
      </c>
      <c r="Y15" s="26">
        <f t="shared" si="5"/>
        <v>2029836.4455829798</v>
      </c>
      <c r="Z15" s="26">
        <f t="shared" si="5"/>
        <v>1255456.3334894152</v>
      </c>
      <c r="AA15" s="26"/>
      <c r="AB15" s="26"/>
      <c r="AC15" s="26"/>
      <c r="AD15" s="26"/>
      <c r="AE15" s="26"/>
      <c r="AF15" s="26"/>
      <c r="AG15" s="22">
        <f>SUM(AG4:AG14)</f>
        <v>8054053.0945916204</v>
      </c>
    </row>
    <row r="16" spans="1:33">
      <c r="R16" s="95" t="s">
        <v>137</v>
      </c>
      <c r="S16" s="23"/>
      <c r="AG16" s="95" t="str">
        <f>+R16</f>
        <v>EIM 2021 PF</v>
      </c>
    </row>
    <row r="17" spans="6:33">
      <c r="R17" s="117" t="s">
        <v>157</v>
      </c>
      <c r="AG17" s="118" t="s">
        <v>159</v>
      </c>
    </row>
    <row r="18" spans="6:33">
      <c r="V18" s="77"/>
    </row>
    <row r="20" spans="6:33"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31" spans="6:33">
      <c r="AA31" s="121" t="s">
        <v>160</v>
      </c>
    </row>
  </sheetData>
  <autoFilter ref="A3:R6"/>
  <pageMargins left="0.7" right="0.7" top="0.75" bottom="0.75" header="0.3" footer="0.3"/>
  <pageSetup scale="31" fitToHeight="0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9"/>
  <sheetViews>
    <sheetView zoomScaleNormal="100" workbookViewId="0"/>
  </sheetViews>
  <sheetFormatPr defaultColWidth="9.109375" defaultRowHeight="14.4" outlineLevelCol="1"/>
  <cols>
    <col min="1" max="1" width="6.5546875" style="18" customWidth="1"/>
    <col min="2" max="2" width="32.44140625" style="18" customWidth="1"/>
    <col min="3" max="3" width="19.44140625" style="18" customWidth="1"/>
    <col min="4" max="4" width="7.109375" style="18" customWidth="1"/>
    <col min="5" max="5" width="6" style="18" customWidth="1"/>
    <col min="6" max="6" width="12.6640625" style="18" bestFit="1" customWidth="1" outlineLevel="1"/>
    <col min="7" max="17" width="8.44140625" style="18" bestFit="1" customWidth="1" outlineLevel="1"/>
    <col min="18" max="18" width="26.44140625" style="18" bestFit="1" customWidth="1"/>
    <col min="19" max="19" width="9" style="18" customWidth="1"/>
    <col min="20" max="20" width="16" style="18" customWidth="1"/>
    <col min="21" max="22" width="8.44140625" style="18" bestFit="1" customWidth="1"/>
    <col min="23" max="23" width="10.5546875" style="18" bestFit="1" customWidth="1"/>
    <col min="24" max="25" width="9" style="18" bestFit="1" customWidth="1"/>
    <col min="26" max="32" width="8.44140625" style="18" bestFit="1" customWidth="1"/>
    <col min="33" max="33" width="15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O1" s="85"/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82" t="s">
        <v>110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130</v>
      </c>
      <c r="C4" s="101" t="s">
        <v>122</v>
      </c>
      <c r="D4" s="102" t="s">
        <v>113</v>
      </c>
      <c r="E4" s="102" t="s">
        <v>112</v>
      </c>
      <c r="F4" s="100">
        <v>0</v>
      </c>
      <c r="G4" s="100">
        <v>0</v>
      </c>
      <c r="H4" s="100">
        <v>9102148.666666666</v>
      </c>
      <c r="I4" s="100">
        <v>1217609.6666666665</v>
      </c>
      <c r="J4" s="100">
        <v>1161944.6666666665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25">
        <f>SUM(F4:Q4)</f>
        <v>11481702.999999998</v>
      </c>
      <c r="S4" s="25"/>
      <c r="T4" s="90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" thickBot="1">
      <c r="B5" s="86"/>
      <c r="C5" s="86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9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88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95" t="s">
        <v>124</v>
      </c>
      <c r="S7" s="23"/>
      <c r="AG7" s="95" t="str">
        <f>+R7</f>
        <v>EIM 2022 PF</v>
      </c>
    </row>
    <row r="8" spans="1:33">
      <c r="R8" s="117" t="s">
        <v>157</v>
      </c>
      <c r="AG8" s="118" t="s">
        <v>159</v>
      </c>
    </row>
    <row r="9" spans="1:33" ht="15" customHeight="1"/>
  </sheetData>
  <autoFilter ref="A3:R5"/>
  <pageMargins left="0.7" right="0.7" top="0.75" bottom="0.75" header="0.3" footer="0.3"/>
  <pageSetup scale="36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46977E-BCC6-4945-902B-3C3535FFB501}"/>
</file>

<file path=customXml/itemProps2.xml><?xml version="1.0" encoding="utf-8"?>
<ds:datastoreItem xmlns:ds="http://schemas.openxmlformats.org/officeDocument/2006/customXml" ds:itemID="{D3F24C3A-0E5D-4895-B9C3-20CF1E99CFC2}"/>
</file>

<file path=customXml/itemProps3.xml><?xml version="1.0" encoding="utf-8"?>
<ds:datastoreItem xmlns:ds="http://schemas.openxmlformats.org/officeDocument/2006/customXml" ds:itemID="{228D4289-867C-4781-846F-3429E178A86B}"/>
</file>

<file path=customXml/itemProps4.xml><?xml version="1.0" encoding="utf-8"?>
<ds:datastoreItem xmlns:ds="http://schemas.openxmlformats.org/officeDocument/2006/customXml" ds:itemID="{F10688FA-D4B3-4C5D-AE58-75AAE3572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RR Model</vt:lpstr>
      <vt:lpstr>ADJ-E</vt:lpstr>
      <vt:lpstr>Summary-Cost-E</vt:lpstr>
      <vt:lpstr>EIM - 2020 WA E Detail </vt:lpstr>
      <vt:lpstr>EIM - 2021 WA E Detail </vt:lpstr>
      <vt:lpstr>EIM - 2022 WA E Detail</vt:lpstr>
      <vt:lpstr>'EIM - 2020 WA E Detail '!Print_Area</vt:lpstr>
      <vt:lpstr>'EIM - 2021 WA E Detail '!Print_Area</vt:lpstr>
      <vt:lpstr>'EIM - 2022 WA E Detail'!Print_Area</vt:lpstr>
      <vt:lpstr>'Summary-Cost-E'!Print_Area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2021-02-23T00:25:49Z</cp:lastPrinted>
  <dcterms:created xsi:type="dcterms:W3CDTF">2020-05-28T13:46:58Z</dcterms:created>
  <dcterms:modified xsi:type="dcterms:W3CDTF">2021-06-10T19:22:02Z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