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2020\2020 WA Elec and Gas GRC\Bench Requests\"/>
    </mc:Choice>
  </mc:AlternateContent>
  <xr:revisionPtr revIDLastSave="0" documentId="13_ncr:1_{8C95C05F-BC2E-4AE1-878F-7C17B1FEFB87}" xr6:coauthVersionLast="45" xr6:coauthVersionMax="45" xr10:uidLastSave="{00000000-0000-0000-0000-000000000000}"/>
  <bookViews>
    <workbookView xWindow="28680" yWindow="-195" windowWidth="29040" windowHeight="15840" xr2:uid="{3C71D3A1-7852-4B8E-BD2D-36369A6C6843}"/>
  </bookViews>
  <sheets>
    <sheet name="PROPOSED RATES-Revised BR-1b" sheetId="117" r:id="rId1"/>
    <sheet name="PROPOSED RATES-Original" sheetId="50" r:id="rId2"/>
    <sheet name="RR SUMMARY" sheetId="51" r:id="rId3"/>
    <sheet name="CF " sheetId="52" r:id="rId4"/>
    <sheet name="Acerno_Cache_XXXXX" sheetId="115" state="veryHidden" r:id="rId5"/>
    <sheet name="ADJ DETAIL-INPUT" sheetId="1" r:id="rId6"/>
    <sheet name="ADJ SUMMARY" sheetId="3" r:id="rId7"/>
    <sheet name="ADJ Cites to Exh EMA-5 &amp; EMA-11" sheetId="118" r:id="rId8"/>
    <sheet name="COMPARISON" sheetId="99" r:id="rId9"/>
    <sheet name="LEAD SHEETS-DO NOT ENTER" sheetId="113" r:id="rId10"/>
    <sheet name="ROO INPUT" sheetId="111" r:id="rId11"/>
    <sheet name="DEBT CALC" sheetId="48" r:id="rId12"/>
  </sheets>
  <externalReferences>
    <externalReference r:id="rId13"/>
    <externalReference r:id="rId14"/>
  </externalReferences>
  <definedNames>
    <definedName name="ID_Elec" localSheetId="10">#REF!</definedName>
    <definedName name="ID_Elec">'DEBT CALC'!$A$93:$F$170</definedName>
    <definedName name="ID_Gas" localSheetId="9">'DEBT CALC'!#REF!</definedName>
    <definedName name="ID_Gas" localSheetId="10">#REF!</definedName>
    <definedName name="ID_Gas">'DEBT CALC'!#REF!</definedName>
    <definedName name="_xlnm.Print_Area" localSheetId="7">'ADJ Cites to Exh EMA-5 &amp; EMA-11'!$A$1:$H$70</definedName>
    <definedName name="_xlnm.Print_Area" localSheetId="5">'ADJ DETAIL-INPUT'!$A$1:$BH$84</definedName>
    <definedName name="_xlnm.Print_Area" localSheetId="6">'ADJ SUMMARY'!$A$1:$J$69</definedName>
    <definedName name="_xlnm.Print_Area" localSheetId="3">'CF '!$A$1:$F$26</definedName>
    <definedName name="_xlnm.Print_Area" localSheetId="8">COMPARISON!$A$1:$Q$132</definedName>
    <definedName name="_xlnm.Print_Area" localSheetId="11">'DEBT CALC'!$A$1:$I$72</definedName>
    <definedName name="_xlnm.Print_Area" localSheetId="9">'LEAD SHEETS-DO NOT ENTER'!$A$2:$AY$80</definedName>
    <definedName name="_xlnm.Print_Area" localSheetId="1">'PROPOSED RATES-Original'!$A$1:$I$81</definedName>
    <definedName name="_xlnm.Print_Area" localSheetId="0">'PROPOSED RATES-Revised BR-1b'!$A$1:$K$81</definedName>
    <definedName name="_xlnm.Print_Area" localSheetId="10">'ROO INPUT'!$A$1:$G$81</definedName>
    <definedName name="_xlnm.Print_Area" localSheetId="2">'RR SUMMARY'!$A$1:$H$33,'RR SUMMARY'!$J$1:$N$17</definedName>
    <definedName name="Print_for_CBReport" localSheetId="7">'ADJ Cites to Exh EMA-5 &amp; EMA-11'!$A$1:$C$68</definedName>
    <definedName name="Print_for_CBReport" localSheetId="8">COMPARISON!$A$10:$H$129</definedName>
    <definedName name="Print_for_CBReport">'ADJ SUMMARY'!$A$1:$F$67</definedName>
    <definedName name="Print_for_Checking" localSheetId="7">'ADJ Cites to Exh EMA-5 &amp; EMA-11'!#REF!:'ADJ Cites to Exh EMA-5 &amp; EMA-11'!#REF!</definedName>
    <definedName name="Print_for_Checking" localSheetId="8">COMPARISON!#REF!:COMPARISON!#REF!</definedName>
    <definedName name="Print_for_Checking" localSheetId="9">'ADJ SUMMARY'!#REF!:'ADJ SUMMARY'!#REF!</definedName>
    <definedName name="Print_for_Checking" localSheetId="10">[1]PFRstmtSheet!$A$1:[1]PFRstmtSheet!#REF!</definedName>
    <definedName name="Print_for_Checking">'ADJ SUMMARY'!#REF!:'ADJ SUMMARY'!#REF!</definedName>
    <definedName name="_xlnm.Print_Titles" localSheetId="7">'ADJ Cites to Exh EMA-5 &amp; EMA-11'!$1:$8</definedName>
    <definedName name="_xlnm.Print_Titles" localSheetId="5">'ADJ DETAIL-INPUT'!$A:$D,'ADJ DETAIL-INPUT'!$2:$10</definedName>
    <definedName name="_xlnm.Print_Titles" localSheetId="9">'LEAD SHEETS-DO NOT ENTER'!$A:$D,'LEAD SHEETS-DO NOT ENTER'!$2:$10</definedName>
    <definedName name="_xlnm.Print_Titles" localSheetId="10">'ROO INPUT'!$1:$10</definedName>
    <definedName name="RRC_Adjustment_Print">#REF!</definedName>
    <definedName name="RRC_Rate_Print">#REF!</definedName>
    <definedName name="Summary" localSheetId="9">#REF!</definedName>
    <definedName name="Summary" localSheetId="10">#REF!</definedName>
    <definedName name="Summary">#REF!</definedName>
    <definedName name="WA_Elec" localSheetId="10">#REF!</definedName>
    <definedName name="WA_Elec">'DEBT CALC'!$A$1:$F$92</definedName>
    <definedName name="WA_Gas" localSheetId="9">'DEBT CALC'!#REF!</definedName>
    <definedName name="WA_Gas" localSheetId="10">#REF!</definedName>
    <definedName name="WA_Gas">'DEBT CALC'!#REF!</definedName>
    <definedName name="Z_6E1B8C45_B07F_11D2_B0DC_0000832CDFF0_.wvu.Cols" localSheetId="5" hidden="1">'ADJ DETAIL-INPUT'!#REF!,'ADJ DETAIL-INPUT'!$AD:$BF</definedName>
    <definedName name="Z_6E1B8C45_B07F_11D2_B0DC_0000832CDFF0_.wvu.Cols" localSheetId="9" hidden="1">'LEAD SHEETS-DO NOT ENTER'!#REF!,'LEAD SHEETS-DO NOT ENTER'!$AC:$AM</definedName>
    <definedName name="Z_6E1B8C45_B07F_11D2_B0DC_0000832CDFF0_.wvu.PrintArea" localSheetId="7" hidden="1">'ADJ Cites to Exh EMA-5 &amp; EMA-11'!$A$1:$C$68</definedName>
    <definedName name="Z_6E1B8C45_B07F_11D2_B0DC_0000832CDFF0_.wvu.PrintArea" localSheetId="5" hidden="1">'ADJ DETAIL-INPUT'!$E:$AC</definedName>
    <definedName name="Z_6E1B8C45_B07F_11D2_B0DC_0000832CDFF0_.wvu.PrintArea" localSheetId="6" hidden="1">'ADJ SUMMARY'!$A$1:$F$67</definedName>
    <definedName name="Z_6E1B8C45_B07F_11D2_B0DC_0000832CDFF0_.wvu.PrintArea" localSheetId="8" hidden="1">COMPARISON!$A$10:$H$110</definedName>
    <definedName name="Z_6E1B8C45_B07F_11D2_B0DC_0000832CDFF0_.wvu.PrintArea" localSheetId="9" hidden="1">'LEAD SHEETS-DO NOT ENTER'!$E:$Z</definedName>
    <definedName name="Z_6E1B8C45_B07F_11D2_B0DC_0000832CDFF0_.wvu.PrintArea" localSheetId="10" hidden="1">'ROO INPUT'!$A$1:$G$80</definedName>
    <definedName name="Z_6E1B8C45_B07F_11D2_B0DC_0000832CDFF0_.wvu.PrintTitles" localSheetId="5" hidden="1">'ADJ DETAIL-INPUT'!$A:$D,'ADJ DETAIL-INPUT'!$2:$10</definedName>
    <definedName name="Z_6E1B8C45_B07F_11D2_B0DC_0000832CDFF0_.wvu.PrintTitles" localSheetId="9" hidden="1">'LEAD SHEETS-DO NOT ENTER'!$A:$D,'LEAD SHEETS-DO NOT ENTER'!$2:$10</definedName>
    <definedName name="Z_6E1B8C45_B07F_11D2_B0DC_0000832CDFF0_.wvu.Rows" localSheetId="7" hidden="1">'ADJ Cites to Exh EMA-5 &amp; EMA-11'!#REF!,'ADJ Cites to Exh EMA-5 &amp; EMA-11'!$22:$68,'ADJ Cites to Exh EMA-5 &amp; EMA-11'!#REF!,'ADJ Cites to Exh EMA-5 &amp; EMA-11'!$46:$68,'ADJ Cites to Exh EMA-5 &amp; EMA-11'!#REF!,'ADJ Cites to Exh EMA-5 &amp; EMA-11'!#REF!,'ADJ Cites to Exh EMA-5 &amp; EMA-11'!#REF!</definedName>
    <definedName name="Z_6E1B8C45_B07F_11D2_B0DC_0000832CDFF0_.wvu.Rows" localSheetId="6" hidden="1">'ADJ SUMMARY'!#REF!,'ADJ SUMMARY'!$21:$67,'ADJ SUMMARY'!$34:$34,'ADJ SUMMARY'!$43:$67,'ADJ SUMMARY'!#REF!,'ADJ SUMMARY'!#REF!,'ADJ SUMMARY'!#REF!</definedName>
    <definedName name="Z_6E1B8C45_B07F_11D2_B0DC_0000832CDFF0_.wvu.Rows" localSheetId="8" hidden="1">COMPARISON!#REF!,COMPARISON!$23:$52,COMPARISON!$36:$36,COMPARISON!$44:$71,COMPARISON!$102:$102,COMPARISON!$104:$104,COMPARISON!$111:$129</definedName>
    <definedName name="Z_A15D1962_B049_11D2_8670_0000832CEEE8_.wvu.Cols" localSheetId="5" hidden="1">'ADJ DETAIL-INPUT'!$AD:$BF</definedName>
    <definedName name="Z_A15D1962_B049_11D2_8670_0000832CEEE8_.wvu.Cols" localSheetId="9" hidden="1">'LEAD SHEETS-DO NOT ENTER'!$AC:$AM</definedName>
    <definedName name="Z_A15D1962_B049_11D2_8670_0000832CEEE8_.wvu.Rows" localSheetId="7" hidden="1">'ADJ Cites to Exh EMA-5 &amp; EMA-11'!$46:$68,'ADJ Cites to Exh EMA-5 &amp; EMA-11'!#REF!</definedName>
    <definedName name="Z_A15D1962_B049_11D2_8670_0000832CEEE8_.wvu.Rows" localSheetId="6" hidden="1">'ADJ SUMMARY'!$43:$67,'ADJ SUMMARY'!#REF!</definedName>
    <definedName name="Z_A15D1962_B049_11D2_8670_0000832CEEE8_.wvu.Rows" localSheetId="8" hidden="1">COMPARISON!$44:$66,COMPARISON!$110:$129</definedName>
  </definedNames>
  <calcPr calcId="191029"/>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99" l="1"/>
  <c r="G58" i="99"/>
  <c r="B58" i="99"/>
  <c r="A58" i="99"/>
  <c r="J58" i="99"/>
  <c r="M58" i="99" s="1"/>
  <c r="E56" i="3"/>
  <c r="D56" i="3"/>
  <c r="C56" i="3"/>
  <c r="B56" i="3"/>
  <c r="A56" i="3"/>
  <c r="O58" i="99" l="1"/>
  <c r="K58" i="99"/>
  <c r="N58" i="99" s="1"/>
  <c r="P58" i="99" s="1"/>
  <c r="AW96" i="1"/>
  <c r="AW73" i="1"/>
  <c r="AW66" i="1"/>
  <c r="AW46" i="1"/>
  <c r="AW35" i="1"/>
  <c r="AW28" i="1"/>
  <c r="AW17" i="1"/>
  <c r="AW19" i="1" s="1"/>
  <c r="Q58" i="99" l="1"/>
  <c r="AW74" i="1"/>
  <c r="AW77" i="1" s="1"/>
  <c r="AW81" i="1" s="1"/>
  <c r="AW53" i="1" s="1"/>
  <c r="AW47" i="1"/>
  <c r="AW49" i="1"/>
  <c r="H62" i="99"/>
  <c r="K62" i="99" s="1"/>
  <c r="B62" i="99"/>
  <c r="A62" i="99"/>
  <c r="H60" i="99"/>
  <c r="B60" i="99"/>
  <c r="A60" i="99"/>
  <c r="C63" i="118"/>
  <c r="B63" i="118"/>
  <c r="A63" i="118"/>
  <c r="C61" i="118"/>
  <c r="B61" i="118"/>
  <c r="A61" i="118"/>
  <c r="E60" i="3"/>
  <c r="C60" i="3"/>
  <c r="B60" i="3"/>
  <c r="A60" i="3"/>
  <c r="E58" i="3"/>
  <c r="C58" i="3"/>
  <c r="B58" i="3"/>
  <c r="A58" i="3"/>
  <c r="AW52" i="1" l="1"/>
  <c r="AW57" i="1" s="1"/>
  <c r="AW88" i="1" s="1"/>
  <c r="AW89" i="1" s="1"/>
  <c r="AW83" i="1" s="1"/>
  <c r="K60" i="99"/>
  <c r="BA73" i="1" l="1"/>
  <c r="BA66" i="1"/>
  <c r="BA46" i="1"/>
  <c r="BA35" i="1"/>
  <c r="BA28" i="1"/>
  <c r="BA17" i="1"/>
  <c r="BA19" i="1" s="1"/>
  <c r="AY73" i="1"/>
  <c r="AY66" i="1"/>
  <c r="AY46" i="1"/>
  <c r="AY35" i="1"/>
  <c r="AY28" i="1"/>
  <c r="AY17" i="1"/>
  <c r="AY19" i="1" s="1"/>
  <c r="AY74" i="1" l="1"/>
  <c r="AY77" i="1" s="1"/>
  <c r="AY81" i="1" s="1"/>
  <c r="BA74" i="1"/>
  <c r="BA77" i="1" s="1"/>
  <c r="BA81" i="1" s="1"/>
  <c r="BA47" i="1"/>
  <c r="BA49" i="1" s="1"/>
  <c r="BA52" i="1" s="1"/>
  <c r="AY47" i="1"/>
  <c r="AY49" i="1" s="1"/>
  <c r="AY52" i="1" s="1"/>
  <c r="M20" i="117"/>
  <c r="M21" i="117"/>
  <c r="M22" i="117"/>
  <c r="M29" i="117"/>
  <c r="M30" i="117"/>
  <c r="M35" i="117"/>
  <c r="M39" i="117"/>
  <c r="M40" i="117"/>
  <c r="M47" i="117"/>
  <c r="M49" i="117"/>
  <c r="M50" i="117"/>
  <c r="M55" i="117"/>
  <c r="M57" i="117"/>
  <c r="M58" i="117"/>
  <c r="M59" i="117"/>
  <c r="M66" i="117"/>
  <c r="M74" i="117"/>
  <c r="M79" i="117"/>
  <c r="J72" i="117"/>
  <c r="J65" i="117"/>
  <c r="J28" i="117"/>
  <c r="A4" i="117"/>
  <c r="A3" i="117"/>
  <c r="A2" i="117"/>
  <c r="A1" i="117"/>
  <c r="J73" i="117" l="1"/>
  <c r="J76" i="117" s="1"/>
  <c r="J80" i="117" s="1"/>
  <c r="AE18" i="1"/>
  <c r="AD16" i="1" l="1"/>
  <c r="AD18" i="1"/>
  <c r="AD23" i="1" l="1"/>
  <c r="AB76" i="1" l="1"/>
  <c r="AB69" i="1"/>
  <c r="AB62" i="1"/>
  <c r="AB25" i="1"/>
  <c r="AX23" i="1" l="1"/>
  <c r="AU71" i="1" l="1"/>
  <c r="AU64" i="1"/>
  <c r="AU42" i="1"/>
  <c r="AU32" i="1"/>
  <c r="AT43" i="1" l="1"/>
  <c r="AS43" i="1" l="1"/>
  <c r="AS25" i="1"/>
  <c r="AR43" i="1" l="1"/>
  <c r="AR32" i="1"/>
  <c r="AR25" i="1"/>
  <c r="AQ25" i="1" l="1"/>
  <c r="B59" i="99" l="1"/>
  <c r="B57" i="99"/>
  <c r="B56" i="99"/>
  <c r="B55" i="99"/>
  <c r="B54" i="99"/>
  <c r="B53" i="99"/>
  <c r="B43" i="99"/>
  <c r="B41" i="99"/>
  <c r="A41" i="99"/>
  <c r="B40" i="99"/>
  <c r="A40" i="99"/>
  <c r="BG34" i="1" l="1"/>
  <c r="BG42" i="1"/>
  <c r="BG37" i="1"/>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8" i="3"/>
  <c r="B68" i="3"/>
  <c r="A68" i="3"/>
  <c r="BG73" i="1" l="1"/>
  <c r="BA72" i="113" s="1"/>
  <c r="BG66" i="1"/>
  <c r="BG35" i="1"/>
  <c r="BA34" i="113" s="1"/>
  <c r="BG28" i="1"/>
  <c r="BA28" i="113" s="1"/>
  <c r="BG17" i="1"/>
  <c r="BG19" i="1" l="1"/>
  <c r="BA19" i="113" s="1"/>
  <c r="BA17" i="113"/>
  <c r="BG74" i="1"/>
  <c r="BA65" i="113"/>
  <c r="BG77" i="1" l="1"/>
  <c r="BA73" i="113"/>
  <c r="BG81" i="1" l="1"/>
  <c r="BA76" i="113"/>
  <c r="BA80" i="113" l="1"/>
  <c r="E68" i="3"/>
  <c r="AB43" i="1"/>
  <c r="X37" i="1" l="1"/>
  <c r="AE23" i="1" l="1"/>
  <c r="AB17" i="1" l="1"/>
  <c r="AB19" i="1" s="1"/>
  <c r="AB28" i="1"/>
  <c r="AB35" i="1"/>
  <c r="AB46" i="1"/>
  <c r="AB66" i="1"/>
  <c r="AB73" i="1"/>
  <c r="AB74" i="1" l="1"/>
  <c r="AB77" i="1" s="1"/>
  <c r="AB81" i="1" s="1"/>
  <c r="AB47" i="1"/>
  <c r="AB49" i="1" s="1"/>
  <c r="AB52" i="1" l="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T32" i="113" l="1"/>
  <c r="AT70" i="113"/>
  <c r="AT63" i="113"/>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S66" i="1"/>
  <c r="AR65" i="113" s="1"/>
  <c r="AS73" i="1"/>
  <c r="AR72" i="113" s="1"/>
  <c r="AS47" i="1" l="1"/>
  <c r="AR46" i="113" s="1"/>
  <c r="AR17" i="113"/>
  <c r="AS74" i="1"/>
  <c r="AR34" i="113"/>
  <c r="AT47" i="1"/>
  <c r="AS46" i="113" s="1"/>
  <c r="AS28" i="113"/>
  <c r="AS17" i="113"/>
  <c r="AS49" i="1"/>
  <c r="AT74" i="1"/>
  <c r="B63" i="3"/>
  <c r="C63" i="3"/>
  <c r="AT49" i="1" l="1"/>
  <c r="AS48" i="113" s="1"/>
  <c r="AS52" i="1"/>
  <c r="AR51" i="113" s="1"/>
  <c r="AR48" i="113"/>
  <c r="AT77" i="1"/>
  <c r="AS73" i="113"/>
  <c r="AS77" i="1"/>
  <c r="AR73" i="113"/>
  <c r="AT52" i="1" l="1"/>
  <c r="AS51" i="113" s="1"/>
  <c r="AT81" i="1"/>
  <c r="H55" i="99" s="1"/>
  <c r="K55" i="99" s="1"/>
  <c r="AS76" i="113"/>
  <c r="AS81" i="1"/>
  <c r="H54" i="99" s="1"/>
  <c r="K54" i="99" s="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H43" i="99" s="1"/>
  <c r="K43" i="99" s="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7" i="3"/>
  <c r="B54" i="48" s="1"/>
  <c r="B57" i="3"/>
  <c r="AX73" i="1"/>
  <c r="AV72" i="113" s="1"/>
  <c r="AX66" i="1"/>
  <c r="AV65" i="113" s="1"/>
  <c r="AX46" i="1"/>
  <c r="AV45" i="113" s="1"/>
  <c r="AX35" i="1"/>
  <c r="AV34" i="113" s="1"/>
  <c r="AX28" i="1"/>
  <c r="AV28" i="113" s="1"/>
  <c r="AX17" i="1"/>
  <c r="AV17" i="113" s="1"/>
  <c r="AE74" i="1" l="1"/>
  <c r="AE77" i="1" s="1"/>
  <c r="AE81" i="1" s="1"/>
  <c r="AX19" i="1"/>
  <c r="AV19" i="113" s="1"/>
  <c r="AX74" i="1"/>
  <c r="AD65" i="113"/>
  <c r="AX47" i="1"/>
  <c r="AV46" i="113" s="1"/>
  <c r="AD41" i="113"/>
  <c r="AD17" i="113"/>
  <c r="AE47" i="1"/>
  <c r="AD46" i="113" s="1"/>
  <c r="AD45" i="113"/>
  <c r="AD33" i="113"/>
  <c r="C51" i="3"/>
  <c r="B49" i="48" s="1"/>
  <c r="B51" i="3"/>
  <c r="AR73" i="1"/>
  <c r="AQ72" i="113" s="1"/>
  <c r="AR66" i="1"/>
  <c r="AQ65" i="113" s="1"/>
  <c r="AR46" i="1"/>
  <c r="AQ45" i="113" s="1"/>
  <c r="AR35" i="1"/>
  <c r="AQ34" i="113" s="1"/>
  <c r="AR28" i="1"/>
  <c r="AQ28" i="113" s="1"/>
  <c r="AR17" i="1"/>
  <c r="E38" i="3" l="1"/>
  <c r="F36" i="48" s="1"/>
  <c r="G36" i="48" s="1"/>
  <c r="H40" i="99"/>
  <c r="K40" i="99" s="1"/>
  <c r="AX77" i="1"/>
  <c r="AV73" i="113"/>
  <c r="AR19" i="1"/>
  <c r="AQ19" i="113" s="1"/>
  <c r="AQ17" i="113"/>
  <c r="AD73" i="113"/>
  <c r="AD76" i="113"/>
  <c r="AD80" i="113"/>
  <c r="AX49" i="1"/>
  <c r="AV48" i="113" s="1"/>
  <c r="AR47" i="1"/>
  <c r="AR74"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4" i="3"/>
  <c r="B58" i="48"/>
  <c r="C55" i="3"/>
  <c r="B53" i="48" s="1"/>
  <c r="C54" i="3"/>
  <c r="B52" i="48" s="1"/>
  <c r="B55" i="3"/>
  <c r="B54" i="3"/>
  <c r="C39" i="3"/>
  <c r="B37" i="48" s="1"/>
  <c r="B39" i="3"/>
  <c r="A39" i="3"/>
  <c r="A37" i="48" s="1"/>
  <c r="BD73" i="1"/>
  <c r="BD66" i="1"/>
  <c r="BD46" i="1"/>
  <c r="BD35" i="1"/>
  <c r="BD28" i="1"/>
  <c r="BD17" i="1"/>
  <c r="BD19" i="1" s="1"/>
  <c r="AV73" i="1"/>
  <c r="AU72" i="113" s="1"/>
  <c r="AV66" i="1"/>
  <c r="AU65" i="113" s="1"/>
  <c r="AV46" i="1"/>
  <c r="AU45" i="113" s="1"/>
  <c r="AV35" i="1"/>
  <c r="AU34" i="113" s="1"/>
  <c r="AV28" i="1"/>
  <c r="AU28" i="113" s="1"/>
  <c r="AV17" i="1"/>
  <c r="AU17" i="113" s="1"/>
  <c r="AU73" i="1"/>
  <c r="AT72" i="113" s="1"/>
  <c r="AU66" i="1"/>
  <c r="AT65" i="113" s="1"/>
  <c r="AU46" i="1"/>
  <c r="AT45" i="113" s="1"/>
  <c r="AU35" i="1"/>
  <c r="AT34" i="113" s="1"/>
  <c r="AU28" i="1"/>
  <c r="AT28" i="113" s="1"/>
  <c r="AU17" i="1"/>
  <c r="AG10" i="1"/>
  <c r="AH10" i="1" s="1"/>
  <c r="A43" i="99" s="1"/>
  <c r="AF73" i="1"/>
  <c r="AE72" i="113" s="1"/>
  <c r="AF66" i="1"/>
  <c r="AF42" i="1"/>
  <c r="AF46" i="1" s="1"/>
  <c r="AE45" i="113" s="1"/>
  <c r="AF37" i="1"/>
  <c r="AE36" i="113" s="1"/>
  <c r="AF34" i="1"/>
  <c r="AF35" i="1" s="1"/>
  <c r="AE34" i="113" s="1"/>
  <c r="AF28" i="1"/>
  <c r="AE28" i="113" s="1"/>
  <c r="AF17" i="1"/>
  <c r="AF19" i="1" s="1"/>
  <c r="AE19" i="113" s="1"/>
  <c r="AU19" i="1" l="1"/>
  <c r="AT19" i="113" s="1"/>
  <c r="AT17" i="113"/>
  <c r="AX81" i="1"/>
  <c r="H59" i="99" s="1"/>
  <c r="K59" i="99" s="1"/>
  <c r="AV76" i="113"/>
  <c r="AR77" i="1"/>
  <c r="AQ73" i="113"/>
  <c r="AR49" i="1"/>
  <c r="AQ48" i="113" s="1"/>
  <c r="AQ46" i="113"/>
  <c r="A41" i="3"/>
  <c r="A39" i="48" s="1"/>
  <c r="AI10" i="1"/>
  <c r="A44" i="99" s="1"/>
  <c r="AG10" i="113"/>
  <c r="AX52" i="1"/>
  <c r="AV51" i="113" s="1"/>
  <c r="AU74" i="1"/>
  <c r="AT73" i="113" s="1"/>
  <c r="AF74" i="1"/>
  <c r="AV19" i="1"/>
  <c r="AU19" i="113" s="1"/>
  <c r="AV74" i="1"/>
  <c r="BD74" i="1"/>
  <c r="BD77" i="1" s="1"/>
  <c r="BD81" i="1" s="1"/>
  <c r="AE52" i="1"/>
  <c r="AD51" i="113" s="1"/>
  <c r="AE33" i="113"/>
  <c r="BD47" i="1"/>
  <c r="AV47" i="1"/>
  <c r="AU46" i="113" s="1"/>
  <c r="AE41" i="113"/>
  <c r="AU47" i="1"/>
  <c r="AT46" i="113" s="1"/>
  <c r="AE65" i="113"/>
  <c r="AE17" i="113"/>
  <c r="AF47" i="1"/>
  <c r="E53" i="1"/>
  <c r="E52" i="117" s="1"/>
  <c r="E45" i="1"/>
  <c r="E44" i="117" s="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E75" i="117"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E62" i="117"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E54" i="117"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F275" i="111"/>
  <c r="F274" i="111"/>
  <c r="F273" i="111"/>
  <c r="F272" i="111"/>
  <c r="F271" i="111"/>
  <c r="F270" i="111"/>
  <c r="F37" i="111" s="1"/>
  <c r="F269" i="111"/>
  <c r="F268" i="111"/>
  <c r="F267" i="111"/>
  <c r="F266" i="111"/>
  <c r="F265" i="111"/>
  <c r="F264" i="111"/>
  <c r="F263" i="111"/>
  <c r="F262" i="111"/>
  <c r="F261" i="111"/>
  <c r="F260" i="111"/>
  <c r="F259" i="111"/>
  <c r="F34" i="111" s="1"/>
  <c r="E34" i="1" s="1"/>
  <c r="E33" i="117"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3" i="111"/>
  <c r="AC38" i="1" l="1"/>
  <c r="G37" i="117" s="1"/>
  <c r="E37" i="117"/>
  <c r="AR52" i="1"/>
  <c r="AQ51" i="113" s="1"/>
  <c r="AV77" i="1"/>
  <c r="AU73" i="113"/>
  <c r="AV80" i="113"/>
  <c r="E57" i="3"/>
  <c r="F54" i="48" s="1"/>
  <c r="G54" i="48" s="1"/>
  <c r="AR81" i="1"/>
  <c r="H53" i="99" s="1"/>
  <c r="K53" i="99" s="1"/>
  <c r="AQ76" i="113"/>
  <c r="E63" i="3"/>
  <c r="F58" i="48" s="1"/>
  <c r="G58" i="48" s="1"/>
  <c r="E39" i="111"/>
  <c r="H39" i="111" s="1"/>
  <c r="E24" i="111"/>
  <c r="H24" i="111" s="1"/>
  <c r="E54" i="111"/>
  <c r="H54" i="111" s="1"/>
  <c r="E64" i="111"/>
  <c r="H64" i="111" s="1"/>
  <c r="F32" i="111"/>
  <c r="E32" i="111" s="1"/>
  <c r="H32" i="111" s="1"/>
  <c r="J28" i="111"/>
  <c r="E27" i="111"/>
  <c r="H27" i="111" s="1"/>
  <c r="F43" i="111"/>
  <c r="E43" i="1" s="1"/>
  <c r="E42" i="117" s="1"/>
  <c r="E54" i="1"/>
  <c r="E53" i="117" s="1"/>
  <c r="E61" i="111"/>
  <c r="H61" i="111" s="1"/>
  <c r="J66" i="111"/>
  <c r="J81" i="111" s="1"/>
  <c r="I81" i="111" s="1"/>
  <c r="F69" i="111"/>
  <c r="E69" i="1" s="1"/>
  <c r="E68" i="117" s="1"/>
  <c r="E15" i="111"/>
  <c r="H15" i="111" s="1"/>
  <c r="G17" i="111"/>
  <c r="G19" i="111" s="1"/>
  <c r="BD49" i="1"/>
  <c r="AU77" i="1"/>
  <c r="AT76" i="113" s="1"/>
  <c r="I17" i="111"/>
  <c r="I19" i="111" s="1"/>
  <c r="G28" i="111"/>
  <c r="E42" i="111"/>
  <c r="H42" i="111" s="1"/>
  <c r="E65" i="111"/>
  <c r="H65" i="111" s="1"/>
  <c r="AF77" i="1"/>
  <c r="AE73" i="113"/>
  <c r="E37" i="111"/>
  <c r="H37" i="111" s="1"/>
  <c r="E37" i="1"/>
  <c r="E36" i="117" s="1"/>
  <c r="F66" i="111"/>
  <c r="E62" i="1"/>
  <c r="E61" i="117" s="1"/>
  <c r="E62" i="111"/>
  <c r="H62" i="111" s="1"/>
  <c r="E70" i="111"/>
  <c r="E70" i="1"/>
  <c r="E69" i="117" s="1"/>
  <c r="E79" i="111"/>
  <c r="E79" i="1"/>
  <c r="E78" i="117" s="1"/>
  <c r="F78" i="111"/>
  <c r="G46" i="111"/>
  <c r="F18" i="111"/>
  <c r="E18" i="111" s="1"/>
  <c r="H18" i="111" s="1"/>
  <c r="F25" i="111"/>
  <c r="E25" i="111" s="1"/>
  <c r="H25" i="111" s="1"/>
  <c r="F26" i="111"/>
  <c r="E26" i="111" s="1"/>
  <c r="F44" i="111"/>
  <c r="E52" i="111"/>
  <c r="H52" i="111" s="1"/>
  <c r="E63" i="111"/>
  <c r="H63" i="111" s="1"/>
  <c r="E71" i="111"/>
  <c r="E76" i="111"/>
  <c r="H76" i="111" s="1"/>
  <c r="E39" i="1"/>
  <c r="E64" i="1"/>
  <c r="E63" i="117" s="1"/>
  <c r="AV49" i="1"/>
  <c r="AU48" i="113" s="1"/>
  <c r="G73" i="111"/>
  <c r="F14" i="111"/>
  <c r="F17" i="111" s="1"/>
  <c r="J17" i="111"/>
  <c r="J19" i="111" s="1"/>
  <c r="E55" i="111"/>
  <c r="H55" i="111" s="1"/>
  <c r="G66" i="111"/>
  <c r="G74" i="111" s="1"/>
  <c r="G77" i="111" s="1"/>
  <c r="G81" i="111" s="1"/>
  <c r="F23" i="111"/>
  <c r="E23" i="111" s="1"/>
  <c r="E38" i="111"/>
  <c r="H38" i="111" s="1"/>
  <c r="E72" i="111"/>
  <c r="F68" i="111"/>
  <c r="E68" i="1" s="1"/>
  <c r="E67" i="117" s="1"/>
  <c r="E42" i="1"/>
  <c r="E41" i="117" s="1"/>
  <c r="E52" i="1"/>
  <c r="E51" i="117" s="1"/>
  <c r="E61" i="1"/>
  <c r="E60" i="117" s="1"/>
  <c r="E65" i="1"/>
  <c r="E64" i="117" s="1"/>
  <c r="E71" i="1"/>
  <c r="E70" i="117" s="1"/>
  <c r="AU49" i="1"/>
  <c r="AT48" i="113" s="1"/>
  <c r="G35" i="111"/>
  <c r="E34" i="111"/>
  <c r="H34" i="111" s="1"/>
  <c r="I62" i="111"/>
  <c r="I66" i="111" s="1"/>
  <c r="E72" i="1"/>
  <c r="E71" i="117" s="1"/>
  <c r="AF49" i="1"/>
  <c r="AE46" i="113"/>
  <c r="E31" i="111"/>
  <c r="I31" i="111"/>
  <c r="I35" i="111" s="1"/>
  <c r="J35" i="111"/>
  <c r="I46" i="111"/>
  <c r="E16" i="111"/>
  <c r="H16" i="111" s="1"/>
  <c r="J46" i="111"/>
  <c r="I23" i="111"/>
  <c r="I28" i="111" s="1"/>
  <c r="F37" i="117" l="1"/>
  <c r="E72" i="117"/>
  <c r="E65" i="117"/>
  <c r="AC39" i="1"/>
  <c r="G38" i="117" s="1"/>
  <c r="E38" i="117"/>
  <c r="AV81" i="1"/>
  <c r="H57" i="99" s="1"/>
  <c r="K57" i="99" s="1"/>
  <c r="AU76" i="113"/>
  <c r="F35" i="111"/>
  <c r="F19" i="111"/>
  <c r="E51" i="3"/>
  <c r="F49" i="48" s="1"/>
  <c r="G49" i="48" s="1"/>
  <c r="AQ80" i="113"/>
  <c r="E43" i="111"/>
  <c r="H43" i="111" s="1"/>
  <c r="BD52" i="1"/>
  <c r="F46" i="111"/>
  <c r="E69" i="111"/>
  <c r="AU81" i="1"/>
  <c r="E66" i="111"/>
  <c r="H66" i="111" s="1"/>
  <c r="F28" i="111"/>
  <c r="AF81" i="1"/>
  <c r="H41" i="99" s="1"/>
  <c r="K41" i="99" s="1"/>
  <c r="AE76" i="113"/>
  <c r="G47" i="111"/>
  <c r="G49" i="111" s="1"/>
  <c r="G57" i="111" s="1"/>
  <c r="E66" i="1"/>
  <c r="AV52" i="1"/>
  <c r="AU51" i="113" s="1"/>
  <c r="J47" i="111"/>
  <c r="J49" i="111" s="1"/>
  <c r="J57" i="111" s="1"/>
  <c r="J82" i="111" s="1"/>
  <c r="E14" i="111"/>
  <c r="H14" i="111" s="1"/>
  <c r="E68" i="111"/>
  <c r="E44" i="111"/>
  <c r="E44" i="1"/>
  <c r="E43" i="117" s="1"/>
  <c r="E78" i="111"/>
  <c r="E78" i="1"/>
  <c r="E77" i="117" s="1"/>
  <c r="F73" i="111"/>
  <c r="F74" i="111" s="1"/>
  <c r="F77" i="111" s="1"/>
  <c r="F81" i="111" s="1"/>
  <c r="AU52" i="1"/>
  <c r="AT51" i="113" s="1"/>
  <c r="AF52" i="1"/>
  <c r="AE48" i="113"/>
  <c r="H31" i="111"/>
  <c r="E35" i="111"/>
  <c r="H35" i="111" s="1"/>
  <c r="I47" i="111"/>
  <c r="I49" i="111" s="1"/>
  <c r="I57" i="111" s="1"/>
  <c r="I82" i="111" s="1"/>
  <c r="H23" i="111"/>
  <c r="E28" i="111"/>
  <c r="F38" i="117" l="1"/>
  <c r="E45" i="117"/>
  <c r="E73" i="117"/>
  <c r="E76" i="117" s="1"/>
  <c r="E80" i="117" s="1"/>
  <c r="AT80" i="113"/>
  <c r="H56" i="99"/>
  <c r="K56" i="99" s="1"/>
  <c r="E46" i="11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E47" i="111"/>
  <c r="H47" i="111" s="1"/>
  <c r="H28" i="111"/>
  <c r="E19" i="111" l="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L73" i="1" l="1"/>
  <c r="AL66" i="1"/>
  <c r="AL46" i="1"/>
  <c r="AL35" i="1"/>
  <c r="AL28" i="1"/>
  <c r="AL17" i="1"/>
  <c r="AL19" i="1" s="1"/>
  <c r="AL74" i="1" l="1"/>
  <c r="AL77" i="1" s="1"/>
  <c r="AL81" i="1" s="1"/>
  <c r="H47" i="99" s="1"/>
  <c r="AL47" i="1"/>
  <c r="AL49" i="1" s="1"/>
  <c r="AL52" i="1" s="1"/>
  <c r="S34" i="1"/>
  <c r="L11" i="51" l="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L15" i="51"/>
  <c r="AR10" i="1" l="1"/>
  <c r="A53" i="99" s="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54" i="99" s="1"/>
  <c r="AQ10" i="113"/>
  <c r="A51" i="3"/>
  <c r="A49" i="48" s="1"/>
  <c r="I19" i="1"/>
  <c r="I19" i="113" s="1"/>
  <c r="I17" i="113"/>
  <c r="AO74" i="1"/>
  <c r="AO77" i="1" s="1"/>
  <c r="AO81" i="1" s="1"/>
  <c r="H50" i="99" s="1"/>
  <c r="AO47" i="1"/>
  <c r="AO49" i="1" s="1"/>
  <c r="AO52" i="1" s="1"/>
  <c r="AQ47" i="1"/>
  <c r="AQ49" i="1" s="1"/>
  <c r="AQ52" i="1" s="1"/>
  <c r="I74" i="1"/>
  <c r="AQ74" i="1"/>
  <c r="AQ77" i="1" s="1"/>
  <c r="AQ81" i="1" s="1"/>
  <c r="H52" i="99" s="1"/>
  <c r="AD47" i="1"/>
  <c r="AD49" i="1" s="1"/>
  <c r="AD52" i="1" s="1"/>
  <c r="AD74" i="1"/>
  <c r="AD77" i="1" s="1"/>
  <c r="AD81" i="1" s="1"/>
  <c r="H39" i="99" s="1"/>
  <c r="I47" i="1"/>
  <c r="AT10" i="1" l="1"/>
  <c r="AR10" i="113"/>
  <c r="A52" i="3"/>
  <c r="A50" i="48" s="1"/>
  <c r="I77" i="1"/>
  <c r="I73" i="113"/>
  <c r="I49" i="1"/>
  <c r="I46" i="113"/>
  <c r="AU10" i="1" l="1"/>
  <c r="A55" i="99"/>
  <c r="AS10" i="113"/>
  <c r="A53" i="3"/>
  <c r="A51" i="48" s="1"/>
  <c r="I52" i="1"/>
  <c r="I51" i="113" s="1"/>
  <c r="I48" i="113"/>
  <c r="I81" i="1"/>
  <c r="I76" i="113"/>
  <c r="E18" i="52"/>
  <c r="E20" i="52" s="1"/>
  <c r="A4" i="51"/>
  <c r="A4" i="52" s="1"/>
  <c r="AT10" i="113" l="1"/>
  <c r="A56" i="99"/>
  <c r="A54" i="3"/>
  <c r="A52" i="48" s="1"/>
  <c r="H14" i="99"/>
  <c r="K14" i="99" s="1"/>
  <c r="I80" i="113"/>
  <c r="E14" i="3"/>
  <c r="F15" i="48" s="1"/>
  <c r="E24" i="52"/>
  <c r="AB25" i="113"/>
  <c r="AU10" i="113" l="1"/>
  <c r="A57" i="99"/>
  <c r="A55" i="3"/>
  <c r="A53" i="48" s="1"/>
  <c r="G15" i="48"/>
  <c r="E22" i="51"/>
  <c r="B64" i="3"/>
  <c r="AV10" i="113" l="1"/>
  <c r="A59" i="99"/>
  <c r="A57" i="3"/>
  <c r="A54" i="48" s="1"/>
  <c r="AB42" i="113"/>
  <c r="AW10" i="113" l="1"/>
  <c r="BC10" i="1" l="1"/>
  <c r="BD10" i="1" s="1"/>
  <c r="AX10" i="113"/>
  <c r="AY10" i="113"/>
  <c r="BE73" i="1"/>
  <c r="BE66" i="1"/>
  <c r="BE46" i="1"/>
  <c r="BE35" i="1"/>
  <c r="BE28" i="1"/>
  <c r="BE17" i="1"/>
  <c r="A63" i="3" l="1"/>
  <c r="A58" i="48" s="1"/>
  <c r="BE10" i="1"/>
  <c r="BE19" i="1"/>
  <c r="BE74" i="1"/>
  <c r="BE47" i="1"/>
  <c r="BE49" i="1" l="1"/>
  <c r="BE77" i="1"/>
  <c r="BE52" i="1" l="1"/>
  <c r="BE81" i="1"/>
  <c r="B35" i="99"/>
  <c r="AB72" i="113"/>
  <c r="AB65" i="113"/>
  <c r="AB45" i="113"/>
  <c r="AB34" i="113"/>
  <c r="AB28" i="113"/>
  <c r="AB19" i="113" l="1"/>
  <c r="AB17" i="113"/>
  <c r="E64" i="3"/>
  <c r="AB73" i="113" l="1"/>
  <c r="AB46" i="113"/>
  <c r="AB76" i="113" l="1"/>
  <c r="AB51" i="113"/>
  <c r="AB48" i="113"/>
  <c r="A2" i="50"/>
  <c r="H35" i="99" l="1"/>
  <c r="K35" i="99" s="1"/>
  <c r="AB80" i="113"/>
  <c r="AN73" i="1"/>
  <c r="AN66" i="1"/>
  <c r="AN46" i="1"/>
  <c r="AN35" i="1"/>
  <c r="AN28" i="1"/>
  <c r="AN17" i="1"/>
  <c r="AN19" i="1" s="1"/>
  <c r="AK73" i="1"/>
  <c r="AK66" i="1"/>
  <c r="AK46" i="1"/>
  <c r="AK35" i="1"/>
  <c r="AK28" i="1"/>
  <c r="AK17" i="1"/>
  <c r="AK19" i="1" s="1"/>
  <c r="AI73" i="1"/>
  <c r="AI66" i="1"/>
  <c r="AI46" i="1"/>
  <c r="AI35" i="1"/>
  <c r="AI28" i="1"/>
  <c r="AI17" i="1"/>
  <c r="AI19" i="1" s="1"/>
  <c r="AN74" i="1" l="1"/>
  <c r="AN77" i="1" s="1"/>
  <c r="AN81" i="1" s="1"/>
  <c r="H49" i="99" s="1"/>
  <c r="AK74" i="1"/>
  <c r="AK77" i="1" s="1"/>
  <c r="AK81" i="1" s="1"/>
  <c r="H46" i="99" s="1"/>
  <c r="AN47" i="1"/>
  <c r="AN49" i="1" s="1"/>
  <c r="AN52" i="1" s="1"/>
  <c r="AI74" i="1"/>
  <c r="AI77" i="1" s="1"/>
  <c r="AI81" i="1" s="1"/>
  <c r="H44" i="99" s="1"/>
  <c r="AK47" i="1"/>
  <c r="AK49" i="1" s="1"/>
  <c r="AK52" i="1" s="1"/>
  <c r="AI47" i="1"/>
  <c r="AI49" i="1" s="1"/>
  <c r="AI52" i="1" s="1"/>
  <c r="N13" i="51"/>
  <c r="AA73" i="1" l="1"/>
  <c r="AA66" i="1"/>
  <c r="AA46" i="1"/>
  <c r="AA35" i="1"/>
  <c r="AA28" i="1"/>
  <c r="AA17" i="1"/>
  <c r="AA74" i="1" l="1"/>
  <c r="AA77" i="1" s="1"/>
  <c r="AA81" i="1" s="1"/>
  <c r="AA47" i="1"/>
  <c r="AA19" i="1"/>
  <c r="AA49" i="1" l="1"/>
  <c r="AA52" i="1" s="1"/>
  <c r="B61"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9" i="3"/>
  <c r="B55" i="48" s="1"/>
  <c r="B59" i="3"/>
  <c r="AZ73" i="1"/>
  <c r="AW72" i="113" s="1"/>
  <c r="AZ66" i="1"/>
  <c r="AW65" i="113" s="1"/>
  <c r="AZ46" i="1"/>
  <c r="AW45" i="113" s="1"/>
  <c r="AZ35" i="1"/>
  <c r="AW34" i="113" s="1"/>
  <c r="AZ28" i="1"/>
  <c r="AW28" i="113" s="1"/>
  <c r="AZ17" i="1"/>
  <c r="AZ19" i="1" l="1"/>
  <c r="AW19" i="113" s="1"/>
  <c r="AW17" i="113"/>
  <c r="AZ47" i="1"/>
  <c r="AW46" i="113" s="1"/>
  <c r="AZ74" i="1"/>
  <c r="AW73" i="113" s="1"/>
  <c r="AZ77" i="1" l="1"/>
  <c r="AW76" i="113" s="1"/>
  <c r="AZ49" i="1"/>
  <c r="AZ52" i="1" l="1"/>
  <c r="AW51" i="113" s="1"/>
  <c r="AW48" i="113"/>
  <c r="AZ81" i="1"/>
  <c r="AW80" i="113" l="1"/>
  <c r="H61" i="99"/>
  <c r="K61" i="99" s="1"/>
  <c r="E59" i="3"/>
  <c r="F55" i="48" s="1"/>
  <c r="G55" i="48" s="1"/>
  <c r="B29" i="99" l="1"/>
  <c r="B63" i="99"/>
  <c r="B50" i="99"/>
  <c r="AG17" i="1" l="1"/>
  <c r="AG19" i="1" s="1"/>
  <c r="AG28" i="1"/>
  <c r="AG35" i="1"/>
  <c r="AG46" i="1"/>
  <c r="AG66" i="1"/>
  <c r="AG73" i="1"/>
  <c r="AG74" i="1" l="1"/>
  <c r="AG77" i="1" s="1"/>
  <c r="AG81" i="1" s="1"/>
  <c r="H42" i="99" s="1"/>
  <c r="AG47" i="1"/>
  <c r="AG49" i="1" s="1"/>
  <c r="AG52" i="1" s="1"/>
  <c r="C48" i="3" l="1"/>
  <c r="B46" i="48" s="1"/>
  <c r="B48" i="3"/>
  <c r="AN72" i="113" l="1"/>
  <c r="AN65" i="113"/>
  <c r="AN45" i="113"/>
  <c r="AN34" i="113"/>
  <c r="AN28" i="113"/>
  <c r="AN19" i="113" l="1"/>
  <c r="AN17" i="113"/>
  <c r="AN73" i="113" l="1"/>
  <c r="AN46" i="113"/>
  <c r="AN51" i="113" l="1"/>
  <c r="AN48" i="113"/>
  <c r="AN76" i="113"/>
  <c r="C61" i="3"/>
  <c r="B56" i="48" s="1"/>
  <c r="B61"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K50" i="99"/>
  <c r="V19" i="1"/>
  <c r="V19" i="113" s="1"/>
  <c r="V74" i="1"/>
  <c r="V47" i="1"/>
  <c r="V46" i="113" s="1"/>
  <c r="AI23" i="113"/>
  <c r="V77" i="1" l="1"/>
  <c r="V73" i="113"/>
  <c r="V49" i="1"/>
  <c r="V48" i="113" l="1"/>
  <c r="V52" i="1"/>
  <c r="V51" i="113" s="1"/>
  <c r="V81" i="1"/>
  <c r="H29" i="99" s="1"/>
  <c r="V76" i="113"/>
  <c r="K29" i="99" l="1"/>
  <c r="E27" i="3"/>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E43" i="50"/>
  <c r="BF44" i="1" l="1"/>
  <c r="AZ43" i="113" s="1"/>
  <c r="G43" i="117"/>
  <c r="F43" i="117" s="1"/>
  <c r="I43" i="117"/>
  <c r="G43" i="50"/>
  <c r="F43" i="50" s="1"/>
  <c r="H43" i="117" l="1"/>
  <c r="M43" i="117" s="1"/>
  <c r="K43" i="117"/>
  <c r="I43" i="50"/>
  <c r="AM73" i="1"/>
  <c r="AL72" i="113" s="1"/>
  <c r="AM66" i="1"/>
  <c r="AL65" i="113" s="1"/>
  <c r="AM46" i="1"/>
  <c r="AL45" i="113" s="1"/>
  <c r="AM35" i="1"/>
  <c r="AL34" i="113" s="1"/>
  <c r="AM28" i="1"/>
  <c r="AL28" i="113" s="1"/>
  <c r="AM17" i="1"/>
  <c r="AA72" i="113"/>
  <c r="AA65" i="113"/>
  <c r="AA45" i="113"/>
  <c r="AA34" i="113"/>
  <c r="AA28" i="113"/>
  <c r="AA17" i="113"/>
  <c r="AM19" i="1" l="1"/>
  <c r="AL19" i="113" s="1"/>
  <c r="AL17" i="113"/>
  <c r="AM74" i="1"/>
  <c r="AM47" i="1"/>
  <c r="AA19" i="113"/>
  <c r="AA46" i="113"/>
  <c r="AM49" i="1" l="1"/>
  <c r="AM52" i="1" s="1"/>
  <c r="AL46" i="113"/>
  <c r="AM10" i="113"/>
  <c r="AM77" i="1"/>
  <c r="AL73" i="113"/>
  <c r="AA73" i="113"/>
  <c r="A48" i="99" l="1"/>
  <c r="AA51" i="113"/>
  <c r="AA48" i="113"/>
  <c r="AM81" i="1"/>
  <c r="AL76" i="113"/>
  <c r="AL51" i="113"/>
  <c r="AL48" i="113"/>
  <c r="H34" i="99"/>
  <c r="K34" i="99" s="1"/>
  <c r="AA76" i="113"/>
  <c r="AL10" i="113"/>
  <c r="A46" i="3"/>
  <c r="A44" i="48" s="1"/>
  <c r="H48" i="99" l="1"/>
  <c r="K48" i="99" s="1"/>
  <c r="AN10" i="113"/>
  <c r="AL80" i="113"/>
  <c r="E46" i="3"/>
  <c r="F44" i="48" s="1"/>
  <c r="G44" i="48" s="1"/>
  <c r="AA80" i="113"/>
  <c r="E32" i="3"/>
  <c r="F33" i="48" s="1"/>
  <c r="G33" i="48" l="1"/>
  <c r="A50" i="99"/>
  <c r="A48" i="3"/>
  <c r="A46" i="48" s="1"/>
  <c r="A63" i="99" l="1"/>
  <c r="A61" i="3"/>
  <c r="A56" i="48" s="1"/>
  <c r="F18" i="51"/>
  <c r="F22" i="51"/>
  <c r="F12" i="51"/>
  <c r="F16" i="51" s="1"/>
  <c r="A64" i="3" l="1"/>
  <c r="A59" i="3"/>
  <c r="A55" i="48" s="1"/>
  <c r="A61" i="99"/>
  <c r="F20" i="51"/>
  <c r="F24" i="51" s="1"/>
  <c r="F32" i="51" l="1"/>
  <c r="BB73" i="1" l="1"/>
  <c r="AX72" i="113" s="1"/>
  <c r="BB66" i="1"/>
  <c r="AX65" i="113" s="1"/>
  <c r="BB46" i="1"/>
  <c r="AX45" i="113" s="1"/>
  <c r="BB35" i="1"/>
  <c r="AX34" i="113" s="1"/>
  <c r="BB28" i="1"/>
  <c r="AX28" i="113" s="1"/>
  <c r="BB17" i="1"/>
  <c r="AX17" i="113" s="1"/>
  <c r="BB19" i="1" l="1"/>
  <c r="AX19" i="113" s="1"/>
  <c r="BB74" i="1"/>
  <c r="AX73" i="113" s="1"/>
  <c r="BB47" i="1"/>
  <c r="AX46" i="113" s="1"/>
  <c r="BB77" i="1" l="1"/>
  <c r="AX76" i="113" s="1"/>
  <c r="BB49" i="1"/>
  <c r="AX48" i="113" s="1"/>
  <c r="BB52" i="1" l="1"/>
  <c r="AX51" i="113" s="1"/>
  <c r="BB81" i="1"/>
  <c r="AX80" i="113" l="1"/>
  <c r="H63" i="99"/>
  <c r="K63" i="99" s="1"/>
  <c r="E61"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BC28" i="1"/>
  <c r="AY28" i="113" s="1"/>
  <c r="M25" i="1" l="1"/>
  <c r="B33" i="99" l="1"/>
  <c r="C31" i="3"/>
  <c r="B32" i="48" s="1"/>
  <c r="B31" i="3"/>
  <c r="AP17" i="1" l="1"/>
  <c r="AO17" i="113" s="1"/>
  <c r="AP28" i="1"/>
  <c r="AO28" i="113" s="1"/>
  <c r="AP35" i="1"/>
  <c r="AO34" i="113" s="1"/>
  <c r="AP46" i="1"/>
  <c r="AP66" i="1"/>
  <c r="AP73" i="1"/>
  <c r="AO72" i="113" s="1"/>
  <c r="AO65" i="113" l="1"/>
  <c r="AP74" i="1"/>
  <c r="AO73" i="113" s="1"/>
  <c r="AO45" i="113"/>
  <c r="AP47" i="1"/>
  <c r="AO46" i="113" s="1"/>
  <c r="AP19" i="1"/>
  <c r="AO19" i="113" l="1"/>
  <c r="AP49" i="1"/>
  <c r="AP52" i="1" s="1"/>
  <c r="AP77" i="1"/>
  <c r="AO48" i="113" l="1"/>
  <c r="AO51" i="113"/>
  <c r="AO76" i="113"/>
  <c r="AP81" i="1"/>
  <c r="Z73" i="1"/>
  <c r="Z72" i="113" s="1"/>
  <c r="Z66" i="1"/>
  <c r="Z65" i="113" s="1"/>
  <c r="Z46" i="1"/>
  <c r="Z45" i="113" s="1"/>
  <c r="Z35" i="1"/>
  <c r="Z34" i="113" s="1"/>
  <c r="Z28" i="1"/>
  <c r="Z28" i="113" s="1"/>
  <c r="Z17" i="1"/>
  <c r="Z17" i="113" s="1"/>
  <c r="H51" i="99" l="1"/>
  <c r="K51" i="99" s="1"/>
  <c r="BF94" i="1"/>
  <c r="AO80" i="113"/>
  <c r="Z19" i="1"/>
  <c r="Z19" i="113" s="1"/>
  <c r="Z74" i="1"/>
  <c r="Z73" i="113" s="1"/>
  <c r="Z47" i="1"/>
  <c r="Z46" i="113" s="1"/>
  <c r="Z77" i="1" l="1"/>
  <c r="Z76" i="113" s="1"/>
  <c r="Z49" i="1"/>
  <c r="Z48" i="113" l="1"/>
  <c r="Z52" i="1"/>
  <c r="Z51" i="113" s="1"/>
  <c r="Z81" i="1"/>
  <c r="Z80" i="113" s="1"/>
  <c r="H33" i="99" l="1"/>
  <c r="K33" i="99" s="1"/>
  <c r="E31" i="3"/>
  <c r="F32" i="48" s="1"/>
  <c r="G32" i="48" l="1"/>
  <c r="X42" i="1"/>
  <c r="X41" i="113" s="1"/>
  <c r="X36" i="113"/>
  <c r="X34" i="1"/>
  <c r="X33" i="113" s="1"/>
  <c r="T42" i="1"/>
  <c r="T37" i="1"/>
  <c r="S42" i="1"/>
  <c r="S37" i="1"/>
  <c r="AC37" i="1" l="1"/>
  <c r="G36" i="117" s="1"/>
  <c r="F36" i="117" s="1"/>
  <c r="AP33" i="113"/>
  <c r="AP36" i="113"/>
  <c r="AP41" i="113"/>
  <c r="T34" i="1"/>
  <c r="AC34" i="1" s="1"/>
  <c r="G33" i="117" s="1"/>
  <c r="F33" i="117"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K52" i="99" l="1"/>
  <c r="E50" i="3"/>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H18" i="99" l="1"/>
  <c r="K18" i="99" s="1"/>
  <c r="O10" i="1"/>
  <c r="O10" i="113" s="1"/>
  <c r="E16" i="3"/>
  <c r="F17" i="48" s="1"/>
  <c r="G17" i="48" l="1"/>
  <c r="P10" i="1"/>
  <c r="P10" i="113" s="1"/>
  <c r="BC73" i="1"/>
  <c r="AY72" i="113" s="1"/>
  <c r="Q10" i="1" l="1"/>
  <c r="Q10" i="113" s="1"/>
  <c r="R10" i="1" l="1"/>
  <c r="R10" i="113" s="1"/>
  <c r="N11" i="51"/>
  <c r="O12" i="51" s="1"/>
  <c r="B64" i="99"/>
  <c r="F11" i="113"/>
  <c r="F9" i="113"/>
  <c r="F8" i="113"/>
  <c r="F7" i="113"/>
  <c r="C62" i="3"/>
  <c r="B57" i="48" s="1"/>
  <c r="B62" i="3"/>
  <c r="BA53" i="1" l="1"/>
  <c r="BA57" i="1" s="1"/>
  <c r="AY53" i="1"/>
  <c r="AY57" i="1" s="1"/>
  <c r="AB53" i="1"/>
  <c r="AB57" i="1" s="1"/>
  <c r="BG53" i="1"/>
  <c r="AH53" i="1"/>
  <c r="AG52" i="113" s="1"/>
  <c r="AT53" i="1"/>
  <c r="AS53" i="1"/>
  <c r="AE53" i="1"/>
  <c r="AX53" i="1"/>
  <c r="AV52" i="113" s="1"/>
  <c r="AR53" i="1"/>
  <c r="BD53" i="1"/>
  <c r="AF53" i="1"/>
  <c r="AU53" i="1"/>
  <c r="AT52" i="113" s="1"/>
  <c r="AV53" i="1"/>
  <c r="AU52" i="113" s="1"/>
  <c r="AL53" i="1"/>
  <c r="AL57" i="1" s="1"/>
  <c r="G47" i="99" s="1"/>
  <c r="S10" i="1"/>
  <c r="T10" i="1" s="1"/>
  <c r="BC66" i="1"/>
  <c r="AY65" i="113" s="1"/>
  <c r="BC46" i="1"/>
  <c r="AY45" i="113" s="1"/>
  <c r="BC35" i="1"/>
  <c r="AY34" i="113" s="1"/>
  <c r="BC17" i="1"/>
  <c r="AY17" i="113" s="1"/>
  <c r="D58" i="3" l="1"/>
  <c r="G60" i="99"/>
  <c r="J60" i="99" s="1"/>
  <c r="G62" i="99"/>
  <c r="D60" i="3"/>
  <c r="BA52" i="113"/>
  <c r="BL40" i="1"/>
  <c r="AS57" i="1"/>
  <c r="G54" i="99" s="1"/>
  <c r="J54" i="99" s="1"/>
  <c r="AR52" i="113"/>
  <c r="AS52" i="113"/>
  <c r="AT57" i="1"/>
  <c r="G55" i="99" s="1"/>
  <c r="J55" i="99" s="1"/>
  <c r="AH57" i="1"/>
  <c r="AR57" i="1"/>
  <c r="G53" i="99" s="1"/>
  <c r="J53" i="99" s="1"/>
  <c r="AQ52" i="113"/>
  <c r="AX57" i="1"/>
  <c r="AD52" i="113"/>
  <c r="AE57" i="1"/>
  <c r="G40" i="99" s="1"/>
  <c r="J40" i="99" s="1"/>
  <c r="AE52" i="113"/>
  <c r="AF57" i="1"/>
  <c r="G41" i="99" s="1"/>
  <c r="J41" i="99" s="1"/>
  <c r="AV57" i="1"/>
  <c r="BD57" i="1"/>
  <c r="D63" i="3" s="1"/>
  <c r="AU57" i="1"/>
  <c r="U10" i="1"/>
  <c r="V10" i="1" s="1"/>
  <c r="W10" i="1" s="1"/>
  <c r="X10" i="1" s="1"/>
  <c r="Y10" i="1" s="1"/>
  <c r="Z10" i="1" s="1"/>
  <c r="AA10" i="1" s="1"/>
  <c r="AB10" i="1" s="1"/>
  <c r="BC47" i="1"/>
  <c r="AY46" i="113" s="1"/>
  <c r="S10" i="113"/>
  <c r="T10" i="113"/>
  <c r="BC19" i="1"/>
  <c r="AY19" i="113" s="1"/>
  <c r="BC74" i="1"/>
  <c r="AY73" i="113" s="1"/>
  <c r="U35" i="1"/>
  <c r="U34" i="113" s="1"/>
  <c r="U28" i="1"/>
  <c r="U28" i="113" s="1"/>
  <c r="U17" i="1"/>
  <c r="U17" i="113" s="1"/>
  <c r="J62" i="99" l="1"/>
  <c r="AG56" i="113"/>
  <c r="G43" i="99"/>
  <c r="J43" i="99" s="1"/>
  <c r="AU56" i="113"/>
  <c r="G57" i="99"/>
  <c r="J57" i="99" s="1"/>
  <c r="AV56" i="113"/>
  <c r="G59" i="99"/>
  <c r="J59" i="99" s="1"/>
  <c r="AT56" i="113"/>
  <c r="G56" i="99"/>
  <c r="J56" i="99" s="1"/>
  <c r="D41" i="3"/>
  <c r="AS56" i="113"/>
  <c r="D53" i="3"/>
  <c r="D51" i="3"/>
  <c r="AQ56" i="113"/>
  <c r="AR56" i="113"/>
  <c r="D52" i="3"/>
  <c r="D57" i="3"/>
  <c r="AD56" i="113"/>
  <c r="D38" i="3"/>
  <c r="D54" i="3"/>
  <c r="D55" i="3"/>
  <c r="D39" i="3"/>
  <c r="AE56" i="113"/>
  <c r="V10" i="113"/>
  <c r="A27" i="3"/>
  <c r="A28" i="48" s="1"/>
  <c r="AB10" i="113"/>
  <c r="A35" i="99"/>
  <c r="A32" i="3"/>
  <c r="A33" i="48" s="1"/>
  <c r="A29" i="99"/>
  <c r="Z10" i="113"/>
  <c r="AA10" i="113"/>
  <c r="A34" i="99"/>
  <c r="A27" i="99"/>
  <c r="A25" i="3"/>
  <c r="A26" i="48" s="1"/>
  <c r="BC77" i="1"/>
  <c r="AY76" i="113" s="1"/>
  <c r="BC49" i="1"/>
  <c r="U19" i="1"/>
  <c r="U19" i="113" s="1"/>
  <c r="BC52" i="1" l="1"/>
  <c r="AY51" i="113" s="1"/>
  <c r="AY48" i="113"/>
  <c r="X10" i="113"/>
  <c r="U10" i="113"/>
  <c r="BC81" i="1"/>
  <c r="A10" i="99"/>
  <c r="B10" i="99"/>
  <c r="E11" i="113"/>
  <c r="AY80" i="113" l="1"/>
  <c r="H64" i="99"/>
  <c r="K64" i="99" s="1"/>
  <c r="Y10" i="113"/>
  <c r="E62" i="3"/>
  <c r="F57" i="48" s="1"/>
  <c r="G57" i="48" s="1"/>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F22" i="1"/>
  <c r="BH22" i="1" s="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F30" i="1"/>
  <c r="BH30" i="1" s="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G44" i="117" s="1"/>
  <c r="F44" i="117" s="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F45" i="1"/>
  <c r="W47" i="1"/>
  <c r="W46" i="113" s="1"/>
  <c r="U47" i="1"/>
  <c r="U46" i="113" s="1"/>
  <c r="P47" i="1"/>
  <c r="P46" i="113" s="1"/>
  <c r="O47" i="1"/>
  <c r="O46" i="113" s="1"/>
  <c r="AM46" i="113"/>
  <c r="G47" i="1"/>
  <c r="G46" i="113" s="1"/>
  <c r="AF19" i="113"/>
  <c r="AC19" i="113"/>
  <c r="A11" i="3"/>
  <c r="A12" i="48" s="1"/>
  <c r="E44" i="113"/>
  <c r="F45" i="113"/>
  <c r="AJ19" i="113"/>
  <c r="I10" i="48"/>
  <c r="G65" i="48"/>
  <c r="E24" i="1"/>
  <c r="E24" i="117" s="1"/>
  <c r="E27" i="1"/>
  <c r="E37" i="113"/>
  <c r="E38" i="113"/>
  <c r="AC42" i="1"/>
  <c r="G41" i="117" s="1"/>
  <c r="AC43" i="1"/>
  <c r="G42" i="117" s="1"/>
  <c r="F42" i="117" s="1"/>
  <c r="AC55" i="1"/>
  <c r="G54" i="117" s="1"/>
  <c r="F54" i="117" s="1"/>
  <c r="G45" i="117" l="1"/>
  <c r="F41" i="117"/>
  <c r="F45" i="117" s="1"/>
  <c r="AC27" i="1"/>
  <c r="G27" i="117" s="1"/>
  <c r="E27" i="117"/>
  <c r="AZ44" i="113"/>
  <c r="I44" i="117"/>
  <c r="H44" i="117" s="1"/>
  <c r="M44" i="117" s="1"/>
  <c r="G44" i="50"/>
  <c r="BH45" i="1"/>
  <c r="BB44" i="113" s="1"/>
  <c r="AI19" i="113"/>
  <c r="AI46" i="113"/>
  <c r="E18" i="1"/>
  <c r="E18" i="117" s="1"/>
  <c r="E51" i="113"/>
  <c r="AK10" i="113"/>
  <c r="W10" i="113"/>
  <c r="E26" i="1"/>
  <c r="E26" i="117" s="1"/>
  <c r="E15" i="1"/>
  <c r="E14" i="1"/>
  <c r="E14" i="117" s="1"/>
  <c r="AJ77" i="1"/>
  <c r="AI76" i="113" s="1"/>
  <c r="AC76" i="113"/>
  <c r="H77" i="1"/>
  <c r="H76" i="113" s="1"/>
  <c r="AF76" i="113"/>
  <c r="O77" i="1"/>
  <c r="O76" i="113" s="1"/>
  <c r="Y77" i="1"/>
  <c r="Y76" i="113" s="1"/>
  <c r="R77" i="1"/>
  <c r="R76" i="113" s="1"/>
  <c r="M77" i="1"/>
  <c r="M76" i="113" s="1"/>
  <c r="AC24" i="1"/>
  <c r="G24" i="117" s="1"/>
  <c r="F24" i="117" s="1"/>
  <c r="E24" i="113"/>
  <c r="E53" i="113"/>
  <c r="E46" i="1"/>
  <c r="E45" i="113" s="1"/>
  <c r="E41" i="113"/>
  <c r="E42" i="113"/>
  <c r="N49" i="1"/>
  <c r="BF43" i="1"/>
  <c r="AC46" i="1"/>
  <c r="E36" i="113"/>
  <c r="U77" i="1"/>
  <c r="U76" i="113" s="1"/>
  <c r="BF37" i="1"/>
  <c r="BF42" i="1"/>
  <c r="AJ76" i="113"/>
  <c r="E54" i="113"/>
  <c r="J49" i="1"/>
  <c r="BF34" i="1"/>
  <c r="BF27" i="1"/>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E23" i="117" s="1"/>
  <c r="A1" i="3"/>
  <c r="A1" i="50"/>
  <c r="A4" i="50"/>
  <c r="F27" i="117" l="1"/>
  <c r="AZ33" i="113"/>
  <c r="I33" i="117"/>
  <c r="H33" i="117" s="1"/>
  <c r="M33" i="117" s="1"/>
  <c r="K44" i="117"/>
  <c r="AZ42" i="113"/>
  <c r="I42" i="117"/>
  <c r="H42" i="117" s="1"/>
  <c r="M42" i="117" s="1"/>
  <c r="E15" i="113"/>
  <c r="E15" i="117"/>
  <c r="AZ41" i="113"/>
  <c r="I41" i="117"/>
  <c r="H41" i="117" s="1"/>
  <c r="M41" i="117" s="1"/>
  <c r="AZ36" i="113"/>
  <c r="I36" i="117"/>
  <c r="H36" i="117" s="1"/>
  <c r="M36" i="117" s="1"/>
  <c r="AZ27" i="113"/>
  <c r="I27" i="117"/>
  <c r="H27" i="117" s="1"/>
  <c r="M27" i="117" s="1"/>
  <c r="G33" i="50"/>
  <c r="BH34" i="1"/>
  <c r="BB33" i="113" s="1"/>
  <c r="G41" i="50"/>
  <c r="BH42" i="1"/>
  <c r="BB41" i="113" s="1"/>
  <c r="G36" i="50"/>
  <c r="BH37" i="1"/>
  <c r="BB36" i="113" s="1"/>
  <c r="G42" i="50"/>
  <c r="BH43" i="1"/>
  <c r="BB42" i="113" s="1"/>
  <c r="G27" i="50"/>
  <c r="BH27" i="1"/>
  <c r="BB27" i="113" s="1"/>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G48" i="113"/>
  <c r="G51" i="113"/>
  <c r="AJ81" i="1"/>
  <c r="AC80" i="113"/>
  <c r="R81" i="1"/>
  <c r="R80" i="113" s="1"/>
  <c r="BF38" i="1"/>
  <c r="M81" i="1"/>
  <c r="M80" i="113" s="1"/>
  <c r="Y81" i="1"/>
  <c r="Y80" i="113" s="1"/>
  <c r="O81" i="1"/>
  <c r="H81" i="1"/>
  <c r="AF80" i="113"/>
  <c r="AJ80" i="113"/>
  <c r="BF39" i="1"/>
  <c r="AH51" i="113"/>
  <c r="AK80" i="113"/>
  <c r="AC14" i="1"/>
  <c r="E14" i="113"/>
  <c r="BF24" i="1"/>
  <c r="AC26" i="1"/>
  <c r="G26" i="117" s="1"/>
  <c r="F26" i="117" s="1"/>
  <c r="E26" i="113"/>
  <c r="BF46" i="1"/>
  <c r="AC18" i="1"/>
  <c r="G18" i="117" s="1"/>
  <c r="F18" i="117" s="1"/>
  <c r="E18" i="113"/>
  <c r="AC23" i="1"/>
  <c r="E23" i="113"/>
  <c r="F48" i="113"/>
  <c r="E25" i="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BF23" i="1" l="1"/>
  <c r="I23" i="117" s="1"/>
  <c r="G23" i="117"/>
  <c r="BF14" i="1"/>
  <c r="I14" i="117" s="1"/>
  <c r="G14" i="117"/>
  <c r="BF15" i="1"/>
  <c r="I15" i="117" s="1"/>
  <c r="G15" i="117"/>
  <c r="F15" i="117" s="1"/>
  <c r="K27" i="117"/>
  <c r="K42" i="117"/>
  <c r="AZ24" i="113"/>
  <c r="I24" i="117"/>
  <c r="H24" i="117" s="1"/>
  <c r="M24" i="117" s="1"/>
  <c r="AZ37" i="113"/>
  <c r="I37" i="117"/>
  <c r="H37" i="117" s="1"/>
  <c r="M37" i="117" s="1"/>
  <c r="AZ23" i="113"/>
  <c r="AZ15" i="113"/>
  <c r="E28" i="1"/>
  <c r="E28" i="113" s="1"/>
  <c r="E25" i="117"/>
  <c r="H45" i="117"/>
  <c r="M45" i="117" s="1"/>
  <c r="I45" i="117"/>
  <c r="AZ38" i="113"/>
  <c r="I38" i="117"/>
  <c r="H38" i="117" s="1"/>
  <c r="M38" i="117" s="1"/>
  <c r="AI80" i="113"/>
  <c r="H45" i="99"/>
  <c r="K45" i="99" s="1"/>
  <c r="BH14" i="1"/>
  <c r="BB14" i="113" s="1"/>
  <c r="AZ14" i="113"/>
  <c r="AZ45" i="113"/>
  <c r="G23" i="50"/>
  <c r="BH23" i="1"/>
  <c r="BB23" i="113" s="1"/>
  <c r="G15" i="50"/>
  <c r="BH15" i="1"/>
  <c r="BB15" i="113" s="1"/>
  <c r="G24" i="50"/>
  <c r="BH24" i="1"/>
  <c r="BB24" i="113" s="1"/>
  <c r="G37" i="50"/>
  <c r="BH38" i="1"/>
  <c r="BB37" i="113" s="1"/>
  <c r="G38" i="50"/>
  <c r="BH39" i="1"/>
  <c r="BB38" i="113" s="1"/>
  <c r="G14" i="50"/>
  <c r="H80" i="113"/>
  <c r="AI51" i="113"/>
  <c r="O80" i="113"/>
  <c r="AJ10" i="113"/>
  <c r="M51" i="113"/>
  <c r="AC54" i="1"/>
  <c r="Q80" i="113"/>
  <c r="E22" i="3"/>
  <c r="F23" i="48" s="1"/>
  <c r="H27" i="99"/>
  <c r="K27" i="99" s="1"/>
  <c r="E25" i="3"/>
  <c r="F26" i="48" s="1"/>
  <c r="K44" i="99"/>
  <c r="K46" i="99"/>
  <c r="K39" i="99"/>
  <c r="K42" i="99"/>
  <c r="E13" i="3"/>
  <c r="F14" i="48" s="1"/>
  <c r="H13" i="99"/>
  <c r="H25" i="99"/>
  <c r="K25" i="99" s="1"/>
  <c r="H32" i="99"/>
  <c r="K32" i="99" s="1"/>
  <c r="E12" i="3"/>
  <c r="F13" i="48" s="1"/>
  <c r="K47" i="99"/>
  <c r="H20" i="99"/>
  <c r="K20" i="99" s="1"/>
  <c r="H22" i="99"/>
  <c r="K22" i="99" s="1"/>
  <c r="H12" i="99"/>
  <c r="K12" i="99" s="1"/>
  <c r="H28" i="99"/>
  <c r="K28" i="99" s="1"/>
  <c r="E25" i="113"/>
  <c r="AC25" i="1"/>
  <c r="G25" i="117" s="1"/>
  <c r="BF18" i="1"/>
  <c r="BF26" i="1"/>
  <c r="H19" i="99"/>
  <c r="K19" i="99" s="1"/>
  <c r="H24" i="99"/>
  <c r="K24" i="99" s="1"/>
  <c r="H31" i="99"/>
  <c r="K31" i="99" s="1"/>
  <c r="K49" i="99"/>
  <c r="H30" i="99"/>
  <c r="K30" i="99" s="1"/>
  <c r="H23" i="99"/>
  <c r="K23" i="99" s="1"/>
  <c r="H11" i="99"/>
  <c r="K11" i="99" s="1"/>
  <c r="H17" i="99"/>
  <c r="K17" i="99" s="1"/>
  <c r="H26" i="99"/>
  <c r="K26" i="99" s="1"/>
  <c r="H21" i="99"/>
  <c r="K21" i="99" s="1"/>
  <c r="F80" i="113"/>
  <c r="H28" i="50"/>
  <c r="H65" i="50"/>
  <c r="H73" i="50" s="1"/>
  <c r="E52" i="50"/>
  <c r="H15" i="117" l="1"/>
  <c r="M15" i="117" s="1"/>
  <c r="H23" i="117"/>
  <c r="H14" i="117"/>
  <c r="G28" i="117"/>
  <c r="F23" i="117"/>
  <c r="BF54" i="1"/>
  <c r="AZ53" i="113" s="1"/>
  <c r="G53" i="117"/>
  <c r="F53" i="117" s="1"/>
  <c r="F14" i="117"/>
  <c r="E28" i="117"/>
  <c r="F25" i="117"/>
  <c r="AZ18" i="113"/>
  <c r="I18" i="117"/>
  <c r="H18" i="117" s="1"/>
  <c r="M18" i="117" s="1"/>
  <c r="K23" i="117"/>
  <c r="K38" i="117"/>
  <c r="K24" i="117"/>
  <c r="AZ26" i="113"/>
  <c r="I26" i="117"/>
  <c r="H26" i="117" s="1"/>
  <c r="M26" i="117" s="1"/>
  <c r="I53" i="117"/>
  <c r="K15" i="117"/>
  <c r="K37" i="117"/>
  <c r="G18" i="50"/>
  <c r="BH18" i="1"/>
  <c r="BB18" i="113" s="1"/>
  <c r="G26" i="50"/>
  <c r="BH26" i="1"/>
  <c r="BB26" i="113" s="1"/>
  <c r="G26" i="48"/>
  <c r="G13" i="48"/>
  <c r="G14" i="48"/>
  <c r="G23" i="48"/>
  <c r="E26" i="51"/>
  <c r="K13" i="99"/>
  <c r="AF10" i="113"/>
  <c r="BF25" i="1"/>
  <c r="AC28" i="1"/>
  <c r="H76" i="50"/>
  <c r="H80" i="50" s="1"/>
  <c r="M23" i="117" l="1"/>
  <c r="BH54" i="1"/>
  <c r="BB53" i="113" s="1"/>
  <c r="H53" i="117"/>
  <c r="M53" i="117" s="1"/>
  <c r="G53" i="50"/>
  <c r="M14" i="117"/>
  <c r="F28" i="117"/>
  <c r="AZ25" i="113"/>
  <c r="I25" i="117"/>
  <c r="H25" i="117" s="1"/>
  <c r="M25" i="117" s="1"/>
  <c r="K53" i="117"/>
  <c r="K18" i="117"/>
  <c r="K26" i="117"/>
  <c r="G25" i="50"/>
  <c r="BH25" i="1"/>
  <c r="BB25" i="113" s="1"/>
  <c r="AC10" i="113"/>
  <c r="C49" i="3"/>
  <c r="B47" i="48" s="1"/>
  <c r="C40" i="3"/>
  <c r="B38" i="48" s="1"/>
  <c r="C44" i="3"/>
  <c r="B42" i="48" s="1"/>
  <c r="C43" i="3"/>
  <c r="B41" i="48" s="1"/>
  <c r="C42" i="3"/>
  <c r="B40" i="48" s="1"/>
  <c r="C37" i="3"/>
  <c r="B35" i="48" s="1"/>
  <c r="H28" i="117" l="1"/>
  <c r="M28" i="117" s="1"/>
  <c r="K25" i="117"/>
  <c r="K28" i="117" s="1"/>
  <c r="I28" i="117"/>
  <c r="E54" i="50"/>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62" i="3" l="1"/>
  <c r="A57" i="48" s="1"/>
  <c r="A64" i="99"/>
  <c r="E8" i="48" l="1"/>
  <c r="E71" i="48" s="1"/>
  <c r="A33" i="99" l="1"/>
  <c r="A31" i="3"/>
  <c r="A32" i="48" s="1"/>
  <c r="A42" i="99"/>
  <c r="B47" i="99" l="1"/>
  <c r="C45" i="3"/>
  <c r="B43" i="48" s="1"/>
  <c r="B30" i="99"/>
  <c r="B13" i="99"/>
  <c r="A13" i="99"/>
  <c r="C13" i="3"/>
  <c r="B14" i="48" s="1"/>
  <c r="A13" i="3"/>
  <c r="A14" i="48" s="1"/>
  <c r="D37" i="99"/>
  <c r="D66"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M9" i="99"/>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D72" i="99"/>
  <c r="D76" i="99"/>
  <c r="A81" i="99"/>
  <c r="B81" i="99"/>
  <c r="A82" i="99"/>
  <c r="B82" i="99"/>
  <c r="A83" i="99"/>
  <c r="B83" i="99"/>
  <c r="A84" i="99"/>
  <c r="B84" i="99"/>
  <c r="A85" i="99"/>
  <c r="B85" i="99"/>
  <c r="A86" i="99"/>
  <c r="B86" i="99"/>
  <c r="A87" i="99"/>
  <c r="B87" i="99"/>
  <c r="A88" i="99"/>
  <c r="B88" i="99"/>
  <c r="A93" i="99"/>
  <c r="B93" i="99"/>
  <c r="A94" i="99"/>
  <c r="B94" i="99"/>
  <c r="A95" i="99"/>
  <c r="B95" i="99"/>
  <c r="A96" i="99"/>
  <c r="B96" i="99"/>
  <c r="A97" i="99"/>
  <c r="B97" i="99"/>
  <c r="A98" i="99"/>
  <c r="B98" i="99"/>
  <c r="A99" i="99"/>
  <c r="B99" i="99"/>
  <c r="A100" i="99"/>
  <c r="B100" i="99"/>
  <c r="A101" i="99"/>
  <c r="B101" i="99"/>
  <c r="A102" i="99"/>
  <c r="B102" i="99"/>
  <c r="A103" i="99"/>
  <c r="B103" i="99"/>
  <c r="A104" i="99"/>
  <c r="B104" i="99"/>
  <c r="A105" i="99"/>
  <c r="B105" i="99"/>
  <c r="A106" i="99"/>
  <c r="B106" i="99"/>
  <c r="A111" i="99"/>
  <c r="B111" i="99"/>
  <c r="A112" i="99"/>
  <c r="B112" i="99"/>
  <c r="A113" i="99"/>
  <c r="B113" i="99"/>
  <c r="A114" i="99"/>
  <c r="B114" i="99"/>
  <c r="A115" i="99"/>
  <c r="B115" i="99"/>
  <c r="A116" i="99"/>
  <c r="B116" i="99"/>
  <c r="A117" i="99"/>
  <c r="B117" i="99"/>
  <c r="A118" i="99"/>
  <c r="B118" i="99"/>
  <c r="A119" i="99"/>
  <c r="B119" i="99"/>
  <c r="A120" i="99"/>
  <c r="B120" i="99"/>
  <c r="A121" i="99"/>
  <c r="B121" i="99"/>
  <c r="A122" i="99"/>
  <c r="B122" i="99"/>
  <c r="A123" i="99"/>
  <c r="B123" i="99"/>
  <c r="A124" i="99"/>
  <c r="B124" i="99"/>
  <c r="A125" i="99"/>
  <c r="B125" i="99"/>
  <c r="A126" i="99"/>
  <c r="B126" i="99"/>
  <c r="G125" i="99"/>
  <c r="F136" i="48"/>
  <c r="F135" i="48"/>
  <c r="G124" i="99"/>
  <c r="C91" i="48"/>
  <c r="C169" i="48" s="1"/>
  <c r="C83" i="48"/>
  <c r="C161" i="48" s="1"/>
  <c r="C87" i="48"/>
  <c r="C165" i="48" s="1"/>
  <c r="C86" i="48"/>
  <c r="C164" i="48" s="1"/>
  <c r="C82" i="48"/>
  <c r="C160" i="48" s="1"/>
  <c r="C90" i="48"/>
  <c r="C168" i="48" s="1"/>
  <c r="C81" i="48"/>
  <c r="C159" i="48" s="1"/>
  <c r="G104" i="99"/>
  <c r="F118" i="48"/>
  <c r="G98" i="99"/>
  <c r="F132" i="48"/>
  <c r="F134" i="48"/>
  <c r="F124" i="48"/>
  <c r="F108" i="48"/>
  <c r="G94" i="99"/>
  <c r="F116" i="48"/>
  <c r="G102" i="99"/>
  <c r="G121" i="99"/>
  <c r="F130" i="48"/>
  <c r="G119" i="99"/>
  <c r="G113" i="99"/>
  <c r="G126" i="99"/>
  <c r="G123" i="99"/>
  <c r="F126" i="99"/>
  <c r="G117" i="99"/>
  <c r="F128" i="48"/>
  <c r="F131" i="48"/>
  <c r="G120" i="99"/>
  <c r="F103" i="48"/>
  <c r="G84" i="99"/>
  <c r="F112" i="48"/>
  <c r="F121" i="99"/>
  <c r="F110" i="48"/>
  <c r="G96" i="99"/>
  <c r="F114" i="48"/>
  <c r="G100" i="99"/>
  <c r="F125" i="48"/>
  <c r="G114" i="99"/>
  <c r="F104" i="99"/>
  <c r="F120" i="99"/>
  <c r="F123" i="99"/>
  <c r="F133" i="48"/>
  <c r="G122" i="99"/>
  <c r="F113" i="48"/>
  <c r="G99" i="99"/>
  <c r="F129" i="48"/>
  <c r="G118" i="99"/>
  <c r="G85" i="99"/>
  <c r="F104" i="48"/>
  <c r="F107" i="48"/>
  <c r="G88" i="99"/>
  <c r="F111" i="48"/>
  <c r="G97" i="99"/>
  <c r="F109" i="48"/>
  <c r="G95" i="99"/>
  <c r="F115" i="48"/>
  <c r="G101" i="99"/>
  <c r="F126" i="48"/>
  <c r="G115" i="99"/>
  <c r="F117" i="99"/>
  <c r="G93" i="99"/>
  <c r="F122" i="99"/>
  <c r="F111" i="99"/>
  <c r="G83" i="99"/>
  <c r="F106" i="48"/>
  <c r="G87" i="99"/>
  <c r="F119" i="48"/>
  <c r="G105" i="99"/>
  <c r="F127" i="48"/>
  <c r="G116" i="99"/>
  <c r="F103" i="99"/>
  <c r="G103" i="99"/>
  <c r="F124" i="99"/>
  <c r="F113" i="99"/>
  <c r="F114" i="99"/>
  <c r="F120" i="48"/>
  <c r="G106" i="99"/>
  <c r="F100" i="48"/>
  <c r="F138" i="48" s="1"/>
  <c r="G81" i="99"/>
  <c r="G91" i="99" s="1"/>
  <c r="G109" i="99" s="1"/>
  <c r="G128" i="99" s="1"/>
  <c r="F101" i="48"/>
  <c r="G82" i="99"/>
  <c r="F105" i="48"/>
  <c r="G86" i="99"/>
  <c r="F93" i="99"/>
  <c r="F102" i="99"/>
  <c r="F116" i="99"/>
  <c r="G111" i="99"/>
  <c r="F122" i="48"/>
  <c r="F102" i="48"/>
  <c r="F81" i="99"/>
  <c r="F91" i="99" s="1"/>
  <c r="F99" i="99"/>
  <c r="F117" i="48"/>
  <c r="F125" i="99"/>
  <c r="F119" i="99"/>
  <c r="F101" i="99"/>
  <c r="F94" i="99"/>
  <c r="F98" i="99"/>
  <c r="F106" i="99"/>
  <c r="F105" i="99"/>
  <c r="F118" i="99"/>
  <c r="F115" i="99"/>
  <c r="F85" i="99"/>
  <c r="F83" i="99"/>
  <c r="F82" i="99"/>
  <c r="F88" i="99"/>
  <c r="F97" i="99"/>
  <c r="F96" i="99"/>
  <c r="F86" i="99"/>
  <c r="F95" i="99"/>
  <c r="F87" i="99"/>
  <c r="F84" i="99"/>
  <c r="F100" i="99"/>
  <c r="F123" i="48"/>
  <c r="G112" i="99"/>
  <c r="F112" i="99"/>
  <c r="E24" i="50"/>
  <c r="E37" i="99"/>
  <c r="E66" i="99" s="1"/>
  <c r="M60" i="99" l="1"/>
  <c r="M62" i="99"/>
  <c r="M40" i="99"/>
  <c r="M54" i="99"/>
  <c r="M43" i="99"/>
  <c r="M53" i="99"/>
  <c r="M56" i="99"/>
  <c r="M59" i="99"/>
  <c r="M57" i="99"/>
  <c r="M55" i="99"/>
  <c r="M41" i="99"/>
  <c r="C88" i="48"/>
  <c r="D87" i="48" s="1"/>
  <c r="C162" i="48"/>
  <c r="D159" i="48" s="1"/>
  <c r="C92" i="48"/>
  <c r="D90" i="48" s="1"/>
  <c r="D92" i="48" s="1"/>
  <c r="E14" i="50"/>
  <c r="F14" i="50" s="1"/>
  <c r="E51" i="50"/>
  <c r="E27" i="50"/>
  <c r="E33" i="50"/>
  <c r="E42" i="50"/>
  <c r="E45" i="50" s="1"/>
  <c r="E25" i="50"/>
  <c r="E37" i="50"/>
  <c r="E36" i="50"/>
  <c r="E18" i="50"/>
  <c r="E15" i="50"/>
  <c r="F109" i="99"/>
  <c r="H91" i="99"/>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F128" i="99"/>
  <c r="H128" i="99" s="1"/>
  <c r="H109" i="99"/>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N15" i="51" l="1"/>
  <c r="BL41" i="1" s="1"/>
  <c r="BK41" i="1" s="1"/>
  <c r="BL44" i="1" s="1"/>
  <c r="BL45" i="1" s="1"/>
  <c r="BL46" i="1" s="1"/>
  <c r="AP53" i="1" l="1"/>
  <c r="AN53" i="1"/>
  <c r="AN57" i="1" s="1"/>
  <c r="G49" i="99" s="1"/>
  <c r="AI53" i="1"/>
  <c r="AI57" i="1" s="1"/>
  <c r="G44" i="99" s="1"/>
  <c r="Z53" i="1"/>
  <c r="Z52" i="113" s="1"/>
  <c r="U53" i="1"/>
  <c r="U52" i="113" s="1"/>
  <c r="Q53" i="1"/>
  <c r="Q52" i="113" s="1"/>
  <c r="H53" i="1"/>
  <c r="H52" i="113" s="1"/>
  <c r="L53" i="1"/>
  <c r="L52" i="113" s="1"/>
  <c r="BE53" i="1"/>
  <c r="AZ53" i="1"/>
  <c r="AW52" i="113" s="1"/>
  <c r="AK52" i="113"/>
  <c r="AD53" i="1"/>
  <c r="AD57" i="1" s="1"/>
  <c r="G39" i="99" s="1"/>
  <c r="V53" i="1"/>
  <c r="T53" i="1"/>
  <c r="P53" i="1"/>
  <c r="P52" i="113" s="1"/>
  <c r="I53" i="1"/>
  <c r="M53" i="1"/>
  <c r="M52" i="113" s="1"/>
  <c r="BB53" i="1"/>
  <c r="AX52" i="113" s="1"/>
  <c r="AK53" i="1"/>
  <c r="AK57" i="1" s="1"/>
  <c r="G46" i="99"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BC53" i="1"/>
  <c r="AY52" i="113" s="1"/>
  <c r="AO53" i="1"/>
  <c r="AO57" i="1" s="1"/>
  <c r="G50" i="99" s="1"/>
  <c r="AQ53" i="1"/>
  <c r="AG53" i="1"/>
  <c r="AG57" i="1" s="1"/>
  <c r="G42" i="99" s="1"/>
  <c r="E61" i="48"/>
  <c r="E14" i="51"/>
  <c r="E85" i="1" s="1"/>
  <c r="N9" i="99"/>
  <c r="N62" i="99" l="1"/>
  <c r="O62" i="99"/>
  <c r="O60" i="99"/>
  <c r="N60" i="99"/>
  <c r="BA88" i="1"/>
  <c r="BA89" i="1" s="1"/>
  <c r="BA83" i="1" s="1"/>
  <c r="AY88" i="1"/>
  <c r="AY89" i="1" s="1"/>
  <c r="AY83" i="1" s="1"/>
  <c r="O54" i="99"/>
  <c r="N59" i="99"/>
  <c r="N41" i="99"/>
  <c r="O59" i="99"/>
  <c r="O57" i="99"/>
  <c r="O43" i="99"/>
  <c r="O55" i="99"/>
  <c r="N56" i="99"/>
  <c r="O56" i="99"/>
  <c r="O53" i="99"/>
  <c r="N54" i="99"/>
  <c r="O41" i="99"/>
  <c r="N53" i="99"/>
  <c r="N55" i="99"/>
  <c r="N43" i="99"/>
  <c r="N57" i="99"/>
  <c r="O40" i="99"/>
  <c r="N40" i="99"/>
  <c r="AB88" i="1"/>
  <c r="AB89" i="1" s="1"/>
  <c r="AB83" i="1" s="1"/>
  <c r="AO52" i="113"/>
  <c r="AP57" i="1"/>
  <c r="I39" i="48"/>
  <c r="I51" i="48"/>
  <c r="I50" i="48"/>
  <c r="AS88" i="1"/>
  <c r="AS89" i="1" s="1"/>
  <c r="AS83" i="1" s="1"/>
  <c r="AT88" i="1"/>
  <c r="AT89" i="1" s="1"/>
  <c r="AT83" i="1" s="1"/>
  <c r="AE88" i="1"/>
  <c r="AE89" i="1" s="1"/>
  <c r="AE83" i="1" s="1"/>
  <c r="AH88" i="1"/>
  <c r="AH89" i="1" s="1"/>
  <c r="AH83"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R83" i="1" s="1"/>
  <c r="AX88" i="1"/>
  <c r="AX89" i="1" s="1"/>
  <c r="AX83" i="1" s="1"/>
  <c r="AV88" i="1"/>
  <c r="AV89" i="1" s="1"/>
  <c r="AV83" i="1" s="1"/>
  <c r="BD88" i="1"/>
  <c r="BD89" i="1" s="1"/>
  <c r="BD83" i="1" s="1"/>
  <c r="AU88" i="1"/>
  <c r="AU89" i="1" s="1"/>
  <c r="AU83" i="1" s="1"/>
  <c r="AU94" i="1" s="1"/>
  <c r="AL88" i="1"/>
  <c r="AL89" i="1" s="1"/>
  <c r="AL83" i="1" s="1"/>
  <c r="AF88" i="1"/>
  <c r="AF89" i="1" s="1"/>
  <c r="AF83" i="1" s="1"/>
  <c r="AC52" i="113"/>
  <c r="AB52" i="113"/>
  <c r="BE57" i="1"/>
  <c r="I57" i="1"/>
  <c r="I52" i="113"/>
  <c r="N14" i="99"/>
  <c r="AP52" i="113"/>
  <c r="N35" i="99"/>
  <c r="AJ52" i="113"/>
  <c r="AM52" i="113"/>
  <c r="AI52" i="113"/>
  <c r="AZ57" i="1"/>
  <c r="G61" i="99" s="1"/>
  <c r="AH52" i="113"/>
  <c r="D48" i="3"/>
  <c r="AN52" i="113"/>
  <c r="N29" i="99"/>
  <c r="N61" i="99"/>
  <c r="N63" i="99"/>
  <c r="N50" i="99"/>
  <c r="O57" i="1"/>
  <c r="O56" i="113" s="1"/>
  <c r="V52" i="113"/>
  <c r="V57" i="1"/>
  <c r="G29" i="99" s="1"/>
  <c r="BB57" i="1"/>
  <c r="AL52" i="113"/>
  <c r="AM57" i="1"/>
  <c r="G48" i="99" s="1"/>
  <c r="N48" i="99"/>
  <c r="AA52" i="113"/>
  <c r="N34" i="99"/>
  <c r="N25" i="99"/>
  <c r="N33" i="99"/>
  <c r="N44" i="99"/>
  <c r="N17" i="99"/>
  <c r="N64" i="99"/>
  <c r="N49" i="99"/>
  <c r="N13" i="99"/>
  <c r="N22" i="99"/>
  <c r="N30" i="99"/>
  <c r="N51" i="99"/>
  <c r="N46" i="99"/>
  <c r="N31" i="99"/>
  <c r="N11" i="99"/>
  <c r="N27" i="99"/>
  <c r="N26" i="99"/>
  <c r="N52" i="99"/>
  <c r="N45" i="99"/>
  <c r="N24" i="99"/>
  <c r="N39" i="99"/>
  <c r="N19" i="99"/>
  <c r="N28" i="99"/>
  <c r="N42" i="99"/>
  <c r="N21" i="99"/>
  <c r="N18" i="99"/>
  <c r="N32" i="99"/>
  <c r="N12" i="99"/>
  <c r="N23" i="99"/>
  <c r="N20" i="99"/>
  <c r="N47" i="99"/>
  <c r="AF52" i="113"/>
  <c r="Z57" i="1"/>
  <c r="Z56" i="113" s="1"/>
  <c r="BC57" i="1"/>
  <c r="T57" i="1"/>
  <c r="T56" i="113" s="1"/>
  <c r="T52" i="113"/>
  <c r="J57" i="1"/>
  <c r="J56" i="113" s="1"/>
  <c r="AH56" i="113"/>
  <c r="AJ57" i="1"/>
  <c r="G45" i="99" s="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F57" i="1"/>
  <c r="AC56" i="113"/>
  <c r="G57" i="1"/>
  <c r="G56" i="113" s="1"/>
  <c r="X57" i="1"/>
  <c r="X56" i="113" s="1"/>
  <c r="F61" i="48"/>
  <c r="I35" i="48"/>
  <c r="O16" i="99"/>
  <c r="O38" i="99"/>
  <c r="Q62" i="99" l="1"/>
  <c r="P62" i="99"/>
  <c r="Q60" i="99"/>
  <c r="P60" i="99"/>
  <c r="BF53" i="1"/>
  <c r="AZ52" i="113" s="1"/>
  <c r="G52" i="117"/>
  <c r="F52" i="117" s="1"/>
  <c r="AY56" i="113"/>
  <c r="G64" i="99"/>
  <c r="AX56" i="113"/>
  <c r="G63" i="99"/>
  <c r="AP88" i="1"/>
  <c r="G51" i="99"/>
  <c r="J51" i="99" s="1"/>
  <c r="M51" i="99" s="1"/>
  <c r="Q51" i="99" s="1"/>
  <c r="P57" i="99"/>
  <c r="Q57" i="99"/>
  <c r="P56" i="99"/>
  <c r="Q56" i="99"/>
  <c r="P43" i="99"/>
  <c r="Q43" i="99"/>
  <c r="Q54" i="99"/>
  <c r="P54" i="99"/>
  <c r="Q41" i="99"/>
  <c r="P41" i="99"/>
  <c r="P55" i="99"/>
  <c r="Q55" i="99"/>
  <c r="Q59" i="99"/>
  <c r="P59" i="99"/>
  <c r="P53" i="99"/>
  <c r="Q53" i="99"/>
  <c r="Q40" i="99"/>
  <c r="P40" i="99"/>
  <c r="AZ88" i="1"/>
  <c r="AZ89" i="1" s="1"/>
  <c r="AW56" i="113"/>
  <c r="H56" i="113"/>
  <c r="H88" i="1"/>
  <c r="H89" i="1" s="1"/>
  <c r="F63" i="48"/>
  <c r="D64" i="3"/>
  <c r="D14" i="3"/>
  <c r="G14" i="99"/>
  <c r="I56" i="113"/>
  <c r="G35" i="99"/>
  <c r="AB56" i="113"/>
  <c r="AO88" i="1"/>
  <c r="AO89" i="1" s="1"/>
  <c r="AO83" i="1" s="1"/>
  <c r="I88" i="1"/>
  <c r="I89" i="1" s="1"/>
  <c r="I83" i="1" s="1"/>
  <c r="AD88" i="1"/>
  <c r="AD89" i="1" s="1"/>
  <c r="AD83" i="1" s="1"/>
  <c r="BE88" i="1"/>
  <c r="BE89" i="1" s="1"/>
  <c r="BE83" i="1" s="1"/>
  <c r="AI56" i="113"/>
  <c r="AN88" i="1"/>
  <c r="AI88" i="1"/>
  <c r="AK88" i="1"/>
  <c r="D59" i="3"/>
  <c r="AA88" i="1"/>
  <c r="AN56" i="113"/>
  <c r="J29" i="99"/>
  <c r="M29" i="99" s="1"/>
  <c r="O29" i="99"/>
  <c r="AG88" i="1"/>
  <c r="D20" i="3"/>
  <c r="G22" i="99"/>
  <c r="J22" i="99" s="1"/>
  <c r="M22" i="99" s="1"/>
  <c r="V56" i="113"/>
  <c r="D27" i="3"/>
  <c r="D61" i="3"/>
  <c r="V88" i="1"/>
  <c r="G34" i="99"/>
  <c r="AA56" i="113"/>
  <c r="D32" i="3"/>
  <c r="AL56" i="113"/>
  <c r="D46" i="3"/>
  <c r="AM88" i="1"/>
  <c r="BB88" i="1"/>
  <c r="AO56" i="113"/>
  <c r="G33" i="99"/>
  <c r="J33" i="99" s="1"/>
  <c r="M33" i="99" s="1"/>
  <c r="Q33" i="99" s="1"/>
  <c r="D31" i="3"/>
  <c r="Z88" i="1"/>
  <c r="G27" i="99"/>
  <c r="D25" i="3"/>
  <c r="D15" i="3"/>
  <c r="G17" i="99"/>
  <c r="T88" i="1"/>
  <c r="O88" i="1"/>
  <c r="J88" i="1"/>
  <c r="K88" i="1"/>
  <c r="K56" i="113"/>
  <c r="D17" i="3"/>
  <c r="D42" i="3"/>
  <c r="L88" i="1"/>
  <c r="G19" i="99"/>
  <c r="D30" i="3"/>
  <c r="G21" i="99"/>
  <c r="P88" i="1"/>
  <c r="D13" i="3"/>
  <c r="AJ88" i="1"/>
  <c r="G26" i="99"/>
  <c r="D43" i="3"/>
  <c r="D24" i="3"/>
  <c r="S88" i="1"/>
  <c r="N88" i="1"/>
  <c r="D12" i="3"/>
  <c r="D21" i="3"/>
  <c r="Y88" i="1"/>
  <c r="D19" i="3"/>
  <c r="G23" i="99"/>
  <c r="G13" i="99"/>
  <c r="G32" i="99"/>
  <c r="G25" i="99"/>
  <c r="D45" i="3"/>
  <c r="D44" i="3"/>
  <c r="G24" i="99"/>
  <c r="G31" i="99"/>
  <c r="Q88" i="1"/>
  <c r="D11" i="3"/>
  <c r="R88" i="1"/>
  <c r="U88" i="1"/>
  <c r="G28" i="99"/>
  <c r="D33" i="3"/>
  <c r="D47" i="3"/>
  <c r="D23" i="3"/>
  <c r="D22" i="3"/>
  <c r="G20" i="99"/>
  <c r="J20" i="99" s="1"/>
  <c r="M20" i="99" s="1"/>
  <c r="Q20" i="99" s="1"/>
  <c r="G11" i="99"/>
  <c r="F88" i="1"/>
  <c r="F56" i="113"/>
  <c r="D16" i="3"/>
  <c r="G18" i="99"/>
  <c r="J18" i="99" s="1"/>
  <c r="M18" i="99" s="1"/>
  <c r="Q18" i="99" s="1"/>
  <c r="G88" i="1"/>
  <c r="X88" i="1"/>
  <c r="D26" i="3"/>
  <c r="D49" i="3"/>
  <c r="D18" i="3"/>
  <c r="D62" i="3"/>
  <c r="M88" i="1"/>
  <c r="D40" i="3"/>
  <c r="G12" i="99"/>
  <c r="D37" i="3"/>
  <c r="D29" i="3"/>
  <c r="BC88" i="1"/>
  <c r="BH53" i="1" l="1"/>
  <c r="BB52" i="113" s="1"/>
  <c r="G52" i="50"/>
  <c r="I52" i="117"/>
  <c r="H52" i="117" s="1"/>
  <c r="M52" i="117" s="1"/>
  <c r="F67" i="48"/>
  <c r="F70" i="48" s="1"/>
  <c r="J35" i="99"/>
  <c r="M35" i="99" s="1"/>
  <c r="O35" i="99"/>
  <c r="J14" i="99"/>
  <c r="M14" i="99" s="1"/>
  <c r="O14" i="99"/>
  <c r="R89" i="1"/>
  <c r="R83" i="1" s="1"/>
  <c r="Y89" i="1"/>
  <c r="Y83" i="1" s="1"/>
  <c r="H83" i="1"/>
  <c r="P89" i="1"/>
  <c r="P83" i="1" s="1"/>
  <c r="L89" i="1"/>
  <c r="L83" i="1" s="1"/>
  <c r="O89" i="1"/>
  <c r="O83" i="1" s="1"/>
  <c r="AG89" i="1"/>
  <c r="AG83" i="1" s="1"/>
  <c r="M89" i="1"/>
  <c r="M83" i="1" s="1"/>
  <c r="N89" i="1"/>
  <c r="N83" i="1" s="1"/>
  <c r="K89" i="1"/>
  <c r="K83" i="1" s="1"/>
  <c r="T89" i="1"/>
  <c r="T83" i="1" s="1"/>
  <c r="BB89" i="1"/>
  <c r="BB83" i="1" s="1"/>
  <c r="V89" i="1"/>
  <c r="V83" i="1" s="1"/>
  <c r="AK89" i="1"/>
  <c r="AK83" i="1" s="1"/>
  <c r="X89" i="1"/>
  <c r="X83" i="1" s="1"/>
  <c r="Q89" i="1"/>
  <c r="Q83" i="1" s="1"/>
  <c r="S89" i="1"/>
  <c r="S83" i="1" s="1"/>
  <c r="AJ89" i="1"/>
  <c r="AJ83" i="1" s="1"/>
  <c r="Z89" i="1"/>
  <c r="Z83" i="1" s="1"/>
  <c r="AM89" i="1"/>
  <c r="AM83" i="1" s="1"/>
  <c r="AZ83" i="1"/>
  <c r="AI89" i="1"/>
  <c r="AI83" i="1" s="1"/>
  <c r="BC89" i="1"/>
  <c r="BC83" i="1" s="1"/>
  <c r="G89" i="1"/>
  <c r="G83" i="1" s="1"/>
  <c r="F89" i="1"/>
  <c r="F83" i="1" s="1"/>
  <c r="U89" i="1"/>
  <c r="U83" i="1" s="1"/>
  <c r="J89" i="1"/>
  <c r="J83" i="1" s="1"/>
  <c r="AP89" i="1"/>
  <c r="AP83" i="1" s="1"/>
  <c r="AA89" i="1"/>
  <c r="AA83" i="1" s="1"/>
  <c r="AN89" i="1"/>
  <c r="AN83" i="1" s="1"/>
  <c r="P29" i="99"/>
  <c r="Q29" i="99"/>
  <c r="P22" i="99"/>
  <c r="Q22" i="99"/>
  <c r="J61" i="99"/>
  <c r="M61" i="99" s="1"/>
  <c r="O61" i="99"/>
  <c r="J50" i="99"/>
  <c r="M50" i="99" s="1"/>
  <c r="O50" i="99"/>
  <c r="J63" i="99"/>
  <c r="M63" i="99" s="1"/>
  <c r="O63" i="99"/>
  <c r="O22" i="99"/>
  <c r="J34" i="99"/>
  <c r="M34" i="99" s="1"/>
  <c r="O34" i="99"/>
  <c r="J48" i="99"/>
  <c r="M48" i="99" s="1"/>
  <c r="O48" i="99"/>
  <c r="J49" i="99"/>
  <c r="M49" i="99" s="1"/>
  <c r="J23" i="99"/>
  <c r="M23" i="99" s="1"/>
  <c r="J26" i="99"/>
  <c r="M26" i="99" s="1"/>
  <c r="J39" i="99"/>
  <c r="M39" i="99" s="1"/>
  <c r="J28" i="99"/>
  <c r="M28" i="99" s="1"/>
  <c r="J24" i="99"/>
  <c r="M24" i="99" s="1"/>
  <c r="J25" i="99"/>
  <c r="M25" i="99" s="1"/>
  <c r="J47" i="99"/>
  <c r="M47" i="99" s="1"/>
  <c r="J46" i="99"/>
  <c r="M46" i="99" s="1"/>
  <c r="J44" i="99"/>
  <c r="M44" i="99" s="1"/>
  <c r="J17" i="99"/>
  <c r="M17" i="99" s="1"/>
  <c r="J12" i="99"/>
  <c r="M12" i="99" s="1"/>
  <c r="J31" i="99"/>
  <c r="M31" i="99" s="1"/>
  <c r="J32" i="99"/>
  <c r="M32" i="99" s="1"/>
  <c r="J21" i="99"/>
  <c r="M21" i="99" s="1"/>
  <c r="J42" i="99"/>
  <c r="M42" i="99" s="1"/>
  <c r="J27" i="99"/>
  <c r="M27" i="99" s="1"/>
  <c r="J64" i="99"/>
  <c r="M64" i="99" s="1"/>
  <c r="O11" i="99"/>
  <c r="J11" i="99"/>
  <c r="M11" i="99" s="1"/>
  <c r="Q11" i="99" s="1"/>
  <c r="J13" i="99"/>
  <c r="J19" i="99"/>
  <c r="M19" i="99" s="1"/>
  <c r="J45" i="99"/>
  <c r="M45" i="99" s="1"/>
  <c r="P51" i="99"/>
  <c r="O51" i="99"/>
  <c r="P33" i="99"/>
  <c r="O33" i="99"/>
  <c r="O27" i="99"/>
  <c r="O17" i="99"/>
  <c r="O19" i="99"/>
  <c r="O44" i="99"/>
  <c r="O45" i="99"/>
  <c r="O21" i="99"/>
  <c r="O26" i="99"/>
  <c r="O13" i="99"/>
  <c r="O49" i="99"/>
  <c r="O47" i="99"/>
  <c r="O46" i="99"/>
  <c r="O32" i="99"/>
  <c r="O23" i="99"/>
  <c r="O28" i="99"/>
  <c r="O64" i="99"/>
  <c r="O42" i="99"/>
  <c r="O25" i="99"/>
  <c r="O24" i="99"/>
  <c r="O31" i="99"/>
  <c r="O39" i="99"/>
  <c r="P20" i="99"/>
  <c r="O20" i="99"/>
  <c r="O12" i="99"/>
  <c r="P18" i="99"/>
  <c r="O18" i="99"/>
  <c r="K52" i="117" l="1"/>
  <c r="AM96" i="1"/>
  <c r="M13" i="99"/>
  <c r="P14" i="99"/>
  <c r="Q14" i="99"/>
  <c r="P35" i="99"/>
  <c r="Q35" i="99"/>
  <c r="P19" i="99"/>
  <c r="Q19" i="99"/>
  <c r="P32" i="99"/>
  <c r="Q32" i="99"/>
  <c r="P25" i="99"/>
  <c r="Q25" i="99"/>
  <c r="P26" i="99"/>
  <c r="Q26" i="99"/>
  <c r="P27" i="99"/>
  <c r="Q27" i="99"/>
  <c r="P31" i="99"/>
  <c r="Q31" i="99"/>
  <c r="P46" i="99"/>
  <c r="Q46" i="99"/>
  <c r="P24" i="99"/>
  <c r="Q24" i="99"/>
  <c r="P23" i="99"/>
  <c r="Q23" i="99"/>
  <c r="P48" i="99"/>
  <c r="Q48" i="99"/>
  <c r="P63" i="99"/>
  <c r="Q63" i="99"/>
  <c r="P61" i="99"/>
  <c r="Q61" i="99"/>
  <c r="P42" i="99"/>
  <c r="Q42" i="99"/>
  <c r="P12" i="99"/>
  <c r="Q12" i="99"/>
  <c r="P47" i="99"/>
  <c r="Q47" i="99"/>
  <c r="P28" i="99"/>
  <c r="Q28" i="99"/>
  <c r="P49" i="99"/>
  <c r="Q49" i="99"/>
  <c r="P64" i="99"/>
  <c r="Q64" i="99"/>
  <c r="P44" i="99"/>
  <c r="Q44" i="99"/>
  <c r="P45" i="99"/>
  <c r="Q45" i="99"/>
  <c r="P21" i="99"/>
  <c r="Q21" i="99"/>
  <c r="P17" i="99"/>
  <c r="Q17" i="99"/>
  <c r="P39" i="99"/>
  <c r="Q39" i="99"/>
  <c r="P34" i="99"/>
  <c r="Q34" i="99"/>
  <c r="P50" i="99"/>
  <c r="Q50" i="99"/>
  <c r="P11" i="99"/>
  <c r="Q13" i="99" l="1"/>
  <c r="P13" i="99"/>
  <c r="F52" i="50"/>
  <c r="I52" i="50" l="1"/>
  <c r="BF28" i="1" l="1"/>
  <c r="BH28" i="1" l="1"/>
  <c r="BB28" i="113" s="1"/>
  <c r="AZ28" i="113"/>
  <c r="G28" i="50"/>
  <c r="F23" i="50"/>
  <c r="F28" i="50" s="1"/>
  <c r="I23" i="50"/>
  <c r="I28" i="50" s="1"/>
  <c r="E77" i="113" l="1"/>
  <c r="E62" i="113"/>
  <c r="E75" i="113"/>
  <c r="E69" i="113"/>
  <c r="E68" i="50"/>
  <c r="E63" i="113"/>
  <c r="E64" i="113"/>
  <c r="AC71" i="1"/>
  <c r="E67" i="50"/>
  <c r="BF71" i="1" l="1"/>
  <c r="AZ70" i="113" s="1"/>
  <c r="G70" i="117"/>
  <c r="F70" i="117" s="1"/>
  <c r="I70" i="117"/>
  <c r="G70" i="50"/>
  <c r="BH71" i="1"/>
  <c r="BB70" i="113" s="1"/>
  <c r="E16" i="1"/>
  <c r="E63" i="50"/>
  <c r="E69" i="50"/>
  <c r="AC64" i="1"/>
  <c r="G63" i="117" s="1"/>
  <c r="F63" i="117" s="1"/>
  <c r="E70" i="113"/>
  <c r="AC63" i="1"/>
  <c r="AC70" i="1"/>
  <c r="AC76" i="1"/>
  <c r="E68" i="113"/>
  <c r="E67" i="113"/>
  <c r="AC68" i="1"/>
  <c r="E64" i="50"/>
  <c r="AC65" i="1"/>
  <c r="AC62" i="1"/>
  <c r="G61" i="117" s="1"/>
  <c r="F61" i="117" s="1"/>
  <c r="E61" i="113"/>
  <c r="E61" i="50"/>
  <c r="E78" i="50"/>
  <c r="AC79" i="1"/>
  <c r="E78" i="113"/>
  <c r="AC61" i="1"/>
  <c r="E60" i="50"/>
  <c r="E60" i="113"/>
  <c r="E71" i="113"/>
  <c r="E71" i="50"/>
  <c r="AC72" i="1"/>
  <c r="AC69" i="1"/>
  <c r="E70" i="50"/>
  <c r="E77" i="50"/>
  <c r="E75" i="50"/>
  <c r="E62" i="50"/>
  <c r="E73" i="1"/>
  <c r="E72" i="113" s="1"/>
  <c r="AC78" i="1"/>
  <c r="H70" i="117" l="1"/>
  <c r="M70" i="117" s="1"/>
  <c r="BF79" i="1"/>
  <c r="I78" i="117" s="1"/>
  <c r="G78" i="117"/>
  <c r="F78" i="117" s="1"/>
  <c r="BF63" i="1"/>
  <c r="G62" i="50" s="1"/>
  <c r="G62" i="117"/>
  <c r="F62" i="117" s="1"/>
  <c r="BF72" i="1"/>
  <c r="AZ71" i="113" s="1"/>
  <c r="G71" i="117"/>
  <c r="F71" i="117" s="1"/>
  <c r="BF65" i="1"/>
  <c r="AZ64" i="113" s="1"/>
  <c r="G64" i="117"/>
  <c r="F64" i="117" s="1"/>
  <c r="BF69" i="1"/>
  <c r="AZ68" i="113" s="1"/>
  <c r="G68" i="117"/>
  <c r="F68" i="117" s="1"/>
  <c r="BF78" i="1"/>
  <c r="I77" i="117" s="1"/>
  <c r="G77" i="117"/>
  <c r="F77" i="117" s="1"/>
  <c r="BF61" i="1"/>
  <c r="AZ60" i="113" s="1"/>
  <c r="G60" i="117"/>
  <c r="BF76" i="1"/>
  <c r="AZ75" i="113" s="1"/>
  <c r="G75" i="117"/>
  <c r="F75" i="117" s="1"/>
  <c r="BF68" i="1"/>
  <c r="I67" i="117" s="1"/>
  <c r="G67" i="117"/>
  <c r="BF70" i="1"/>
  <c r="G69" i="50" s="1"/>
  <c r="G69" i="117"/>
  <c r="F69" i="117" s="1"/>
  <c r="AZ67" i="113"/>
  <c r="K70" i="117"/>
  <c r="I69" i="117"/>
  <c r="I64" i="117"/>
  <c r="E16" i="113"/>
  <c r="E16" i="117"/>
  <c r="BH79" i="1"/>
  <c r="BB78" i="113" s="1"/>
  <c r="BH65" i="1"/>
  <c r="BB64" i="113" s="1"/>
  <c r="BH68" i="1"/>
  <c r="BB67" i="113" s="1"/>
  <c r="BF64" i="1"/>
  <c r="BF62" i="1"/>
  <c r="AC16" i="1"/>
  <c r="E16" i="50"/>
  <c r="E17" i="50" s="1"/>
  <c r="E19" i="50" s="1"/>
  <c r="E17" i="1"/>
  <c r="E19" i="1" s="1"/>
  <c r="E72" i="50"/>
  <c r="AC73" i="1"/>
  <c r="BF73" i="1" s="1"/>
  <c r="E65" i="113"/>
  <c r="E74" i="1"/>
  <c r="AC66" i="1"/>
  <c r="E65" i="50"/>
  <c r="H78" i="117" l="1"/>
  <c r="M78" i="117" s="1"/>
  <c r="BH76" i="1"/>
  <c r="BB75" i="113" s="1"/>
  <c r="G67" i="50"/>
  <c r="BH72" i="1"/>
  <c r="BB71" i="113" s="1"/>
  <c r="G78" i="50"/>
  <c r="I71" i="117"/>
  <c r="I72" i="117" s="1"/>
  <c r="AZ78" i="113"/>
  <c r="BH69" i="1"/>
  <c r="BB68" i="113" s="1"/>
  <c r="I68" i="117"/>
  <c r="H68" i="117" s="1"/>
  <c r="M68" i="117" s="1"/>
  <c r="BH61" i="1"/>
  <c r="BB60" i="113" s="1"/>
  <c r="G68" i="50"/>
  <c r="I60" i="117"/>
  <c r="G75" i="50"/>
  <c r="I75" i="50" s="1"/>
  <c r="G64" i="50"/>
  <c r="F64" i="50" s="1"/>
  <c r="AZ69" i="113"/>
  <c r="I62" i="117"/>
  <c r="H62" i="117" s="1"/>
  <c r="M62" i="117" s="1"/>
  <c r="I75" i="117"/>
  <c r="H75" i="117" s="1"/>
  <c r="M75" i="117" s="1"/>
  <c r="BH70" i="1"/>
  <c r="BB69" i="113" s="1"/>
  <c r="BH78" i="1"/>
  <c r="BB77" i="113" s="1"/>
  <c r="BH63" i="1"/>
  <c r="BB62" i="113" s="1"/>
  <c r="H60" i="117"/>
  <c r="AZ62" i="113"/>
  <c r="AZ77" i="113"/>
  <c r="G77" i="50"/>
  <c r="I77" i="50" s="1"/>
  <c r="G60" i="50"/>
  <c r="G71" i="50"/>
  <c r="I71" i="50" s="1"/>
  <c r="H77" i="117"/>
  <c r="M77" i="117" s="1"/>
  <c r="H67" i="117"/>
  <c r="AC17" i="1"/>
  <c r="AC19" i="1" s="1"/>
  <c r="G16" i="117"/>
  <c r="G17" i="117" s="1"/>
  <c r="G19" i="117" s="1"/>
  <c r="G72" i="117"/>
  <c r="F67" i="117"/>
  <c r="F72" i="117" s="1"/>
  <c r="G65" i="117"/>
  <c r="G73" i="117" s="1"/>
  <c r="G76" i="117" s="1"/>
  <c r="G80" i="117" s="1"/>
  <c r="F60" i="117"/>
  <c r="F65" i="117" s="1"/>
  <c r="H64" i="117"/>
  <c r="M64" i="117" s="1"/>
  <c r="H69" i="117"/>
  <c r="M69" i="117" s="1"/>
  <c r="E17" i="117"/>
  <c r="E19" i="117" s="1"/>
  <c r="F16" i="117"/>
  <c r="K68" i="117"/>
  <c r="AZ61" i="113"/>
  <c r="I61" i="117"/>
  <c r="H61" i="117" s="1"/>
  <c r="M61" i="117" s="1"/>
  <c r="K64" i="117"/>
  <c r="K69" i="117"/>
  <c r="K78" i="117"/>
  <c r="K67" i="117"/>
  <c r="K77" i="117"/>
  <c r="K60" i="117"/>
  <c r="K75" i="117"/>
  <c r="AZ63" i="113"/>
  <c r="I63" i="117"/>
  <c r="H63" i="117" s="1"/>
  <c r="M63" i="117" s="1"/>
  <c r="BH73" i="1"/>
  <c r="BB72" i="113" s="1"/>
  <c r="AZ72" i="113"/>
  <c r="G61" i="50"/>
  <c r="I61" i="50" s="1"/>
  <c r="BH62" i="1"/>
  <c r="BB61" i="113" s="1"/>
  <c r="G63" i="50"/>
  <c r="BH64" i="1"/>
  <c r="BB63" i="113" s="1"/>
  <c r="F70" i="50"/>
  <c r="I70" i="50"/>
  <c r="BF16" i="1"/>
  <c r="I68" i="50"/>
  <c r="E17" i="113"/>
  <c r="E73" i="50"/>
  <c r="E76" i="50" s="1"/>
  <c r="E80" i="50" s="1"/>
  <c r="E73" i="113"/>
  <c r="E77" i="1"/>
  <c r="AC74" i="1"/>
  <c r="AC77" i="1" s="1"/>
  <c r="AC81" i="1" s="1"/>
  <c r="BF66" i="1"/>
  <c r="E19" i="113"/>
  <c r="K71" i="117" l="1"/>
  <c r="H71" i="117"/>
  <c r="M71" i="117" s="1"/>
  <c r="K62" i="117"/>
  <c r="F73" i="117"/>
  <c r="F76" i="117" s="1"/>
  <c r="F80" i="117" s="1"/>
  <c r="M67" i="117"/>
  <c r="M60" i="117"/>
  <c r="I65" i="117"/>
  <c r="I73" i="117" s="1"/>
  <c r="I76" i="117" s="1"/>
  <c r="K76" i="117" s="1"/>
  <c r="K80" i="117" s="1"/>
  <c r="F17" i="117"/>
  <c r="AZ16" i="113"/>
  <c r="I16" i="117"/>
  <c r="H16" i="117" s="1"/>
  <c r="M16" i="117" s="1"/>
  <c r="H72" i="117"/>
  <c r="M72" i="117" s="1"/>
  <c r="K63" i="117"/>
  <c r="K72" i="117"/>
  <c r="K61" i="117"/>
  <c r="H65" i="117"/>
  <c r="M65" i="117" s="1"/>
  <c r="BH66" i="1"/>
  <c r="AZ65" i="113"/>
  <c r="G16" i="50"/>
  <c r="BH16" i="1"/>
  <c r="BB16" i="113" s="1"/>
  <c r="F69" i="50"/>
  <c r="F62" i="50"/>
  <c r="F63" i="50"/>
  <c r="I63" i="50"/>
  <c r="F61" i="50"/>
  <c r="F68" i="50"/>
  <c r="I64" i="50"/>
  <c r="F71" i="50"/>
  <c r="I69" i="50"/>
  <c r="I62" i="50"/>
  <c r="I60" i="50"/>
  <c r="BF74" i="1"/>
  <c r="AZ73" i="113" s="1"/>
  <c r="E76" i="113"/>
  <c r="E81" i="1"/>
  <c r="AB93" i="1" s="1"/>
  <c r="I80" i="117" l="1"/>
  <c r="F19" i="117"/>
  <c r="K65" i="117"/>
  <c r="K73" i="117" s="1"/>
  <c r="H73" i="117"/>
  <c r="K16" i="117"/>
  <c r="H17" i="117"/>
  <c r="H19" i="117" s="1"/>
  <c r="I17" i="117"/>
  <c r="I19" i="117" s="1"/>
  <c r="BH74" i="1"/>
  <c r="BB65" i="113"/>
  <c r="F75" i="50"/>
  <c r="F78" i="50"/>
  <c r="I78" i="50"/>
  <c r="G72" i="50"/>
  <c r="I67" i="50"/>
  <c r="I72" i="50" s="1"/>
  <c r="F67" i="50"/>
  <c r="F72" i="50" s="1"/>
  <c r="G65" i="50"/>
  <c r="I65" i="50"/>
  <c r="F60" i="50"/>
  <c r="F65" i="50" s="1"/>
  <c r="BF77" i="1"/>
  <c r="E80" i="113"/>
  <c r="E10" i="3"/>
  <c r="H10" i="99"/>
  <c r="H15" i="99" s="1"/>
  <c r="H76" i="117" l="1"/>
  <c r="M73" i="117"/>
  <c r="M17" i="117"/>
  <c r="M19" i="117"/>
  <c r="BF81" i="1"/>
  <c r="AZ76" i="113"/>
  <c r="BH77" i="1"/>
  <c r="BB73" i="113"/>
  <c r="I73" i="50"/>
  <c r="G73" i="50"/>
  <c r="G76" i="50" s="1"/>
  <c r="I76" i="50" s="1"/>
  <c r="G17" i="50"/>
  <c r="G19" i="50" s="1"/>
  <c r="K10" i="99"/>
  <c r="F73" i="50"/>
  <c r="F76" i="50" s="1"/>
  <c r="E11" i="48"/>
  <c r="E35" i="3"/>
  <c r="H80" i="117" l="1"/>
  <c r="M80" i="117" s="1"/>
  <c r="M76" i="117"/>
  <c r="BB76" i="113"/>
  <c r="BH81" i="1"/>
  <c r="BB80" i="113" s="1"/>
  <c r="E12" i="51"/>
  <c r="AZ80" i="113"/>
  <c r="I11" i="48"/>
  <c r="I63" i="48" s="1"/>
  <c r="E59" i="48"/>
  <c r="E63" i="48" s="1"/>
  <c r="G63" i="48" s="1"/>
  <c r="E65" i="3"/>
  <c r="N10" i="99"/>
  <c r="N15" i="99" s="1"/>
  <c r="N37" i="99" s="1"/>
  <c r="N66" i="99" s="1"/>
  <c r="K15" i="99"/>
  <c r="K37" i="99" s="1"/>
  <c r="K66" i="99" s="1"/>
  <c r="I16" i="50"/>
  <c r="F16" i="50"/>
  <c r="F17" i="50" s="1"/>
  <c r="F19" i="50" s="1"/>
  <c r="H37" i="99"/>
  <c r="H66" i="99" s="1"/>
  <c r="G11" i="48"/>
  <c r="G59" i="48" s="1"/>
  <c r="E69" i="3" l="1"/>
  <c r="K59" i="48"/>
  <c r="E67" i="48"/>
  <c r="E70" i="48" l="1"/>
  <c r="E16" i="51"/>
  <c r="G67" i="48"/>
  <c r="I70" i="48" l="1"/>
  <c r="W52" i="1"/>
  <c r="F77" i="50"/>
  <c r="F80" i="50" s="1"/>
  <c r="I80" i="50"/>
  <c r="G80" i="50"/>
  <c r="G70" i="48"/>
  <c r="K70" i="48" l="1"/>
  <c r="W51" i="113"/>
  <c r="AC52" i="1"/>
  <c r="W57" i="1"/>
  <c r="W56" i="113" l="1"/>
  <c r="BF52" i="1"/>
  <c r="I51" i="117" s="1"/>
  <c r="G51" i="117"/>
  <c r="G30" i="99"/>
  <c r="J30" i="99" s="1"/>
  <c r="M30" i="99" s="1"/>
  <c r="Q30" i="99" s="1"/>
  <c r="D28" i="3"/>
  <c r="W88" i="1"/>
  <c r="AZ51" i="113" l="1"/>
  <c r="F51" i="117"/>
  <c r="H51" i="117"/>
  <c r="W89" i="1"/>
  <c r="W83" i="1" s="1"/>
  <c r="O30" i="99"/>
  <c r="M51" i="117" l="1"/>
  <c r="P30" i="99"/>
  <c r="AP17" i="113" l="1"/>
  <c r="BF17" i="1"/>
  <c r="BH17" i="1" l="1"/>
  <c r="BB17" i="113" s="1"/>
  <c r="AZ17" i="113"/>
  <c r="BF19" i="1"/>
  <c r="AP19" i="113"/>
  <c r="BH19" i="1" l="1"/>
  <c r="BB19" i="113" s="1"/>
  <c r="AZ19" i="113"/>
  <c r="AP48" i="113"/>
  <c r="AP51" i="113" l="1"/>
  <c r="G51" i="50"/>
  <c r="F51" i="50" l="1"/>
  <c r="E31" i="1"/>
  <c r="E31" i="117" s="1"/>
  <c r="E32" i="1" l="1"/>
  <c r="AC31" i="1"/>
  <c r="G31" i="117" s="1"/>
  <c r="E31" i="113"/>
  <c r="E31" i="50"/>
  <c r="F31" i="117" l="1"/>
  <c r="AC32" i="1"/>
  <c r="G32" i="117" s="1"/>
  <c r="G34" i="117" s="1"/>
  <c r="G46" i="117" s="1"/>
  <c r="G48" i="117" s="1"/>
  <c r="G56" i="117" s="1"/>
  <c r="G81" i="117" s="1"/>
  <c r="E32" i="117"/>
  <c r="E35" i="1"/>
  <c r="E47" i="1" s="1"/>
  <c r="E32" i="113"/>
  <c r="E32" i="50"/>
  <c r="E34" i="50" s="1"/>
  <c r="E46" i="50" s="1"/>
  <c r="E48" i="50" s="1"/>
  <c r="E56" i="50" s="1"/>
  <c r="E81" i="50" s="1"/>
  <c r="BF31" i="1"/>
  <c r="AC35" i="1" l="1"/>
  <c r="BF32" i="1"/>
  <c r="AZ32" i="113" s="1"/>
  <c r="E34" i="117"/>
  <c r="E46" i="117" s="1"/>
  <c r="E48" i="117" s="1"/>
  <c r="E56" i="117" s="1"/>
  <c r="E81" i="117" s="1"/>
  <c r="F32" i="117"/>
  <c r="AZ31" i="113"/>
  <c r="I31" i="117"/>
  <c r="H31" i="117" s="1"/>
  <c r="M31" i="117" s="1"/>
  <c r="I32" i="117"/>
  <c r="H32" i="117" s="1"/>
  <c r="G31" i="50"/>
  <c r="BH31" i="1"/>
  <c r="BB31" i="113" s="1"/>
  <c r="BH32" i="1"/>
  <c r="BB32" i="113" s="1"/>
  <c r="E34" i="113"/>
  <c r="F26" i="51"/>
  <c r="F28" i="51" s="1"/>
  <c r="E46" i="113"/>
  <c r="E49" i="1"/>
  <c r="BF35" i="1"/>
  <c r="AC47" i="1"/>
  <c r="BF47" i="1" s="1"/>
  <c r="G32" i="50" l="1"/>
  <c r="F32" i="50" s="1"/>
  <c r="M32" i="117"/>
  <c r="F34" i="117"/>
  <c r="I34" i="117"/>
  <c r="I46" i="117" s="1"/>
  <c r="I48" i="117" s="1"/>
  <c r="K31" i="117"/>
  <c r="K32" i="117"/>
  <c r="AZ46" i="113"/>
  <c r="BH35" i="1"/>
  <c r="BB34" i="113" s="1"/>
  <c r="AZ34" i="113"/>
  <c r="I32" i="50"/>
  <c r="AC49" i="1"/>
  <c r="E48" i="113"/>
  <c r="E57" i="1"/>
  <c r="E82" i="1" s="1"/>
  <c r="F46" i="117" l="1"/>
  <c r="H34" i="117"/>
  <c r="H46" i="117" s="1"/>
  <c r="H48" i="117" s="1"/>
  <c r="D10" i="3"/>
  <c r="E56" i="113"/>
  <c r="E88" i="1"/>
  <c r="E89" i="1" s="1"/>
  <c r="E83" i="1" s="1"/>
  <c r="G10" i="99"/>
  <c r="G15" i="99" s="1"/>
  <c r="AC57" i="1"/>
  <c r="BF49" i="1"/>
  <c r="F48" i="117" l="1"/>
  <c r="M46" i="117"/>
  <c r="M34" i="117"/>
  <c r="AZ48" i="113"/>
  <c r="I31" i="50"/>
  <c r="G34" i="50"/>
  <c r="G46" i="50" s="1"/>
  <c r="G48" i="50" s="1"/>
  <c r="F31" i="50"/>
  <c r="F34" i="50" s="1"/>
  <c r="F46" i="50" s="1"/>
  <c r="F48" i="50" s="1"/>
  <c r="D35" i="3"/>
  <c r="F10" i="3"/>
  <c r="AC88" i="1"/>
  <c r="O10" i="99"/>
  <c r="J10" i="99"/>
  <c r="J15" i="99" s="1"/>
  <c r="F56" i="117" l="1"/>
  <c r="M48" i="117"/>
  <c r="AC89" i="1"/>
  <c r="AC83" i="1" s="1"/>
  <c r="F35" i="3"/>
  <c r="G37" i="99"/>
  <c r="O15" i="99"/>
  <c r="J37" i="99"/>
  <c r="M10" i="99"/>
  <c r="Q10" i="99" l="1"/>
  <c r="M15" i="99"/>
  <c r="M37" i="99" s="1"/>
  <c r="O37" i="99"/>
  <c r="P10" i="99"/>
  <c r="BF55" i="1" l="1"/>
  <c r="AQ57" i="1"/>
  <c r="AP54" i="113"/>
  <c r="AZ54" i="113" l="1"/>
  <c r="I54" i="117"/>
  <c r="H54" i="117" s="1"/>
  <c r="M54" i="117" s="1"/>
  <c r="AQ88" i="1"/>
  <c r="AQ89" i="1" s="1"/>
  <c r="AQ83" i="1" s="1"/>
  <c r="G52" i="99"/>
  <c r="G54" i="50"/>
  <c r="F54" i="50" s="1"/>
  <c r="F56" i="50" s="1"/>
  <c r="BH55" i="1"/>
  <c r="BB54" i="113" s="1"/>
  <c r="BF57" i="1"/>
  <c r="D50" i="3"/>
  <c r="D65" i="3" s="1"/>
  <c r="AP56" i="113"/>
  <c r="K54" i="117" l="1"/>
  <c r="H56" i="117"/>
  <c r="M56" i="117" s="1"/>
  <c r="I56" i="117"/>
  <c r="I81" i="117" s="1"/>
  <c r="BF96" i="1"/>
  <c r="AV96" i="1"/>
  <c r="I54" i="50"/>
  <c r="G56" i="50"/>
  <c r="G81" i="50" s="1"/>
  <c r="AZ56" i="113"/>
  <c r="F65" i="3"/>
  <c r="O52" i="99"/>
  <c r="J52" i="99"/>
  <c r="G66" i="99"/>
  <c r="E18" i="51"/>
  <c r="E20" i="51" s="1"/>
  <c r="E24" i="51" s="1"/>
  <c r="BF88" i="1"/>
  <c r="BF89" i="1" s="1"/>
  <c r="BF83" i="1" s="1"/>
  <c r="E32" i="51" l="1"/>
  <c r="G24" i="51"/>
  <c r="J9" i="52"/>
  <c r="J14" i="117" s="1"/>
  <c r="N130" i="99"/>
  <c r="E28" i="51"/>
  <c r="M52" i="99"/>
  <c r="J66" i="99"/>
  <c r="J17" i="117" l="1"/>
  <c r="J19" i="117" s="1"/>
  <c r="K14" i="117"/>
  <c r="K17" i="117" s="1"/>
  <c r="K19" i="117" s="1"/>
  <c r="BL47" i="1"/>
  <c r="BG44" i="1" s="1"/>
  <c r="M66" i="99"/>
  <c r="N67" i="99" s="1"/>
  <c r="N69" i="99" s="1"/>
  <c r="N71" i="99" s="1"/>
  <c r="P52" i="99"/>
  <c r="P66" i="99" s="1"/>
  <c r="Q52" i="99"/>
  <c r="J14" i="52"/>
  <c r="H14" i="50"/>
  <c r="J12" i="52"/>
  <c r="J36" i="117" s="1"/>
  <c r="K36" i="117" s="1"/>
  <c r="J16" i="52"/>
  <c r="H41" i="50" l="1"/>
  <c r="H45" i="50" s="1"/>
  <c r="J41" i="117"/>
  <c r="H33" i="50"/>
  <c r="H34" i="50" s="1"/>
  <c r="J33" i="117"/>
  <c r="BA43" i="113"/>
  <c r="BG46" i="1"/>
  <c r="BH44" i="1"/>
  <c r="BB43" i="113" s="1"/>
  <c r="H36" i="50"/>
  <c r="I36" i="50" s="1"/>
  <c r="J18" i="52"/>
  <c r="J20" i="52" s="1"/>
  <c r="I14" i="50"/>
  <c r="I17" i="50" s="1"/>
  <c r="I19" i="50" s="1"/>
  <c r="H17" i="50"/>
  <c r="H19" i="50" s="1"/>
  <c r="Q130" i="99"/>
  <c r="R71" i="99"/>
  <c r="I33" i="50" l="1"/>
  <c r="I34" i="50" s="1"/>
  <c r="I41" i="50"/>
  <c r="I45" i="50" s="1"/>
  <c r="J45" i="117"/>
  <c r="K41" i="117"/>
  <c r="K45" i="117" s="1"/>
  <c r="J34" i="117"/>
  <c r="K33" i="117"/>
  <c r="K34" i="117" s="1"/>
  <c r="BA45" i="113"/>
  <c r="BG47" i="1"/>
  <c r="BH46" i="1"/>
  <c r="BB45" i="113" s="1"/>
  <c r="H46" i="50"/>
  <c r="H48" i="50" s="1"/>
  <c r="J22" i="52"/>
  <c r="I46" i="50" l="1"/>
  <c r="I48" i="50" s="1"/>
  <c r="J46" i="117"/>
  <c r="J48" i="117" s="1"/>
  <c r="K46" i="117"/>
  <c r="K48" i="117" s="1"/>
  <c r="H51" i="50"/>
  <c r="I51" i="50" s="1"/>
  <c r="J51" i="117"/>
  <c r="K51" i="117" s="1"/>
  <c r="BG49" i="1"/>
  <c r="BA46" i="113"/>
  <c r="BH47" i="1"/>
  <c r="BB46" i="113" s="1"/>
  <c r="J24" i="52"/>
  <c r="J26" i="52" s="1"/>
  <c r="J28" i="52" s="1"/>
  <c r="I56" i="50" l="1"/>
  <c r="I81" i="50" s="1"/>
  <c r="K56" i="117"/>
  <c r="K81" i="117" s="1"/>
  <c r="J56" i="117"/>
  <c r="H56" i="50"/>
  <c r="BA48" i="113"/>
  <c r="BG52" i="1"/>
  <c r="BG57" i="1" s="1"/>
  <c r="BH49" i="1"/>
  <c r="BB48" i="113" s="1"/>
  <c r="BA51" i="113" l="1"/>
  <c r="BH52" i="1"/>
  <c r="BB51" i="113" s="1"/>
  <c r="D68" i="3"/>
  <c r="D69" i="3" s="1"/>
  <c r="F69" i="3" s="1"/>
  <c r="BA56" i="113"/>
  <c r="BG88" i="1"/>
  <c r="BG89" i="1" s="1"/>
  <c r="BG83" i="1" s="1"/>
  <c r="BH57" i="1"/>
  <c r="BH88" i="1" l="1"/>
  <c r="BH89" i="1" s="1"/>
  <c r="BH83" i="1" s="1"/>
  <c r="BB56" i="113"/>
  <c r="G32" i="51"/>
  <c r="G2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E30" authorId="0" shapeId="0" xr:uid="{00000000-0006-0000-0100-000001000000}">
      <text>
        <r>
          <rPr>
            <b/>
            <sz val="9"/>
            <color indexed="81"/>
            <rFont val="Tahoma"/>
            <family val="2"/>
          </rPr>
          <t>Joe Miller:</t>
        </r>
        <r>
          <rPr>
            <sz val="9"/>
            <color indexed="81"/>
            <rFont val="Tahoma"/>
            <family val="2"/>
          </rPr>
          <t xml:space="preserve">
From Miller 6/30/2020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D16" authorId="0" shapeId="0" xr:uid="{E6017C79-6313-47E9-B846-B537BD233CB2}">
      <text>
        <r>
          <rPr>
            <b/>
            <sz val="9"/>
            <color indexed="81"/>
            <rFont val="Tahoma"/>
            <family val="2"/>
          </rPr>
          <t>Andrews, Liz:</t>
        </r>
        <r>
          <rPr>
            <sz val="9"/>
            <color indexed="81"/>
            <rFont val="Tahoma"/>
            <family val="2"/>
          </rPr>
          <t xml:space="preserve">
Includes EIM Benefits of $3.4 million system, $2.323 million WA per Exh. EMA-6T, pg 34.  This reflects $5.8 million system in effect for seven months from "Go-Live date March 1, 2022 through effectvie period September 30, 2022.   ($5.8M/12*7*.6564 WA share). this was agreed to as part of Settlement.</t>
        </r>
      </text>
    </comment>
    <comment ref="AX23" authorId="0" shapeId="0" xr:uid="{00000000-0006-0000-0400-000001000000}">
      <text>
        <r>
          <rPr>
            <b/>
            <sz val="9"/>
            <color indexed="81"/>
            <rFont val="Tahoma"/>
            <family val="2"/>
          </rPr>
          <t>Andrews, Liz:</t>
        </r>
        <r>
          <rPr>
            <sz val="9"/>
            <color indexed="81"/>
            <rFont val="Tahoma"/>
            <family val="2"/>
          </rPr>
          <t xml:space="preserve">
Operating expenses include incremental labor $1,085k,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<sst xmlns="http://schemas.openxmlformats.org/spreadsheetml/2006/main" count="1699" uniqueCount="985">
  <si>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</si>
  <si>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</si>
  <si>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</si>
  <si>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</si>
  <si>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</si>
  <si>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</si>
  <si>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</si>
  <si>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</si>
  <si>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</si>
  <si>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</si>
  <si>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</si>
  <si>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</si>
  <si>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</si>
  <si>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</si>
  <si>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</si>
  <si>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</si>
  <si>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</si>
  <si>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</si>
  <si>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</si>
  <si>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</si>
  <si>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</si>
  <si>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</si>
  <si>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</si>
  <si>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</si>
  <si>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</si>
  <si>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</si>
  <si>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</si>
  <si>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</si>
  <si>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</si>
  <si>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</si>
  <si>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</si>
  <si>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</si>
  <si>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</si>
  <si>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</si>
  <si>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</si>
  <si>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</si>
  <si>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</si>
  <si>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</si>
  <si>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</si>
  <si>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</si>
  <si>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</si>
  <si>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</si>
  <si>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</si>
  <si>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</si>
  <si>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</si>
  <si>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</si>
  <si>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</si>
  <si>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</si>
  <si>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</si>
  <si>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</si>
  <si>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</si>
  <si>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</si>
  <si>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</si>
  <si>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</si>
  <si>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</si>
  <si>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</si>
  <si>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</si>
  <si>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</si>
  <si>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</si>
  <si>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</si>
  <si>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</si>
  <si>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</si>
  <si>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</si>
  <si>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</si>
  <si>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</si>
  <si>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</si>
  <si>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</si>
  <si>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</si>
  <si>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</si>
  <si>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</si>
  <si>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</si>
  <si>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</si>
  <si>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</si>
  <si>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</si>
  <si>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</si>
  <si>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</si>
  <si>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</si>
  <si>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</si>
  <si>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</si>
  <si>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</si>
  <si>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</si>
  <si>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</si>
  <si>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</si>
  <si>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</si>
  <si>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</si>
  <si>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</si>
  <si>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</si>
  <si>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</si>
  <si>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</si>
  <si>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</si>
  <si>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</si>
  <si>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</si>
  <si>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</si>
  <si>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</si>
  <si>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</si>
  <si>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</si>
  <si>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</si>
  <si>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</si>
  <si>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</si>
  <si>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</si>
  <si>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</si>
  <si>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</si>
  <si>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</si>
  <si>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</si>
  <si>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</si>
  <si>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</si>
  <si>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</si>
  <si>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</si>
  <si>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</si>
  <si>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</si>
  <si>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</si>
  <si>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</si>
  <si>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</si>
  <si>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</si>
  <si>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</si>
  <si>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</si>
  <si>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</si>
  <si>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</si>
  <si>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</si>
  <si>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</si>
  <si>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</si>
  <si>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</si>
  <si>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</si>
  <si>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</si>
  <si>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</si>
  <si>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</si>
  <si>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</si>
  <si>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</si>
  <si>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</si>
  <si>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</si>
  <si>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</si>
  <si>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</si>
  <si>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</si>
  <si>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</si>
  <si>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</si>
  <si>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</si>
  <si>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</si>
  <si>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</si>
  <si>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</si>
  <si>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</si>
  <si>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</si>
  <si>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</si>
  <si>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</si>
  <si>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</si>
  <si>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</si>
  <si>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</si>
  <si>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</si>
  <si>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</si>
  <si>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</si>
  <si>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</si>
  <si>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</si>
  <si>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</si>
  <si>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</si>
  <si>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</si>
  <si>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</si>
  <si>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</si>
  <si>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</si>
  <si>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</si>
  <si>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</si>
  <si>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</si>
  <si>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</si>
  <si>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</si>
  <si>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</si>
  <si>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</si>
  <si>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</si>
  <si>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</si>
  <si>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</si>
  <si>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</si>
  <si>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</si>
  <si>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</si>
  <si>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</si>
  <si>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</si>
  <si>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</si>
  <si>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</si>
  <si>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</si>
  <si>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</si>
  <si>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</si>
  <si>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</si>
  <si>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</si>
  <si>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</si>
  <si>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</si>
  <si>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</si>
  <si>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</si>
  <si>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</si>
  <si>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</si>
  <si>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</si>
  <si>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</si>
  <si>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</si>
  <si>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</si>
  <si>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</si>
  <si>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</si>
  <si>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</si>
  <si>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</si>
  <si>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</si>
  <si>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</si>
  <si>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</si>
  <si>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</si>
  <si>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</si>
  <si>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</si>
  <si>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</si>
  <si>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</si>
  <si>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</si>
  <si>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</si>
  <si>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</si>
  <si>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</si>
  <si>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</si>
  <si>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</si>
  <si>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</si>
  <si>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</si>
  <si>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</si>
  <si>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</si>
  <si>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</si>
  <si>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</si>
  <si>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</si>
  <si>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</si>
  <si>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</si>
  <si>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</si>
  <si>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</si>
  <si>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</si>
  <si>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</si>
  <si>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</si>
  <si>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</si>
  <si>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</si>
  <si>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</si>
  <si>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</si>
  <si>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</si>
  <si>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</si>
  <si>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</si>
  <si>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</si>
  <si>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</si>
  <si>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</si>
  <si>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</si>
  <si>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</si>
  <si>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</si>
  <si>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</si>
  <si>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</si>
  <si>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</si>
  <si>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</si>
  <si>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</si>
  <si>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</si>
  <si>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</si>
  <si>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</si>
  <si>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</si>
  <si>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</si>
  <si>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</si>
  <si>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</si>
  <si>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</si>
  <si>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</si>
  <si>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</si>
  <si>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</si>
  <si>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</si>
  <si>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</si>
  <si>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</si>
  <si>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</si>
  <si>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</si>
  <si>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</si>
  <si>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</si>
  <si>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</si>
  <si>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</si>
  <si>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</si>
  <si>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</si>
  <si>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</si>
  <si>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</si>
  <si>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</si>
  <si>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</si>
  <si>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</si>
  <si>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</si>
  <si>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</si>
  <si>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</si>
  <si>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</si>
  <si>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</si>
  <si>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</si>
  <si>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</si>
  <si>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</si>
  <si>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</si>
  <si>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</si>
  <si>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</si>
  <si>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</si>
  <si>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</si>
  <si>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</si>
  <si>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</si>
  <si>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</si>
  <si>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</si>
  <si>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</si>
  <si>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</si>
  <si>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</si>
  <si>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</si>
  <si>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</si>
  <si>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</si>
  <si>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</si>
  <si>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</si>
  <si>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</si>
  <si>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</si>
  <si>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</si>
  <si>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</si>
  <si>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</si>
  <si>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</si>
  <si>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</si>
  <si>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</si>
  <si>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</si>
  <si>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</si>
  <si>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</si>
  <si>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</si>
  <si>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</si>
  <si>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</si>
  <si>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</si>
  <si>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</si>
  <si>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</si>
  <si>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</si>
  <si>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</si>
  <si>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</si>
  <si>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</si>
  <si>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</si>
  <si>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</si>
  <si>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</si>
  <si>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</si>
  <si>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</si>
  <si>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</si>
  <si>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</si>
  <si>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</si>
  <si>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</si>
  <si>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</si>
  <si>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</si>
  <si>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</si>
  <si>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</si>
  <si>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</si>
  <si>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</si>
  <si>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</si>
  <si>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</si>
  <si>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</si>
  <si>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</si>
  <si>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</si>
  <si>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</si>
  <si>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</si>
  <si>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</si>
  <si>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</si>
  <si>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</si>
  <si>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</si>
  <si>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</si>
  <si>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</si>
  <si>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</si>
  <si>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</si>
  <si>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</si>
  <si>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</si>
  <si>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</si>
  <si>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</si>
  <si>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</si>
  <si>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</si>
  <si>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</si>
  <si>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</si>
  <si>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</si>
  <si>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</si>
  <si>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</si>
  <si>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</si>
  <si>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</si>
  <si>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</si>
  <si>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</si>
  <si>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</si>
  <si>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</si>
  <si>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</si>
  <si>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</si>
  <si>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</si>
  <si>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</si>
  <si>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</si>
  <si>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</si>
  <si>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</si>
  <si>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</si>
  <si>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</si>
  <si>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</si>
  <si>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</si>
  <si>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</si>
  <si>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</si>
  <si>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</si>
  <si>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</si>
  <si>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</si>
  <si>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</si>
  <si>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</si>
  <si>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</si>
  <si>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</si>
  <si>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</si>
  <si>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</si>
  <si>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</si>
  <si>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</si>
  <si>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</si>
  <si>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</si>
  <si>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</si>
  <si>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</si>
  <si>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</si>
  <si>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</si>
  <si>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</si>
  <si>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</si>
  <si>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</si>
  <si>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</si>
  <si>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</si>
  <si>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</si>
  <si>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</si>
  <si>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</si>
  <si>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</si>
  <si>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</si>
  <si>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</si>
  <si>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</si>
  <si>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</si>
  <si>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</si>
  <si>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</si>
  <si>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</si>
  <si>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</si>
  <si>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</si>
  <si>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</si>
  <si>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</si>
  <si>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</si>
  <si>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</si>
  <si>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</si>
  <si>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</si>
  <si>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</si>
  <si>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</si>
  <si>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</si>
  <si>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</si>
  <si>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</si>
  <si>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</si>
  <si>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</si>
  <si>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</si>
  <si>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</si>
  <si>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</si>
  <si>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</si>
  <si>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</si>
  <si>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</si>
  <si>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</si>
  <si>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</si>
  <si>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</si>
  <si>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</si>
  <si>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</si>
  <si>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</si>
  <si>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</si>
  <si>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</si>
  <si>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</si>
  <si>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</si>
  <si>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</si>
  <si>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</si>
  <si>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</si>
  <si>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</si>
  <si>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</si>
  <si>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</si>
  <si>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</si>
  <si>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</si>
  <si>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</si>
  <si>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</si>
  <si>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</si>
  <si>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</si>
  <si>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</si>
  <si>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</si>
  <si>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</si>
  <si>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</si>
  <si>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</si>
  <si>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</si>
  <si>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</si>
  <si>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</si>
  <si>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</si>
  <si>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</si>
  <si>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</si>
  <si>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</si>
  <si>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</si>
  <si>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</si>
  <si>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</si>
  <si>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</si>
  <si>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</si>
  <si>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</si>
  <si>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</si>
  <si>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</si>
  <si>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</si>
  <si>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</si>
  <si>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</si>
  <si>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</si>
  <si>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</si>
  <si>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</si>
  <si>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</si>
  <si>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</si>
  <si>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</si>
  <si>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</si>
  <si>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</si>
  <si>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</si>
  <si>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</si>
  <si>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</si>
  <si>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</si>
  <si>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</si>
  <si>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</si>
  <si>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</si>
  <si>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</si>
  <si>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</si>
  <si>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</si>
  <si>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</si>
  <si>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</si>
  <si>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</si>
  <si>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</si>
  <si>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</si>
  <si>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</si>
  <si>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</si>
  <si>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</si>
  <si>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</si>
  <si>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</si>
  <si>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</si>
  <si>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</si>
  <si>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</si>
  <si>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</si>
  <si>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</si>
  <si>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</si>
  <si>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</si>
  <si>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</si>
  <si>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</si>
  <si>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</si>
  <si>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</si>
  <si>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</si>
  <si>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</si>
  <si>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</si>
  <si>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</si>
  <si>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</si>
  <si>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</si>
  <si>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</si>
  <si>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</si>
  <si>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</si>
  <si>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</si>
  <si>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</si>
  <si>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</si>
  <si>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</si>
  <si>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</si>
  <si>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</si>
  <si>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</si>
  <si>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</si>
  <si>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</si>
  <si>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</si>
  <si>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</si>
  <si>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</si>
  <si>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</si>
  <si>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</si>
  <si>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</si>
  <si>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</si>
  <si>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</si>
  <si>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</si>
  <si>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</si>
  <si>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</si>
  <si>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</si>
  <si>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</si>
  <si>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</si>
  <si>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</si>
  <si>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</si>
  <si>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</si>
  <si>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</si>
  <si>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</si>
  <si>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</si>
  <si>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</si>
  <si>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</si>
  <si>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</si>
  <si>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</si>
  <si>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</si>
  <si>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</si>
  <si>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</si>
  <si>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</si>
  <si>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</si>
  <si>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</si>
  <si>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</si>
  <si>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</si>
  <si>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</si>
  <si>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</si>
  <si>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</si>
  <si>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</si>
  <si>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</si>
  <si>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</si>
  <si>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</si>
  <si>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</si>
  <si>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</si>
  <si>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</si>
  <si>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</si>
  <si>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</si>
  <si>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</si>
  <si>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</si>
  <si>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</si>
  <si>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</si>
  <si>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</si>
  <si>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</si>
  <si>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</si>
  <si>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</si>
  <si>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</si>
  <si>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</si>
  <si>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</si>
  <si>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</si>
  <si>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</si>
  <si>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</si>
  <si>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</si>
  <si>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</si>
  <si>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</si>
  <si>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</si>
  <si>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</si>
  <si>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</si>
  <si>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</si>
  <si>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</si>
  <si>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</si>
  <si>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</si>
  <si>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</si>
  <si>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</si>
  <si>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</si>
  <si>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</si>
  <si>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</si>
  <si>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</si>
  <si>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</si>
  <si>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</si>
  <si>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</si>
  <si>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</si>
  <si>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</si>
  <si>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</si>
  <si>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</si>
  <si>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</si>
  <si>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</si>
  <si>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</si>
  <si>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</si>
  <si>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</si>
  <si>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</si>
  <si>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</si>
  <si>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</si>
  <si>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</si>
  <si>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</si>
  <si>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</si>
  <si>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</si>
  <si>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</si>
  <si>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</si>
  <si>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</si>
  <si>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</si>
  <si>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</si>
  <si>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</si>
  <si>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</si>
  <si>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</si>
  <si>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</si>
  <si>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</si>
  <si>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</si>
  <si>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</si>
  <si>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</si>
  <si>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</si>
  <si>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</si>
  <si>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</si>
  <si>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</si>
  <si>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</si>
  <si>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</si>
  <si>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</si>
  <si>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</si>
  <si>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</si>
  <si>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</si>
  <si>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</si>
  <si>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PRO FORMA ADJUSTMENTS</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</si>
  <si>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</si>
  <si>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</si>
  <si>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</si>
  <si>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</si>
  <si>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</si>
  <si>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</si>
  <si>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</si>
  <si>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</si>
  <si>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</si>
  <si>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</si>
  <si>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</si>
  <si>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</si>
  <si>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</si>
  <si>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</si>
  <si>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</si>
  <si>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</si>
  <si>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</si>
  <si>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</si>
  <si>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</si>
  <si>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</si>
  <si>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</si>
  <si>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</si>
  <si>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</si>
  <si>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</si>
  <si>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</si>
  <si>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</si>
  <si>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</si>
  <si>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</si>
  <si>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</si>
  <si>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</si>
  <si>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</si>
  <si>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</si>
  <si>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</si>
  <si>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Requested</t>
  </si>
  <si>
    <t xml:space="preserve">WASHINGTON ELECTRIC RESULTS </t>
  </si>
  <si>
    <t>Sum Impact</t>
  </si>
  <si>
    <t>AMA Rate</t>
  </si>
  <si>
    <t>Base to EOP</t>
  </si>
  <si>
    <t xml:space="preserve">  Federal Income Tax @ 21%</t>
  </si>
  <si>
    <t>CALCULATION OF REQUESTED GENERAL REVENUE REQUIREMENT</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</si>
  <si>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</si>
  <si>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</si>
  <si>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</si>
  <si>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</si>
  <si>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</si>
  <si>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</si>
  <si>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</si>
  <si>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</si>
  <si>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</si>
  <si>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</si>
  <si>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</si>
  <si>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</si>
  <si>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</si>
  <si>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</si>
  <si>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</si>
  <si>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</si>
  <si>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</si>
  <si>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</si>
  <si>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</si>
  <si>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</si>
  <si>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</si>
  <si>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</si>
  <si>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</si>
  <si>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</si>
  <si>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</si>
  <si>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</si>
  <si>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</si>
  <si>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</si>
  <si>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 xml:space="preserve">     Pro Forma Study </t>
  </si>
  <si>
    <t>E-PFEE</t>
  </si>
  <si>
    <t>E-PINS</t>
  </si>
  <si>
    <t>Joel/Tara</t>
  </si>
  <si>
    <t>Liz</t>
  </si>
  <si>
    <t>Impact of ROE reduced to 9.5%/ROR/COD</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</si>
  <si>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</si>
  <si>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</si>
  <si>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</si>
  <si>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</si>
  <si>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</si>
  <si>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</si>
  <si>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</si>
  <si>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</si>
  <si>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</si>
  <si>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</si>
  <si>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</si>
  <si>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</si>
  <si>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</si>
  <si>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</si>
  <si>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</si>
  <si>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</si>
  <si>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</si>
  <si>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</si>
  <si>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</si>
  <si>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</si>
  <si>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</si>
  <si>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WITH 09.2021 PROPOSED RATES</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</si>
  <si>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</si>
  <si>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</si>
  <si>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</si>
  <si>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</si>
  <si>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</si>
  <si>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</si>
  <si>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</si>
  <si>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</si>
  <si>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</si>
  <si>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</si>
  <si>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</si>
  <si>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</si>
  <si>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</si>
  <si>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</si>
  <si>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</si>
  <si>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</si>
  <si>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</si>
  <si>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</si>
  <si>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</si>
  <si>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</si>
  <si>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</si>
  <si>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</si>
  <si>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</si>
  <si>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</si>
  <si>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</si>
  <si>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</si>
  <si>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</si>
  <si>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</si>
  <si>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</si>
  <si>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</si>
  <si>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</si>
  <si>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</si>
  <si>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</si>
  <si>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</si>
  <si>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</si>
  <si>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</si>
  <si>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Tax Return</t>
  </si>
  <si>
    <t>2019</t>
  </si>
  <si>
    <t>E-Tax</t>
  </si>
  <si>
    <t>Strategic</t>
  </si>
  <si>
    <t>Tax DFIT</t>
  </si>
  <si>
    <t>Tariff</t>
  </si>
  <si>
    <t>Net Total</t>
  </si>
  <si>
    <t>After Tariff</t>
  </si>
  <si>
    <t>Net Billed</t>
  </si>
  <si>
    <t>Base</t>
  </si>
  <si>
    <t>Billed</t>
  </si>
  <si>
    <t>TARIFF</t>
  </si>
  <si>
    <t>Filed 2019</t>
  </si>
  <si>
    <t>4.00T</t>
  </si>
  <si>
    <t>INFORMATIONAL</t>
  </si>
  <si>
    <t>ONLY</t>
  </si>
  <si>
    <t>INFORMATIONAL ONLY</t>
  </si>
  <si>
    <t>After Tariff #  Strategic Tax Return</t>
  </si>
  <si>
    <t>Plan</t>
  </si>
  <si>
    <t>Expenditures</t>
  </si>
  <si>
    <t>#76</t>
  </si>
  <si>
    <t>Overall Bill Impact</t>
  </si>
  <si>
    <t>Tariff Schedule 76</t>
  </si>
  <si>
    <t>Debt int grossed-up</t>
  </si>
  <si>
    <t>Rev req on RB</t>
  </si>
  <si>
    <t>Net Rev. Req on RB</t>
  </si>
  <si>
    <t>Net Rev Req  on plant</t>
  </si>
  <si>
    <t>Rev related items</t>
  </si>
  <si>
    <t>Rev Req Needed</t>
  </si>
  <si>
    <t>GRC</t>
  </si>
  <si>
    <t>Actual Net Rate Base excluding AMI and ADFIT adj</t>
  </si>
  <si>
    <t>COC</t>
  </si>
  <si>
    <t>2020 Capital</t>
  </si>
  <si>
    <t>Staff-125</t>
  </si>
  <si>
    <t>Pro Forma Revenue Normalization</t>
  </si>
  <si>
    <t>Staff-059 Supplemental</t>
  </si>
  <si>
    <t>Staff-039</t>
  </si>
  <si>
    <t>Staff 156</t>
  </si>
  <si>
    <t>Staff-038 Supplemental</t>
  </si>
  <si>
    <t>Staff-016 Supplemental PC-315</t>
  </si>
  <si>
    <t>Staff-044 Supplemental</t>
  </si>
  <si>
    <t>Staff-049 Supplemental</t>
  </si>
  <si>
    <t>Staff-107 Supplemental 3</t>
  </si>
  <si>
    <t>Reflects</t>
  </si>
  <si>
    <t>Provisional</t>
  </si>
  <si>
    <t>E-PEIMp</t>
  </si>
  <si>
    <t>E-PCOLp</t>
  </si>
  <si>
    <t>Results</t>
  </si>
  <si>
    <t>Pro Forma 10.2021</t>
  </si>
  <si>
    <t>1</t>
  </si>
  <si>
    <t>2</t>
  </si>
  <si>
    <t xml:space="preserve">Restate </t>
  </si>
  <si>
    <t>Informational</t>
  </si>
  <si>
    <t>Total (2)</t>
  </si>
  <si>
    <t>Exhibit 5 File Name</t>
  </si>
  <si>
    <t>Exhibit 11 File Name</t>
  </si>
  <si>
    <t>Actual vs Pro Forma</t>
  </si>
  <si>
    <t>(Matches Original column C)</t>
  </si>
  <si>
    <t>Staff-107 Supplemental 3 
and BR1c</t>
  </si>
  <si>
    <t>3.18PF</t>
  </si>
  <si>
    <t>3.19PF</t>
  </si>
  <si>
    <t>3.18PV</t>
  </si>
  <si>
    <t>3.19PV</t>
  </si>
  <si>
    <t>Results of Operations</t>
  </si>
  <si>
    <t>Deferred FIT Rate Base</t>
  </si>
  <si>
    <t>Deferred Debits and Credits</t>
  </si>
  <si>
    <t>Remove AMI Rate Base</t>
  </si>
  <si>
    <t>Eliminate B &amp; O Taxes</t>
  </si>
  <si>
    <t>Restate Property Tax</t>
  </si>
  <si>
    <t>Uncollect. Expense</t>
  </si>
  <si>
    <t>Regulatory Expense</t>
  </si>
  <si>
    <t>FIT/DFIT/ ITC Expense</t>
  </si>
  <si>
    <t>Office Space Charges to Non-Utility</t>
  </si>
  <si>
    <t>Restate Excise Taxes</t>
  </si>
  <si>
    <t>Net Gains &amp; Losses</t>
  </si>
  <si>
    <t>Weather Normalization</t>
  </si>
  <si>
    <t>Eliminate Adder Schedules</t>
  </si>
  <si>
    <t>Misc. Restating Non-Util / Non- Recurring Expenses</t>
  </si>
  <si>
    <t>Restating Incentives</t>
  </si>
  <si>
    <t>Eliminate WA Power Cost Defer</t>
  </si>
  <si>
    <t>Nez Perce Settlement Adjustment</t>
  </si>
  <si>
    <t>Normalize CS2/Colstrip Major Maint</t>
  </si>
  <si>
    <t>Authorized Power Supply</t>
  </si>
  <si>
    <t>Restate 2019 AMA Rate Base to EOP</t>
  </si>
  <si>
    <t>Pro Forma Power Supply</t>
  </si>
  <si>
    <t>Pro Forma Transmission Revenue/Expense</t>
  </si>
  <si>
    <t>Pro Forma Def. Debits, Credits &amp; Regulatory Amorts</t>
  </si>
  <si>
    <t>Pro Forma ARAM DFIT</t>
  </si>
  <si>
    <t>Pro Forma Labor Non-Exec</t>
  </si>
  <si>
    <t>Pro Forma Labor Exec</t>
  </si>
  <si>
    <t>Pro Forma Employee Benefits</t>
  </si>
  <si>
    <t>Pro Forma Insurance Expense</t>
  </si>
  <si>
    <t>Pro Forma IS/IT Expense</t>
  </si>
  <si>
    <t>Pro Forma Property Tax</t>
  </si>
  <si>
    <t>Pro Forma Fee Free Amortization</t>
  </si>
  <si>
    <t>Pro Forma 2020 Customer At Center</t>
  </si>
  <si>
    <t>Pro Forma 2020 Large &amp; Distinct</t>
  </si>
  <si>
    <t>Pro Forma 2020 Programmatic</t>
  </si>
  <si>
    <t>Pro Forma 2020 Mandatory &amp; Compliance</t>
  </si>
  <si>
    <t>Pro Forma 2020 Short Lived</t>
  </si>
  <si>
    <t>Pro Forma AMI Capital</t>
  </si>
  <si>
    <t>Pro Forma WildFire Plan</t>
  </si>
  <si>
    <t>Pro Forma EIM Expenditures</t>
  </si>
  <si>
    <t>Pro Forma Colstrip Cap &amp; Amortization</t>
  </si>
  <si>
    <t>PF Normalize CS2/Colstrip Major Maint</t>
  </si>
  <si>
    <t>Restate 2019 ADFIT</t>
  </si>
  <si>
    <t>Strategic Tax DFIT Tariff</t>
  </si>
  <si>
    <t>Linked to Tab</t>
  </si>
  <si>
    <t>ROO INPUT</t>
  </si>
  <si>
    <t>X</t>
  </si>
  <si>
    <t>DEBT CALC</t>
  </si>
  <si>
    <t>200900-200901-Andrews (WA 2020) ERM Elimination 12.31.19 - Final</t>
  </si>
  <si>
    <t>200900-200901-Andrews (WA2020) Incentive Adjustment</t>
  </si>
  <si>
    <t xml:space="preserve">On rebuttal, the Company provided as Exh. EMA-11 all supporting files for rebuttal adjustments electronically labeled with each Restating and Pro Forma Adjustment (see Column A). Most adjustments have 1 file per adjustment.  The Company labeled each file with the prefix "200900-200901-AVA-Exh-EMA-11" and Adjustment number. </t>
  </si>
  <si>
    <t>200900-901-AVA-Exh-EMA-11-2.04 Reg Fees Staff-DR-059-Supplemental Att B</t>
  </si>
  <si>
    <t>200900-901-AVA-Exh-EMA-11-2.19 a) Restate 2019 AMA RB -Staff-DR-039 Sup - Att B
200900-901-AVA-Exh-EMA-11-2.19 b) Restate 2019 AMA RB -Staff-DR-039-Attachment A</t>
  </si>
  <si>
    <t>200900-901-AVA-Exh-EMA-11-3.00 (b)-3.01 Revenue Normalization -P.S. - Staff-DR-156-Attachment B</t>
  </si>
  <si>
    <t>200900-901-AVA-Exh-EMA-11-3.03 PF ARAM - Staff-DR-038-Supplemental-Attachment-A</t>
  </si>
  <si>
    <t>200900-901-AVA-Exh-EMA-11-3.06 PF Benefits - PC-DR-315 Attachment A</t>
  </si>
  <si>
    <t>200900-901-AVA-Exh-EMA-11-3.07 PF Insurance - Staff-DR-044 Supplemental - Attachment A</t>
  </si>
  <si>
    <t>200900-901-AVA-Exh-EMA-11-3.09 a) PF Property Tax- Staff-DR-049-Supplemental-Attachment A
200900-901-AVA-Exh-EMA-11-3.09 b) PF Property Tax- Staff-DR-049-Supplemental-Attachment B</t>
  </si>
  <si>
    <t>200900-901-AVA-Exh-EMA-11-3.11 PF 2020 Capital Customer - Staff-DR-107 Supplemental 1 - 3.11 Attachment A
200900-901-AVA-Exh-EMA-11-3.11-3.15 PF 2020 Capital Summary - Staff-DR-107 Supplemental -Attachment B</t>
  </si>
  <si>
    <t>200900-901-AVA-Exh-EMA-11-3.12 PF 2020 Capital Large - Staff-DR-107 Supplemental 1 - Attachment A</t>
  </si>
  <si>
    <t>200900-901-AVA-Exh-EMA-11-3.13 PF 2020 Capital Programmatic -Staff-DR-107 Supplemental 1 - Attachment A</t>
  </si>
  <si>
    <t>200900-901-AVA-Exh-EMA-11-3.14 PF 2020 Capital Mandatroy Staff-DR-107 Supplemental 1 - Attachment A</t>
  </si>
  <si>
    <t>200900-901-AVA-Exh-EMA-11-3.15 PF 2020 Capital Short-Lived -Staff-DR-107 Supplemental 1 - Attachment A</t>
  </si>
  <si>
    <t>200900-901-AVA-Exh-EMA-11-3.16 a) PF 2020 Capital AMI-Staff-DR-107 Supplemental 3 - Attachment A
200900-901-AVA-Exh-EMA-11-3.16 b) PF 2020 Capital AMI - Staff-DR-107 Supplemental 2 - Attachment B
200900-901-AVA-Exh-EMA-11-3.16 c) PF 2020 Capital AMI - Staff-DR-107 Supplemental 2 - Attachment C</t>
  </si>
  <si>
    <t>200900-901-AVA-Exh-EMA-11-3.20 PF Normalize CS2-Colstrip - Staff-DR-125 Attachment B</t>
  </si>
  <si>
    <t>Flow Through</t>
  </si>
  <si>
    <t>Updated</t>
  </si>
  <si>
    <t>200900-200901-Andrews ConvFactor-12.31.2019-Final</t>
  </si>
  <si>
    <t>200900-200901-Andrews 0) 3.11-3.15 Pro Forma 2020 Capital Additions Summary
200900-200901-Andrews 1) 3.11 Customer at the Center Pro Forma 2020 Capital Additions</t>
  </si>
  <si>
    <t>200900-200901-Andrews 1) 12.2019 inj-dam adj</t>
  </si>
  <si>
    <t>200900-200901-Andrews 1) 12.2019 Property Tax-restating</t>
  </si>
  <si>
    <t>200900-200901-Andrews 1) 2019 - WA - Excise Tax</t>
  </si>
  <si>
    <t>200900-200901-Andrews 1) Flow-through Taxes PF</t>
  </si>
  <si>
    <t>N/A - Informational Only</t>
  </si>
  <si>
    <t>200900-200901-Andrews 1)12.2019 WA CBR - Office Space Charged to Non-Utility</t>
  </si>
  <si>
    <t>Allocations</t>
  </si>
  <si>
    <t>200900-200901-Andrews 1)AMI ADJ-2019 CBR</t>
  </si>
  <si>
    <t>200900-200901-Andrews 1)CS2andColstrip Major Maintenance-2019</t>
  </si>
  <si>
    <t>200900-200901-Andrews 1)WA Eliminate Adder Schedule 2019</t>
  </si>
  <si>
    <t>200900-200901-Andrews 2) 3.12 Large Distinct Projects Pro Forma 2020 Capital Additions</t>
  </si>
  <si>
    <t>200900-200901-Andrews 1) 12.2019 Property Tax-PF-10.1.2021
200900-200901-Andrews 2) 2020.08.20 - Property Tax Forecast - updated WA</t>
  </si>
  <si>
    <t>200900-200901-Andrews 1) PF ARAM DFIT Adj
200900-200901-Andrews 2) ARAM Allocation</t>
  </si>
  <si>
    <t>200900-200901-Andrews 1) Wildfire-Plant Adj
200900-200901-Andrews 2) OandM Wildfire - updated 08.28.2020</t>
  </si>
  <si>
    <t>200900-200901-Andrews 1) PF 3.07 PF IS Adj 2019
200900-200901-Andrews 2) PF 3.07 PF IS</t>
  </si>
  <si>
    <t>200900-200901-Andrews 1) 12.2019 Insurance Pro Forma adjustment
200900-200901-Andrews 2) PF3.07 Projected Rate on Line Analysis for 12.31.20 Renewal</t>
  </si>
  <si>
    <t>200900-200901-Andrews 1)12.2019 Uncollectible Exp Adj-Final
200900-200901-Andrews 2)2019 Uncollectible Accounts</t>
  </si>
  <si>
    <t>200900-200901-Andrews 1)WA Colstrip Accounting
200900-200901-Andrews 2)Colstrip PF Capital-2020-2022</t>
  </si>
  <si>
    <t>200900-200901-Andrews 2.14 Debt Interest  E</t>
  </si>
  <si>
    <t>200900-200901-Andrews 3) 3.13 Programs Pro Forma 2020 Capital Additions</t>
  </si>
  <si>
    <t>200900-200901-Andrews 1)ADFIT-12.2019 AMA-WA CBR - 1.01
200900-200901-Andrews 2)CDA Legal Costs Amort
200900-200901-Andrews 3)ADFIT-12.2019 EOP</t>
  </si>
  <si>
    <t>200900-200901-Andrews 1)ADFIT-12.2019 Adjust for Repairs-IDD5-Meters
200900-200901-Andrews 2)2019 Plant DFIT RTA Adj - DRAFT 09.29.2020
200900-200901-Andrews 3)Tax Credits Flow-Through - Allocated by Jur MK-JP 09.30.2020</t>
  </si>
  <si>
    <t>200900-200901-Andrews 3.04 2019 Non-Executive Labor Adjustment (2020 WA GRC)</t>
  </si>
  <si>
    <t>200900-200901-Andrews 3.05 FLB Forecast Labor Executive (2020 WA GRC)</t>
  </si>
  <si>
    <t>200900-200901-Andrews 3.06 2019 Benefit Adjustment (2020 WA GRC)</t>
  </si>
  <si>
    <t>200900-200901-Andrews 4) 3.14 Mandatory and Compliance Pro Forma 2020 Capital Additions</t>
  </si>
  <si>
    <t>200900-200901-Andrews 1) E-FIT 2019 Electric Adj
200900-200901-Andrews 3) Reconcile 2019 SCH Ms to DFIT Expense
200900-200901-Andrews 4) 2019 ITC AMORT</t>
  </si>
  <si>
    <t xml:space="preserve">200900-200901-Andrews 1) 12.2019 Misc Restate-WA
200900-200901-Andrews 2) 12.2019 WA GRC - Misc Restating - BOD
200900-200901-Andrews 3) 12.2019 WA GRC - Misc Restating - Non-Utility Removals
</t>
  </si>
  <si>
    <t>200900-200901-Andrews 1) AMI Capital and Regulatory Asset
200900-200901-Andrews 2) AMI-Plant and AFUDC Detail
200900-200901-Andrews 3) AMI Report Benefits Workbook
200900-200901-Andrews 4) AMI Knock Rule Cost Workpaper</t>
  </si>
  <si>
    <t>200900-200901-Andrews 1) EIM-PF ADJ
200900-200901-Andrews 2) Labor Exp - Confidential  EIM HR Plan Financials
200900-200901-Andrews 3) EIM - IT expense
200900-200901-Andrews 4) EIM CAISO-Utilicast-non-labor</t>
  </si>
  <si>
    <t>200900-200901-Andrews 5) 3.15 Short-Lived Assets Pro Forma 2020 Capital Additions</t>
  </si>
  <si>
    <t>UPDATED</t>
  </si>
  <si>
    <t>Un-
contested</t>
  </si>
  <si>
    <t>200900-200901-Andrews 4) 12.2019 WA GRC - Misc Restating - Reclass
200900-200901-Andrews 5a) 12.2019 WA GRC - Misc Restating - LTIP
200900-200901-Andrews 5b) FERC 920 LTIP Transactions</t>
  </si>
  <si>
    <t>200900-200901-Andrews 6a) 12.2019 WA GRC - Misc Restating - Plane Reclass
200900-200901-Andrews 6b) Plane and Hangar Rate Base-2019
200900-200901-Andrews 7) 12.2019 WA GRC - Misc Restating - DandO Insurance</t>
  </si>
  <si>
    <t>200900-200901-Andrews 8) 12.2019 WA Earnings Sharing Prior Period Adj</t>
  </si>
  <si>
    <t>200900-200901-Andrews 1) CB - 2019.12 WA Regulatory Debits and Credits
200900-200901-Andrews 2) CB - 2019.12 ColstripAdjs
200900-200901-Andrews 3) CB - 2019.12 WA KettleFalls
200900-200901-Andrews 4) CB - 2019.12 Settlement Exch-WNP3 Adj
200900-200901-Andrews 5) CB - 2019.12 CDA Settle-Past Stor Defs
200900-200901-Andrews 6) CB - 2019.12 CDA Settle-CDR Fund Defs
200900-200901-Andrews 7) CB - 2019.12 Spok Relicense Deferral
200900-200901-Andrews 8) CB - 2019.12 Spok Relicense PME Defer
200900-200901-Andrews 9) CB - 2019.12 MT Trust Fund Settlement
200900-200901-Andrews 10) CB - 2019.12 Customer Advances
200900-200901-Andrews 11) CB - 2019.12 Customer Deposits</t>
  </si>
  <si>
    <t>200900-200901-Andrews 12.2019 Fee Free Deferral and Amort</t>
  </si>
  <si>
    <t>200900-200901-Andrews 12.2019 WAID Elec Weather Adj Calc</t>
  </si>
  <si>
    <t>200900-200901-Andrews 12A-2019.12-Avista Electric Pull
200900-200901-Andrews 12E-2019.12-Avista Electric Pull</t>
  </si>
  <si>
    <t>200900-200901-Andrews 12A-2019.12-Working Capital-PULL
200900-200901-Description of Wells and Mizuho-final
200900-200901-WellsandMizuho- Calculate Interest-Bearing Amount-2019</t>
  </si>
  <si>
    <t>200900-200901-Andrews 2019 - Eliminate B-O Tax</t>
  </si>
  <si>
    <t>200900-200901-Andrews 1)2019 WA CBR - NET GAINS AND LOSSES
200900-200901-Andrews Copy of FERC 421 - gains 2019</t>
  </si>
  <si>
    <t>200900-200901-Andrews CBR-12.2019 Power Supply WA Adj Workbook</t>
  </si>
  <si>
    <t>200900-200901-Andrews GRC-12.2019 Power Supply WA Pro-Forma Final 10.12.20</t>
  </si>
  <si>
    <t>200900-200901-Andrews 1) 2.19-E - 2.15-G Restate 2019 AMA Rate Base to EOP Adj
200900-200901-Andrews 2) Adjust Dep Exp from AMA to EOP 12.2019
200900-200901-Andrews 3)ADFIT-12.2019 EOP - KJS WP
200900-200901-Andrews Capital Investment Revenue Requirement - Gantry Crane 2020 10 21 - correction</t>
  </si>
  <si>
    <t>200900-200901-Andrews PF 3.20 CS2-Colstrip Majr Maint</t>
  </si>
  <si>
    <t>200900-200901-Andrews Regulatory Fees FERC 928-2019</t>
  </si>
  <si>
    <t>200900-200901-Andrews PF 3.00T Adjustment
200900-200901-Andrews Transmission Revenue 2019 - GRC Adjustments for 2021</t>
  </si>
  <si>
    <t>200900-200901-Andrews Nez Perce Settlement-2019</t>
  </si>
  <si>
    <t>200900-200901-Andrews WA Elec Rev Norm Adj
200900-200901-Andrews WA Electric Revenue - 6.17.20</t>
  </si>
  <si>
    <t>A</t>
  </si>
  <si>
    <r>
      <t>With the Company's original filing it provided as</t>
    </r>
    <r>
      <rPr>
        <b/>
        <u/>
        <sz val="10"/>
        <rFont val="Times New Roman"/>
        <family val="1"/>
      </rPr>
      <t xml:space="preserve"> Exh. EMA-5 all supporting files electronically</t>
    </r>
    <r>
      <rPr>
        <b/>
        <sz val="10"/>
        <rFont val="Times New Roman"/>
        <family val="1"/>
      </rPr>
      <t xml:space="preserve"> in seperate folders labeled with each Restating and Pro Forma Adjustment (see Column A).   In each folder were the support files for each adjustment. 
To upload to the WUTC website, the Records Center removed the individual files from the labeled folders, added the prefix "200900-200901-Andrews" then posted to the WUTC cite, losing the folder references. </t>
    </r>
  </si>
  <si>
    <t>Updated Adjustment on Rebuttal supporting files provided as Exh. EMA-11, copies of DR responses provided as Exh. EMA-10.</t>
  </si>
  <si>
    <t>Exh. EMA-11</t>
  </si>
  <si>
    <t>Updated Adjustment on Rebuttal supporting files provided as Exh. EMA-11. See tab "Adj Cites to Exh. EMA-5 &amp; EMA-11"</t>
  </si>
  <si>
    <t>All Direct filed adjustment supporting files were provided as Exh. EMA-5 -see tab "Adj Cites to Exh. EMA-5 &amp; EMA-11"</t>
  </si>
  <si>
    <t>```</t>
  </si>
  <si>
    <t>INFORMATION
AL ONLY</t>
  </si>
  <si>
    <t>200900-200901-Andrews 1) PF - 2019 WA Regulatory Debits and Credits
200900-200901-Andrews 4) PF - 2019.12 Settlement Exch-WNP3 Adj
200900-200901-Andrews 5) PF - 2019.12 CDA Settle-Past Stor Defs
200900-200901-Andrews 6) PF - 2019.12 CDA Settle-CDR Fund Defs
200900-200901-Andrews 7) PF - 2019.12 Spok Relicense Deferral
200900-200901-Andrews 8) PF - 2019.12 Spok Relicense PME Defer
200900-200901-Andrews 9) PF - 2019.12 MT Trust Fund Settlement
200900-200901-Andrews 10) PF - 2019.12 Customer Advances
200900-200901-Andrews 11) PF - 2019.12 Customer Deposits
200900-200901-Andrews 12) PF - 2019.12 WA AFUDC</t>
  </si>
  <si>
    <t>EIM Benefits Agreed to per Settlement</t>
  </si>
  <si>
    <t>Added per BR</t>
  </si>
  <si>
    <t>3.17PF</t>
  </si>
  <si>
    <t>3.17PV</t>
  </si>
  <si>
    <t>E-WFp</t>
  </si>
  <si>
    <t>Provisional WildFire Plan</t>
  </si>
  <si>
    <t>Bench Request 1 - Attachment D - 3.18 PV 2020 Capital EIM Staff-DR-107 Supplemental 1 - Attachment A-Provisional ADJ</t>
  </si>
  <si>
    <t xml:space="preserve">200900-901-AVA-Exh-EMA-11-3.18 PF 2020 Capital EIM Staff-DR-107 Supplemental 1 - Attachment A
Bench Request 1 - Attachment C - 3.18 PF 2020 Capital EIM Staff-DR-107 Supplemental 1 - Attachment A-PF ADJ
</t>
  </si>
  <si>
    <t>200900-901-AVA-Exh-EMA-11-3.19 a) PF 2020 Capital Colstrip - Staff-DR-107 Supplemental 2 -Attachment A-Revised
200900-901-AVA-Exh-EMA-11-3.19 b) PF 2020 Capital Colstrip - Staff-DR-107 Supplemental 2 - Attachment B-Revised
200900-901-AVA-Exh-EMA-11-3.19 c) PF 2020 Capital Colstrip - Staff-DR-107 Supplemental 2 - Attachment C-Revised
200900-901-AVA-Exh-EMA-11-3.19 d) PF 2020 Capital Colstrip - Staff-DR-107 Supplemental 2 - Attachment D-Revised
Bench Request 1 - Attachment E - 3.19 a) PF 2020 Capital Colstrip - Staff-DR-107 Supplemental 2 -Attachment A-Revised
Bench Request 1 - Attachment F - 3.19 b) PF 2020 Colstrip Capital Staff-DR-107 Supplemental 2 - Attachment B-Revised-PF ADJ</t>
  </si>
  <si>
    <t>Bench Request 1 - Attachment G - 3.19 b) PV 2020 Colstrip Capital Staff-DR-107 Supplemental 2 - Attachment B-Revised-Provisional ADJ</t>
  </si>
  <si>
    <t>Bench Request 1 - Attachment I 3.17 PV 2020 Capital Wildfire - Staff-DR-107 Supplemental 1 - Attachment A-Provisional ADJ</t>
  </si>
  <si>
    <t>200900-901-AVA-Exh-EMA-11-3.17 PF 2020 Capital Wildfire - Staff-DR-107 Supplemental 1 - Attachment A
Bench Request 1 - Attachment H 3.17 PF 2020 Capital Wildfire - Staff-DR-107 Supplemental 1 - Attachment A-PF ADJ</t>
  </si>
  <si>
    <t xml:space="preserve">Bench Request 2
Agreed to per Settlement 
Update PS and Trans with 60-Day Update on or before 08.01.2021
</t>
  </si>
  <si>
    <t>Bench Request 2 Agreed to per 
Settlement 
Fee Free as Filed</t>
  </si>
  <si>
    <r>
      <rPr>
        <b/>
        <u val="singleAccounting"/>
        <sz val="8"/>
        <rFont val="Times New Roman"/>
        <family val="1"/>
      </rPr>
      <t>Bench Request 2 
Agreed to per Settlement</t>
    </r>
    <r>
      <rPr>
        <b/>
        <sz val="8"/>
        <rFont val="Times New Roman"/>
        <family val="1"/>
      </rPr>
      <t xml:space="preserve">
EIM Capital and Expense in Base Rates (originally in 1 Adj)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</si>
</sst>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s>
  <fonts count="76">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FF0000"/>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9"/>
      <color theme="1"/>
      <name val="Times New Roman"/>
      <family val="1"/>
    </font>
    <font>
      <b/>
      <sz val="8"/>
      <color theme="1"/>
      <name val="Times New Roman"/>
      <family val="1"/>
    </font>
    <font>
      <b/>
      <sz val="8"/>
      <color rgb="FFFF0000"/>
      <name val="Times New Roman"/>
      <family val="1"/>
    </font>
    <font>
      <u/>
      <sz val="10"/>
      <color rgb="FFFF0000"/>
      <name val="Times New Roman"/>
      <family val="1"/>
    </font>
    <font>
      <b/>
      <u/>
      <sz val="9"/>
      <color theme="1"/>
      <name val="Times New Roman"/>
      <family val="1"/>
    </font>
    <font>
      <b/>
      <sz val="8"/>
      <name val="Times New Roman"/>
      <family val="1"/>
    </font>
    <font>
      <b/>
      <u val="singleAccounting"/>
      <sz val="9"/>
      <name val="Times New Roman"/>
      <family val="1"/>
    </font>
    <font>
      <sz val="12"/>
      <name val="Arial"/>
      <family val="2"/>
    </font>
    <font>
      <b/>
      <u/>
      <sz val="12"/>
      <name val="Times New Roman"/>
      <family val="1"/>
    </font>
    <font>
      <sz val="9"/>
      <color theme="1"/>
      <name val="Calibri"/>
      <family val="2"/>
      <scheme val="minor"/>
    </font>
    <font>
      <b/>
      <u val="singleAccounting"/>
      <sz val="8"/>
      <name val="Times New Roman"/>
      <family val="1"/>
    </font>
  </fonts>
  <fills count="14">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DFED2"/>
        <bgColor indexed="64"/>
      </patternFill>
    </fill>
    <fill>
      <patternFill patternType="solid">
        <fgColor rgb="FF92D050"/>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5" fillId="0" borderId="0"/>
    <xf numFmtId="0" fontId="38" fillId="5" borderId="0"/>
    <xf numFmtId="43" fontId="4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1043">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5" fontId="9" fillId="0" borderId="0" xfId="1"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20" fillId="0" borderId="10" xfId="0" applyFont="1" applyBorder="1"/>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72"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6" borderId="0" xfId="0" applyNumberFormat="1" applyFont="1" applyFill="1"/>
    <xf numFmtId="3" fontId="39" fillId="6" borderId="0" xfId="0" applyNumberFormat="1" applyFont="1" applyFill="1"/>
    <xf numFmtId="0" fontId="39" fillId="6"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6"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1" fillId="7"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43"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176" fontId="9" fillId="0" borderId="0" xfId="2" applyNumberFormat="1" applyFont="1" applyFill="1" applyBorder="1"/>
    <xf numFmtId="6" fontId="9" fillId="0" borderId="16" xfId="2" applyNumberFormat="1" applyFont="1" applyFill="1" applyBorder="1"/>
    <xf numFmtId="0" fontId="17"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3" fontId="46" fillId="0" borderId="0" xfId="6" applyNumberFormat="1" applyFont="1" applyFill="1"/>
    <xf numFmtId="0" fontId="42" fillId="0" borderId="0" xfId="0" applyFont="1" applyAlignment="1">
      <alignment horizontal="center"/>
    </xf>
    <xf numFmtId="0" fontId="47" fillId="0" borderId="0" xfId="0" applyFont="1" applyAlignment="1">
      <alignment horizontal="center"/>
    </xf>
    <xf numFmtId="167" fontId="9" fillId="0" borderId="0" xfId="0" applyNumberFormat="1" applyFont="1"/>
    <xf numFmtId="169" fontId="5" fillId="0" borderId="0" xfId="1" applyNumberFormat="1" applyFont="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9"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50" fillId="0" borderId="0" xfId="0" applyFont="1" applyFill="1"/>
    <xf numFmtId="3" fontId="50" fillId="6" borderId="0" xfId="0" applyNumberFormat="1" applyFont="1" applyFill="1"/>
    <xf numFmtId="174" fontId="50" fillId="6" borderId="0" xfId="0" applyNumberFormat="1" applyFont="1" applyFill="1"/>
    <xf numFmtId="174" fontId="50" fillId="0" borderId="0" xfId="0" applyNumberFormat="1" applyFont="1"/>
    <xf numFmtId="174" fontId="50"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2" fontId="20" fillId="0" borderId="22" xfId="0" applyNumberFormat="1" applyFont="1" applyFill="1" applyBorder="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20"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41" fillId="7" borderId="0" xfId="1" applyNumberFormat="1" applyFont="1" applyFill="1"/>
    <xf numFmtId="5" fontId="9" fillId="0" borderId="0" xfId="2" applyNumberFormat="1" applyFont="1" applyFill="1"/>
    <xf numFmtId="2" fontId="9" fillId="0" borderId="0" xfId="0" applyNumberFormat="1" applyFont="1" applyFill="1" applyAlignment="1">
      <alignment horizontal="left"/>
    </xf>
    <xf numFmtId="0" fontId="53" fillId="6" borderId="19" xfId="0" applyFont="1" applyFill="1" applyBorder="1" applyAlignment="1">
      <alignment horizontal="left"/>
    </xf>
    <xf numFmtId="0" fontId="53" fillId="6" borderId="20" xfId="0" applyFont="1" applyFill="1" applyBorder="1" applyAlignment="1">
      <alignment horizontal="center"/>
    </xf>
    <xf numFmtId="0" fontId="53" fillId="6" borderId="21" xfId="0" applyFont="1" applyFill="1" applyBorder="1" applyAlignment="1">
      <alignment horizontal="center"/>
    </xf>
    <xf numFmtId="37" fontId="35" fillId="6" borderId="22" xfId="12" applyNumberFormat="1" applyFont="1" applyFill="1" applyBorder="1"/>
    <xf numFmtId="37" fontId="35" fillId="6" borderId="0" xfId="12" applyNumberFormat="1" applyFont="1" applyFill="1" applyBorder="1"/>
    <xf numFmtId="37" fontId="54" fillId="6" borderId="0" xfId="12" applyNumberFormat="1" applyFont="1" applyFill="1" applyBorder="1"/>
    <xf numFmtId="0" fontId="35" fillId="6" borderId="0" xfId="0" applyFont="1" applyFill="1" applyBorder="1"/>
    <xf numFmtId="0" fontId="53" fillId="6" borderId="10" xfId="0" applyFont="1" applyFill="1" applyBorder="1" applyAlignment="1">
      <alignment horizontal="center"/>
    </xf>
    <xf numFmtId="0" fontId="53" fillId="6" borderId="37" xfId="0" applyFont="1" applyFill="1" applyBorder="1" applyAlignment="1">
      <alignment horizontal="center"/>
    </xf>
    <xf numFmtId="37" fontId="35" fillId="6" borderId="23" xfId="12" applyNumberFormat="1" applyFont="1" applyFill="1" applyBorder="1"/>
    <xf numFmtId="165" fontId="35" fillId="6" borderId="0" xfId="14" applyNumberFormat="1" applyFont="1" applyFill="1" applyBorder="1"/>
    <xf numFmtId="10" fontId="35" fillId="6" borderId="0" xfId="14" applyNumberFormat="1" applyFont="1" applyFill="1" applyBorder="1"/>
    <xf numFmtId="10" fontId="35" fillId="6" borderId="23" xfId="14" applyNumberFormat="1" applyFont="1" applyFill="1" applyBorder="1"/>
    <xf numFmtId="168" fontId="35" fillId="6" borderId="0" xfId="14" applyNumberFormat="1" applyFont="1" applyFill="1" applyBorder="1"/>
    <xf numFmtId="168" fontId="54" fillId="6" borderId="0" xfId="14" applyNumberFormat="1" applyFont="1" applyFill="1" applyBorder="1"/>
    <xf numFmtId="10" fontId="35" fillId="6" borderId="16" xfId="14" applyNumberFormat="1" applyFont="1" applyFill="1" applyBorder="1"/>
    <xf numFmtId="10" fontId="35" fillId="6" borderId="38" xfId="14" applyNumberFormat="1" applyFont="1" applyFill="1" applyBorder="1"/>
    <xf numFmtId="37" fontId="35" fillId="6" borderId="24" xfId="12" applyNumberFormat="1" applyFont="1" applyFill="1" applyBorder="1"/>
    <xf numFmtId="0" fontId="35" fillId="6" borderId="25" xfId="0" applyFont="1" applyFill="1" applyBorder="1"/>
    <xf numFmtId="10" fontId="35" fillId="6" borderId="25" xfId="14" applyNumberFormat="1" applyFont="1" applyFill="1" applyBorder="1"/>
    <xf numFmtId="10" fontId="54" fillId="6" borderId="25" xfId="14" applyNumberFormat="1" applyFont="1" applyFill="1" applyBorder="1"/>
    <xf numFmtId="10" fontId="35" fillId="6" borderId="26"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50"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right"/>
    </xf>
    <xf numFmtId="0" fontId="5" fillId="0" borderId="0" xfId="12" applyNumberFormat="1" applyFont="1" applyAlignment="1">
      <alignment horizontal="left"/>
    </xf>
    <xf numFmtId="41" fontId="6" fillId="9"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9"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35" fillId="0" borderId="0" xfId="14" applyNumberFormat="1" applyFont="1" applyFill="1" applyBorder="1"/>
    <xf numFmtId="0" fontId="9" fillId="0" borderId="0" xfId="0" applyFont="1" applyFill="1" applyAlignment="1">
      <alignment horizontal="right"/>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5" fontId="19" fillId="0" borderId="0" xfId="0" applyNumberFormat="1" applyFont="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9" borderId="39" xfId="14" applyNumberFormat="1" applyFont="1" applyFill="1" applyBorder="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7" fillId="0" borderId="0" xfId="0" applyNumberFormat="1" applyFont="1" applyFill="1"/>
    <xf numFmtId="167" fontId="17" fillId="0" borderId="0" xfId="0" applyNumberFormat="1" applyFont="1" applyFill="1" applyBorder="1"/>
    <xf numFmtId="167" fontId="9" fillId="0" borderId="0" xfId="0" applyNumberFormat="1" applyFont="1" applyFill="1"/>
    <xf numFmtId="10" fontId="27" fillId="0" borderId="0" xfId="0" applyNumberFormat="1" applyFont="1" applyFill="1"/>
    <xf numFmtId="167" fontId="17" fillId="0" borderId="10" xfId="0" applyNumberFormat="1" applyFont="1" applyFill="1" applyBorder="1"/>
    <xf numFmtId="167" fontId="10" fillId="0" borderId="0" xfId="0" applyNumberFormat="1" applyFont="1" applyFill="1"/>
    <xf numFmtId="167" fontId="17"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55"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51"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9" fillId="0" borderId="0" xfId="12" applyNumberFormat="1" applyFont="1" applyAlignment="1">
      <alignment horizontal="left"/>
    </xf>
    <xf numFmtId="0" fontId="56" fillId="0" borderId="0" xfId="12" applyNumberFormat="1" applyFont="1" applyAlignment="1">
      <alignment horizontal="left"/>
    </xf>
    <xf numFmtId="0" fontId="53" fillId="0" borderId="0" xfId="0" applyFont="1" applyAlignment="1">
      <alignment horizontal="centerContinuous"/>
    </xf>
    <xf numFmtId="0" fontId="35" fillId="0" borderId="0" xfId="0" applyFont="1"/>
    <xf numFmtId="0" fontId="53" fillId="0" borderId="0" xfId="0" applyFont="1" applyAlignment="1"/>
    <xf numFmtId="0" fontId="53" fillId="0" borderId="0" xfId="0" applyFont="1" applyAlignment="1">
      <alignment horizontal="center"/>
    </xf>
    <xf numFmtId="0" fontId="35" fillId="9" borderId="0" xfId="0" quotePrefix="1" applyFont="1" applyFill="1" applyAlignment="1">
      <alignment horizontal="center"/>
    </xf>
    <xf numFmtId="0" fontId="53" fillId="0" borderId="0" xfId="0" applyFont="1" applyBorder="1" applyAlignment="1">
      <alignment horizontal="center"/>
    </xf>
    <xf numFmtId="0" fontId="53" fillId="8" borderId="0" xfId="0" applyFont="1" applyFill="1" applyAlignment="1">
      <alignment horizontal="center"/>
    </xf>
    <xf numFmtId="0" fontId="53" fillId="0" borderId="0" xfId="0" applyFont="1" applyBorder="1" applyAlignment="1"/>
    <xf numFmtId="0" fontId="53" fillId="0" borderId="0" xfId="0" applyFont="1" applyFill="1" applyBorder="1" applyAlignment="1"/>
    <xf numFmtId="0" fontId="35" fillId="0" borderId="0" xfId="0" applyFont="1" applyBorder="1"/>
    <xf numFmtId="14" fontId="53" fillId="8" borderId="10" xfId="0" quotePrefix="1" applyNumberFormat="1" applyFont="1" applyFill="1" applyBorder="1" applyAlignment="1">
      <alignment horizontal="center"/>
    </xf>
    <xf numFmtId="0" fontId="53" fillId="0" borderId="10" xfId="0" applyFont="1" applyBorder="1" applyAlignment="1">
      <alignment horizontal="center"/>
    </xf>
    <xf numFmtId="14" fontId="53" fillId="0" borderId="0" xfId="0" applyNumberFormat="1" applyFont="1" applyFill="1" applyBorder="1" applyAlignment="1">
      <alignment horizontal="center"/>
    </xf>
    <xf numFmtId="37" fontId="35" fillId="0" borderId="0" xfId="12" applyNumberFormat="1" applyFont="1" applyFill="1" applyBorder="1"/>
    <xf numFmtId="0" fontId="53" fillId="8" borderId="10" xfId="0" applyFont="1" applyFill="1" applyBorder="1" applyAlignment="1">
      <alignment horizontal="center"/>
    </xf>
    <xf numFmtId="0" fontId="35" fillId="0" borderId="0" xfId="0" applyFont="1" applyFill="1" applyBorder="1"/>
    <xf numFmtId="37" fontId="53" fillId="0" borderId="0" xfId="12" applyNumberFormat="1" applyFont="1" applyFill="1" applyBorder="1"/>
    <xf numFmtId="37" fontId="57" fillId="0" borderId="0" xfId="12" applyNumberFormat="1" applyFont="1" applyAlignment="1">
      <alignment horizontal="left"/>
    </xf>
    <xf numFmtId="37" fontId="35" fillId="0" borderId="0" xfId="12" applyNumberFormat="1" applyFont="1" applyBorder="1"/>
    <xf numFmtId="37" fontId="53" fillId="0" borderId="0" xfId="12" applyNumberFormat="1" applyFont="1"/>
    <xf numFmtId="37" fontId="35" fillId="0" borderId="0" xfId="12" applyNumberFormat="1" applyFont="1"/>
    <xf numFmtId="0" fontId="35" fillId="0" borderId="0" xfId="0" applyFont="1" applyAlignment="1">
      <alignment horizontal="center"/>
    </xf>
    <xf numFmtId="176" fontId="35" fillId="0" borderId="0" xfId="2" applyNumberFormat="1" applyFont="1"/>
    <xf numFmtId="176" fontId="35" fillId="0" borderId="0" xfId="2" applyNumberFormat="1" applyFont="1" applyBorder="1"/>
    <xf numFmtId="176" fontId="35" fillId="0" borderId="0" xfId="0" applyNumberFormat="1" applyFont="1" applyBorder="1"/>
    <xf numFmtId="5" fontId="35" fillId="0" borderId="0" xfId="0" applyNumberFormat="1" applyFont="1"/>
    <xf numFmtId="10" fontId="53" fillId="0" borderId="0" xfId="14" applyNumberFormat="1" applyFont="1" applyFill="1" applyBorder="1" applyAlignment="1">
      <alignment horizontal="center"/>
    </xf>
    <xf numFmtId="0" fontId="57" fillId="0" borderId="0" xfId="0" applyFont="1" applyAlignment="1">
      <alignment horizontal="left"/>
    </xf>
    <xf numFmtId="5" fontId="35" fillId="0" borderId="0" xfId="0" applyNumberFormat="1" applyFont="1" applyBorder="1"/>
    <xf numFmtId="10" fontId="35" fillId="0" borderId="10" xfId="14" applyNumberFormat="1" applyFont="1" applyBorder="1"/>
    <xf numFmtId="168" fontId="35" fillId="0" borderId="0" xfId="14" applyNumberFormat="1" applyFont="1" applyBorder="1"/>
    <xf numFmtId="10" fontId="35" fillId="0" borderId="0" xfId="14" applyNumberFormat="1" applyFont="1" applyBorder="1"/>
    <xf numFmtId="10" fontId="35" fillId="0" borderId="0" xfId="14" applyNumberFormat="1" applyFont="1"/>
    <xf numFmtId="5" fontId="35" fillId="0" borderId="0" xfId="0" applyNumberFormat="1" applyFont="1" applyFill="1"/>
    <xf numFmtId="5" fontId="35" fillId="0" borderId="0" xfId="0" applyNumberFormat="1" applyFont="1" applyFill="1" applyBorder="1"/>
    <xf numFmtId="169" fontId="35" fillId="0" borderId="0" xfId="1" applyNumberFormat="1" applyFont="1" applyBorder="1"/>
    <xf numFmtId="37" fontId="35" fillId="0" borderId="0" xfId="12" applyNumberFormat="1" applyFont="1" applyFill="1"/>
    <xf numFmtId="0" fontId="54" fillId="0" borderId="0" xfId="0" applyFont="1"/>
    <xf numFmtId="0" fontId="57" fillId="0" borderId="0" xfId="0" applyFont="1"/>
    <xf numFmtId="169" fontId="57" fillId="0" borderId="0" xfId="1" applyNumberFormat="1" applyFont="1" applyBorder="1"/>
    <xf numFmtId="10" fontId="57" fillId="0" borderId="0" xfId="14" applyNumberFormat="1" applyFont="1"/>
    <xf numFmtId="41" fontId="35" fillId="0" borderId="10" xfId="0" applyNumberFormat="1" applyFont="1" applyBorder="1"/>
    <xf numFmtId="5" fontId="35" fillId="0" borderId="10" xfId="0" applyNumberFormat="1" applyFont="1" applyBorder="1"/>
    <xf numFmtId="41" fontId="35" fillId="0" borderId="0" xfId="0" applyNumberFormat="1" applyFont="1" applyBorder="1"/>
    <xf numFmtId="0" fontId="53" fillId="0" borderId="0" xfId="0" applyFont="1" applyFill="1"/>
    <xf numFmtId="37" fontId="53" fillId="2" borderId="0" xfId="12" applyNumberFormat="1" applyFont="1" applyFill="1"/>
    <xf numFmtId="10" fontId="38" fillId="0" borderId="0" xfId="0" applyNumberFormat="1" applyFont="1" applyFill="1"/>
    <xf numFmtId="10" fontId="57" fillId="2" borderId="0" xfId="14" applyNumberFormat="1" applyFont="1" applyFill="1"/>
    <xf numFmtId="0" fontId="54" fillId="0" borderId="0" xfId="0" applyFont="1" applyBorder="1"/>
    <xf numFmtId="167" fontId="35" fillId="0" borderId="0" xfId="0" applyNumberFormat="1" applyFont="1"/>
    <xf numFmtId="167" fontId="35" fillId="0" borderId="0" xfId="0" applyNumberFormat="1" applyFont="1" applyFill="1" applyBorder="1"/>
    <xf numFmtId="0" fontId="54" fillId="0" borderId="0" xfId="0" applyFont="1" applyFill="1" applyBorder="1"/>
    <xf numFmtId="0" fontId="53"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5" fontId="53" fillId="0" borderId="18" xfId="0" applyNumberFormat="1" applyFont="1" applyFill="1" applyBorder="1"/>
    <xf numFmtId="5" fontId="53" fillId="7" borderId="27" xfId="0" applyNumberFormat="1" applyFont="1" applyFill="1" applyBorder="1"/>
    <xf numFmtId="5" fontId="53" fillId="0" borderId="0" xfId="0" applyNumberFormat="1" applyFont="1" applyFill="1" applyBorder="1"/>
    <xf numFmtId="0" fontId="35" fillId="0" borderId="0" xfId="0" applyFont="1" applyBorder="1" applyAlignment="1">
      <alignment horizontal="center"/>
    </xf>
    <xf numFmtId="169" fontId="35" fillId="0" borderId="0" xfId="1" applyNumberFormat="1" applyFont="1" applyFill="1" applyBorder="1"/>
    <xf numFmtId="0" fontId="53" fillId="0" borderId="0" xfId="0" applyFont="1" applyFill="1" applyBorder="1"/>
    <xf numFmtId="10" fontId="54" fillId="0" borderId="0" xfId="14" applyNumberFormat="1" applyFont="1" applyFill="1" applyBorder="1" applyAlignment="1">
      <alignment horizontal="center"/>
    </xf>
    <xf numFmtId="168" fontId="35" fillId="0" borderId="0" xfId="14" applyNumberFormat="1" applyFont="1" applyFill="1" applyBorder="1"/>
    <xf numFmtId="169" fontId="35" fillId="0" borderId="0" xfId="0" applyNumberFormat="1" applyFont="1" applyFill="1" applyBorder="1"/>
    <xf numFmtId="0" fontId="35" fillId="0" borderId="0" xfId="0" applyFont="1" applyFill="1" applyBorder="1" applyAlignment="1">
      <alignment horizontal="right"/>
    </xf>
    <xf numFmtId="0" fontId="53" fillId="0" borderId="0" xfId="0" applyFont="1" applyFill="1" applyBorder="1" applyAlignment="1">
      <alignment horizontal="left"/>
    </xf>
    <xf numFmtId="10" fontId="53" fillId="0" borderId="16" xfId="14" applyNumberFormat="1" applyFont="1" applyBorder="1"/>
    <xf numFmtId="10" fontId="53" fillId="0" borderId="0" xfId="14" applyNumberFormat="1" applyFont="1" applyFill="1" applyBorder="1"/>
    <xf numFmtId="37" fontId="54" fillId="0" borderId="0" xfId="12" applyNumberFormat="1" applyFont="1" applyFill="1" applyBorder="1"/>
    <xf numFmtId="0" fontId="35" fillId="0" borderId="0" xfId="12" applyFont="1"/>
    <xf numFmtId="0" fontId="35" fillId="0" borderId="0" xfId="12" applyFont="1" applyBorder="1"/>
    <xf numFmtId="0" fontId="53"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10" fontId="53" fillId="0" borderId="16"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3" fontId="51" fillId="0" borderId="0" xfId="13" applyNumberFormat="1" applyFont="1"/>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9"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9" fillId="0" borderId="0" xfId="12" applyNumberFormat="1" applyFont="1" applyFill="1" applyBorder="1" applyAlignment="1"/>
    <xf numFmtId="0" fontId="53" fillId="0" borderId="0" xfId="0" applyFont="1" applyFill="1" applyBorder="1" applyAlignment="1">
      <alignment horizontal="center"/>
    </xf>
    <xf numFmtId="41" fontId="9" fillId="0" borderId="16" xfId="2" applyNumberFormat="1" applyFont="1" applyBorder="1"/>
    <xf numFmtId="0" fontId="53" fillId="0" borderId="0" xfId="0" applyFont="1" applyFill="1" applyBorder="1" applyAlignment="1">
      <alignment horizontal="center"/>
    </xf>
    <xf numFmtId="41" fontId="6" fillId="0" borderId="10" xfId="12" applyNumberFormat="1" applyFont="1" applyFill="1" applyBorder="1" applyAlignment="1"/>
    <xf numFmtId="10" fontId="35" fillId="0" borderId="0" xfId="0" applyNumberFormat="1" applyFont="1" applyBorder="1"/>
    <xf numFmtId="169" fontId="35" fillId="0" borderId="0" xfId="0" applyNumberFormat="1" applyFont="1" applyFill="1" applyBorder="1" applyAlignment="1">
      <alignment horizontal="center"/>
    </xf>
    <xf numFmtId="176" fontId="22" fillId="0" borderId="0" xfId="2" applyNumberFormat="1" applyFont="1"/>
    <xf numFmtId="6" fontId="22" fillId="0" borderId="0" xfId="0" applyNumberFormat="1" applyFont="1" applyFill="1"/>
    <xf numFmtId="0" fontId="9" fillId="0" borderId="0" xfId="0" applyFont="1" applyFill="1" applyAlignment="1"/>
    <xf numFmtId="0" fontId="11" fillId="0" borderId="0" xfId="0" applyFont="1" applyFill="1" applyAlignment="1"/>
    <xf numFmtId="37" fontId="5" fillId="0" borderId="0" xfId="1" applyNumberFormat="1" applyFont="1" applyBorder="1" applyAlignment="1">
      <alignment horizontal="right" shrinkToFit="1"/>
    </xf>
    <xf numFmtId="3" fontId="5" fillId="0" borderId="0" xfId="0" applyNumberFormat="1" applyFont="1"/>
    <xf numFmtId="41" fontId="52" fillId="0" borderId="0" xfId="12" applyNumberFormat="1" applyFont="1" applyAlignment="1">
      <alignment vertical="top"/>
    </xf>
    <xf numFmtId="0" fontId="55" fillId="0" borderId="0" xfId="0" applyFont="1" applyFill="1" applyAlignment="1">
      <alignment horizontal="center"/>
    </xf>
    <xf numFmtId="3" fontId="61" fillId="0" borderId="1" xfId="13" applyNumberFormat="1" applyFont="1" applyFill="1" applyBorder="1" applyAlignment="1">
      <alignment horizontal="center"/>
    </xf>
    <xf numFmtId="3" fontId="61" fillId="0" borderId="5" xfId="13" applyNumberFormat="1" applyFont="1" applyFill="1" applyBorder="1" applyAlignment="1">
      <alignment horizontal="center"/>
    </xf>
    <xf numFmtId="3" fontId="61" fillId="0" borderId="8" xfId="13" applyNumberFormat="1" applyFont="1" applyFill="1" applyBorder="1" applyAlignment="1">
      <alignment horizontal="center"/>
    </xf>
    <xf numFmtId="4" fontId="61"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62" fillId="0" borderId="0" xfId="0" applyFont="1" applyAlignment="1">
      <alignment horizontal="center"/>
    </xf>
    <xf numFmtId="0" fontId="55" fillId="0" borderId="0" xfId="0" applyFont="1" applyFill="1"/>
    <xf numFmtId="176" fontId="9" fillId="0" borderId="0" xfId="2" applyNumberFormat="1" applyFont="1" applyBorder="1" applyAlignment="1">
      <alignment horizontal="right"/>
    </xf>
    <xf numFmtId="0" fontId="45" fillId="0" borderId="0" xfId="0" applyFont="1" applyBorder="1" applyAlignment="1">
      <alignment horizontal="right"/>
    </xf>
    <xf numFmtId="14" fontId="35"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64" fillId="0" borderId="0" xfId="12" applyNumberFormat="1" applyFont="1" applyFill="1"/>
    <xf numFmtId="41" fontId="65" fillId="0" borderId="0" xfId="12" applyNumberFormat="1" applyFont="1" applyFill="1" applyBorder="1" applyAlignment="1">
      <alignment horizontal="center" wrapText="1"/>
    </xf>
    <xf numFmtId="2" fontId="65" fillId="0" borderId="0" xfId="4" applyNumberFormat="1" applyFont="1" applyFill="1" applyAlignment="1" applyProtection="1">
      <alignment horizontal="center"/>
    </xf>
    <xf numFmtId="2" fontId="65" fillId="0" borderId="0" xfId="4" applyNumberFormat="1" applyFont="1" applyFill="1" applyBorder="1" applyAlignment="1" applyProtection="1">
      <alignment horizontal="center"/>
    </xf>
    <xf numFmtId="41" fontId="64" fillId="0" borderId="0" xfId="12" applyNumberFormat="1" applyFont="1" applyFill="1" applyBorder="1"/>
    <xf numFmtId="5" fontId="64" fillId="0" borderId="0" xfId="10" applyNumberFormat="1" applyFont="1" applyFill="1" applyBorder="1"/>
    <xf numFmtId="41" fontId="64" fillId="0" borderId="10" xfId="12" applyNumberFormat="1" applyFont="1" applyFill="1" applyBorder="1"/>
    <xf numFmtId="41" fontId="64" fillId="0" borderId="13" xfId="12" applyNumberFormat="1" applyFont="1" applyFill="1" applyBorder="1"/>
    <xf numFmtId="5" fontId="64" fillId="0" borderId="0" xfId="12" applyNumberFormat="1" applyFont="1" applyFill="1" applyBorder="1"/>
    <xf numFmtId="41" fontId="64" fillId="0" borderId="0" xfId="12" applyNumberFormat="1" applyFont="1" applyBorder="1"/>
    <xf numFmtId="41" fontId="64" fillId="0" borderId="10" xfId="12" applyNumberFormat="1" applyFont="1" applyBorder="1"/>
    <xf numFmtId="41" fontId="64" fillId="0" borderId="12" xfId="12" applyNumberFormat="1" applyFont="1" applyFill="1" applyBorder="1"/>
    <xf numFmtId="5" fontId="64" fillId="0" borderId="13" xfId="12" applyNumberFormat="1" applyFont="1" applyFill="1" applyBorder="1"/>
    <xf numFmtId="41" fontId="65" fillId="0" borderId="0" xfId="12" applyNumberFormat="1" applyFont="1" applyFill="1" applyBorder="1" applyAlignment="1">
      <alignment horizontal="right"/>
    </xf>
    <xf numFmtId="41" fontId="64" fillId="0" borderId="0" xfId="14" applyNumberFormat="1" applyFont="1" applyFill="1"/>
    <xf numFmtId="41" fontId="64" fillId="0" borderId="0" xfId="12" applyNumberFormat="1" applyFont="1"/>
    <xf numFmtId="41" fontId="65" fillId="0" borderId="1" xfId="12" applyNumberFormat="1" applyFont="1" applyFill="1" applyBorder="1" applyAlignment="1">
      <alignment horizontal="center"/>
    </xf>
    <xf numFmtId="41" fontId="65" fillId="0" borderId="5" xfId="12" applyNumberFormat="1" applyFont="1" applyFill="1" applyBorder="1" applyAlignment="1">
      <alignment horizontal="center"/>
    </xf>
    <xf numFmtId="41" fontId="65" fillId="0" borderId="8" xfId="12" applyNumberFormat="1" applyFont="1" applyFill="1" applyBorder="1" applyAlignment="1">
      <alignment horizontal="center"/>
    </xf>
    <xf numFmtId="2" fontId="65" fillId="0" borderId="0" xfId="4" applyNumberFormat="1" applyFont="1" applyAlignment="1" applyProtection="1">
      <alignment horizontal="center"/>
    </xf>
    <xf numFmtId="5" fontId="64" fillId="0" borderId="13" xfId="12" applyNumberFormat="1" applyFont="1" applyBorder="1"/>
    <xf numFmtId="5" fontId="64" fillId="0" borderId="0" xfId="12" applyNumberFormat="1" applyFont="1"/>
    <xf numFmtId="41" fontId="64" fillId="0" borderId="3" xfId="12" applyNumberFormat="1" applyFont="1" applyFill="1" applyBorder="1"/>
    <xf numFmtId="41" fontId="64" fillId="0" borderId="0" xfId="12" applyNumberFormat="1" applyFont="1" applyFill="1" applyAlignment="1">
      <alignment vertical="top"/>
    </xf>
    <xf numFmtId="41" fontId="66" fillId="0" borderId="0" xfId="12" quotePrefix="1" applyNumberFormat="1" applyFont="1" applyFill="1" applyAlignment="1">
      <alignment horizontal="center"/>
    </xf>
    <xf numFmtId="41" fontId="65" fillId="0" borderId="0" xfId="12" applyNumberFormat="1" applyFont="1" applyFill="1" applyAlignment="1"/>
    <xf numFmtId="0" fontId="65" fillId="0" borderId="0" xfId="12" applyFont="1" applyFill="1" applyAlignment="1">
      <alignment horizontal="center"/>
    </xf>
    <xf numFmtId="41" fontId="65" fillId="0" borderId="0" xfId="12" applyNumberFormat="1" applyFont="1" applyFill="1" applyBorder="1" applyAlignment="1">
      <alignment horizontal="center" vertical="center"/>
    </xf>
    <xf numFmtId="41" fontId="65" fillId="0" borderId="1" xfId="10" applyNumberFormat="1" applyFont="1" applyFill="1" applyBorder="1" applyAlignment="1">
      <alignment horizontal="center"/>
    </xf>
    <xf numFmtId="9" fontId="5" fillId="0" borderId="0" xfId="14" applyFont="1"/>
    <xf numFmtId="41" fontId="64" fillId="0" borderId="0" xfId="12" applyNumberFormat="1" applyFont="1" applyFill="1" applyAlignment="1"/>
    <xf numFmtId="10" fontId="63" fillId="6" borderId="0" xfId="14" applyNumberFormat="1" applyFont="1" applyFill="1" applyBorder="1"/>
    <xf numFmtId="41" fontId="67" fillId="0" borderId="0" xfId="12" quotePrefix="1" applyNumberFormat="1" applyFont="1" applyFill="1" applyAlignment="1">
      <alignment horizontal="center"/>
    </xf>
    <xf numFmtId="0" fontId="10" fillId="0" borderId="0" xfId="0" applyFont="1" applyFill="1" applyAlignment="1">
      <alignment horizontal="center"/>
    </xf>
    <xf numFmtId="0" fontId="68" fillId="0" borderId="0" xfId="0" applyFont="1" applyFill="1" applyAlignment="1">
      <alignment horizontal="center"/>
    </xf>
    <xf numFmtId="0" fontId="55" fillId="0" borderId="0" xfId="0" applyFont="1" applyAlignment="1">
      <alignment horizontal="center"/>
    </xf>
    <xf numFmtId="0" fontId="55"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41" fontId="10" fillId="0" borderId="0" xfId="12" applyNumberFormat="1" applyFont="1" applyAlignment="1">
      <alignment vertical="top"/>
    </xf>
    <xf numFmtId="41" fontId="60" fillId="0" borderId="0" xfId="13" applyNumberFormat="1" applyFont="1" applyFill="1" applyAlignment="1">
      <alignment horizontal="center"/>
    </xf>
    <xf numFmtId="0" fontId="55" fillId="0" borderId="0" xfId="0" applyFont="1" applyAlignment="1">
      <alignment horizontal="left"/>
    </xf>
    <xf numFmtId="41" fontId="65" fillId="0" borderId="0" xfId="13" applyNumberFormat="1" applyFont="1" applyFill="1" applyAlignment="1">
      <alignment horizontal="center"/>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165" fontId="5" fillId="0" borderId="0" xfId="14" applyNumberFormat="1" applyFont="1" applyBorder="1"/>
    <xf numFmtId="0" fontId="10" fillId="0" borderId="0" xfId="0" applyFont="1" applyAlignment="1">
      <alignment horizontal="center"/>
    </xf>
    <xf numFmtId="0" fontId="10" fillId="0" borderId="0" xfId="0" applyFont="1" applyAlignment="1">
      <alignment horizontal="center"/>
    </xf>
    <xf numFmtId="41" fontId="71"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8" borderId="1" xfId="12" applyNumberFormat="1" applyFont="1" applyFill="1" applyBorder="1" applyAlignment="1">
      <alignment horizontal="center"/>
    </xf>
    <xf numFmtId="41" fontId="6" fillId="8" borderId="5" xfId="10" applyNumberFormat="1" applyFont="1" applyFill="1" applyBorder="1" applyAlignment="1">
      <alignment horizontal="center"/>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applyAlignment="1">
      <alignment horizontal="center"/>
    </xf>
    <xf numFmtId="2" fontId="6" fillId="8" borderId="0" xfId="4" applyNumberFormat="1" applyFont="1" applyFill="1" applyAlignment="1" applyProtection="1">
      <alignment horizontal="center"/>
    </xf>
    <xf numFmtId="2" fontId="6" fillId="8" borderId="0" xfId="4" applyNumberFormat="1" applyFont="1" applyFill="1" applyBorder="1" applyAlignment="1" applyProtection="1">
      <alignment horizontal="center"/>
    </xf>
    <xf numFmtId="41" fontId="5" fillId="8" borderId="0" xfId="12" applyNumberFormat="1" applyFont="1" applyFill="1" applyBorder="1"/>
    <xf numFmtId="5" fontId="5" fillId="8" borderId="0" xfId="10" applyNumberFormat="1" applyFont="1" applyFill="1" applyBorder="1"/>
    <xf numFmtId="41" fontId="5" fillId="8" borderId="10" xfId="12" applyNumberFormat="1" applyFont="1" applyFill="1" applyBorder="1"/>
    <xf numFmtId="41" fontId="5" fillId="8" borderId="0" xfId="12" applyNumberFormat="1" applyFont="1" applyFill="1"/>
    <xf numFmtId="41" fontId="5" fillId="8" borderId="13" xfId="12" applyNumberFormat="1" applyFont="1" applyFill="1" applyBorder="1"/>
    <xf numFmtId="5" fontId="5" fillId="8" borderId="0" xfId="12" applyNumberFormat="1" applyFont="1" applyFill="1" applyBorder="1"/>
    <xf numFmtId="41" fontId="5" fillId="8" borderId="12" xfId="12" applyNumberFormat="1" applyFont="1" applyFill="1" applyBorder="1"/>
    <xf numFmtId="5" fontId="5" fillId="8" borderId="13" xfId="12" applyNumberFormat="1" applyFont="1" applyFill="1" applyBorder="1"/>
    <xf numFmtId="41" fontId="5" fillId="8"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8" borderId="5" xfId="12" applyNumberFormat="1" applyFont="1" applyFill="1" applyBorder="1" applyAlignment="1">
      <alignment horizontal="center"/>
    </xf>
    <xf numFmtId="41" fontId="5" fillId="8" borderId="5" xfId="12" applyNumberFormat="1" applyFont="1" applyFill="1" applyBorder="1"/>
    <xf numFmtId="5" fontId="5" fillId="8" borderId="5" xfId="12" applyNumberFormat="1" applyFont="1" applyFill="1" applyBorder="1"/>
    <xf numFmtId="41" fontId="5" fillId="8" borderId="8" xfId="12" applyNumberFormat="1" applyFont="1" applyFill="1" applyBorder="1"/>
    <xf numFmtId="41" fontId="5" fillId="8" borderId="36" xfId="12" applyNumberFormat="1" applyFont="1" applyFill="1" applyBorder="1"/>
    <xf numFmtId="41" fontId="5" fillId="8" borderId="1" xfId="12" applyNumberFormat="1" applyFont="1" applyFill="1" applyBorder="1"/>
    <xf numFmtId="41" fontId="55" fillId="0" borderId="0" xfId="12" applyNumberFormat="1" applyFont="1" applyFill="1" applyAlignment="1">
      <alignment vertical="top"/>
    </xf>
    <xf numFmtId="0" fontId="23"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35" fillId="0" borderId="15" xfId="2" applyNumberFormat="1" applyFont="1" applyBorder="1"/>
    <xf numFmtId="44" fontId="53" fillId="0" borderId="15" xfId="2" applyFont="1" applyBorder="1"/>
    <xf numFmtId="10" fontId="35" fillId="0" borderId="16" xfId="14" applyNumberFormat="1" applyFont="1" applyBorder="1"/>
    <xf numFmtId="165" fontId="53" fillId="0" borderId="16" xfId="14" applyNumberFormat="1" applyFont="1" applyBorder="1"/>
    <xf numFmtId="42" fontId="35" fillId="0" borderId="0" xfId="0" applyNumberFormat="1" applyFont="1"/>
    <xf numFmtId="0" fontId="53" fillId="0" borderId="0" xfId="0" applyFont="1"/>
    <xf numFmtId="43" fontId="5" fillId="0" borderId="0" xfId="12" applyNumberFormat="1" applyFont="1"/>
    <xf numFmtId="169" fontId="5" fillId="0" borderId="0" xfId="12" applyNumberFormat="1" applyFont="1"/>
    <xf numFmtId="37" fontId="5" fillId="7" borderId="0" xfId="12" applyNumberFormat="1" applyFont="1" applyFill="1"/>
    <xf numFmtId="37" fontId="5" fillId="0" borderId="10" xfId="12" applyNumberFormat="1" applyFont="1" applyBorder="1"/>
    <xf numFmtId="37" fontId="5" fillId="10"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10" borderId="24" xfId="12" applyNumberFormat="1" applyFont="1" applyFill="1" applyBorder="1"/>
    <xf numFmtId="5" fontId="5" fillId="10" borderId="1" xfId="12" applyNumberFormat="1" applyFont="1" applyFill="1" applyBorder="1"/>
    <xf numFmtId="37" fontId="5" fillId="10" borderId="8" xfId="12" applyNumberFormat="1" applyFont="1" applyFill="1" applyBorder="1"/>
    <xf numFmtId="176" fontId="5" fillId="0" borderId="0" xfId="2" applyNumberFormat="1" applyFont="1"/>
    <xf numFmtId="41" fontId="5" fillId="0" borderId="0" xfId="12" applyNumberFormat="1" applyFont="1" applyFill="1" applyBorder="1" applyAlignment="1">
      <alignment horizontal="right"/>
    </xf>
    <xf numFmtId="5" fontId="6" fillId="0" borderId="0" xfId="12" applyNumberFormat="1" applyFont="1" applyBorder="1"/>
    <xf numFmtId="0" fontId="9" fillId="0" borderId="0" xfId="0" applyFont="1" applyAlignment="1">
      <alignment horizontal="center"/>
    </xf>
    <xf numFmtId="0" fontId="72" fillId="0" borderId="0" xfId="0" applyFont="1"/>
    <xf numFmtId="169" fontId="35" fillId="0" borderId="0" xfId="1" applyNumberFormat="1" applyFont="1" applyAlignment="1">
      <alignment horizontal="center"/>
    </xf>
    <xf numFmtId="169" fontId="35" fillId="0" borderId="0" xfId="0" applyNumberFormat="1" applyFont="1"/>
    <xf numFmtId="0" fontId="53" fillId="0" borderId="0" xfId="12" applyFont="1"/>
    <xf numFmtId="0" fontId="73" fillId="0" borderId="0" xfId="12" applyFont="1"/>
    <xf numFmtId="7" fontId="20" fillId="0" borderId="10" xfId="0" applyNumberFormat="1" applyFont="1" applyBorder="1"/>
    <xf numFmtId="7" fontId="9" fillId="0" borderId="13" xfId="2" applyNumberFormat="1" applyFont="1" applyBorder="1"/>
    <xf numFmtId="7" fontId="20" fillId="0" borderId="0" xfId="0" applyNumberFormat="1" applyFont="1" applyBorder="1"/>
    <xf numFmtId="169" fontId="9" fillId="0" borderId="0" xfId="1" applyNumberFormat="1" applyFont="1" applyFill="1" applyBorder="1" applyAlignment="1">
      <alignment horizontal="right"/>
    </xf>
    <xf numFmtId="0" fontId="9" fillId="0" borderId="0" xfId="0" applyFont="1" applyFill="1" applyAlignment="1">
      <alignment horizontal="center"/>
    </xf>
    <xf numFmtId="41" fontId="6" fillId="9" borderId="0" xfId="12" applyNumberFormat="1" applyFont="1" applyFill="1" applyAlignment="1">
      <alignment horizontal="center"/>
    </xf>
    <xf numFmtId="41" fontId="65" fillId="0" borderId="1" xfId="23" applyNumberFormat="1" applyFont="1" applyFill="1" applyBorder="1" applyAlignment="1">
      <alignment horizontal="center"/>
    </xf>
    <xf numFmtId="41" fontId="65" fillId="0" borderId="5" xfId="23" quotePrefix="1" applyNumberFormat="1" applyFont="1" applyFill="1" applyBorder="1" applyAlignment="1">
      <alignment horizontal="center"/>
    </xf>
    <xf numFmtId="41" fontId="65" fillId="0" borderId="8" xfId="23" applyNumberFormat="1" applyFont="1" applyFill="1" applyBorder="1" applyAlignment="1">
      <alignment horizontal="center"/>
    </xf>
    <xf numFmtId="41" fontId="5" fillId="9" borderId="0" xfId="12" applyNumberFormat="1" applyFont="1" applyFill="1"/>
    <xf numFmtId="41" fontId="6" fillId="9" borderId="2" xfId="10" applyNumberFormat="1" applyFont="1" applyFill="1" applyBorder="1" applyAlignment="1">
      <alignment horizontal="center"/>
    </xf>
    <xf numFmtId="41" fontId="6" fillId="9" borderId="6" xfId="12" applyNumberFormat="1" applyFont="1" applyFill="1" applyBorder="1" applyAlignment="1">
      <alignment horizontal="center"/>
    </xf>
    <xf numFmtId="41" fontId="6" fillId="9" borderId="9" xfId="12" applyNumberFormat="1" applyFont="1" applyFill="1" applyBorder="1" applyAlignment="1">
      <alignment horizontal="center"/>
    </xf>
    <xf numFmtId="2" fontId="6" fillId="9" borderId="0" xfId="4" applyNumberFormat="1" applyFont="1" applyFill="1" applyAlignment="1" applyProtection="1">
      <alignment horizontal="center"/>
    </xf>
    <xf numFmtId="41" fontId="65" fillId="9" borderId="0" xfId="12" applyNumberFormat="1" applyFont="1" applyFill="1" applyAlignment="1"/>
    <xf numFmtId="41" fontId="6" fillId="0" borderId="7" xfId="12" quotePrefix="1" applyNumberFormat="1" applyFont="1" applyFill="1" applyBorder="1" applyAlignment="1">
      <alignment horizontal="center"/>
    </xf>
    <xf numFmtId="41" fontId="6" fillId="0" borderId="10" xfId="12" applyNumberFormat="1" applyFont="1" applyFill="1" applyBorder="1" applyAlignment="1">
      <alignment vertical="top"/>
    </xf>
    <xf numFmtId="5" fontId="22" fillId="0" borderId="0" xfId="0" applyNumberFormat="1" applyFont="1" applyFill="1"/>
    <xf numFmtId="41" fontId="7" fillId="0" borderId="0" xfId="0" quotePrefix="1" applyNumberFormat="1" applyFont="1" applyAlignment="1">
      <alignment horizontal="center"/>
    </xf>
    <xf numFmtId="41" fontId="6" fillId="4" borderId="1" xfId="0" quotePrefix="1" applyNumberFormat="1" applyFont="1" applyFill="1" applyBorder="1" applyAlignment="1">
      <alignment horizontal="center"/>
    </xf>
    <xf numFmtId="41" fontId="6" fillId="4" borderId="5" xfId="0" applyNumberFormat="1" applyFont="1" applyFill="1" applyBorder="1" applyAlignment="1">
      <alignment horizontal="center"/>
    </xf>
    <xf numFmtId="41" fontId="6" fillId="4" borderId="8" xfId="0" applyNumberFormat="1" applyFont="1" applyFill="1" applyBorder="1" applyAlignment="1">
      <alignment horizontal="center"/>
    </xf>
    <xf numFmtId="3" fontId="10" fillId="0" borderId="0" xfId="0" applyNumberFormat="1" applyFont="1" applyFill="1" applyAlignment="1"/>
    <xf numFmtId="41" fontId="6" fillId="0" borderId="2" xfId="12" applyNumberFormat="1" applyFont="1" applyFill="1" applyBorder="1" applyAlignment="1">
      <alignment horizontal="center"/>
    </xf>
    <xf numFmtId="41" fontId="6" fillId="0" borderId="3" xfId="10" applyNumberFormat="1" applyFont="1" applyFill="1" applyBorder="1" applyAlignment="1">
      <alignment horizontal="center"/>
    </xf>
    <xf numFmtId="41" fontId="6" fillId="0" borderId="41" xfId="12" applyNumberFormat="1" applyFont="1" applyFill="1" applyBorder="1" applyAlignment="1">
      <alignment vertical="top"/>
    </xf>
    <xf numFmtId="41" fontId="6" fillId="0" borderId="42" xfId="10" applyNumberFormat="1" applyFont="1" applyFill="1" applyBorder="1" applyAlignment="1">
      <alignment horizontal="center"/>
    </xf>
    <xf numFmtId="41" fontId="6" fillId="0" borderId="22" xfId="12" applyNumberFormat="1" applyFont="1" applyFill="1" applyBorder="1" applyAlignment="1">
      <alignment horizontal="center"/>
    </xf>
    <xf numFmtId="41" fontId="6" fillId="0" borderId="44" xfId="12" applyNumberFormat="1" applyFont="1" applyFill="1" applyBorder="1" applyAlignment="1">
      <alignment horizontal="center"/>
    </xf>
    <xf numFmtId="41" fontId="6" fillId="0" borderId="41" xfId="12" applyNumberFormat="1" applyFont="1" applyFill="1" applyBorder="1" applyAlignment="1">
      <alignment horizontal="center"/>
    </xf>
    <xf numFmtId="41" fontId="6" fillId="0" borderId="45" xfId="12" applyNumberFormat="1" applyFont="1" applyFill="1" applyBorder="1" applyAlignment="1">
      <alignment horizontal="center"/>
    </xf>
    <xf numFmtId="2" fontId="6" fillId="0" borderId="22" xfId="4" applyNumberFormat="1" applyFont="1" applyFill="1" applyBorder="1" applyAlignment="1" applyProtection="1">
      <alignment horizontal="center"/>
    </xf>
    <xf numFmtId="2" fontId="6" fillId="0" borderId="23" xfId="4" applyNumberFormat="1" applyFont="1" applyFill="1" applyBorder="1" applyAlignment="1" applyProtection="1">
      <alignment horizontal="center"/>
    </xf>
    <xf numFmtId="41" fontId="5" fillId="0" borderId="22" xfId="12" applyNumberFormat="1" applyFont="1" applyFill="1" applyBorder="1"/>
    <xf numFmtId="41" fontId="5" fillId="0" borderId="23" xfId="12" applyNumberFormat="1" applyFont="1" applyFill="1" applyBorder="1"/>
    <xf numFmtId="5" fontId="5" fillId="0" borderId="22" xfId="10" applyNumberFormat="1" applyFont="1" applyFill="1" applyBorder="1"/>
    <xf numFmtId="5" fontId="5" fillId="0" borderId="23" xfId="10" applyNumberFormat="1" applyFont="1" applyFill="1" applyBorder="1"/>
    <xf numFmtId="41" fontId="5" fillId="0" borderId="41" xfId="12" applyNumberFormat="1" applyFont="1" applyFill="1" applyBorder="1"/>
    <xf numFmtId="41" fontId="5" fillId="0" borderId="37" xfId="12" applyNumberFormat="1" applyFont="1" applyFill="1" applyBorder="1"/>
    <xf numFmtId="41" fontId="5" fillId="0" borderId="46" xfId="12" applyNumberFormat="1" applyFont="1" applyFill="1" applyBorder="1"/>
    <xf numFmtId="41" fontId="5" fillId="0" borderId="47" xfId="12" applyNumberFormat="1" applyFont="1" applyFill="1" applyBorder="1"/>
    <xf numFmtId="5" fontId="5" fillId="0" borderId="22" xfId="12" applyNumberFormat="1" applyFont="1" applyFill="1" applyBorder="1"/>
    <xf numFmtId="5" fontId="5" fillId="0" borderId="23" xfId="12" applyNumberFormat="1" applyFont="1" applyFill="1" applyBorder="1"/>
    <xf numFmtId="41" fontId="5" fillId="0" borderId="22" xfId="12" applyNumberFormat="1" applyFont="1" applyBorder="1"/>
    <xf numFmtId="41" fontId="5" fillId="0" borderId="23" xfId="12" applyNumberFormat="1" applyFont="1" applyBorder="1"/>
    <xf numFmtId="41" fontId="5" fillId="0" borderId="41" xfId="12" applyNumberFormat="1" applyFont="1" applyBorder="1"/>
    <xf numFmtId="41" fontId="5" fillId="0" borderId="37" xfId="12" applyNumberFormat="1" applyFont="1" applyBorder="1"/>
    <xf numFmtId="41" fontId="5" fillId="0" borderId="48" xfId="12" applyNumberFormat="1" applyFont="1" applyFill="1" applyBorder="1"/>
    <xf numFmtId="41" fontId="5" fillId="0" borderId="49" xfId="12" applyNumberFormat="1" applyFont="1" applyFill="1" applyBorder="1"/>
    <xf numFmtId="5" fontId="5" fillId="0" borderId="46" xfId="12" applyNumberFormat="1" applyFont="1" applyFill="1" applyBorder="1"/>
    <xf numFmtId="5" fontId="5" fillId="0" borderId="47" xfId="12" applyNumberFormat="1" applyFont="1" applyFill="1" applyBorder="1"/>
    <xf numFmtId="41" fontId="6" fillId="0" borderId="22" xfId="12" applyNumberFormat="1" applyFont="1" applyFill="1" applyBorder="1" applyAlignment="1">
      <alignment horizontal="right"/>
    </xf>
    <xf numFmtId="41" fontId="6" fillId="0" borderId="23" xfId="12" applyNumberFormat="1" applyFont="1" applyFill="1" applyBorder="1" applyAlignment="1">
      <alignment horizontal="right"/>
    </xf>
    <xf numFmtId="41" fontId="5" fillId="0" borderId="22" xfId="14" applyNumberFormat="1" applyFont="1" applyFill="1" applyBorder="1"/>
    <xf numFmtId="41" fontId="5" fillId="0" borderId="23" xfId="14" applyNumberFormat="1" applyFont="1" applyFill="1" applyBorder="1"/>
    <xf numFmtId="41" fontId="10" fillId="0" borderId="24" xfId="12" applyNumberFormat="1" applyFont="1" applyBorder="1" applyAlignment="1">
      <alignment vertical="top"/>
    </xf>
    <xf numFmtId="41" fontId="10" fillId="0" borderId="26" xfId="12" applyNumberFormat="1" applyFont="1" applyBorder="1" applyAlignment="1">
      <alignment vertical="top"/>
    </xf>
    <xf numFmtId="41" fontId="5" fillId="0" borderId="33" xfId="12" applyNumberFormat="1" applyFont="1" applyFill="1" applyBorder="1"/>
    <xf numFmtId="41" fontId="5" fillId="0" borderId="35" xfId="12" applyNumberFormat="1" applyFont="1" applyFill="1" applyBorder="1"/>
    <xf numFmtId="3" fontId="6" fillId="0" borderId="22" xfId="13" applyNumberFormat="1" applyFont="1" applyFill="1" applyBorder="1" applyAlignment="1">
      <alignment horizontal="left"/>
    </xf>
    <xf numFmtId="3" fontId="6" fillId="0" borderId="23" xfId="13" applyNumberFormat="1" applyFont="1" applyFill="1" applyBorder="1" applyAlignment="1">
      <alignment horizontal="left"/>
    </xf>
    <xf numFmtId="41" fontId="6" fillId="0" borderId="23" xfId="12" applyNumberFormat="1" applyFont="1" applyFill="1" applyBorder="1" applyAlignment="1">
      <alignment horizontal="center" wrapText="1"/>
    </xf>
    <xf numFmtId="41" fontId="6" fillId="11" borderId="43" xfId="10" applyNumberFormat="1" applyFont="1" applyFill="1" applyBorder="1" applyAlignment="1">
      <alignment horizontal="center"/>
    </xf>
    <xf numFmtId="0" fontId="10" fillId="0" borderId="0" xfId="0" applyFont="1" applyAlignment="1">
      <alignment horizontal="center"/>
    </xf>
    <xf numFmtId="0" fontId="9" fillId="0" borderId="0" xfId="0" applyFont="1" applyFill="1" applyAlignment="1">
      <alignment horizontal="center"/>
    </xf>
    <xf numFmtId="0" fontId="9" fillId="0" borderId="0" xfId="0" applyFont="1" applyAlignment="1">
      <alignment vertical="top"/>
    </xf>
    <xf numFmtId="0" fontId="10" fillId="0" borderId="0" xfId="0" applyFont="1" applyAlignment="1">
      <alignment horizontal="center" vertical="top"/>
    </xf>
    <xf numFmtId="0" fontId="10" fillId="0" borderId="0" xfId="0" applyFont="1" applyFill="1" applyAlignment="1">
      <alignment horizontal="center" vertical="top"/>
    </xf>
    <xf numFmtId="0" fontId="10" fillId="0" borderId="0" xfId="0" applyFont="1" applyAlignment="1">
      <alignment vertical="top"/>
    </xf>
    <xf numFmtId="0" fontId="10" fillId="0" borderId="0" xfId="0" applyFont="1" applyBorder="1" applyAlignment="1">
      <alignment horizontal="center" vertical="top"/>
    </xf>
    <xf numFmtId="0" fontId="9" fillId="0" borderId="0" xfId="0" applyFont="1" applyBorder="1" applyAlignment="1">
      <alignment horizontal="left" vertical="top"/>
    </xf>
    <xf numFmtId="3" fontId="9" fillId="0" borderId="0" xfId="0" applyNumberFormat="1" applyFont="1" applyAlignment="1">
      <alignment vertical="top"/>
    </xf>
    <xf numFmtId="3" fontId="9" fillId="0" borderId="0" xfId="0" applyNumberFormat="1" applyFont="1" applyFill="1" applyAlignment="1">
      <alignment vertical="top"/>
    </xf>
    <xf numFmtId="3" fontId="9" fillId="0" borderId="0" xfId="0" applyNumberFormat="1" applyFont="1" applyFill="1" applyBorder="1" applyAlignment="1">
      <alignment vertical="top"/>
    </xf>
    <xf numFmtId="0" fontId="9" fillId="0" borderId="0" xfId="0" applyFont="1" applyFill="1" applyAlignment="1">
      <alignment vertical="top"/>
    </xf>
    <xf numFmtId="3" fontId="9" fillId="0" borderId="0" xfId="0" applyNumberFormat="1" applyFont="1" applyBorder="1" applyAlignment="1">
      <alignment vertical="top"/>
    </xf>
    <xf numFmtId="0" fontId="9" fillId="0" borderId="0" xfId="0" applyFont="1" applyFill="1" applyBorder="1" applyAlignment="1">
      <alignment vertical="top"/>
    </xf>
    <xf numFmtId="0" fontId="6"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4" fontId="9" fillId="0" borderId="0" xfId="0" applyNumberFormat="1" applyFont="1" applyAlignment="1">
      <alignment horizontal="left" vertical="top"/>
    </xf>
    <xf numFmtId="0" fontId="10" fillId="0" borderId="0" xfId="0" applyFont="1" applyBorder="1" applyAlignment="1">
      <alignment horizontal="left" vertical="top"/>
    </xf>
    <xf numFmtId="4" fontId="9" fillId="0" borderId="0" xfId="0" applyNumberFormat="1" applyFont="1" applyAlignment="1">
      <alignment horizontal="center" vertical="top"/>
    </xf>
    <xf numFmtId="4" fontId="9" fillId="0" borderId="0" xfId="0" applyNumberFormat="1" applyFont="1" applyFill="1" applyAlignment="1">
      <alignment horizontal="center" vertical="top"/>
    </xf>
    <xf numFmtId="4" fontId="9" fillId="0" borderId="0" xfId="0" applyNumberFormat="1" applyFont="1" applyFill="1" applyBorder="1" applyAlignment="1">
      <alignment horizontal="center" vertical="top"/>
    </xf>
    <xf numFmtId="4" fontId="9" fillId="0" borderId="0" xfId="0" applyNumberFormat="1" applyFont="1" applyFill="1" applyBorder="1" applyAlignment="1">
      <alignment horizontal="left" vertical="top"/>
    </xf>
    <xf numFmtId="0" fontId="9" fillId="0" borderId="0" xfId="0" applyFont="1" applyFill="1" applyAlignment="1">
      <alignment horizontal="center" vertical="top"/>
    </xf>
    <xf numFmtId="0" fontId="10" fillId="0" borderId="0" xfId="0" applyFont="1" applyFill="1" applyAlignment="1">
      <alignment horizontal="left" vertical="top"/>
    </xf>
    <xf numFmtId="4" fontId="9" fillId="0" borderId="0" xfId="0" applyNumberFormat="1" applyFont="1" applyFill="1" applyAlignment="1">
      <alignment horizontal="left" vertical="top"/>
    </xf>
    <xf numFmtId="4" fontId="9" fillId="0" borderId="0" xfId="0" applyNumberFormat="1" applyFont="1" applyBorder="1" applyAlignment="1">
      <alignment horizontal="left" vertical="top"/>
    </xf>
    <xf numFmtId="4" fontId="9" fillId="0" borderId="0" xfId="0" applyNumberFormat="1" applyFont="1" applyBorder="1" applyAlignment="1">
      <alignment horizontal="center" vertical="top"/>
    </xf>
    <xf numFmtId="0" fontId="9" fillId="0" borderId="0" xfId="0" applyFont="1" applyAlignment="1">
      <alignment horizontal="center" vertical="top"/>
    </xf>
    <xf numFmtId="0" fontId="9" fillId="0" borderId="0" xfId="0" applyFont="1" applyFill="1" applyAlignment="1">
      <alignment horizontal="right" vertical="top"/>
    </xf>
    <xf numFmtId="0" fontId="23" fillId="0" borderId="0" xfId="0" applyFont="1" applyAlignment="1">
      <alignment horizontal="left" vertical="top"/>
    </xf>
    <xf numFmtId="0" fontId="9" fillId="0" borderId="0" xfId="0" applyFont="1" applyAlignment="1">
      <alignment horizontal="left" vertical="top"/>
    </xf>
    <xf numFmtId="41" fontId="74" fillId="0" borderId="22" xfId="0" applyNumberFormat="1" applyFont="1" applyBorder="1"/>
    <xf numFmtId="41" fontId="74" fillId="0" borderId="23" xfId="0" applyNumberFormat="1" applyFont="1" applyBorder="1"/>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9" fillId="4" borderId="0" xfId="0" applyFont="1" applyFill="1" applyAlignment="1">
      <alignment vertical="top"/>
    </xf>
    <xf numFmtId="0" fontId="9" fillId="0" borderId="0" xfId="0" applyFont="1" applyBorder="1" applyAlignment="1">
      <alignment horizontal="center" vertical="top"/>
    </xf>
    <xf numFmtId="0" fontId="10" fillId="0" borderId="0" xfId="0" applyFont="1" applyFill="1" applyBorder="1" applyAlignment="1">
      <alignment horizontal="center" vertical="top"/>
    </xf>
    <xf numFmtId="0" fontId="6" fillId="0" borderId="0" xfId="0" applyFont="1" applyFill="1" applyBorder="1" applyAlignment="1">
      <alignment horizontal="center" vertical="top"/>
    </xf>
    <xf numFmtId="0" fontId="10" fillId="0" borderId="0" xfId="0" applyFont="1" applyFill="1" applyAlignment="1">
      <alignment horizontal="left" vertical="top" wrapText="1"/>
    </xf>
    <xf numFmtId="41" fontId="10" fillId="0" borderId="0" xfId="0" applyNumberFormat="1" applyFont="1" applyFill="1" applyAlignment="1">
      <alignment horizontal="left" vertical="top"/>
    </xf>
    <xf numFmtId="41" fontId="10" fillId="0" borderId="0" xfId="0" applyNumberFormat="1" applyFont="1" applyFill="1" applyAlignment="1">
      <alignment horizontal="left" vertical="top" wrapText="1"/>
    </xf>
    <xf numFmtId="0" fontId="10" fillId="0" borderId="0" xfId="0" applyFont="1" applyFill="1" applyAlignment="1">
      <alignment vertical="top"/>
    </xf>
    <xf numFmtId="0" fontId="10" fillId="0" borderId="0" xfId="0" applyFont="1" applyFill="1" applyAlignment="1">
      <alignment vertical="top" wrapText="1"/>
    </xf>
    <xf numFmtId="0" fontId="10" fillId="4" borderId="0" xfId="0" applyFont="1" applyFill="1" applyAlignment="1">
      <alignment vertical="top"/>
    </xf>
    <xf numFmtId="0" fontId="10" fillId="0" borderId="0" xfId="0" applyFont="1" applyAlignment="1">
      <alignment vertical="top" wrapText="1"/>
    </xf>
    <xf numFmtId="3" fontId="9" fillId="0" borderId="0" xfId="0" applyNumberFormat="1" applyFont="1" applyFill="1" applyAlignment="1">
      <alignment vertical="top" wrapText="1"/>
    </xf>
    <xf numFmtId="0" fontId="10" fillId="0" borderId="0" xfId="0" applyFont="1" applyAlignment="1">
      <alignment horizontal="center" vertical="top" wrapText="1"/>
    </xf>
    <xf numFmtId="0" fontId="6" fillId="0" borderId="0" xfId="0" applyFont="1" applyAlignment="1">
      <alignment horizontal="center" vertical="top" wrapText="1"/>
    </xf>
    <xf numFmtId="0" fontId="44" fillId="0" borderId="10" xfId="0" applyFont="1" applyBorder="1" applyAlignment="1">
      <alignment horizontal="center" vertical="top"/>
    </xf>
    <xf numFmtId="0" fontId="44" fillId="0" borderId="10" xfId="0" applyFont="1" applyBorder="1" applyAlignment="1">
      <alignment horizontal="left" vertical="top"/>
    </xf>
    <xf numFmtId="0" fontId="44" fillId="0" borderId="10" xfId="0" applyFont="1" applyFill="1" applyBorder="1" applyAlignment="1">
      <alignment horizontal="center" vertical="top"/>
    </xf>
    <xf numFmtId="0" fontId="44" fillId="0" borderId="0" xfId="0" applyFont="1" applyFill="1"/>
    <xf numFmtId="0" fontId="44" fillId="0" borderId="0" xfId="0" applyFont="1"/>
    <xf numFmtId="0" fontId="44" fillId="12" borderId="10" xfId="0" applyFont="1" applyFill="1" applyBorder="1" applyAlignment="1">
      <alignment horizontal="center" vertical="top"/>
    </xf>
    <xf numFmtId="0" fontId="44" fillId="12" borderId="0" xfId="0" quotePrefix="1" applyFont="1" applyFill="1" applyAlignment="1">
      <alignment horizontal="center" vertical="top"/>
    </xf>
    <xf numFmtId="0" fontId="10" fillId="0" borderId="0" xfId="0" applyFont="1" applyFill="1" applyBorder="1" applyAlignment="1">
      <alignment vertical="top" wrapText="1"/>
    </xf>
    <xf numFmtId="0" fontId="35" fillId="0" borderId="0" xfId="0" quotePrefix="1" applyFont="1" applyFill="1" applyAlignment="1">
      <alignment horizontal="center"/>
    </xf>
    <xf numFmtId="3" fontId="7" fillId="0" borderId="0" xfId="13" applyNumberFormat="1" applyFont="1" applyAlignment="1">
      <alignment horizontal="center"/>
    </xf>
    <xf numFmtId="41" fontId="6" fillId="4" borderId="0" xfId="12" applyNumberFormat="1" applyFont="1" applyFill="1"/>
    <xf numFmtId="41" fontId="5" fillId="4" borderId="0" xfId="12" applyNumberFormat="1" applyFont="1" applyFill="1"/>
    <xf numFmtId="3" fontId="69" fillId="4" borderId="0" xfId="13" applyNumberFormat="1" applyFont="1" applyFill="1"/>
    <xf numFmtId="41" fontId="64" fillId="4" borderId="0" xfId="12" applyNumberFormat="1" applyFont="1" applyFill="1"/>
    <xf numFmtId="41" fontId="6" fillId="11" borderId="37" xfId="12" applyNumberFormat="1" applyFont="1" applyFill="1" applyBorder="1" applyAlignment="1">
      <alignment vertical="top"/>
    </xf>
    <xf numFmtId="41" fontId="6" fillId="11" borderId="37" xfId="12" applyNumberFormat="1" applyFont="1" applyFill="1" applyBorder="1" applyAlignment="1">
      <alignment horizontal="right" vertical="top"/>
    </xf>
    <xf numFmtId="0" fontId="10" fillId="0" borderId="0" xfId="0" applyFont="1" applyAlignment="1">
      <alignment horizontal="center"/>
    </xf>
    <xf numFmtId="0" fontId="10" fillId="0" borderId="0" xfId="0" applyFont="1" applyAlignment="1">
      <alignment horizontal="center" vertical="top"/>
    </xf>
    <xf numFmtId="0" fontId="6" fillId="0" borderId="0" xfId="0" applyFont="1" applyAlignment="1">
      <alignment horizontal="center" vertical="top"/>
    </xf>
    <xf numFmtId="0" fontId="9" fillId="0" borderId="0" xfId="0" applyFont="1" applyFill="1" applyAlignment="1">
      <alignment horizontal="center"/>
    </xf>
    <xf numFmtId="41" fontId="74" fillId="0" borderId="41" xfId="0" applyNumberFormat="1" applyFont="1" applyBorder="1"/>
    <xf numFmtId="41" fontId="74" fillId="0" borderId="37" xfId="0" applyNumberFormat="1" applyFont="1" applyBorder="1"/>
    <xf numFmtId="41" fontId="5" fillId="0" borderId="33" xfId="12" applyNumberFormat="1" applyFont="1" applyBorder="1"/>
    <xf numFmtId="41" fontId="5" fillId="0" borderId="35" xfId="12" applyNumberFormat="1" applyFont="1" applyBorder="1"/>
    <xf numFmtId="41" fontId="70" fillId="0" borderId="22" xfId="12" applyNumberFormat="1" applyFont="1" applyFill="1" applyBorder="1" applyAlignment="1">
      <alignment wrapText="1"/>
    </xf>
    <xf numFmtId="41" fontId="70" fillId="0" borderId="23" xfId="12" applyNumberFormat="1" applyFont="1" applyFill="1" applyBorder="1" applyAlignment="1">
      <alignment wrapText="1"/>
    </xf>
    <xf numFmtId="41" fontId="6" fillId="0" borderId="37" xfId="12" applyNumberFormat="1" applyFont="1" applyFill="1" applyBorder="1" applyAlignment="1">
      <alignment vertical="top"/>
    </xf>
    <xf numFmtId="2" fontId="6" fillId="0" borderId="22" xfId="4" applyNumberFormat="1" applyFont="1" applyBorder="1" applyAlignment="1" applyProtection="1">
      <alignment horizontal="center"/>
    </xf>
    <xf numFmtId="2" fontId="6" fillId="0" borderId="23" xfId="4" applyNumberFormat="1" applyFont="1" applyBorder="1" applyAlignment="1" applyProtection="1">
      <alignment horizontal="center"/>
    </xf>
    <xf numFmtId="5" fontId="5" fillId="0" borderId="46" xfId="12" applyNumberFormat="1" applyFont="1" applyBorder="1"/>
    <xf numFmtId="5" fontId="5" fillId="0" borderId="47" xfId="12" applyNumberFormat="1" applyFont="1" applyBorder="1"/>
    <xf numFmtId="5" fontId="5" fillId="0" borderId="22" xfId="12" applyNumberFormat="1" applyFont="1" applyBorder="1"/>
    <xf numFmtId="5" fontId="5" fillId="0" borderId="23" xfId="12" applyNumberFormat="1" applyFont="1" applyBorder="1"/>
    <xf numFmtId="41" fontId="5" fillId="0" borderId="42" xfId="12" applyNumberFormat="1" applyFont="1" applyFill="1" applyBorder="1"/>
    <xf numFmtId="41" fontId="5" fillId="0" borderId="50" xfId="12" applyNumberFormat="1" applyFont="1" applyFill="1" applyBorder="1"/>
    <xf numFmtId="41" fontId="5" fillId="0" borderId="24" xfId="12" applyNumberFormat="1" applyFont="1" applyFill="1" applyBorder="1" applyAlignment="1">
      <alignment vertical="top"/>
    </xf>
    <xf numFmtId="41" fontId="5" fillId="0" borderId="26" xfId="12" applyNumberFormat="1" applyFont="1" applyFill="1" applyBorder="1" applyAlignment="1">
      <alignment vertical="top"/>
    </xf>
    <xf numFmtId="15" fontId="44" fillId="9" borderId="14" xfId="0" quotePrefix="1" applyNumberFormat="1" applyFont="1" applyFill="1" applyBorder="1" applyAlignment="1">
      <alignment horizontal="center"/>
    </xf>
    <xf numFmtId="15" fontId="44" fillId="9" borderId="12" xfId="0" quotePrefix="1" applyNumberFormat="1" applyFont="1" applyFill="1" applyBorder="1" applyAlignment="1">
      <alignment horizontal="center"/>
    </xf>
    <xf numFmtId="41" fontId="44" fillId="9" borderId="12" xfId="0" quotePrefix="1" applyNumberFormat="1" applyFont="1" applyFill="1" applyBorder="1" applyAlignment="1">
      <alignment horizontal="center"/>
    </xf>
    <xf numFmtId="41" fontId="44" fillId="9" borderId="15" xfId="0" quotePrefix="1" applyNumberFormat="1" applyFont="1" applyFill="1" applyBorder="1" applyAlignment="1">
      <alignment horizontal="center"/>
    </xf>
    <xf numFmtId="0" fontId="45" fillId="0" borderId="0" xfId="12" applyNumberFormat="1" applyFont="1" applyAlignment="1">
      <alignment horizontal="left" vertical="top" wrapText="1"/>
    </xf>
    <xf numFmtId="3" fontId="10" fillId="0" borderId="0" xfId="0" applyNumberFormat="1" applyFont="1" applyFill="1" applyAlignment="1">
      <alignment horizontal="center"/>
    </xf>
    <xf numFmtId="0" fontId="53" fillId="0" borderId="0" xfId="0" applyFont="1" applyAlignment="1">
      <alignment horizontal="center" wrapText="1"/>
    </xf>
    <xf numFmtId="0" fontId="53" fillId="0" borderId="10" xfId="0" applyFont="1" applyBorder="1" applyAlignment="1">
      <alignment horizontal="center" wrapText="1"/>
    </xf>
    <xf numFmtId="3" fontId="53" fillId="0" borderId="0" xfId="0" applyNumberFormat="1" applyFont="1" applyFill="1" applyAlignment="1">
      <alignment horizontal="center"/>
    </xf>
    <xf numFmtId="0" fontId="53" fillId="6" borderId="33" xfId="0" applyFont="1" applyFill="1" applyBorder="1" applyAlignment="1">
      <alignment horizontal="center"/>
    </xf>
    <xf numFmtId="0" fontId="53" fillId="6" borderId="34" xfId="0" applyFont="1" applyFill="1" applyBorder="1" applyAlignment="1">
      <alignment horizontal="center"/>
    </xf>
    <xf numFmtId="0" fontId="53" fillId="6" borderId="35" xfId="0" applyFont="1" applyFill="1" applyBorder="1" applyAlignment="1">
      <alignment horizontal="center"/>
    </xf>
    <xf numFmtId="0" fontId="53" fillId="6" borderId="22" xfId="0" applyFont="1" applyFill="1" applyBorder="1" applyAlignment="1">
      <alignment horizontal="center"/>
    </xf>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53"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41" fontId="5" fillId="4" borderId="6" xfId="12" applyNumberFormat="1" applyFont="1" applyFill="1" applyBorder="1" applyAlignment="1">
      <alignment horizontal="left" vertical="top" wrapText="1"/>
    </xf>
    <xf numFmtId="41" fontId="5" fillId="4" borderId="0" xfId="12" applyNumberFormat="1" applyFont="1" applyFill="1" applyAlignment="1">
      <alignment horizontal="left" vertical="top" wrapText="1"/>
    </xf>
    <xf numFmtId="41" fontId="5" fillId="4" borderId="0" xfId="12" applyNumberFormat="1" applyFont="1" applyFill="1" applyAlignment="1">
      <alignment horizontal="left"/>
    </xf>
    <xf numFmtId="41" fontId="70" fillId="13" borderId="33" xfId="12" applyNumberFormat="1" applyFont="1" applyFill="1" applyBorder="1" applyAlignment="1">
      <alignment horizontal="center" wrapText="1"/>
    </xf>
    <xf numFmtId="41" fontId="70" fillId="13" borderId="35" xfId="12" applyNumberFormat="1" applyFont="1" applyFill="1" applyBorder="1" applyAlignment="1">
      <alignment horizontal="center" wrapText="1"/>
    </xf>
    <xf numFmtId="41" fontId="70" fillId="13" borderId="22" xfId="12" applyNumberFormat="1" applyFont="1" applyFill="1" applyBorder="1" applyAlignment="1">
      <alignment horizontal="center" wrapText="1"/>
    </xf>
    <xf numFmtId="41" fontId="70" fillId="13" borderId="23" xfId="12" applyNumberFormat="1" applyFont="1" applyFill="1" applyBorder="1" applyAlignment="1">
      <alignment horizontal="center" wrapText="1"/>
    </xf>
    <xf numFmtId="41" fontId="6" fillId="9" borderId="0" xfId="12" applyNumberFormat="1" applyFont="1" applyFill="1" applyAlignment="1">
      <alignment horizontal="center" wrapText="1"/>
    </xf>
    <xf numFmtId="41" fontId="6" fillId="4" borderId="22" xfId="12" applyNumberFormat="1" applyFont="1" applyFill="1" applyBorder="1" applyAlignment="1">
      <alignment horizontal="center" wrapText="1"/>
    </xf>
    <xf numFmtId="41" fontId="6" fillId="4" borderId="23" xfId="12" applyNumberFormat="1" applyFont="1" applyFill="1" applyBorder="1" applyAlignment="1">
      <alignment horizontal="center" wrapText="1"/>
    </xf>
    <xf numFmtId="3" fontId="6" fillId="13" borderId="0" xfId="13" applyNumberFormat="1" applyFont="1" applyFill="1" applyAlignment="1">
      <alignment horizontal="center" vertical="center" wrapText="1"/>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41" fontId="70" fillId="9" borderId="0" xfId="12" quotePrefix="1" applyNumberFormat="1" applyFont="1" applyFill="1" applyAlignment="1">
      <alignment horizontal="center" wrapText="1"/>
    </xf>
    <xf numFmtId="0" fontId="9" fillId="0" borderId="0" xfId="0" applyFont="1" applyAlignment="1">
      <alignment horizontal="center"/>
    </xf>
    <xf numFmtId="0" fontId="11" fillId="0" borderId="0" xfId="0" applyFont="1" applyAlignment="1">
      <alignment horizontal="center"/>
    </xf>
    <xf numFmtId="41" fontId="10" fillId="0" borderId="0" xfId="0" applyNumberFormat="1" applyFont="1" applyFill="1" applyAlignment="1">
      <alignment horizontal="center" vertical="top" wrapText="1"/>
    </xf>
    <xf numFmtId="0" fontId="10" fillId="0" borderId="0" xfId="0" applyFont="1" applyAlignment="1">
      <alignment horizontal="center" vertical="top"/>
    </xf>
    <xf numFmtId="0" fontId="10" fillId="4" borderId="0" xfId="0" applyFont="1" applyFill="1" applyAlignment="1">
      <alignment horizontal="center" vertical="center" wrapText="1"/>
    </xf>
    <xf numFmtId="4" fontId="9" fillId="0" borderId="0" xfId="0" applyNumberFormat="1" applyFont="1" applyAlignment="1">
      <alignment horizontal="center" vertical="top"/>
    </xf>
    <xf numFmtId="4" fontId="9" fillId="0" borderId="0" xfId="0" applyNumberFormat="1" applyFont="1" applyAlignment="1">
      <alignment horizontal="left" vertical="top"/>
    </xf>
    <xf numFmtId="3" fontId="9" fillId="0" borderId="0" xfId="0" applyNumberFormat="1" applyFont="1" applyAlignment="1">
      <alignment horizontal="left" vertical="top" wrapText="1"/>
    </xf>
    <xf numFmtId="0" fontId="6" fillId="0" borderId="0" xfId="0" applyFont="1" applyAlignment="1">
      <alignment horizontal="center" vertical="top"/>
    </xf>
    <xf numFmtId="0" fontId="6" fillId="0" borderId="0" xfId="0" applyFont="1" applyFill="1" applyBorder="1" applyAlignment="1">
      <alignment horizontal="center" wrapText="1"/>
    </xf>
    <xf numFmtId="0" fontId="6" fillId="0" borderId="10" xfId="0" applyFont="1" applyFill="1" applyBorder="1" applyAlignment="1">
      <alignment horizontal="center" wrapText="1"/>
    </xf>
    <xf numFmtId="0" fontId="10" fillId="4" borderId="40" xfId="0" applyFont="1" applyFill="1" applyBorder="1" applyAlignment="1">
      <alignment horizontal="left" vertical="top" wrapText="1"/>
    </xf>
    <xf numFmtId="0" fontId="10" fillId="4" borderId="31" xfId="0" applyFont="1" applyFill="1" applyBorder="1" applyAlignment="1">
      <alignment horizontal="left" vertical="top" wrapText="1"/>
    </xf>
    <xf numFmtId="0" fontId="10" fillId="4" borderId="32" xfId="0" applyFont="1" applyFill="1" applyBorder="1" applyAlignment="1">
      <alignment horizontal="left" vertical="top" wrapText="1"/>
    </xf>
    <xf numFmtId="0" fontId="10" fillId="7" borderId="40" xfId="0" applyFont="1" applyFill="1" applyBorder="1" applyAlignment="1">
      <alignment horizontal="left" vertical="top" wrapText="1"/>
    </xf>
    <xf numFmtId="0" fontId="10" fillId="7" borderId="31" xfId="0" applyFont="1" applyFill="1" applyBorder="1" applyAlignment="1">
      <alignment horizontal="left" vertical="top" wrapText="1"/>
    </xf>
    <xf numFmtId="0" fontId="10" fillId="7" borderId="32" xfId="0" applyFont="1" applyFill="1" applyBorder="1" applyAlignment="1">
      <alignment horizontal="left" vertical="top" wrapText="1"/>
    </xf>
    <xf numFmtId="0" fontId="9" fillId="0" borderId="0" xfId="0" applyFont="1" applyAlignment="1">
      <alignment horizontal="center" vertical="top"/>
    </xf>
    <xf numFmtId="0" fontId="11" fillId="0" borderId="0" xfId="0" applyFont="1" applyAlignment="1">
      <alignment horizontal="center" vertical="top"/>
    </xf>
    <xf numFmtId="0" fontId="10" fillId="0" borderId="0" xfId="0" applyFont="1" applyFill="1" applyBorder="1" applyAlignment="1">
      <alignment horizontal="center" wrapText="1"/>
    </xf>
    <xf numFmtId="0" fontId="10" fillId="0" borderId="10" xfId="0" applyFont="1" applyFill="1" applyBorder="1" applyAlignment="1">
      <alignment horizontal="center" wrapText="1"/>
    </xf>
    <xf numFmtId="3" fontId="20" fillId="0" borderId="0" xfId="0" applyNumberFormat="1" applyFont="1" applyAlignment="1">
      <alignment horizontal="left"/>
    </xf>
    <xf numFmtId="0" fontId="28" fillId="0" borderId="0" xfId="0" applyFont="1" applyAlignment="1">
      <alignment horizontal="center"/>
    </xf>
    <xf numFmtId="0" fontId="9" fillId="0" borderId="10" xfId="0" applyFont="1" applyBorder="1" applyAlignment="1">
      <alignment horizontal="center"/>
    </xf>
    <xf numFmtId="0" fontId="9" fillId="0" borderId="0" xfId="0" applyFont="1" applyFill="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41" fontId="6" fillId="13" borderId="0" xfId="12" applyNumberFormat="1" applyFont="1" applyFill="1" applyBorder="1" applyAlignment="1">
      <alignment horizontal="center" vertical="top" wrapText="1"/>
    </xf>
    <xf numFmtId="41" fontId="5" fillId="4" borderId="10" xfId="12" applyNumberFormat="1" applyFont="1" applyFill="1" applyBorder="1"/>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color rgb="FFFDFED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orking%20from%20home%20folder\WA%20GRC%202020\2019%20CBR%20WA%20Electric%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ADJ DETAIL-INPUT"/>
      <sheetName val="RR SUMMARY"/>
      <sheetName val="CF "/>
      <sheetName val="Acerno_Cache_XXXXX"/>
      <sheetName val="LEAD SHEETS-DO NOT ENTER"/>
      <sheetName val="ROO INPUT"/>
      <sheetName val="DEBT CALC"/>
      <sheetName val="Normalized ROE - Elec&amp;Gas"/>
    </sheetNames>
    <sheetDataSet>
      <sheetData sheetId="0" refreshError="1"/>
      <sheetData sheetId="1">
        <row r="4">
          <cell r="A4" t="str">
            <v>TWELVE MONTHS ENDED DECEMBER 31, 2019</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FE194-DF6D-41B9-B673-1F1BCD099847}">
  <sheetPr>
    <tabColor rgb="FFFFFF00"/>
  </sheetPr>
  <dimension ref="A1:AA91"/>
  <sheetViews>
    <sheetView tabSelected="1" zoomScaleNormal="100" workbookViewId="0">
      <selection activeCell="E2" sqref="E2"/>
    </sheetView>
  </sheetViews>
  <sheetFormatPr defaultColWidth="9.140625" defaultRowHeight="12.75"/>
  <cols>
    <col min="1" max="1" width="4.5703125" style="410" customWidth="1"/>
    <col min="2" max="3" width="1.5703125" style="409" customWidth="1"/>
    <col min="4" max="4" width="30.42578125" style="409" customWidth="1"/>
    <col min="5" max="6" width="11.5703125" style="233" customWidth="1"/>
    <col min="7" max="7" width="12.42578125" style="233" customWidth="1"/>
    <col min="8" max="8" width="13.5703125" style="233" customWidth="1"/>
    <col min="9" max="9" width="15.28515625" style="233" customWidth="1"/>
    <col min="10" max="10" width="14.42578125" style="233" customWidth="1"/>
    <col min="11" max="11" width="13.42578125" style="233" customWidth="1"/>
    <col min="12" max="12" width="24" style="25" customWidth="1"/>
    <col min="13" max="13" width="20.7109375" style="233" customWidth="1"/>
    <col min="14" max="14" width="9.140625" style="25"/>
    <col min="15" max="15" width="11.140625" style="25" bestFit="1" customWidth="1"/>
    <col min="16" max="17" width="9.140625" style="25"/>
    <col min="18" max="18" width="11.140625" style="25" bestFit="1" customWidth="1"/>
    <col min="19" max="19" width="9.140625" style="50"/>
    <col min="20" max="38" width="9.140625" style="25"/>
    <col min="39" max="39" width="14.5703125" style="25" customWidth="1"/>
    <col min="40" max="16384" width="9.140625" style="25"/>
  </cols>
  <sheetData>
    <row r="1" spans="1:24" ht="15">
      <c r="A1" s="574" t="str">
        <f>'ADJ DETAIL-INPUT'!A2</f>
        <v xml:space="preserve">AVISTA UTILITIES  </v>
      </c>
      <c r="D1" s="410"/>
      <c r="E1" s="846"/>
      <c r="F1" s="846"/>
      <c r="G1" s="846"/>
      <c r="H1" s="846"/>
      <c r="M1" s="846"/>
    </row>
    <row r="2" spans="1:24" ht="15">
      <c r="A2" s="574" t="str">
        <f>'ADJ DETAIL-INPUT'!A3</f>
        <v xml:space="preserve">WASHINGTON ELECTRIC RESULTS </v>
      </c>
      <c r="D2" s="410"/>
    </row>
    <row r="3" spans="1:24" ht="15" customHeight="1">
      <c r="A3" s="518" t="str">
        <f>'ADJ DETAIL-INPUT'!A4</f>
        <v>TWELVE MONTHS ENDED DECEMBER 31, 2019</v>
      </c>
      <c r="D3" s="410"/>
    </row>
    <row r="4" spans="1:24" ht="15">
      <c r="A4" s="574" t="str">
        <f>'ADJ DETAIL-INPUT'!A5</f>
        <v xml:space="preserve">(000'S OF DOLLARS)  </v>
      </c>
      <c r="D4" s="410"/>
      <c r="E4" s="974" t="s">
        <v>767</v>
      </c>
      <c r="F4" s="975"/>
      <c r="G4" s="975"/>
      <c r="H4" s="976"/>
      <c r="I4" s="976"/>
      <c r="J4" s="976"/>
      <c r="K4" s="977"/>
      <c r="M4" s="25"/>
    </row>
    <row r="5" spans="1:24">
      <c r="A5" s="518"/>
      <c r="B5" s="412"/>
      <c r="C5" s="412"/>
      <c r="D5" s="411"/>
      <c r="E5" s="243" t="s">
        <v>167</v>
      </c>
      <c r="F5" s="244"/>
      <c r="G5" s="245"/>
      <c r="H5" s="244"/>
      <c r="I5" s="245"/>
      <c r="J5" s="243" t="s">
        <v>741</v>
      </c>
      <c r="K5" s="245"/>
      <c r="M5" s="244" t="s">
        <v>830</v>
      </c>
      <c r="X5" s="544"/>
    </row>
    <row r="6" spans="1:24">
      <c r="A6" s="413"/>
      <c r="B6" s="414"/>
      <c r="C6" s="415"/>
      <c r="D6" s="9"/>
      <c r="E6" s="246" t="s">
        <v>168</v>
      </c>
      <c r="F6" s="246" t="s">
        <v>135</v>
      </c>
      <c r="G6" s="843" t="s">
        <v>20</v>
      </c>
      <c r="H6" s="246" t="s">
        <v>135</v>
      </c>
      <c r="I6" s="843" t="s">
        <v>826</v>
      </c>
      <c r="J6" s="247" t="s">
        <v>169</v>
      </c>
      <c r="K6" s="505" t="s">
        <v>768</v>
      </c>
      <c r="M6" s="246" t="s">
        <v>135</v>
      </c>
    </row>
    <row r="7" spans="1:24">
      <c r="A7" s="416" t="s">
        <v>8</v>
      </c>
      <c r="B7" s="417"/>
      <c r="C7" s="418"/>
      <c r="D7" s="13"/>
      <c r="E7" s="248" t="s">
        <v>9</v>
      </c>
      <c r="F7" s="248" t="s">
        <v>829</v>
      </c>
      <c r="G7" s="844" t="s">
        <v>825</v>
      </c>
      <c r="H7" s="248" t="s">
        <v>7</v>
      </c>
      <c r="I7" s="844" t="s">
        <v>655</v>
      </c>
      <c r="J7" s="249" t="s">
        <v>170</v>
      </c>
      <c r="K7" s="248" t="s">
        <v>169</v>
      </c>
      <c r="M7" s="248" t="s">
        <v>145</v>
      </c>
    </row>
    <row r="8" spans="1:24">
      <c r="A8" s="419" t="s">
        <v>21</v>
      </c>
      <c r="B8" s="420"/>
      <c r="C8" s="421"/>
      <c r="D8" s="17" t="s">
        <v>22</v>
      </c>
      <c r="E8" s="250" t="s">
        <v>23</v>
      </c>
      <c r="F8" s="250" t="s">
        <v>145</v>
      </c>
      <c r="G8" s="845" t="s">
        <v>656</v>
      </c>
      <c r="H8" s="250" t="s">
        <v>145</v>
      </c>
      <c r="I8" s="845" t="s">
        <v>831</v>
      </c>
      <c r="J8" s="251" t="s">
        <v>171</v>
      </c>
      <c r="K8" s="250" t="s">
        <v>135</v>
      </c>
      <c r="M8" s="250" t="s">
        <v>834</v>
      </c>
    </row>
    <row r="9" spans="1:24">
      <c r="A9" s="18"/>
      <c r="B9" s="19"/>
      <c r="C9" s="19"/>
      <c r="D9" s="19" t="s">
        <v>34</v>
      </c>
      <c r="E9" s="252" t="s">
        <v>35</v>
      </c>
      <c r="F9" s="842" t="s">
        <v>827</v>
      </c>
      <c r="G9" s="842" t="s">
        <v>828</v>
      </c>
      <c r="H9" s="252" t="s">
        <v>36</v>
      </c>
      <c r="I9" s="252" t="s">
        <v>37</v>
      </c>
      <c r="J9" s="252" t="s">
        <v>38</v>
      </c>
      <c r="K9" s="252" t="s">
        <v>39</v>
      </c>
      <c r="M9" s="842" t="s">
        <v>835</v>
      </c>
    </row>
    <row r="10" spans="1:24" ht="5.25" customHeight="1"/>
    <row r="11" spans="1:24" ht="5.25" customHeight="1"/>
    <row r="12" spans="1:24" ht="1.5" customHeight="1"/>
    <row r="13" spans="1:24">
      <c r="B13" s="409" t="s">
        <v>40</v>
      </c>
    </row>
    <row r="14" spans="1:24">
      <c r="A14" s="422">
        <v>1</v>
      </c>
      <c r="B14" s="423" t="s">
        <v>41</v>
      </c>
      <c r="C14" s="423"/>
      <c r="D14" s="423"/>
      <c r="E14" s="423">
        <f>'ADJ DETAIL-INPUT'!E14</f>
        <v>546549</v>
      </c>
      <c r="F14" s="423">
        <f>G14-E14</f>
        <v>-42694</v>
      </c>
      <c r="G14" s="423">
        <f>'ADJ DETAIL-INPUT'!AC14</f>
        <v>503855</v>
      </c>
      <c r="H14" s="423">
        <f>I14-G14</f>
        <v>25496</v>
      </c>
      <c r="I14" s="423">
        <f>'ADJ DETAIL-INPUT'!BF14</f>
        <v>529351</v>
      </c>
      <c r="J14" s="449">
        <f>'CF '!J9</f>
        <v>40154.597875655294</v>
      </c>
      <c r="K14" s="423">
        <f>I14+J14</f>
        <v>569505.59787565528</v>
      </c>
      <c r="M14" s="423">
        <f>F14+H14</f>
        <v>-17198</v>
      </c>
      <c r="N14" s="36"/>
    </row>
    <row r="15" spans="1:24">
      <c r="A15" s="422">
        <v>2</v>
      </c>
      <c r="B15" s="424" t="s">
        <v>42</v>
      </c>
      <c r="C15" s="424"/>
      <c r="D15" s="424"/>
      <c r="E15" s="435">
        <f>'ADJ DETAIL-INPUT'!E15</f>
        <v>1228</v>
      </c>
      <c r="F15" s="435">
        <f>G15-E15</f>
        <v>0</v>
      </c>
      <c r="G15" s="435">
        <f>'ADJ DETAIL-INPUT'!AC15</f>
        <v>1228</v>
      </c>
      <c r="H15" s="435">
        <f>I15-G15</f>
        <v>0</v>
      </c>
      <c r="I15" s="435">
        <f>'ADJ DETAIL-INPUT'!BF15</f>
        <v>1228</v>
      </c>
      <c r="J15" s="435"/>
      <c r="K15" s="435">
        <f t="shared" ref="K15:K16" si="0">I15+J15</f>
        <v>1228</v>
      </c>
      <c r="M15" s="435">
        <f t="shared" ref="M15:M78" si="1">F15+H15</f>
        <v>0</v>
      </c>
      <c r="N15" s="36"/>
    </row>
    <row r="16" spans="1:24">
      <c r="A16" s="422">
        <v>3</v>
      </c>
      <c r="B16" s="424" t="s">
        <v>43</v>
      </c>
      <c r="C16" s="424"/>
      <c r="D16" s="424"/>
      <c r="E16" s="444">
        <f>'ADJ DETAIL-INPUT'!E16</f>
        <v>53430</v>
      </c>
      <c r="F16" s="444">
        <f>G16-E16</f>
        <v>-17144</v>
      </c>
      <c r="G16" s="444">
        <f>'ADJ DETAIL-INPUT'!AC16</f>
        <v>36286</v>
      </c>
      <c r="H16" s="444">
        <f>I16-G16</f>
        <v>19403.82</v>
      </c>
      <c r="I16" s="444">
        <f>'ADJ DETAIL-INPUT'!BF16</f>
        <v>55689.82</v>
      </c>
      <c r="J16" s="444"/>
      <c r="K16" s="444">
        <f t="shared" si="0"/>
        <v>55689.82</v>
      </c>
      <c r="M16" s="444">
        <f t="shared" si="1"/>
        <v>2259.8199999999997</v>
      </c>
      <c r="N16" s="36"/>
    </row>
    <row r="17" spans="1:14">
      <c r="A17" s="422">
        <v>4</v>
      </c>
      <c r="B17" s="424"/>
      <c r="C17" s="424" t="s">
        <v>44</v>
      </c>
      <c r="D17" s="424"/>
      <c r="E17" s="435">
        <f>SUM(E14:E16)</f>
        <v>601207</v>
      </c>
      <c r="F17" s="435">
        <f>SUM(F14:F16)</f>
        <v>-59838</v>
      </c>
      <c r="G17" s="435">
        <f t="shared" ref="G17" si="2">SUM(G14:G16)</f>
        <v>541369</v>
      </c>
      <c r="H17" s="435">
        <f>SUM(H14:H16)</f>
        <v>44899.82</v>
      </c>
      <c r="I17" s="435">
        <f t="shared" ref="I17:K17" si="3">SUM(I14:I16)</f>
        <v>586268.81999999995</v>
      </c>
      <c r="J17" s="435">
        <f t="shared" si="3"/>
        <v>40154.597875655294</v>
      </c>
      <c r="K17" s="435">
        <f t="shared" si="3"/>
        <v>626423.41787565523</v>
      </c>
      <c r="M17" s="435">
        <f t="shared" si="1"/>
        <v>-14938.18</v>
      </c>
      <c r="N17" s="36"/>
    </row>
    <row r="18" spans="1:14">
      <c r="A18" s="422">
        <v>5</v>
      </c>
      <c r="B18" s="424" t="s">
        <v>45</v>
      </c>
      <c r="C18" s="424"/>
      <c r="D18" s="424"/>
      <c r="E18" s="444">
        <f>'ADJ DETAIL-INPUT'!E18</f>
        <v>60250</v>
      </c>
      <c r="F18" s="444">
        <f>G18-E18</f>
        <v>-36552</v>
      </c>
      <c r="G18" s="444">
        <f>'ADJ DETAIL-INPUT'!AC18</f>
        <v>23698</v>
      </c>
      <c r="H18" s="444">
        <f>I18-G18</f>
        <v>-6817</v>
      </c>
      <c r="I18" s="444">
        <f>'ADJ DETAIL-INPUT'!BF18</f>
        <v>16881</v>
      </c>
      <c r="J18" s="444"/>
      <c r="K18" s="444">
        <f>I18+J18</f>
        <v>16881</v>
      </c>
      <c r="M18" s="444">
        <f t="shared" si="1"/>
        <v>-43369</v>
      </c>
      <c r="N18" s="36"/>
    </row>
    <row r="19" spans="1:14">
      <c r="A19" s="422">
        <v>6</v>
      </c>
      <c r="B19" s="424"/>
      <c r="C19" s="424" t="s">
        <v>46</v>
      </c>
      <c r="D19" s="424"/>
      <c r="E19" s="435">
        <f>SUM(E17:E18)</f>
        <v>661457</v>
      </c>
      <c r="F19" s="435">
        <f t="shared" ref="F19" si="4">SUM(F17:F18)</f>
        <v>-96390</v>
      </c>
      <c r="G19" s="435">
        <f t="shared" ref="G19" si="5">SUM(G17:G18)</f>
        <v>565067</v>
      </c>
      <c r="H19" s="435">
        <f t="shared" ref="H19:K19" si="6">SUM(H17:H18)</f>
        <v>38082.82</v>
      </c>
      <c r="I19" s="435">
        <f t="shared" si="6"/>
        <v>603149.81999999995</v>
      </c>
      <c r="J19" s="435">
        <f t="shared" si="6"/>
        <v>40154.597875655294</v>
      </c>
      <c r="K19" s="435">
        <f t="shared" si="6"/>
        <v>643304.41787565523</v>
      </c>
      <c r="M19" s="435">
        <f t="shared" si="1"/>
        <v>-58307.18</v>
      </c>
      <c r="N19" s="36"/>
    </row>
    <row r="20" spans="1:14" ht="5.25" customHeight="1">
      <c r="A20" s="422"/>
      <c r="B20" s="424"/>
      <c r="C20" s="424"/>
      <c r="D20" s="424"/>
      <c r="E20" s="435"/>
      <c r="F20" s="435"/>
      <c r="G20" s="435"/>
      <c r="H20" s="435"/>
      <c r="I20" s="435"/>
      <c r="J20" s="435"/>
      <c r="K20" s="435"/>
      <c r="M20" s="435">
        <f t="shared" si="1"/>
        <v>0</v>
      </c>
      <c r="N20" s="36"/>
    </row>
    <row r="21" spans="1:14">
      <c r="A21" s="422"/>
      <c r="B21" s="424" t="s">
        <v>47</v>
      </c>
      <c r="C21" s="424"/>
      <c r="D21" s="424"/>
      <c r="E21" s="435"/>
      <c r="F21" s="435"/>
      <c r="G21" s="435"/>
      <c r="H21" s="435"/>
      <c r="I21" s="435"/>
      <c r="J21" s="435"/>
      <c r="K21" s="435"/>
      <c r="M21" s="435">
        <f t="shared" si="1"/>
        <v>0</v>
      </c>
      <c r="N21" s="36"/>
    </row>
    <row r="22" spans="1:14">
      <c r="A22" s="422"/>
      <c r="B22" s="424" t="s">
        <v>48</v>
      </c>
      <c r="C22" s="424"/>
      <c r="D22" s="424"/>
      <c r="E22" s="435"/>
      <c r="F22" s="435"/>
      <c r="G22" s="435"/>
      <c r="H22" s="435"/>
      <c r="I22" s="435"/>
      <c r="J22" s="435"/>
      <c r="K22" s="435"/>
      <c r="M22" s="435">
        <f t="shared" si="1"/>
        <v>0</v>
      </c>
      <c r="N22" s="36"/>
    </row>
    <row r="23" spans="1:14">
      <c r="A23" s="422">
        <v>7</v>
      </c>
      <c r="B23" s="424"/>
      <c r="C23" s="424" t="s">
        <v>49</v>
      </c>
      <c r="D23" s="424"/>
      <c r="E23" s="435">
        <f>'ADJ DETAIL-INPUT'!E23</f>
        <v>170553</v>
      </c>
      <c r="F23" s="435">
        <f>G23-E23</f>
        <v>-35399</v>
      </c>
      <c r="G23" s="558">
        <f>'ADJ DETAIL-INPUT'!AC23</f>
        <v>135154</v>
      </c>
      <c r="H23" s="435">
        <f>I23-G23</f>
        <v>13105</v>
      </c>
      <c r="I23" s="558">
        <f>'ADJ DETAIL-INPUT'!BF23</f>
        <v>148259</v>
      </c>
      <c r="J23" s="435"/>
      <c r="K23" s="435">
        <f>I23+J23</f>
        <v>148259</v>
      </c>
      <c r="M23" s="435">
        <f t="shared" si="1"/>
        <v>-22294</v>
      </c>
      <c r="N23" s="36"/>
    </row>
    <row r="24" spans="1:14">
      <c r="A24" s="422">
        <v>8</v>
      </c>
      <c r="B24" s="424"/>
      <c r="C24" s="424" t="s">
        <v>50</v>
      </c>
      <c r="D24" s="424"/>
      <c r="E24" s="435">
        <f>'ADJ DETAIL-INPUT'!E24</f>
        <v>89083</v>
      </c>
      <c r="F24" s="435">
        <f>G24-E24</f>
        <v>-14801</v>
      </c>
      <c r="G24" s="558">
        <f>'ADJ DETAIL-INPUT'!AC24</f>
        <v>74282</v>
      </c>
      <c r="H24" s="435">
        <f>I24-G24</f>
        <v>-3499</v>
      </c>
      <c r="I24" s="558">
        <f>'ADJ DETAIL-INPUT'!BF24</f>
        <v>70783</v>
      </c>
      <c r="J24" s="435"/>
      <c r="K24" s="435">
        <f t="shared" ref="K24:K27" si="7">I24+J24</f>
        <v>70783</v>
      </c>
      <c r="M24" s="435">
        <f t="shared" si="1"/>
        <v>-18300</v>
      </c>
      <c r="N24" s="36"/>
    </row>
    <row r="25" spans="1:14">
      <c r="A25" s="422">
        <v>9</v>
      </c>
      <c r="B25" s="424"/>
      <c r="C25" s="424" t="s">
        <v>548</v>
      </c>
      <c r="D25" s="424"/>
      <c r="E25" s="435">
        <f>'ADJ DETAIL-INPUT'!E25</f>
        <v>32447</v>
      </c>
      <c r="F25" s="435">
        <f>G25-E25</f>
        <v>3557</v>
      </c>
      <c r="G25" s="558">
        <f>'ADJ DETAIL-INPUT'!AC25</f>
        <v>36004</v>
      </c>
      <c r="H25" s="435">
        <f>I25-G25</f>
        <v>3021</v>
      </c>
      <c r="I25" s="558">
        <f>'ADJ DETAIL-INPUT'!BF25</f>
        <v>39025</v>
      </c>
      <c r="J25" s="435"/>
      <c r="K25" s="435">
        <f t="shared" si="7"/>
        <v>39025</v>
      </c>
      <c r="M25" s="435">
        <f t="shared" si="1"/>
        <v>6578</v>
      </c>
      <c r="N25" s="36"/>
    </row>
    <row r="26" spans="1:14">
      <c r="A26" s="422">
        <v>10</v>
      </c>
      <c r="B26" s="424"/>
      <c r="C26" s="424" t="s">
        <v>695</v>
      </c>
      <c r="D26" s="424"/>
      <c r="E26" s="435">
        <f>'ADJ DETAIL-INPUT'!E26</f>
        <v>-712</v>
      </c>
      <c r="F26" s="435">
        <f>G26-E26</f>
        <v>3332</v>
      </c>
      <c r="G26" s="558">
        <f>'ADJ DETAIL-INPUT'!AC26</f>
        <v>2620</v>
      </c>
      <c r="H26" s="435">
        <f>I26-G26</f>
        <v>-4403</v>
      </c>
      <c r="I26" s="558">
        <f>'ADJ DETAIL-INPUT'!BF26</f>
        <v>-1783</v>
      </c>
      <c r="J26" s="435"/>
      <c r="K26" s="435">
        <f t="shared" si="7"/>
        <v>-1783</v>
      </c>
      <c r="M26" s="435">
        <f t="shared" si="1"/>
        <v>-1071</v>
      </c>
      <c r="N26" s="36"/>
    </row>
    <row r="27" spans="1:14">
      <c r="A27" s="422">
        <v>11</v>
      </c>
      <c r="B27" s="424"/>
      <c r="C27" s="424" t="s">
        <v>27</v>
      </c>
      <c r="D27" s="424"/>
      <c r="E27" s="444">
        <f>'ADJ DETAIL-INPUT'!E27</f>
        <v>16489</v>
      </c>
      <c r="F27" s="444">
        <f>G27-E27</f>
        <v>351</v>
      </c>
      <c r="G27" s="559">
        <f>'ADJ DETAIL-INPUT'!AC27</f>
        <v>16840</v>
      </c>
      <c r="H27" s="444">
        <f>I27-G27</f>
        <v>435</v>
      </c>
      <c r="I27" s="559">
        <f>'ADJ DETAIL-INPUT'!BF27</f>
        <v>17275</v>
      </c>
      <c r="J27" s="444"/>
      <c r="K27" s="444">
        <f t="shared" si="7"/>
        <v>17275</v>
      </c>
      <c r="M27" s="444">
        <f t="shared" si="1"/>
        <v>786</v>
      </c>
      <c r="N27" s="36"/>
    </row>
    <row r="28" spans="1:14">
      <c r="A28" s="422">
        <v>12</v>
      </c>
      <c r="B28" s="424"/>
      <c r="C28" s="424"/>
      <c r="D28" s="424" t="s">
        <v>51</v>
      </c>
      <c r="E28" s="435">
        <f>SUM(E23:E27)</f>
        <v>307860</v>
      </c>
      <c r="F28" s="435">
        <f t="shared" ref="F28" si="8">SUM(F23:F27)</f>
        <v>-42960</v>
      </c>
      <c r="G28" s="435">
        <f t="shared" ref="G28" si="9">SUM(G23:G27)</f>
        <v>264900</v>
      </c>
      <c r="H28" s="435">
        <f t="shared" ref="H28:K28" si="10">SUM(H23:H27)</f>
        <v>8659</v>
      </c>
      <c r="I28" s="435">
        <f t="shared" si="10"/>
        <v>273559</v>
      </c>
      <c r="J28" s="435">
        <f t="shared" si="10"/>
        <v>0</v>
      </c>
      <c r="K28" s="435">
        <f t="shared" si="10"/>
        <v>273559</v>
      </c>
      <c r="M28" s="435">
        <f t="shared" si="1"/>
        <v>-34301</v>
      </c>
      <c r="N28" s="36"/>
    </row>
    <row r="29" spans="1:14" ht="7.5" customHeight="1">
      <c r="A29" s="422"/>
      <c r="B29" s="424"/>
      <c r="C29" s="424"/>
      <c r="D29" s="424"/>
      <c r="E29" s="435"/>
      <c r="F29" s="435"/>
      <c r="G29" s="435"/>
      <c r="H29" s="435"/>
      <c r="I29" s="435"/>
      <c r="J29" s="435"/>
      <c r="K29" s="435"/>
      <c r="M29" s="435">
        <f t="shared" si="1"/>
        <v>0</v>
      </c>
      <c r="N29" s="36"/>
    </row>
    <row r="30" spans="1:14">
      <c r="A30" s="422"/>
      <c r="B30" s="424" t="s">
        <v>52</v>
      </c>
      <c r="C30" s="424"/>
      <c r="D30" s="424"/>
      <c r="E30" s="435"/>
      <c r="F30" s="435"/>
      <c r="G30" s="435"/>
      <c r="H30" s="435"/>
      <c r="I30" s="435"/>
      <c r="J30" s="435"/>
      <c r="K30" s="435"/>
      <c r="M30" s="435">
        <f t="shared" si="1"/>
        <v>0</v>
      </c>
      <c r="N30" s="36"/>
    </row>
    <row r="31" spans="1:14">
      <c r="A31" s="422">
        <v>13</v>
      </c>
      <c r="B31" s="424"/>
      <c r="C31" s="424" t="s">
        <v>49</v>
      </c>
      <c r="D31" s="424"/>
      <c r="E31" s="435">
        <f>'ADJ DETAIL-INPUT'!E31</f>
        <v>26747</v>
      </c>
      <c r="F31" s="435">
        <f>G31-E31</f>
        <v>0</v>
      </c>
      <c r="G31" s="446">
        <f>'ADJ DETAIL-INPUT'!AC31</f>
        <v>26747</v>
      </c>
      <c r="H31" s="435">
        <f>I31-G31</f>
        <v>3805</v>
      </c>
      <c r="I31" s="446">
        <f>'ADJ DETAIL-INPUT'!BF31</f>
        <v>30552</v>
      </c>
      <c r="J31" s="435"/>
      <c r="K31" s="435">
        <f>I31+J31</f>
        <v>30552</v>
      </c>
      <c r="M31" s="435">
        <f t="shared" si="1"/>
        <v>3805</v>
      </c>
      <c r="N31" s="36"/>
    </row>
    <row r="32" spans="1:14">
      <c r="A32" s="422">
        <v>14</v>
      </c>
      <c r="B32" s="424"/>
      <c r="C32" s="424" t="s">
        <v>548</v>
      </c>
      <c r="D32" s="424"/>
      <c r="E32" s="435">
        <f>'ADJ DETAIL-INPUT'!E32</f>
        <v>31132</v>
      </c>
      <c r="F32" s="435">
        <f>G32-E32</f>
        <v>-1421</v>
      </c>
      <c r="G32" s="446">
        <f>'ADJ DETAIL-INPUT'!AC32</f>
        <v>29711</v>
      </c>
      <c r="H32" s="435">
        <f>I32-G32</f>
        <v>2871</v>
      </c>
      <c r="I32" s="446">
        <f>'ADJ DETAIL-INPUT'!BF32</f>
        <v>32582</v>
      </c>
      <c r="J32" s="435"/>
      <c r="K32" s="435">
        <f t="shared" ref="K32:K33" si="11">I32+J32</f>
        <v>32582</v>
      </c>
      <c r="M32" s="435">
        <f t="shared" si="1"/>
        <v>1450</v>
      </c>
      <c r="N32" s="36"/>
    </row>
    <row r="33" spans="1:14">
      <c r="A33" s="422">
        <v>15</v>
      </c>
      <c r="B33" s="424"/>
      <c r="C33" s="424" t="s">
        <v>27</v>
      </c>
      <c r="D33" s="424"/>
      <c r="E33" s="444">
        <f>'ADJ DETAIL-INPUT'!E34</f>
        <v>47422</v>
      </c>
      <c r="F33" s="444">
        <f>G33-E33</f>
        <v>-19041</v>
      </c>
      <c r="G33" s="444">
        <f>'ADJ DETAIL-INPUT'!AC34</f>
        <v>28381</v>
      </c>
      <c r="H33" s="444">
        <f>I33-G33</f>
        <v>1183</v>
      </c>
      <c r="I33" s="444">
        <f>'ADJ DETAIL-INPUT'!BF34</f>
        <v>29564</v>
      </c>
      <c r="J33" s="444">
        <f>'CF '!J16</f>
        <v>1550</v>
      </c>
      <c r="K33" s="444">
        <f t="shared" si="11"/>
        <v>31114</v>
      </c>
      <c r="M33" s="444">
        <f t="shared" si="1"/>
        <v>-17858</v>
      </c>
      <c r="N33" s="36"/>
    </row>
    <row r="34" spans="1:14">
      <c r="A34" s="422">
        <v>16</v>
      </c>
      <c r="B34" s="424"/>
      <c r="C34" s="424"/>
      <c r="D34" s="424" t="s">
        <v>53</v>
      </c>
      <c r="E34" s="435">
        <f t="shared" ref="E34:K34" si="12">SUM(E31:E33)</f>
        <v>105301</v>
      </c>
      <c r="F34" s="435">
        <f t="shared" si="12"/>
        <v>-20462</v>
      </c>
      <c r="G34" s="435">
        <f t="shared" si="12"/>
        <v>84839</v>
      </c>
      <c r="H34" s="435">
        <f t="shared" si="12"/>
        <v>7859</v>
      </c>
      <c r="I34" s="435">
        <f t="shared" si="12"/>
        <v>92698</v>
      </c>
      <c r="J34" s="435">
        <f t="shared" si="12"/>
        <v>1550</v>
      </c>
      <c r="K34" s="435">
        <f t="shared" si="12"/>
        <v>94248</v>
      </c>
      <c r="M34" s="435">
        <f t="shared" si="1"/>
        <v>-12603</v>
      </c>
      <c r="N34" s="36"/>
    </row>
    <row r="35" spans="1:14" ht="6.75" customHeight="1">
      <c r="A35" s="422"/>
      <c r="B35" s="424"/>
      <c r="C35" s="424"/>
      <c r="D35" s="424"/>
      <c r="E35" s="435"/>
      <c r="F35" s="435"/>
      <c r="G35" s="435"/>
      <c r="H35" s="435"/>
      <c r="I35" s="435"/>
      <c r="J35" s="435"/>
      <c r="K35" s="435"/>
      <c r="M35" s="435">
        <f t="shared" si="1"/>
        <v>0</v>
      </c>
      <c r="N35" s="36"/>
    </row>
    <row r="36" spans="1:14">
      <c r="A36" s="422">
        <v>17</v>
      </c>
      <c r="B36" s="424" t="s">
        <v>54</v>
      </c>
      <c r="C36" s="424"/>
      <c r="D36" s="424"/>
      <c r="E36" s="435">
        <f>'ADJ DETAIL-INPUT'!E37</f>
        <v>9916</v>
      </c>
      <c r="F36" s="435">
        <f>G36-E36</f>
        <v>1415</v>
      </c>
      <c r="G36" s="446">
        <f>'ADJ DETAIL-INPUT'!AC37</f>
        <v>11331</v>
      </c>
      <c r="H36" s="435">
        <f>I36-G36</f>
        <v>619</v>
      </c>
      <c r="I36" s="446">
        <f>'ADJ DETAIL-INPUT'!BF37</f>
        <v>11950</v>
      </c>
      <c r="J36" s="435">
        <f>'CF '!J12</f>
        <v>134</v>
      </c>
      <c r="K36" s="435">
        <f>I36+J36</f>
        <v>12084</v>
      </c>
      <c r="M36" s="435">
        <f t="shared" si="1"/>
        <v>2034</v>
      </c>
      <c r="N36" s="36"/>
    </row>
    <row r="37" spans="1:14">
      <c r="A37" s="422">
        <v>18</v>
      </c>
      <c r="B37" s="424" t="s">
        <v>55</v>
      </c>
      <c r="C37" s="424"/>
      <c r="D37" s="424"/>
      <c r="E37" s="435">
        <f>'ADJ DETAIL-INPUT'!E38</f>
        <v>28425</v>
      </c>
      <c r="F37" s="435">
        <f>G37-E37</f>
        <v>-26827</v>
      </c>
      <c r="G37" s="446">
        <f>'ADJ DETAIL-INPUT'!AC38</f>
        <v>1598</v>
      </c>
      <c r="H37" s="435">
        <f>I37-G37</f>
        <v>37</v>
      </c>
      <c r="I37" s="446">
        <f>'ADJ DETAIL-INPUT'!BF38</f>
        <v>1635</v>
      </c>
      <c r="J37" s="435"/>
      <c r="K37" s="435">
        <f t="shared" ref="K37:K38" si="13">I37+J37</f>
        <v>1635</v>
      </c>
      <c r="M37" s="435">
        <f t="shared" si="1"/>
        <v>-26790</v>
      </c>
      <c r="N37" s="36"/>
    </row>
    <row r="38" spans="1:14">
      <c r="A38" s="422">
        <v>19</v>
      </c>
      <c r="B38" s="424" t="s">
        <v>56</v>
      </c>
      <c r="C38" s="424"/>
      <c r="D38" s="424"/>
      <c r="E38" s="435">
        <f>'ADJ DETAIL-INPUT'!E39</f>
        <v>0</v>
      </c>
      <c r="F38" s="435">
        <f>G38-E38</f>
        <v>0</v>
      </c>
      <c r="G38" s="446">
        <f>'ADJ DETAIL-INPUT'!AC39</f>
        <v>0</v>
      </c>
      <c r="H38" s="435">
        <f>I38-G38</f>
        <v>0</v>
      </c>
      <c r="I38" s="446">
        <f>'ADJ DETAIL-INPUT'!BF39</f>
        <v>0</v>
      </c>
      <c r="J38" s="435"/>
      <c r="K38" s="435">
        <f t="shared" si="13"/>
        <v>0</v>
      </c>
      <c r="M38" s="435">
        <f t="shared" si="1"/>
        <v>0</v>
      </c>
      <c r="N38" s="36"/>
    </row>
    <row r="39" spans="1:14" ht="6.75" customHeight="1">
      <c r="A39" s="424"/>
      <c r="B39" s="424"/>
      <c r="C39" s="424"/>
      <c r="D39" s="424"/>
      <c r="E39" s="435"/>
      <c r="F39" s="435"/>
      <c r="G39" s="435"/>
      <c r="H39" s="435"/>
      <c r="I39" s="435"/>
      <c r="J39" s="435"/>
      <c r="K39" s="435"/>
      <c r="M39" s="435">
        <f t="shared" si="1"/>
        <v>0</v>
      </c>
      <c r="N39" s="36"/>
    </row>
    <row r="40" spans="1:14">
      <c r="A40" s="422"/>
      <c r="B40" s="424" t="s">
        <v>57</v>
      </c>
      <c r="C40" s="424"/>
      <c r="D40" s="424"/>
      <c r="E40" s="435"/>
      <c r="F40" s="435"/>
      <c r="G40" s="435"/>
      <c r="H40" s="435"/>
      <c r="I40" s="435"/>
      <c r="J40" s="435"/>
      <c r="K40" s="435"/>
      <c r="M40" s="435">
        <f t="shared" si="1"/>
        <v>0</v>
      </c>
      <c r="N40" s="36"/>
    </row>
    <row r="41" spans="1:14">
      <c r="A41" s="422">
        <v>20</v>
      </c>
      <c r="B41" s="424"/>
      <c r="C41" s="424" t="s">
        <v>49</v>
      </c>
      <c r="D41" s="424"/>
      <c r="E41" s="435">
        <f>'ADJ DETAIL-INPUT'!E42</f>
        <v>55880</v>
      </c>
      <c r="F41" s="435">
        <f>G41-E41</f>
        <v>-491</v>
      </c>
      <c r="G41" s="446">
        <f>'ADJ DETAIL-INPUT'!AC42</f>
        <v>55389</v>
      </c>
      <c r="H41" s="435">
        <f>I41-G41</f>
        <v>2805</v>
      </c>
      <c r="I41" s="446">
        <f>'ADJ DETAIL-INPUT'!BF42</f>
        <v>58194</v>
      </c>
      <c r="J41" s="435">
        <f>'CF '!J14</f>
        <v>80</v>
      </c>
      <c r="K41" s="435">
        <f t="shared" ref="K41:K44" si="14">I41+J41</f>
        <v>58274</v>
      </c>
      <c r="M41" s="435">
        <f t="shared" si="1"/>
        <v>2314</v>
      </c>
      <c r="N41" s="36"/>
    </row>
    <row r="42" spans="1:14">
      <c r="A42" s="422">
        <v>21</v>
      </c>
      <c r="B42" s="424"/>
      <c r="C42" s="424" t="s">
        <v>548</v>
      </c>
      <c r="D42" s="424"/>
      <c r="E42" s="435">
        <f>'ADJ DETAIL-INPUT'!E43</f>
        <v>35595</v>
      </c>
      <c r="F42" s="435">
        <f>G42-E42</f>
        <v>-348</v>
      </c>
      <c r="G42" s="446">
        <f>'ADJ DETAIL-INPUT'!AC43</f>
        <v>35247</v>
      </c>
      <c r="H42" s="435">
        <f>I42-G42</f>
        <v>6310</v>
      </c>
      <c r="I42" s="446">
        <f>'ADJ DETAIL-INPUT'!BF43</f>
        <v>41557</v>
      </c>
      <c r="J42" s="435"/>
      <c r="K42" s="435">
        <f t="shared" si="14"/>
        <v>41557</v>
      </c>
      <c r="M42" s="435">
        <f t="shared" si="1"/>
        <v>5962</v>
      </c>
      <c r="N42" s="36"/>
    </row>
    <row r="43" spans="1:14">
      <c r="A43" s="422">
        <v>22</v>
      </c>
      <c r="B43" s="424"/>
      <c r="C43" s="424" t="s">
        <v>695</v>
      </c>
      <c r="D43" s="424"/>
      <c r="E43" s="435">
        <f>'ADJ DETAIL-INPUT'!E44</f>
        <v>-9018</v>
      </c>
      <c r="F43" s="435">
        <f>G43-E43</f>
        <v>3914</v>
      </c>
      <c r="G43" s="446">
        <f>'ADJ DETAIL-INPUT'!AC44</f>
        <v>-5104</v>
      </c>
      <c r="H43" s="435">
        <f>I43-G43</f>
        <v>10589</v>
      </c>
      <c r="I43" s="446">
        <f>'ADJ DETAIL-INPUT'!BF44</f>
        <v>5485</v>
      </c>
      <c r="J43" s="435"/>
      <c r="K43" s="435">
        <f t="shared" si="14"/>
        <v>5485</v>
      </c>
      <c r="M43" s="435">
        <f t="shared" si="1"/>
        <v>14503</v>
      </c>
      <c r="N43" s="36"/>
    </row>
    <row r="44" spans="1:14">
      <c r="A44" s="448">
        <v>23</v>
      </c>
      <c r="B44" s="424"/>
      <c r="C44" s="424" t="s">
        <v>27</v>
      </c>
      <c r="D44" s="424"/>
      <c r="E44" s="444">
        <f>'ADJ DETAIL-INPUT'!E45</f>
        <v>0</v>
      </c>
      <c r="F44" s="444">
        <f>G44-E44</f>
        <v>0</v>
      </c>
      <c r="G44" s="444">
        <f>'ADJ DETAIL-INPUT'!AC45</f>
        <v>0</v>
      </c>
      <c r="H44" s="444">
        <f>I44-G44</f>
        <v>0</v>
      </c>
      <c r="I44" s="444">
        <f>'ADJ DETAIL-INPUT'!BF45</f>
        <v>0</v>
      </c>
      <c r="J44" s="444"/>
      <c r="K44" s="444">
        <f t="shared" si="14"/>
        <v>0</v>
      </c>
      <c r="M44" s="444">
        <f t="shared" si="1"/>
        <v>0</v>
      </c>
      <c r="N44" s="36"/>
    </row>
    <row r="45" spans="1:14">
      <c r="A45" s="422">
        <v>24</v>
      </c>
      <c r="B45" s="424"/>
      <c r="C45" s="424"/>
      <c r="D45" s="424" t="s">
        <v>58</v>
      </c>
      <c r="E45" s="444">
        <f t="shared" ref="E45:K45" si="15">SUM(E41:E44)</f>
        <v>82457</v>
      </c>
      <c r="F45" s="444">
        <f t="shared" si="15"/>
        <v>3075</v>
      </c>
      <c r="G45" s="444">
        <f t="shared" si="15"/>
        <v>85532</v>
      </c>
      <c r="H45" s="444">
        <f t="shared" si="15"/>
        <v>19704</v>
      </c>
      <c r="I45" s="444">
        <f t="shared" si="15"/>
        <v>105236</v>
      </c>
      <c r="J45" s="444">
        <f t="shared" si="15"/>
        <v>80</v>
      </c>
      <c r="K45" s="444">
        <f t="shared" si="15"/>
        <v>105316</v>
      </c>
      <c r="M45" s="444">
        <f t="shared" si="1"/>
        <v>22779</v>
      </c>
      <c r="N45" s="36"/>
    </row>
    <row r="46" spans="1:14">
      <c r="A46" s="422">
        <v>25</v>
      </c>
      <c r="B46" s="424" t="s">
        <v>59</v>
      </c>
      <c r="C46" s="424"/>
      <c r="D46" s="424"/>
      <c r="E46" s="444">
        <f t="shared" ref="E46:K46" si="16">E28+E34+E36+E37+E38+E45</f>
        <v>533959</v>
      </c>
      <c r="F46" s="444">
        <f t="shared" si="16"/>
        <v>-85759</v>
      </c>
      <c r="G46" s="444">
        <f t="shared" si="16"/>
        <v>448200</v>
      </c>
      <c r="H46" s="444">
        <f t="shared" si="16"/>
        <v>36878</v>
      </c>
      <c r="I46" s="444">
        <f t="shared" si="16"/>
        <v>485078</v>
      </c>
      <c r="J46" s="444">
        <f t="shared" si="16"/>
        <v>1764</v>
      </c>
      <c r="K46" s="444">
        <f t="shared" si="16"/>
        <v>486842</v>
      </c>
      <c r="M46" s="444">
        <f t="shared" si="1"/>
        <v>-48881</v>
      </c>
      <c r="N46" s="36"/>
    </row>
    <row r="47" spans="1:14" ht="7.5" customHeight="1">
      <c r="A47" s="422"/>
      <c r="B47" s="424"/>
      <c r="C47" s="424"/>
      <c r="D47" s="424"/>
      <c r="E47" s="435"/>
      <c r="F47" s="435"/>
      <c r="G47" s="435"/>
      <c r="H47" s="435"/>
      <c r="I47" s="435"/>
      <c r="J47" s="435"/>
      <c r="K47" s="435"/>
      <c r="M47" s="435">
        <f t="shared" si="1"/>
        <v>0</v>
      </c>
      <c r="N47" s="36"/>
    </row>
    <row r="48" spans="1:14">
      <c r="A48" s="422">
        <v>26</v>
      </c>
      <c r="B48" s="424" t="s">
        <v>60</v>
      </c>
      <c r="C48" s="424"/>
      <c r="D48" s="424"/>
      <c r="E48" s="435">
        <f t="shared" ref="E48:K48" si="17">E19-E46</f>
        <v>127498</v>
      </c>
      <c r="F48" s="435">
        <f t="shared" si="17"/>
        <v>-10631</v>
      </c>
      <c r="G48" s="435">
        <f t="shared" si="17"/>
        <v>116867</v>
      </c>
      <c r="H48" s="435">
        <f t="shared" si="17"/>
        <v>1204.8199999999997</v>
      </c>
      <c r="I48" s="435">
        <f t="shared" si="17"/>
        <v>118071.81999999995</v>
      </c>
      <c r="J48" s="435">
        <f t="shared" si="17"/>
        <v>38390.597875655294</v>
      </c>
      <c r="K48" s="435">
        <f t="shared" si="17"/>
        <v>156462.41787565523</v>
      </c>
      <c r="M48" s="435">
        <f t="shared" si="1"/>
        <v>-9426.18</v>
      </c>
      <c r="N48" s="36"/>
    </row>
    <row r="49" spans="1:27" ht="5.25" customHeight="1">
      <c r="A49" s="422"/>
      <c r="B49" s="424"/>
      <c r="C49" s="424"/>
      <c r="D49" s="424"/>
      <c r="E49" s="435"/>
      <c r="F49" s="435"/>
      <c r="G49" s="435"/>
      <c r="H49" s="435"/>
      <c r="I49" s="435"/>
      <c r="J49" s="435"/>
      <c r="K49" s="435"/>
      <c r="M49" s="435">
        <f t="shared" si="1"/>
        <v>0</v>
      </c>
      <c r="N49" s="36"/>
    </row>
    <row r="50" spans="1:27">
      <c r="A50" s="422"/>
      <c r="B50" s="424" t="s">
        <v>61</v>
      </c>
      <c r="C50" s="424"/>
      <c r="D50" s="424"/>
      <c r="E50" s="435"/>
      <c r="F50" s="435"/>
      <c r="G50" s="435"/>
      <c r="H50" s="435"/>
      <c r="I50" s="435"/>
      <c r="J50" s="435"/>
      <c r="K50" s="435"/>
      <c r="M50" s="435">
        <f t="shared" si="1"/>
        <v>0</v>
      </c>
      <c r="N50" s="36"/>
    </row>
    <row r="51" spans="1:27">
      <c r="A51" s="422">
        <v>27</v>
      </c>
      <c r="B51" s="424" t="s">
        <v>62</v>
      </c>
      <c r="C51" s="424"/>
      <c r="D51" s="424"/>
      <c r="E51" s="435">
        <f>'ADJ DETAIL-INPUT'!E52</f>
        <v>4963</v>
      </c>
      <c r="F51" s="435">
        <f>G51-E51</f>
        <v>-1234.9000000000001</v>
      </c>
      <c r="G51" s="446">
        <f>'ADJ DETAIL-INPUT'!AC52</f>
        <v>3728.1</v>
      </c>
      <c r="H51" s="435">
        <f>I51-G51</f>
        <v>253.01220000000194</v>
      </c>
      <c r="I51" s="446">
        <f>'ADJ DETAIL-INPUT'!BF52</f>
        <v>3981.1122000000018</v>
      </c>
      <c r="J51" s="435">
        <f>'CF '!J22</f>
        <v>8062</v>
      </c>
      <c r="K51" s="435">
        <f>I51+J51</f>
        <v>12043.112200000001</v>
      </c>
      <c r="M51" s="435">
        <f t="shared" si="1"/>
        <v>-981.88779999999815</v>
      </c>
      <c r="N51" s="36"/>
      <c r="O51" s="146"/>
      <c r="P51" s="146"/>
      <c r="AA51" s="146"/>
    </row>
    <row r="52" spans="1:27">
      <c r="A52" s="422">
        <v>28</v>
      </c>
      <c r="B52" s="409" t="s">
        <v>263</v>
      </c>
      <c r="E52" s="435">
        <f>'ADJ DETAIL-INPUT'!E53</f>
        <v>0</v>
      </c>
      <c r="F52" s="435">
        <f>G52-E52</f>
        <v>165.85468157200657</v>
      </c>
      <c r="G52" s="446">
        <f>'ADJ DETAIL-INPUT'!AC53</f>
        <v>165.85468157200657</v>
      </c>
      <c r="H52" s="435">
        <f>I52-G52</f>
        <v>-949.49723367682168</v>
      </c>
      <c r="I52" s="446">
        <f>'ADJ DETAIL-INPUT'!BF53</f>
        <v>-783.64255210481508</v>
      </c>
      <c r="J52" s="435"/>
      <c r="K52" s="435">
        <f>I52+J52</f>
        <v>-783.64255210481508</v>
      </c>
      <c r="M52" s="435">
        <f t="shared" si="1"/>
        <v>-783.64255210481508</v>
      </c>
      <c r="N52" s="36"/>
    </row>
    <row r="53" spans="1:27">
      <c r="A53" s="422">
        <v>29</v>
      </c>
      <c r="B53" s="424" t="s">
        <v>63</v>
      </c>
      <c r="C53" s="424"/>
      <c r="D53" s="424"/>
      <c r="E53" s="435">
        <f>'ADJ DETAIL-INPUT'!E54</f>
        <v>7830</v>
      </c>
      <c r="F53" s="435">
        <f>G53-E53</f>
        <v>-67</v>
      </c>
      <c r="G53" s="446">
        <f>'ADJ DETAIL-INPUT'!AC54</f>
        <v>7763</v>
      </c>
      <c r="H53" s="435">
        <f>I53-G53</f>
        <v>-485</v>
      </c>
      <c r="I53" s="446">
        <f>'ADJ DETAIL-INPUT'!BF54</f>
        <v>7278</v>
      </c>
      <c r="J53" s="435"/>
      <c r="K53" s="435">
        <f>I53+J53</f>
        <v>7278</v>
      </c>
      <c r="M53" s="435">
        <f t="shared" si="1"/>
        <v>-552</v>
      </c>
      <c r="N53" s="36"/>
      <c r="P53" s="146"/>
    </row>
    <row r="54" spans="1:27">
      <c r="A54" s="422">
        <v>30</v>
      </c>
      <c r="B54" s="424" t="s">
        <v>64</v>
      </c>
      <c r="C54" s="424"/>
      <c r="D54" s="424"/>
      <c r="E54" s="444">
        <f>'ADJ DETAIL-INPUT'!E55</f>
        <v>-318</v>
      </c>
      <c r="F54" s="444">
        <f>G54-E54</f>
        <v>0</v>
      </c>
      <c r="G54" s="444">
        <f>'ADJ DETAIL-INPUT'!AC55</f>
        <v>-318</v>
      </c>
      <c r="H54" s="444">
        <f>I54-G54</f>
        <v>0</v>
      </c>
      <c r="I54" s="444">
        <f>'ADJ DETAIL-INPUT'!BF55</f>
        <v>-318</v>
      </c>
      <c r="J54" s="444"/>
      <c r="K54" s="444">
        <f>I54+J54</f>
        <v>-318</v>
      </c>
      <c r="M54" s="444">
        <f t="shared" si="1"/>
        <v>0</v>
      </c>
      <c r="N54" s="36"/>
    </row>
    <row r="55" spans="1:27" ht="6.75" customHeight="1">
      <c r="A55" s="422"/>
      <c r="E55" s="435"/>
      <c r="F55" s="435"/>
      <c r="G55" s="435"/>
      <c r="H55" s="435"/>
      <c r="I55" s="435"/>
      <c r="J55" s="435"/>
      <c r="K55" s="435"/>
      <c r="M55" s="435">
        <f t="shared" si="1"/>
        <v>0</v>
      </c>
      <c r="N55" s="36"/>
    </row>
    <row r="56" spans="1:27" ht="13.5" thickBot="1">
      <c r="A56" s="410">
        <v>31</v>
      </c>
      <c r="B56" s="423" t="s">
        <v>65</v>
      </c>
      <c r="C56" s="423"/>
      <c r="D56" s="423"/>
      <c r="E56" s="456">
        <f t="shared" ref="E56:K56" si="18">E48-SUM(E51:E54)</f>
        <v>115023</v>
      </c>
      <c r="F56" s="456">
        <f t="shared" si="18"/>
        <v>-9494.9546815720059</v>
      </c>
      <c r="G56" s="456">
        <f t="shared" si="18"/>
        <v>105528.04531842799</v>
      </c>
      <c r="H56" s="456">
        <f t="shared" si="18"/>
        <v>2386.3050336768192</v>
      </c>
      <c r="I56" s="456">
        <f t="shared" si="18"/>
        <v>107914.35035210477</v>
      </c>
      <c r="J56" s="556">
        <f t="shared" si="18"/>
        <v>30328.597875655294</v>
      </c>
      <c r="K56" s="456">
        <f t="shared" si="18"/>
        <v>138242.94822776003</v>
      </c>
      <c r="M56" s="456">
        <f t="shared" si="1"/>
        <v>-7108.6496478951867</v>
      </c>
      <c r="N56" s="36"/>
      <c r="O56" s="36"/>
    </row>
    <row r="57" spans="1:27" ht="5.25" customHeight="1" thickTop="1">
      <c r="E57" s="435"/>
      <c r="F57" s="435"/>
      <c r="G57" s="435"/>
      <c r="H57" s="435"/>
      <c r="I57" s="435"/>
      <c r="J57" s="435"/>
      <c r="K57" s="435"/>
      <c r="M57" s="435">
        <f t="shared" si="1"/>
        <v>0</v>
      </c>
      <c r="N57" s="36"/>
      <c r="O57" s="99"/>
      <c r="R57" s="99"/>
    </row>
    <row r="58" spans="1:27">
      <c r="B58" s="409" t="s">
        <v>66</v>
      </c>
      <c r="E58" s="435"/>
      <c r="F58" s="435"/>
      <c r="G58" s="435"/>
      <c r="H58" s="435"/>
      <c r="I58" s="435"/>
      <c r="J58" s="435"/>
      <c r="K58" s="435"/>
      <c r="M58" s="435">
        <f t="shared" si="1"/>
        <v>0</v>
      </c>
      <c r="N58" s="36"/>
      <c r="O58" s="36"/>
    </row>
    <row r="59" spans="1:27">
      <c r="A59" s="422"/>
      <c r="B59" s="409" t="s">
        <v>67</v>
      </c>
      <c r="E59" s="435"/>
      <c r="F59" s="435"/>
      <c r="G59" s="435"/>
      <c r="H59" s="435"/>
      <c r="I59" s="435"/>
      <c r="J59" s="435"/>
      <c r="K59" s="435"/>
      <c r="M59" s="435">
        <f t="shared" si="1"/>
        <v>0</v>
      </c>
      <c r="N59" s="36"/>
      <c r="O59" s="36"/>
    </row>
    <row r="60" spans="1:27">
      <c r="A60" s="422">
        <v>32</v>
      </c>
      <c r="B60" s="423"/>
      <c r="C60" s="423" t="s">
        <v>68</v>
      </c>
      <c r="D60" s="423"/>
      <c r="E60" s="423">
        <f>'ADJ DETAIL-INPUT'!E61</f>
        <v>211035</v>
      </c>
      <c r="F60" s="423">
        <f>G60-E60</f>
        <v>-28145.887469261244</v>
      </c>
      <c r="G60" s="555">
        <f>'ADJ DETAIL-INPUT'!AC61</f>
        <v>182889.11253073876</v>
      </c>
      <c r="H60" s="423">
        <f>I60-G60</f>
        <v>53616.421955759579</v>
      </c>
      <c r="I60" s="555">
        <f>'ADJ DETAIL-INPUT'!BF61</f>
        <v>236505.53448649833</v>
      </c>
      <c r="J60" s="423"/>
      <c r="K60" s="423">
        <f>I60+J60</f>
        <v>236505.53448649833</v>
      </c>
      <c r="M60" s="423">
        <f t="shared" si="1"/>
        <v>25470.534486498334</v>
      </c>
      <c r="N60" s="36"/>
    </row>
    <row r="61" spans="1:27">
      <c r="A61" s="422">
        <v>33</v>
      </c>
      <c r="B61" s="424"/>
      <c r="C61" s="424" t="s">
        <v>69</v>
      </c>
      <c r="D61" s="424"/>
      <c r="E61" s="435">
        <f>'ADJ DETAIL-INPUT'!E62</f>
        <v>930160</v>
      </c>
      <c r="F61" s="435">
        <f>G61-E61</f>
        <v>3318</v>
      </c>
      <c r="G61" s="446">
        <f>'ADJ DETAIL-INPUT'!AC62</f>
        <v>933478</v>
      </c>
      <c r="H61" s="435">
        <f>I61-G61</f>
        <v>14785.821956691798</v>
      </c>
      <c r="I61" s="446">
        <f>'ADJ DETAIL-INPUT'!BF62</f>
        <v>948263.8219566918</v>
      </c>
      <c r="J61" s="435"/>
      <c r="K61" s="435">
        <f t="shared" ref="K61:K64" si="19">I61+J61</f>
        <v>948263.8219566918</v>
      </c>
      <c r="M61" s="435">
        <f t="shared" si="1"/>
        <v>18103.821956691798</v>
      </c>
      <c r="N61" s="36"/>
      <c r="O61" s="147"/>
    </row>
    <row r="62" spans="1:27">
      <c r="A62" s="422">
        <v>34</v>
      </c>
      <c r="B62" s="424"/>
      <c r="C62" s="424" t="s">
        <v>70</v>
      </c>
      <c r="D62" s="424"/>
      <c r="E62" s="435">
        <f>'ADJ DETAIL-INPUT'!E63</f>
        <v>509897</v>
      </c>
      <c r="F62" s="435">
        <f>G62-E62</f>
        <v>17967.087999999989</v>
      </c>
      <c r="G62" s="446">
        <f>'ADJ DETAIL-INPUT'!AC63</f>
        <v>527864.08799999999</v>
      </c>
      <c r="H62" s="435">
        <f>I62-G62</f>
        <v>43307.501871264889</v>
      </c>
      <c r="I62" s="446">
        <f>'ADJ DETAIL-INPUT'!BF63</f>
        <v>571171.58987126488</v>
      </c>
      <c r="J62" s="435"/>
      <c r="K62" s="435">
        <f t="shared" si="19"/>
        <v>571171.58987126488</v>
      </c>
      <c r="M62" s="435">
        <f t="shared" si="1"/>
        <v>61274.589871264878</v>
      </c>
      <c r="N62" s="36"/>
    </row>
    <row r="63" spans="1:27">
      <c r="A63" s="422">
        <v>35</v>
      </c>
      <c r="B63" s="424"/>
      <c r="C63" s="424" t="s">
        <v>52</v>
      </c>
      <c r="D63" s="424"/>
      <c r="E63" s="435">
        <f>'ADJ DETAIL-INPUT'!E64</f>
        <v>1194477</v>
      </c>
      <c r="F63" s="435">
        <f>G63-E63</f>
        <v>-11636.214195567649</v>
      </c>
      <c r="G63" s="446">
        <f>'ADJ DETAIL-INPUT'!AC64</f>
        <v>1182840.7858044324</v>
      </c>
      <c r="H63" s="435">
        <f>I63-G63</f>
        <v>71728.104655201547</v>
      </c>
      <c r="I63" s="446">
        <f>'ADJ DETAIL-INPUT'!BF64</f>
        <v>1254568.8904596339</v>
      </c>
      <c r="J63" s="435"/>
      <c r="K63" s="435">
        <f t="shared" si="19"/>
        <v>1254568.8904596339</v>
      </c>
      <c r="M63" s="435">
        <f t="shared" si="1"/>
        <v>60091.890459633898</v>
      </c>
      <c r="N63" s="36"/>
    </row>
    <row r="64" spans="1:27">
      <c r="A64" s="422">
        <v>36</v>
      </c>
      <c r="B64" s="424"/>
      <c r="C64" s="424" t="s">
        <v>71</v>
      </c>
      <c r="D64" s="424"/>
      <c r="E64" s="444">
        <f>'ADJ DETAIL-INPUT'!E65</f>
        <v>279556</v>
      </c>
      <c r="F64" s="444">
        <f>G64-E64</f>
        <v>-2683.9991680260864</v>
      </c>
      <c r="G64" s="444">
        <f>'ADJ DETAIL-INPUT'!AC65</f>
        <v>276872.00083197391</v>
      </c>
      <c r="H64" s="444">
        <f>I64-G64</f>
        <v>15656.637203759747</v>
      </c>
      <c r="I64" s="444">
        <f>'ADJ DETAIL-INPUT'!BF65</f>
        <v>292528.63803573366</v>
      </c>
      <c r="J64" s="444"/>
      <c r="K64" s="444">
        <f t="shared" si="19"/>
        <v>292528.63803573366</v>
      </c>
      <c r="M64" s="444">
        <f t="shared" si="1"/>
        <v>12972.63803573366</v>
      </c>
      <c r="N64" s="36"/>
    </row>
    <row r="65" spans="1:14">
      <c r="A65" s="422">
        <v>37</v>
      </c>
      <c r="B65" s="424"/>
      <c r="C65" s="424"/>
      <c r="D65" s="424" t="s">
        <v>72</v>
      </c>
      <c r="E65" s="435">
        <f>SUM(E60:E64)</f>
        <v>3125125</v>
      </c>
      <c r="F65" s="435">
        <f t="shared" ref="F65" si="20">SUM(F60:F64)</f>
        <v>-21181.012832854991</v>
      </c>
      <c r="G65" s="435">
        <f t="shared" ref="G65" si="21">SUM(G60:G64)</f>
        <v>3103943.9871671451</v>
      </c>
      <c r="H65" s="435">
        <f t="shared" ref="H65:J65" si="22">SUM(H60:H64)</f>
        <v>199094.48764267756</v>
      </c>
      <c r="I65" s="435">
        <f t="shared" si="22"/>
        <v>3303038.4748098226</v>
      </c>
      <c r="J65" s="435">
        <f t="shared" si="22"/>
        <v>0</v>
      </c>
      <c r="K65" s="435">
        <f>SUM(K60:K64)</f>
        <v>3303038.4748098226</v>
      </c>
      <c r="M65" s="435">
        <f t="shared" si="1"/>
        <v>177913.47480982257</v>
      </c>
      <c r="N65" s="36"/>
    </row>
    <row r="66" spans="1:14">
      <c r="A66" s="425"/>
      <c r="B66" s="424" t="s">
        <v>219</v>
      </c>
      <c r="C66" s="424"/>
      <c r="D66" s="424"/>
      <c r="E66" s="435"/>
      <c r="F66" s="435"/>
      <c r="G66" s="435"/>
      <c r="H66" s="435"/>
      <c r="I66" s="435"/>
      <c r="J66" s="435"/>
      <c r="K66" s="435"/>
      <c r="M66" s="435">
        <f t="shared" si="1"/>
        <v>0</v>
      </c>
      <c r="N66" s="36"/>
    </row>
    <row r="67" spans="1:14">
      <c r="A67" s="425">
        <v>38</v>
      </c>
      <c r="B67" s="424"/>
      <c r="C67" s="423" t="s">
        <v>214</v>
      </c>
      <c r="D67" s="424"/>
      <c r="E67" s="435">
        <f>'ADJ DETAIL-INPUT'!E68</f>
        <v>-57078</v>
      </c>
      <c r="F67" s="435">
        <f>G67-E67</f>
        <v>-881.65170484322152</v>
      </c>
      <c r="G67" s="446">
        <f>'ADJ DETAIL-INPUT'!AC68</f>
        <v>-57959.651704843222</v>
      </c>
      <c r="H67" s="435">
        <f>I67-G67</f>
        <v>-13915.720936551916</v>
      </c>
      <c r="I67" s="446">
        <f>'ADJ DETAIL-INPUT'!BF68</f>
        <v>-71875.372641395137</v>
      </c>
      <c r="J67" s="446"/>
      <c r="K67" s="446">
        <f>I67+J67</f>
        <v>-71875.372641395137</v>
      </c>
      <c r="M67" s="435">
        <f t="shared" si="1"/>
        <v>-14797.372641395137</v>
      </c>
      <c r="N67" s="36"/>
    </row>
    <row r="68" spans="1:14">
      <c r="A68" s="425">
        <v>39</v>
      </c>
      <c r="B68" s="424"/>
      <c r="C68" s="424" t="s">
        <v>215</v>
      </c>
      <c r="D68" s="424"/>
      <c r="E68" s="435">
        <f>'ADJ DETAIL-INPUT'!E69</f>
        <v>-382437</v>
      </c>
      <c r="F68" s="435">
        <f>G68-E68</f>
        <v>-8416</v>
      </c>
      <c r="G68" s="446">
        <f>'ADJ DETAIL-INPUT'!AC69</f>
        <v>-390853</v>
      </c>
      <c r="H68" s="435">
        <f>I68-G68</f>
        <v>-23022.349768487387</v>
      </c>
      <c r="I68" s="446">
        <f>'ADJ DETAIL-INPUT'!BF69</f>
        <v>-413875.34976848739</v>
      </c>
      <c r="J68" s="435"/>
      <c r="K68" s="446">
        <f t="shared" ref="K68:K71" si="23">I68+J68</f>
        <v>-413875.34976848739</v>
      </c>
      <c r="M68" s="435">
        <f t="shared" si="1"/>
        <v>-31438.349768487387</v>
      </c>
      <c r="N68" s="36"/>
    </row>
    <row r="69" spans="1:14">
      <c r="A69" s="425">
        <v>40</v>
      </c>
      <c r="B69" s="424"/>
      <c r="C69" s="424" t="s">
        <v>216</v>
      </c>
      <c r="D69" s="424"/>
      <c r="E69" s="435">
        <f>'ADJ DETAIL-INPUT'!E70</f>
        <v>-147016</v>
      </c>
      <c r="F69" s="435">
        <f>G69-E69</f>
        <v>-3770.7280000000028</v>
      </c>
      <c r="G69" s="446">
        <f>'ADJ DETAIL-INPUT'!AC70</f>
        <v>-150786.728</v>
      </c>
      <c r="H69" s="435">
        <f>I69-G69</f>
        <v>3105.2943423474208</v>
      </c>
      <c r="I69" s="446">
        <f>'ADJ DETAIL-INPUT'!BF70</f>
        <v>-147681.43365765258</v>
      </c>
      <c r="J69" s="435"/>
      <c r="K69" s="446">
        <f t="shared" si="23"/>
        <v>-147681.43365765258</v>
      </c>
      <c r="M69" s="435">
        <f t="shared" si="1"/>
        <v>-665.43365765258204</v>
      </c>
      <c r="N69" s="36"/>
    </row>
    <row r="70" spans="1:14">
      <c r="A70" s="425">
        <v>41</v>
      </c>
      <c r="B70" s="424"/>
      <c r="C70" s="424" t="s">
        <v>200</v>
      </c>
      <c r="D70" s="424"/>
      <c r="E70" s="435">
        <f>'ADJ DETAIL-INPUT'!E71</f>
        <v>-358989</v>
      </c>
      <c r="F70" s="435">
        <f>G70-E70</f>
        <v>1104.155497312604</v>
      </c>
      <c r="G70" s="446">
        <f>'ADJ DETAIL-INPUT'!AC71</f>
        <v>-357884.8445026874</v>
      </c>
      <c r="H70" s="435">
        <f>I70-G70</f>
        <v>6578.1674264149042</v>
      </c>
      <c r="I70" s="446">
        <f>'ADJ DETAIL-INPUT'!BF71</f>
        <v>-351306.67707627249</v>
      </c>
      <c r="J70" s="435"/>
      <c r="K70" s="446">
        <f t="shared" si="23"/>
        <v>-351306.67707627249</v>
      </c>
      <c r="M70" s="435">
        <f t="shared" si="1"/>
        <v>7682.3229237275082</v>
      </c>
      <c r="N70" s="36"/>
    </row>
    <row r="71" spans="1:14">
      <c r="A71" s="425">
        <v>42</v>
      </c>
      <c r="B71" s="424"/>
      <c r="C71" s="424" t="s">
        <v>217</v>
      </c>
      <c r="D71" s="424"/>
      <c r="E71" s="435">
        <f>'ADJ DETAIL-INPUT'!E72</f>
        <v>-92865</v>
      </c>
      <c r="F71" s="444">
        <f>G71-E71</f>
        <v>2318.1000257913984</v>
      </c>
      <c r="G71" s="446">
        <f>'ADJ DETAIL-INPUT'!AC72</f>
        <v>-90546.899974208602</v>
      </c>
      <c r="H71" s="444">
        <f>I71-G71</f>
        <v>9654</v>
      </c>
      <c r="I71" s="446">
        <f>'ADJ DETAIL-INPUT'!BF72</f>
        <v>-80892.899974208602</v>
      </c>
      <c r="J71" s="444"/>
      <c r="K71" s="446">
        <f t="shared" si="23"/>
        <v>-80892.899974208602</v>
      </c>
      <c r="M71" s="444">
        <f t="shared" si="1"/>
        <v>11972.100025791398</v>
      </c>
      <c r="N71" s="36"/>
    </row>
    <row r="72" spans="1:14">
      <c r="A72" s="425">
        <v>43</v>
      </c>
      <c r="B72" s="424" t="s">
        <v>267</v>
      </c>
      <c r="C72" s="424"/>
      <c r="D72" s="424"/>
      <c r="E72" s="263">
        <f>SUM(E67:E71)</f>
        <v>-1038385</v>
      </c>
      <c r="F72" s="263">
        <f t="shared" ref="F72" si="24">SUM(F67:F71)</f>
        <v>-9646.124181739222</v>
      </c>
      <c r="G72" s="263">
        <f>SUM(G67:G71)</f>
        <v>-1048031.1241817393</v>
      </c>
      <c r="H72" s="263">
        <f t="shared" ref="H72" si="25">SUM(H67:H71)</f>
        <v>-17600.608936276978</v>
      </c>
      <c r="I72" s="263">
        <f>SUM(I67:I71)</f>
        <v>-1065631.733118016</v>
      </c>
      <c r="J72" s="263">
        <f>SUM(J67:J71)</f>
        <v>0</v>
      </c>
      <c r="K72" s="263">
        <f>SUM(K67:K71)</f>
        <v>-1065631.733118016</v>
      </c>
      <c r="M72" s="263">
        <f t="shared" si="1"/>
        <v>-27246.7331180162</v>
      </c>
      <c r="N72" s="36"/>
    </row>
    <row r="73" spans="1:14">
      <c r="A73" s="425">
        <v>44</v>
      </c>
      <c r="B73" s="424" t="s">
        <v>553</v>
      </c>
      <c r="C73" s="424"/>
      <c r="D73" s="423"/>
      <c r="E73" s="446">
        <f>E65+E72</f>
        <v>2086740</v>
      </c>
      <c r="F73" s="446">
        <f t="shared" ref="F73" si="26">F65+F72</f>
        <v>-30827.137014594213</v>
      </c>
      <c r="G73" s="446">
        <f t="shared" ref="G73" si="27">G65+G72</f>
        <v>2055912.8629854058</v>
      </c>
      <c r="H73" s="446">
        <f t="shared" ref="H73:J73" si="28">H65+H72</f>
        <v>181493.87870640057</v>
      </c>
      <c r="I73" s="446">
        <f t="shared" si="28"/>
        <v>2237406.7416918064</v>
      </c>
      <c r="J73" s="446">
        <f t="shared" si="28"/>
        <v>0</v>
      </c>
      <c r="K73" s="446">
        <f>K65+K72</f>
        <v>2237406.7416918064</v>
      </c>
      <c r="M73" s="446">
        <f t="shared" si="1"/>
        <v>150666.74169180635</v>
      </c>
      <c r="N73" s="36"/>
    </row>
    <row r="74" spans="1:14" ht="5.25" customHeight="1">
      <c r="A74" s="425"/>
      <c r="B74" s="424"/>
      <c r="C74" s="424"/>
      <c r="E74" s="334"/>
      <c r="F74" s="334"/>
      <c r="G74" s="334"/>
      <c r="H74" s="334"/>
      <c r="I74" s="334"/>
      <c r="J74" s="334"/>
      <c r="K74" s="334"/>
      <c r="M74" s="334">
        <f t="shared" si="1"/>
        <v>0</v>
      </c>
      <c r="N74" s="36"/>
    </row>
    <row r="75" spans="1:14">
      <c r="A75" s="426">
        <v>45</v>
      </c>
      <c r="B75" s="424" t="s">
        <v>220</v>
      </c>
      <c r="C75" s="424"/>
      <c r="D75" s="424"/>
      <c r="E75" s="444">
        <f>'ADJ DETAIL-INPUT'!E76</f>
        <v>-418971</v>
      </c>
      <c r="F75" s="444">
        <f>G75-E75</f>
        <v>2914</v>
      </c>
      <c r="G75" s="444">
        <f>'ADJ DETAIL-INPUT'!AC76</f>
        <v>-416057</v>
      </c>
      <c r="H75" s="444">
        <f>I75-G75</f>
        <v>-47301.741671680356</v>
      </c>
      <c r="I75" s="444">
        <f>'ADJ DETAIL-INPUT'!BF76</f>
        <v>-463358.74167168036</v>
      </c>
      <c r="J75" s="294"/>
      <c r="K75" s="444">
        <f>I75+J75</f>
        <v>-463358.74167168036</v>
      </c>
      <c r="M75" s="444">
        <f t="shared" si="1"/>
        <v>-44387.741671680356</v>
      </c>
      <c r="N75" s="36"/>
    </row>
    <row r="76" spans="1:14">
      <c r="A76" s="426">
        <v>46</v>
      </c>
      <c r="B76" s="424"/>
      <c r="C76" s="424" t="s">
        <v>552</v>
      </c>
      <c r="D76" s="424"/>
      <c r="E76" s="446">
        <f>SUM(E73:E75)</f>
        <v>1667769</v>
      </c>
      <c r="F76" s="446">
        <f t="shared" ref="F76" si="29">SUM(F73:F75)</f>
        <v>-27913.137014594213</v>
      </c>
      <c r="G76" s="446">
        <f>SUM(G73:G75)</f>
        <v>1639855.8629854058</v>
      </c>
      <c r="H76" s="446">
        <f t="shared" ref="H76:J76" si="30">SUM(H73:H75)</f>
        <v>134192.13703472022</v>
      </c>
      <c r="I76" s="446">
        <f>SUM(I73:I75)</f>
        <v>1774048.0000201259</v>
      </c>
      <c r="J76" s="446">
        <f t="shared" si="30"/>
        <v>0</v>
      </c>
      <c r="K76" s="446">
        <f>I76+J76</f>
        <v>1774048.0000201259</v>
      </c>
      <c r="M76" s="446">
        <f t="shared" si="1"/>
        <v>106279.000020126</v>
      </c>
      <c r="N76" s="36"/>
    </row>
    <row r="77" spans="1:14">
      <c r="A77" s="425">
        <v>47</v>
      </c>
      <c r="B77" s="424" t="s">
        <v>269</v>
      </c>
      <c r="C77" s="424"/>
      <c r="E77" s="435">
        <f>'ADJ DETAIL-INPUT'!E78</f>
        <v>-2096</v>
      </c>
      <c r="F77" s="435">
        <f>G77-E77</f>
        <v>-181</v>
      </c>
      <c r="G77" s="446">
        <f>'ADJ DETAIL-INPUT'!AC78</f>
        <v>-2277</v>
      </c>
      <c r="H77" s="435">
        <f>I77-G77</f>
        <v>48123</v>
      </c>
      <c r="I77" s="446">
        <f>'ADJ DETAIL-INPUT'!BF78</f>
        <v>45846</v>
      </c>
      <c r="K77" s="446">
        <f>I77+J77</f>
        <v>45846</v>
      </c>
      <c r="M77" s="435">
        <f t="shared" si="1"/>
        <v>47942</v>
      </c>
      <c r="N77" s="36"/>
    </row>
    <row r="78" spans="1:14">
      <c r="A78" s="425">
        <v>48</v>
      </c>
      <c r="B78" s="424" t="s">
        <v>256</v>
      </c>
      <c r="C78" s="424"/>
      <c r="E78" s="444">
        <f>'ADJ DETAIL-INPUT'!E79</f>
        <v>44462</v>
      </c>
      <c r="F78" s="444">
        <f>G78-E78</f>
        <v>-3752</v>
      </c>
      <c r="G78" s="444">
        <f>'ADJ DETAIL-INPUT'!AC79</f>
        <v>40710</v>
      </c>
      <c r="H78" s="444">
        <f>I78-G78</f>
        <v>0</v>
      </c>
      <c r="I78" s="444">
        <f>'ADJ DETAIL-INPUT'!BF79</f>
        <v>40710</v>
      </c>
      <c r="J78" s="294"/>
      <c r="K78" s="444">
        <f t="shared" ref="K78" si="31">I78+J78</f>
        <v>40710</v>
      </c>
      <c r="M78" s="444">
        <f t="shared" si="1"/>
        <v>-3752</v>
      </c>
      <c r="N78" s="36"/>
    </row>
    <row r="79" spans="1:14" ht="2.25" customHeight="1">
      <c r="A79" s="426">
        <v>49</v>
      </c>
      <c r="B79" s="424"/>
      <c r="C79" s="424"/>
      <c r="D79" s="424"/>
      <c r="M79" s="233">
        <f t="shared" ref="M79:M80" si="32">F79+H79</f>
        <v>0</v>
      </c>
      <c r="N79" s="36"/>
    </row>
    <row r="80" spans="1:14" ht="13.5" thickBot="1">
      <c r="A80" s="422">
        <v>50</v>
      </c>
      <c r="B80" s="423" t="s">
        <v>221</v>
      </c>
      <c r="C80" s="423"/>
      <c r="D80" s="423"/>
      <c r="E80" s="337">
        <f>SUM(E76:E78)</f>
        <v>1710135</v>
      </c>
      <c r="F80" s="337">
        <f t="shared" ref="F80" si="33">SUM(F76:F78)</f>
        <v>-31846.137014594213</v>
      </c>
      <c r="G80" s="337">
        <f t="shared" ref="G80" si="34">SUM(G76:G78)</f>
        <v>1678288.8629854058</v>
      </c>
      <c r="H80" s="337">
        <f t="shared" ref="H80:K80" si="35">SUM(H76:H78)</f>
        <v>182315.13703472022</v>
      </c>
      <c r="I80" s="337">
        <f t="shared" si="35"/>
        <v>1860604.0000201259</v>
      </c>
      <c r="J80" s="337">
        <f t="shared" si="35"/>
        <v>0</v>
      </c>
      <c r="K80" s="337">
        <f t="shared" si="35"/>
        <v>1860604.0000201259</v>
      </c>
      <c r="M80" s="337">
        <f t="shared" si="32"/>
        <v>150469.000020126</v>
      </c>
      <c r="N80" s="36"/>
    </row>
    <row r="81" spans="1:13" ht="13.5" thickTop="1">
      <c r="A81" s="422">
        <v>51</v>
      </c>
      <c r="B81" s="409" t="s">
        <v>624</v>
      </c>
      <c r="E81" s="261">
        <f>ROUND(E56/E80,4)</f>
        <v>6.7299999999999999E-2</v>
      </c>
      <c r="F81" s="261"/>
      <c r="G81" s="261">
        <f>ROUND(G56/G80,4)</f>
        <v>6.2899999999999998E-2</v>
      </c>
      <c r="I81" s="261">
        <f>ROUND(I56/I80,4)</f>
        <v>5.8000000000000003E-2</v>
      </c>
      <c r="K81" s="261">
        <f>ROUND(K56/K80,4)</f>
        <v>7.4300000000000005E-2</v>
      </c>
      <c r="M81" s="261"/>
    </row>
    <row r="82" spans="1:13" ht="6.75" customHeight="1">
      <c r="A82" s="978"/>
      <c r="B82" s="978"/>
      <c r="C82" s="978"/>
      <c r="D82" s="978"/>
      <c r="E82" s="978"/>
      <c r="F82" s="978"/>
      <c r="G82" s="978"/>
      <c r="H82" s="978"/>
      <c r="I82" s="978"/>
      <c r="J82" s="978"/>
      <c r="K82" s="978"/>
      <c r="M82" s="25"/>
    </row>
    <row r="84" spans="1:13">
      <c r="E84" s="379"/>
      <c r="F84" s="379"/>
      <c r="M84" s="379"/>
    </row>
    <row r="85" spans="1:13">
      <c r="E85" s="379"/>
      <c r="F85" s="379"/>
      <c r="M85" s="379"/>
    </row>
    <row r="89" spans="1:13">
      <c r="K89" s="375"/>
    </row>
    <row r="90" spans="1:13">
      <c r="K90" s="375"/>
    </row>
    <row r="91" spans="1:13">
      <c r="K91" s="375"/>
    </row>
  </sheetData>
  <mergeCells count="2">
    <mergeCell ref="E4:K4"/>
    <mergeCell ref="A82:K82"/>
  </mergeCells>
  <pageMargins left="0.75" right="0.51" top="1" bottom="0.5" header="0.5" footer="0.35"/>
  <pageSetup scale="72" orientation="portrait" r:id="rId1"/>
  <headerFooter scaleWithDoc="0" alignWithMargins="0">
    <oddHeader>&amp;R Exh. EMA-8</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workbookViewId="0"/>
  </sheetViews>
  <sheetFormatPr defaultColWidth="10.5703125" defaultRowHeight="12"/>
  <cols>
    <col min="1" max="1" width="4.5703125" style="410" customWidth="1"/>
    <col min="2" max="3" width="1.5703125" style="409" customWidth="1"/>
    <col min="4" max="4" width="33.5703125" style="409" customWidth="1"/>
    <col min="5" max="5" width="18.85546875" style="436" customWidth="1"/>
    <col min="6" max="31" width="18.85546875" style="435" customWidth="1"/>
    <col min="32" max="33" width="20.42578125" style="435" customWidth="1"/>
    <col min="34" max="39" width="18.85546875" style="435" customWidth="1"/>
    <col min="40" max="54" width="20.42578125" style="435" customWidth="1"/>
    <col min="55" max="16384" width="10.5703125" style="409"/>
  </cols>
  <sheetData>
    <row r="1" spans="1:54">
      <c r="E1" s="436" t="s">
        <v>266</v>
      </c>
      <c r="F1" s="436" t="s">
        <v>272</v>
      </c>
      <c r="G1" s="436" t="s">
        <v>272</v>
      </c>
      <c r="H1" s="436" t="s">
        <v>272</v>
      </c>
      <c r="I1" s="436" t="s">
        <v>272</v>
      </c>
      <c r="J1" s="436" t="s">
        <v>272</v>
      </c>
      <c r="K1" s="436" t="s">
        <v>272</v>
      </c>
      <c r="L1" s="436" t="s">
        <v>272</v>
      </c>
      <c r="M1" s="436" t="s">
        <v>272</v>
      </c>
      <c r="N1" s="436" t="s">
        <v>272</v>
      </c>
      <c r="O1" s="436" t="s">
        <v>272</v>
      </c>
      <c r="P1" s="436" t="s">
        <v>272</v>
      </c>
      <c r="Q1" s="436" t="s">
        <v>272</v>
      </c>
      <c r="R1" s="436" t="s">
        <v>272</v>
      </c>
      <c r="S1" s="436" t="s">
        <v>272</v>
      </c>
      <c r="T1" s="436" t="s">
        <v>272</v>
      </c>
      <c r="U1" s="436" t="s">
        <v>272</v>
      </c>
      <c r="V1" s="436" t="s">
        <v>272</v>
      </c>
      <c r="W1" s="436" t="s">
        <v>272</v>
      </c>
      <c r="X1" s="436" t="s">
        <v>272</v>
      </c>
      <c r="Y1" s="436" t="s">
        <v>272</v>
      </c>
      <c r="Z1" s="436" t="s">
        <v>272</v>
      </c>
      <c r="AA1" s="436" t="s">
        <v>272</v>
      </c>
      <c r="AB1" s="436" t="s">
        <v>272</v>
      </c>
      <c r="AC1" s="436" t="s">
        <v>272</v>
      </c>
      <c r="AD1" s="436" t="s">
        <v>272</v>
      </c>
      <c r="AE1" s="436" t="s">
        <v>272</v>
      </c>
      <c r="AF1" s="436" t="s">
        <v>272</v>
      </c>
      <c r="AG1" s="436" t="s">
        <v>272</v>
      </c>
      <c r="AH1" s="436" t="s">
        <v>272</v>
      </c>
      <c r="AI1" s="436" t="s">
        <v>272</v>
      </c>
      <c r="AJ1" s="436" t="s">
        <v>272</v>
      </c>
      <c r="AK1" s="436" t="s">
        <v>272</v>
      </c>
      <c r="AL1" s="436" t="s">
        <v>272</v>
      </c>
      <c r="AM1" s="436" t="s">
        <v>272</v>
      </c>
      <c r="AN1" s="436" t="s">
        <v>272</v>
      </c>
      <c r="AO1" s="436" t="s">
        <v>272</v>
      </c>
      <c r="AP1" s="436" t="s">
        <v>272</v>
      </c>
      <c r="AQ1" s="436" t="s">
        <v>272</v>
      </c>
      <c r="AR1" s="436" t="s">
        <v>272</v>
      </c>
      <c r="AS1" s="436" t="s">
        <v>272</v>
      </c>
      <c r="AT1" s="436" t="s">
        <v>272</v>
      </c>
      <c r="AU1" s="436" t="s">
        <v>272</v>
      </c>
      <c r="AV1" s="436" t="s">
        <v>272</v>
      </c>
      <c r="AW1" s="436" t="s">
        <v>272</v>
      </c>
      <c r="AX1" s="436" t="s">
        <v>272</v>
      </c>
      <c r="AY1" s="436" t="s">
        <v>272</v>
      </c>
      <c r="AZ1" s="436" t="s">
        <v>272</v>
      </c>
      <c r="BA1" s="436" t="s">
        <v>272</v>
      </c>
      <c r="BB1" s="436" t="s">
        <v>272</v>
      </c>
    </row>
    <row r="2" spans="1:54" ht="5.25" customHeight="1">
      <c r="D2" s="410"/>
      <c r="E2" s="434"/>
    </row>
    <row r="3" spans="1:54">
      <c r="A3" s="518" t="str">
        <f>'ADJ DETAIL-INPUT'!A2</f>
        <v xml:space="preserve">AVISTA UTILITIES  </v>
      </c>
      <c r="D3" s="410"/>
      <c r="E3" s="409"/>
      <c r="F3" s="437"/>
      <c r="G3" s="437"/>
      <c r="H3" s="437"/>
      <c r="I3" s="437"/>
      <c r="J3" s="437"/>
      <c r="K3" s="437"/>
      <c r="L3" s="437"/>
      <c r="M3" s="437"/>
      <c r="N3" s="437"/>
      <c r="O3" s="437"/>
      <c r="P3" s="437"/>
      <c r="Q3" s="437"/>
      <c r="R3" s="437"/>
      <c r="S3" s="437"/>
      <c r="T3" s="437"/>
      <c r="U3" s="437"/>
      <c r="V3" s="437"/>
      <c r="W3" s="437"/>
      <c r="X3" s="437"/>
      <c r="Y3" s="437"/>
      <c r="Z3" s="437"/>
      <c r="AA3" s="1034">
        <f>'ADJ DETAIL-INPUT'!AA3</f>
        <v>0</v>
      </c>
      <c r="AB3" s="1034" t="str">
        <f>'ADJ DETAIL-INPUT'!AB3</f>
        <v>Exh. EMA-11</v>
      </c>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c r="A4" s="518" t="str">
        <f>'ADJ DETAIL-INPUT'!A3</f>
        <v xml:space="preserve">WASHINGTON ELECTRIC RESULTS </v>
      </c>
      <c r="D4" s="410"/>
      <c r="F4" s="437"/>
      <c r="G4" s="437"/>
      <c r="H4" s="437"/>
      <c r="I4" s="437"/>
      <c r="J4" s="437"/>
      <c r="K4" s="437"/>
      <c r="L4" s="437"/>
      <c r="M4" s="437"/>
      <c r="N4" s="437"/>
      <c r="O4" s="437"/>
      <c r="P4" s="437"/>
      <c r="Q4" s="437"/>
      <c r="R4" s="437"/>
      <c r="S4" s="437"/>
      <c r="T4" s="437"/>
      <c r="U4" s="437"/>
      <c r="V4" s="437"/>
      <c r="W4" s="437"/>
      <c r="X4" s="437"/>
      <c r="Y4" s="437"/>
      <c r="Z4" s="437"/>
      <c r="AA4" s="1034"/>
      <c r="AB4" s="1034"/>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c r="A5" s="518" t="str">
        <f>'ADJ DETAIL-INPUT'!A5</f>
        <v xml:space="preserve">(000'S OF DOLLARS)  </v>
      </c>
      <c r="D5" s="410"/>
      <c r="AA5" s="1034"/>
      <c r="AB5" s="1034"/>
    </row>
    <row r="6" spans="1:54" s="412" customFormat="1">
      <c r="A6" s="518" t="str">
        <f>'ADJ DETAIL-INPUT'!A4</f>
        <v>TWELVE MONTHS ENDED DECEMBER 31, 2019</v>
      </c>
      <c r="D6" s="411"/>
      <c r="E6" s="438"/>
      <c r="F6" s="439"/>
      <c r="G6" s="439"/>
      <c r="H6" s="439"/>
      <c r="I6" s="439"/>
      <c r="J6" s="439"/>
      <c r="K6" s="439"/>
      <c r="L6" s="439"/>
      <c r="M6" s="439"/>
      <c r="N6" s="439"/>
      <c r="O6" s="439"/>
      <c r="P6" s="439"/>
      <c r="Q6" s="439"/>
      <c r="R6" s="439"/>
      <c r="S6" s="439"/>
      <c r="T6" s="439"/>
      <c r="U6" s="439"/>
      <c r="V6" s="439"/>
      <c r="W6" s="439"/>
      <c r="X6" s="439"/>
      <c r="Y6" s="439"/>
      <c r="Z6" s="439"/>
      <c r="AA6" s="1034"/>
      <c r="AB6" s="1034"/>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row>
    <row r="7" spans="1:54" s="412" customFormat="1" ht="12" customHeight="1">
      <c r="A7" s="358"/>
      <c r="B7" s="418"/>
      <c r="C7" s="418"/>
      <c r="D7" s="418"/>
      <c r="F7" s="462" t="str">
        <f>'ADJ DETAIL-INPUT'!F7</f>
        <v xml:space="preserve">Deferred </v>
      </c>
      <c r="G7" s="462" t="str">
        <f>'ADJ DETAIL-INPUT'!G7</f>
        <v xml:space="preserve">Deferred </v>
      </c>
      <c r="H7" s="462" t="str">
        <f>'ADJ DETAIL-INPUT'!H7</f>
        <v>Working</v>
      </c>
      <c r="I7" s="462" t="str">
        <f>'ADJ DETAIL-INPUT'!I7</f>
        <v>Remove</v>
      </c>
      <c r="J7" s="462" t="str">
        <f>'ADJ DETAIL-INPUT'!J7</f>
        <v>Eliminate</v>
      </c>
      <c r="K7" s="462" t="str">
        <f>'ADJ DETAIL-INPUT'!K7</f>
        <v>Restate</v>
      </c>
      <c r="L7" s="462" t="str">
        <f>'ADJ DETAIL-INPUT'!L7</f>
        <v>Uncollect.</v>
      </c>
      <c r="M7" s="462" t="str">
        <f>'ADJ DETAIL-INPUT'!M7</f>
        <v>Regulatory</v>
      </c>
      <c r="N7" s="462" t="str">
        <f>'ADJ DETAIL-INPUT'!N7</f>
        <v>Injuries</v>
      </c>
      <c r="O7" s="462" t="str">
        <f>'ADJ DETAIL-INPUT'!O7</f>
        <v>FIT/DFIT/</v>
      </c>
      <c r="P7" s="462" t="str">
        <f>'ADJ DETAIL-INPUT'!P7</f>
        <v>Office Space</v>
      </c>
      <c r="Q7" s="462" t="str">
        <f>'ADJ DETAIL-INPUT'!Q7</f>
        <v>Restate</v>
      </c>
      <c r="R7" s="462" t="str">
        <f>'ADJ DETAIL-INPUT'!R7</f>
        <v>Net</v>
      </c>
      <c r="S7" s="462" t="str">
        <f>'ADJ DETAIL-INPUT'!S7</f>
        <v xml:space="preserve">Weather </v>
      </c>
      <c r="T7" s="462" t="str">
        <f>'ADJ DETAIL-INPUT'!T7</f>
        <v>Eliminate</v>
      </c>
      <c r="U7" s="462" t="str">
        <f>'ADJ DETAIL-INPUT'!U7</f>
        <v>Misc. Restating</v>
      </c>
      <c r="V7" s="462" t="str">
        <f>'ADJ DETAIL-INPUT'!V7</f>
        <v xml:space="preserve">Restating </v>
      </c>
      <c r="W7" s="462" t="str">
        <f>'ADJ DETAIL-INPUT'!W7</f>
        <v>Restate</v>
      </c>
      <c r="X7" s="462" t="str">
        <f>'ADJ DETAIL-INPUT'!X7</f>
        <v>Eliminate</v>
      </c>
      <c r="Y7" s="462" t="str">
        <f>'ADJ DETAIL-INPUT'!Y7</f>
        <v>Nez Perce</v>
      </c>
      <c r="Z7" s="462" t="str">
        <f>'ADJ DETAIL-INPUT'!Z7</f>
        <v>Normalize</v>
      </c>
      <c r="AA7" s="462" t="str">
        <f>'ADJ DETAIL-INPUT'!AA7</f>
        <v xml:space="preserve">Authorized </v>
      </c>
      <c r="AB7" s="462" t="str">
        <f>'ADJ DETAIL-INPUT'!AB7</f>
        <v>Restate 2019</v>
      </c>
      <c r="AC7" s="462" t="str">
        <f>'ADJ DETAIL-INPUT'!AD7</f>
        <v>Pro Forma</v>
      </c>
      <c r="AD7" s="462" t="str">
        <f>'ADJ DETAIL-INPUT'!AE7</f>
        <v>Pro Forma</v>
      </c>
      <c r="AE7" s="462" t="str">
        <f>'ADJ DETAIL-INPUT'!AF7</f>
        <v>Pro Forma</v>
      </c>
      <c r="AF7" s="462" t="str">
        <f>'ADJ DETAIL-INPUT'!AG7</f>
        <v xml:space="preserve">Pro Forma </v>
      </c>
      <c r="AG7" s="462" t="str">
        <f>'ADJ DETAIL-INPUT'!AH7</f>
        <v xml:space="preserve">Pro Forma </v>
      </c>
      <c r="AH7" s="462" t="str">
        <f>'ADJ DETAIL-INPUT'!AI7</f>
        <v xml:space="preserve">Pro Forma </v>
      </c>
      <c r="AI7" s="462" t="str">
        <f>'ADJ DETAIL-INPUT'!AJ7</f>
        <v xml:space="preserve">Pro Forma </v>
      </c>
      <c r="AJ7" s="462" t="str">
        <f>'ADJ DETAIL-INPUT'!AK7</f>
        <v xml:space="preserve">Pro Forma </v>
      </c>
      <c r="AK7" s="462" t="str">
        <f>'ADJ DETAIL-INPUT'!AL7</f>
        <v>Pro Forma</v>
      </c>
      <c r="AL7" s="462" t="str">
        <f>'ADJ DETAIL-INPUT'!AM7</f>
        <v xml:space="preserve">Pro Forma </v>
      </c>
      <c r="AM7" s="462" t="str">
        <f>'ADJ DETAIL-INPUT'!AN7</f>
        <v xml:space="preserve">Pro Forma </v>
      </c>
      <c r="AN7" s="462" t="str">
        <f>'ADJ DETAIL-INPUT'!AO7</f>
        <v>Pro Forma</v>
      </c>
      <c r="AO7" s="462" t="str">
        <f>'ADJ DETAIL-INPUT'!AP7</f>
        <v xml:space="preserve">Pro Forma </v>
      </c>
      <c r="AP7" s="462" t="str">
        <f>'ADJ DETAIL-INPUT'!AQ7</f>
        <v xml:space="preserve">Pro Forma </v>
      </c>
      <c r="AQ7" s="462" t="str">
        <f>'ADJ DETAIL-INPUT'!AR7</f>
        <v xml:space="preserve">Pro Forma </v>
      </c>
      <c r="AR7" s="462" t="str">
        <f>'ADJ DETAIL-INPUT'!AS7</f>
        <v xml:space="preserve">Pro Forma </v>
      </c>
      <c r="AS7" s="462" t="str">
        <f>'ADJ DETAIL-INPUT'!AT7</f>
        <v xml:space="preserve">Pro Forma </v>
      </c>
      <c r="AT7" s="462" t="str">
        <f>'ADJ DETAIL-INPUT'!AU7</f>
        <v>Pro Forma</v>
      </c>
      <c r="AU7" s="462" t="str">
        <f>'ADJ DETAIL-INPUT'!AV7</f>
        <v>Pro Forma</v>
      </c>
      <c r="AV7" s="462" t="str">
        <f>'ADJ DETAIL-INPUT'!AX7</f>
        <v>Pro Forma</v>
      </c>
      <c r="AW7" s="462" t="str">
        <f>'ADJ DETAIL-INPUT'!AZ7</f>
        <v>Pro Forma</v>
      </c>
      <c r="AX7" s="462" t="str">
        <f>'ADJ DETAIL-INPUT'!BB7</f>
        <v>PF Normalize</v>
      </c>
      <c r="AY7" s="462" t="str">
        <f>'ADJ DETAIL-INPUT'!BC7</f>
        <v>Restate</v>
      </c>
      <c r="AZ7" s="462" t="str">
        <f>'ADJ DETAIL-INPUT'!BF7</f>
        <v>Base</v>
      </c>
      <c r="BA7" s="462" t="str">
        <f>'ADJ DETAIL-INPUT'!BG7</f>
        <v>Strategic</v>
      </c>
      <c r="BB7" s="462" t="str">
        <f>'ADJ DETAIL-INPUT'!BH7</f>
        <v>Billed</v>
      </c>
    </row>
    <row r="8" spans="1:54" s="412" customFormat="1">
      <c r="A8" s="358" t="str">
        <f>'ADJ DETAIL-INPUT'!A8</f>
        <v>Line</v>
      </c>
      <c r="B8" s="418"/>
      <c r="C8" s="418"/>
      <c r="D8" s="418"/>
      <c r="E8" s="515" t="s">
        <v>261</v>
      </c>
      <c r="F8" s="462" t="str">
        <f>'ADJ DETAIL-INPUT'!F8</f>
        <v>FIT</v>
      </c>
      <c r="G8" s="462" t="str">
        <f>'ADJ DETAIL-INPUT'!G8</f>
        <v xml:space="preserve">Debits and </v>
      </c>
      <c r="H8" s="462" t="str">
        <f>'ADJ DETAIL-INPUT'!H8</f>
        <v>Capital</v>
      </c>
      <c r="I8" s="462" t="str">
        <f>'ADJ DETAIL-INPUT'!I8</f>
        <v>AMI</v>
      </c>
      <c r="J8" s="462" t="str">
        <f>'ADJ DETAIL-INPUT'!J8</f>
        <v>B &amp; O</v>
      </c>
      <c r="K8" s="462" t="str">
        <f>'ADJ DETAIL-INPUT'!K8</f>
        <v>Property</v>
      </c>
      <c r="L8" s="462" t="str">
        <f>'ADJ DETAIL-INPUT'!L8</f>
        <v>Expense</v>
      </c>
      <c r="M8" s="462" t="str">
        <f>'ADJ DETAIL-INPUT'!M8</f>
        <v>Expense</v>
      </c>
      <c r="N8" s="462" t="str">
        <f>'ADJ DETAIL-INPUT'!N8</f>
        <v xml:space="preserve">and </v>
      </c>
      <c r="O8" s="462" t="str">
        <f>'ADJ DETAIL-INPUT'!O8</f>
        <v>ITC</v>
      </c>
      <c r="P8" s="462" t="str">
        <f>'ADJ DETAIL-INPUT'!P8</f>
        <v>Charges to</v>
      </c>
      <c r="Q8" s="462" t="str">
        <f>'ADJ DETAIL-INPUT'!Q8</f>
        <v>Excise</v>
      </c>
      <c r="R8" s="462" t="str">
        <f>'ADJ DETAIL-INPUT'!R8</f>
        <v>Gains &amp;</v>
      </c>
      <c r="S8" s="462" t="str">
        <f>'ADJ DETAIL-INPUT'!S8</f>
        <v>Normalization</v>
      </c>
      <c r="T8" s="462" t="str">
        <f>'ADJ DETAIL-INPUT'!T8</f>
        <v>Adder</v>
      </c>
      <c r="U8" s="462" t="str">
        <f>'ADJ DETAIL-INPUT'!U8</f>
        <v>Non-Util / Non-</v>
      </c>
      <c r="V8" s="462" t="str">
        <f>'ADJ DETAIL-INPUT'!V8</f>
        <v>Incentives</v>
      </c>
      <c r="W8" s="462" t="str">
        <f>'ADJ DETAIL-INPUT'!W8</f>
        <v>Debt</v>
      </c>
      <c r="X8" s="462" t="str">
        <f>'ADJ DETAIL-INPUT'!X8</f>
        <v>WA Power</v>
      </c>
      <c r="Y8" s="462" t="str">
        <f>'ADJ DETAIL-INPUT'!Y8</f>
        <v>Settlement</v>
      </c>
      <c r="Z8" s="462" t="str">
        <f>'ADJ DETAIL-INPUT'!Z8</f>
        <v>CS2/Colstrip</v>
      </c>
      <c r="AA8" s="462" t="str">
        <f>'ADJ DETAIL-INPUT'!AA8</f>
        <v>Power</v>
      </c>
      <c r="AB8" s="462" t="str">
        <f>'ADJ DETAIL-INPUT'!AB8</f>
        <v>AMA Rate</v>
      </c>
      <c r="AC8" s="462" t="str">
        <f>'ADJ DETAIL-INPUT'!AD8</f>
        <v xml:space="preserve">Power </v>
      </c>
      <c r="AD8" s="462" t="str">
        <f>'ADJ DETAIL-INPUT'!AE8</f>
        <v>Transmission</v>
      </c>
      <c r="AE8" s="462" t="str">
        <f>'ADJ DETAIL-INPUT'!AF8</f>
        <v xml:space="preserve">Revenue </v>
      </c>
      <c r="AF8" s="462" t="str">
        <f>'ADJ DETAIL-INPUT'!AG8</f>
        <v>Def. Debits, Credits &amp;</v>
      </c>
      <c r="AG8" s="462" t="str">
        <f>'ADJ DETAIL-INPUT'!AH8</f>
        <v>ARAM</v>
      </c>
      <c r="AH8" s="462" t="str">
        <f>'ADJ DETAIL-INPUT'!AI8</f>
        <v>Labor</v>
      </c>
      <c r="AI8" s="462" t="str">
        <f>'ADJ DETAIL-INPUT'!AJ8</f>
        <v>Labor</v>
      </c>
      <c r="AJ8" s="462" t="str">
        <f>'ADJ DETAIL-INPUT'!AK8</f>
        <v xml:space="preserve">Employee </v>
      </c>
      <c r="AK8" s="462" t="str">
        <f>'ADJ DETAIL-INPUT'!AL8</f>
        <v>Insurance</v>
      </c>
      <c r="AL8" s="462" t="str">
        <f>'ADJ DETAIL-INPUT'!AM8</f>
        <v>IS/IT</v>
      </c>
      <c r="AM8" s="462" t="str">
        <f>'ADJ DETAIL-INPUT'!AN8</f>
        <v>Property</v>
      </c>
      <c r="AN8" s="462" t="str">
        <f>'ADJ DETAIL-INPUT'!AO8</f>
        <v>Fee Free</v>
      </c>
      <c r="AO8" s="462" t="str">
        <f>'ADJ DETAIL-INPUT'!AP8</f>
        <v>2020 Customer</v>
      </c>
      <c r="AP8" s="462" t="str">
        <f>'ADJ DETAIL-INPUT'!AQ8</f>
        <v>2020 Large</v>
      </c>
      <c r="AQ8" s="462" t="str">
        <f>'ADJ DETAIL-INPUT'!AR8</f>
        <v>2020</v>
      </c>
      <c r="AR8" s="462" t="str">
        <f>'ADJ DETAIL-INPUT'!AS8</f>
        <v xml:space="preserve">2020 Mandatory </v>
      </c>
      <c r="AS8" s="462" t="str">
        <f>'ADJ DETAIL-INPUT'!AT8</f>
        <v>2020</v>
      </c>
      <c r="AT8" s="462" t="str">
        <f>'ADJ DETAIL-INPUT'!AU8</f>
        <v xml:space="preserve">AMI </v>
      </c>
      <c r="AU8" s="462" t="str">
        <f>'ADJ DETAIL-INPUT'!AV8</f>
        <v>WildFire</v>
      </c>
      <c r="AV8" s="462" t="str">
        <f>'ADJ DETAIL-INPUT'!AX8</f>
        <v>EIM</v>
      </c>
      <c r="AW8" s="462" t="str">
        <f>'ADJ DETAIL-INPUT'!AZ8</f>
        <v>Colstrip Cap &amp;</v>
      </c>
      <c r="AX8" s="462" t="str">
        <f>'ADJ DETAIL-INPUT'!BB8</f>
        <v>CS2/Colstrip</v>
      </c>
      <c r="AY8" s="462" t="str">
        <f>'ADJ DETAIL-INPUT'!BC8</f>
        <v>2019</v>
      </c>
      <c r="AZ8" s="462" t="str">
        <f>'ADJ DETAIL-INPUT'!BF8</f>
        <v xml:space="preserve">Pro Forma </v>
      </c>
      <c r="BA8" s="462" t="str">
        <f>'ADJ DETAIL-INPUT'!BG8</f>
        <v>Tax DFIT</v>
      </c>
      <c r="BB8" s="462" t="str">
        <f>'ADJ DETAIL-INPUT'!BH8</f>
        <v>Net Total</v>
      </c>
    </row>
    <row r="9" spans="1:54" s="412" customFormat="1" ht="11.25" customHeight="1">
      <c r="A9" s="362" t="str">
        <f>'ADJ DETAIL-INPUT'!A9</f>
        <v>No.</v>
      </c>
      <c r="B9" s="421"/>
      <c r="C9" s="363" t="s">
        <v>22</v>
      </c>
      <c r="D9" s="421"/>
      <c r="E9" s="359" t="s">
        <v>262</v>
      </c>
      <c r="F9" s="463" t="str">
        <f>'ADJ DETAIL-INPUT'!F9</f>
        <v>Rate Base</v>
      </c>
      <c r="G9" s="463" t="str">
        <f>'ADJ DETAIL-INPUT'!G9</f>
        <v>Credits</v>
      </c>
      <c r="H9" s="463" t="str">
        <f>'ADJ DETAIL-INPUT'!H9</f>
        <v xml:space="preserve"> </v>
      </c>
      <c r="I9" s="463" t="str">
        <f>'ADJ DETAIL-INPUT'!I9</f>
        <v>Rate Base</v>
      </c>
      <c r="J9" s="463" t="str">
        <f>'ADJ DETAIL-INPUT'!J9</f>
        <v>Taxes</v>
      </c>
      <c r="K9" s="463" t="str">
        <f>'ADJ DETAIL-INPUT'!K9</f>
        <v>Tax</v>
      </c>
      <c r="L9" s="463" t="str">
        <f>'ADJ DETAIL-INPUT'!L9</f>
        <v xml:space="preserve"> </v>
      </c>
      <c r="M9" s="463" t="str">
        <f>'ADJ DETAIL-INPUT'!M9</f>
        <v xml:space="preserve"> </v>
      </c>
      <c r="N9" s="463" t="str">
        <f>'ADJ DETAIL-INPUT'!N9</f>
        <v>Damages</v>
      </c>
      <c r="O9" s="463" t="str">
        <f>'ADJ DETAIL-INPUT'!O9</f>
        <v>Expense</v>
      </c>
      <c r="P9" s="463" t="str">
        <f>'ADJ DETAIL-INPUT'!P9</f>
        <v>Non-Utility</v>
      </c>
      <c r="Q9" s="463" t="str">
        <f>'ADJ DETAIL-INPUT'!Q9</f>
        <v>Taxes</v>
      </c>
      <c r="R9" s="463" t="str">
        <f>'ADJ DETAIL-INPUT'!R9</f>
        <v>Losses</v>
      </c>
      <c r="S9" s="463" t="str">
        <f>'ADJ DETAIL-INPUT'!S9</f>
        <v xml:space="preserve"> </v>
      </c>
      <c r="T9" s="463" t="str">
        <f>'ADJ DETAIL-INPUT'!T9</f>
        <v>Schedules</v>
      </c>
      <c r="U9" s="463" t="str">
        <f>'ADJ DETAIL-INPUT'!U9</f>
        <v>Recurring Expenses</v>
      </c>
      <c r="V9" s="463">
        <f>'ADJ DETAIL-INPUT'!V9</f>
        <v>0</v>
      </c>
      <c r="W9" s="463" t="str">
        <f>'ADJ DETAIL-INPUT'!W9</f>
        <v>Interest</v>
      </c>
      <c r="X9" s="463" t="str">
        <f>'ADJ DETAIL-INPUT'!X9</f>
        <v>Cost Defer</v>
      </c>
      <c r="Y9" s="463" t="str">
        <f>'ADJ DETAIL-INPUT'!Y9</f>
        <v>Adjustment</v>
      </c>
      <c r="Z9" s="463" t="str">
        <f>'ADJ DETAIL-INPUT'!Z9</f>
        <v>Major Maint</v>
      </c>
      <c r="AA9" s="463" t="str">
        <f>'ADJ DETAIL-INPUT'!AA9</f>
        <v>Supply</v>
      </c>
      <c r="AB9" s="463" t="str">
        <f>'ADJ DETAIL-INPUT'!AB9</f>
        <v>Base to EOP</v>
      </c>
      <c r="AC9" s="463" t="str">
        <f>'ADJ DETAIL-INPUT'!AD9</f>
        <v>Supply</v>
      </c>
      <c r="AD9" s="463" t="str">
        <f>'ADJ DETAIL-INPUT'!AE9</f>
        <v>Revenue/Expense</v>
      </c>
      <c r="AE9" s="463" t="str">
        <f>'ADJ DETAIL-INPUT'!AF9</f>
        <v>Normalization</v>
      </c>
      <c r="AF9" s="463" t="str">
        <f>'ADJ DETAIL-INPUT'!AG9</f>
        <v>Regulatory Amorts</v>
      </c>
      <c r="AG9" s="463" t="str">
        <f>'ADJ DETAIL-INPUT'!AH9</f>
        <v>DFIT</v>
      </c>
      <c r="AH9" s="463" t="str">
        <f>'ADJ DETAIL-INPUT'!AI9</f>
        <v>Non-Exec</v>
      </c>
      <c r="AI9" s="463" t="str">
        <f>'ADJ DETAIL-INPUT'!AJ9</f>
        <v>Exec</v>
      </c>
      <c r="AJ9" s="463" t="str">
        <f>'ADJ DETAIL-INPUT'!AK9</f>
        <v>Benefits</v>
      </c>
      <c r="AK9" s="463" t="str">
        <f>'ADJ DETAIL-INPUT'!AL9</f>
        <v>Expense</v>
      </c>
      <c r="AL9" s="463" t="str">
        <f>'ADJ DETAIL-INPUT'!AM9</f>
        <v>Expense</v>
      </c>
      <c r="AM9" s="463" t="str">
        <f>'ADJ DETAIL-INPUT'!AN9</f>
        <v>Tax</v>
      </c>
      <c r="AN9" s="463" t="str">
        <f>'ADJ DETAIL-INPUT'!AO9</f>
        <v>Amortization</v>
      </c>
      <c r="AO9" s="463" t="str">
        <f>'ADJ DETAIL-INPUT'!AP9</f>
        <v xml:space="preserve">At Center </v>
      </c>
      <c r="AP9" s="463" t="str">
        <f>'ADJ DETAIL-INPUT'!AQ9</f>
        <v>&amp; Distinct</v>
      </c>
      <c r="AQ9" s="463" t="str">
        <f>'ADJ DETAIL-INPUT'!AR9</f>
        <v>Programmatic</v>
      </c>
      <c r="AR9" s="463" t="str">
        <f>'ADJ DETAIL-INPUT'!AS9</f>
        <v>&amp; Compliance</v>
      </c>
      <c r="AS9" s="463" t="str">
        <f>'ADJ DETAIL-INPUT'!AT9</f>
        <v>Short Lived</v>
      </c>
      <c r="AT9" s="463" t="str">
        <f>'ADJ DETAIL-INPUT'!AU9</f>
        <v>Capital</v>
      </c>
      <c r="AU9" s="463" t="str">
        <f>'ADJ DETAIL-INPUT'!AV9</f>
        <v>Plan</v>
      </c>
      <c r="AV9" s="463" t="str">
        <f>'ADJ DETAIL-INPUT'!AX9</f>
        <v>Expenditures</v>
      </c>
      <c r="AW9" s="463" t="str">
        <f>'ADJ DETAIL-INPUT'!AZ9</f>
        <v>Amortization</v>
      </c>
      <c r="AX9" s="463" t="str">
        <f>'ADJ DETAIL-INPUT'!BB9</f>
        <v>Major Maint</v>
      </c>
      <c r="AY9" s="463" t="str">
        <f>'ADJ DETAIL-INPUT'!BC9</f>
        <v>ADFIT</v>
      </c>
      <c r="AZ9" s="463" t="str">
        <f>'ADJ DETAIL-INPUT'!BF9</f>
        <v>Total</v>
      </c>
      <c r="BA9" s="463" t="str">
        <f>'ADJ DETAIL-INPUT'!BG9</f>
        <v>Tariff</v>
      </c>
      <c r="BB9" s="463" t="str">
        <f>'ADJ DETAIL-INPUT'!BH9</f>
        <v>After Tariff</v>
      </c>
    </row>
    <row r="10" spans="1:54" s="458" customFormat="1">
      <c r="B10" s="461" t="s">
        <v>563</v>
      </c>
      <c r="E10" s="460">
        <v>1</v>
      </c>
      <c r="F10" s="459">
        <f>'ADJ DETAIL-INPUT'!F10</f>
        <v>1.01</v>
      </c>
      <c r="G10" s="459">
        <f>'ADJ DETAIL-INPUT'!G10</f>
        <v>1.02</v>
      </c>
      <c r="H10" s="459">
        <f>'ADJ DETAIL-INPUT'!H10</f>
        <v>1.03</v>
      </c>
      <c r="I10" s="459">
        <f>'ADJ DETAIL-INPUT'!I10</f>
        <v>1.04</v>
      </c>
      <c r="J10" s="459">
        <f>'ADJ DETAIL-INPUT'!J10</f>
        <v>2.0099999999999998</v>
      </c>
      <c r="K10" s="459">
        <f>'ADJ DETAIL-INPUT'!K10</f>
        <v>2.0199999999999996</v>
      </c>
      <c r="L10" s="459">
        <f>'ADJ DETAIL-INPUT'!L10</f>
        <v>2.0299999999999994</v>
      </c>
      <c r="M10" s="459">
        <f>'ADJ DETAIL-INPUT'!M10</f>
        <v>2.0399999999999991</v>
      </c>
      <c r="N10" s="459">
        <f>'ADJ DETAIL-INPUT'!N10</f>
        <v>2.0499999999999989</v>
      </c>
      <c r="O10" s="459">
        <f>'ADJ DETAIL-INPUT'!O10</f>
        <v>2.0599999999999987</v>
      </c>
      <c r="P10" s="459">
        <f>'ADJ DETAIL-INPUT'!P10</f>
        <v>2.0699999999999985</v>
      </c>
      <c r="Q10" s="459">
        <f>'ADJ DETAIL-INPUT'!Q10</f>
        <v>2.0799999999999983</v>
      </c>
      <c r="R10" s="459">
        <f>'ADJ DETAIL-INPUT'!R10</f>
        <v>2.0899999999999981</v>
      </c>
      <c r="S10" s="459">
        <f>'ADJ DETAIL-INPUT'!S10</f>
        <v>2.0999999999999979</v>
      </c>
      <c r="T10" s="459">
        <f>'ADJ DETAIL-INPUT'!T10</f>
        <v>2.1099999999999977</v>
      </c>
      <c r="U10" s="459">
        <f>'ADJ DETAIL-INPUT'!U10</f>
        <v>2.1199999999999974</v>
      </c>
      <c r="V10" s="459">
        <f>'ADJ DETAIL-INPUT'!V10</f>
        <v>2.1299999999999972</v>
      </c>
      <c r="W10" s="459">
        <f>'ADJ DETAIL-INPUT'!W10</f>
        <v>2.139999999999997</v>
      </c>
      <c r="X10" s="459">
        <f>'ADJ DETAIL-INPUT'!X10</f>
        <v>2.1499999999999968</v>
      </c>
      <c r="Y10" s="459">
        <f>'ADJ DETAIL-INPUT'!Y10</f>
        <v>2.1599999999999966</v>
      </c>
      <c r="Z10" s="459">
        <f>'ADJ DETAIL-INPUT'!Z10</f>
        <v>2.1699999999999964</v>
      </c>
      <c r="AA10" s="459">
        <f>'ADJ DETAIL-INPUT'!AA10</f>
        <v>2.1799999999999962</v>
      </c>
      <c r="AB10" s="459">
        <f>'ADJ DETAIL-INPUT'!AB10</f>
        <v>2.1899999999999959</v>
      </c>
      <c r="AC10" s="459" t="str">
        <f>'ADJ DETAIL-INPUT'!AD10</f>
        <v>3.00P</v>
      </c>
      <c r="AD10" s="459" t="str">
        <f>'ADJ DETAIL-INPUT'!AE10</f>
        <v>3.00T</v>
      </c>
      <c r="AE10" s="459">
        <f>'ADJ DETAIL-INPUT'!AF10</f>
        <v>3.01</v>
      </c>
      <c r="AF10" s="459">
        <f>'ADJ DETAIL-INPUT'!AG10</f>
        <v>3.0199999999999996</v>
      </c>
      <c r="AG10" s="459">
        <f>'ADJ DETAIL-INPUT'!AH10</f>
        <v>3.0299999999999994</v>
      </c>
      <c r="AH10" s="459">
        <f>'ADJ DETAIL-INPUT'!AI10</f>
        <v>3.0399999999999991</v>
      </c>
      <c r="AI10" s="459">
        <f>'ADJ DETAIL-INPUT'!AJ10</f>
        <v>3.0499999999999989</v>
      </c>
      <c r="AJ10" s="459">
        <f>'ADJ DETAIL-INPUT'!AK10</f>
        <v>3.0599999999999987</v>
      </c>
      <c r="AK10" s="459">
        <f>'ADJ DETAIL-INPUT'!AL10</f>
        <v>3.0699999999999985</v>
      </c>
      <c r="AL10" s="459">
        <f>'ADJ DETAIL-INPUT'!AM10</f>
        <v>3.0799999999999983</v>
      </c>
      <c r="AM10" s="459">
        <f>'ADJ DETAIL-INPUT'!AN10</f>
        <v>3.0899999999999981</v>
      </c>
      <c r="AN10" s="459">
        <f>'ADJ DETAIL-INPUT'!AO10</f>
        <v>3.0999999999999979</v>
      </c>
      <c r="AO10" s="459">
        <f>'ADJ DETAIL-INPUT'!AP10</f>
        <v>3.1099999999999977</v>
      </c>
      <c r="AP10" s="459">
        <f>'ADJ DETAIL-INPUT'!AQ10</f>
        <v>3.1199999999999974</v>
      </c>
      <c r="AQ10" s="459">
        <f>'ADJ DETAIL-INPUT'!AR10</f>
        <v>3.1299999999999972</v>
      </c>
      <c r="AR10" s="459">
        <f>'ADJ DETAIL-INPUT'!AS10</f>
        <v>3.139999999999997</v>
      </c>
      <c r="AS10" s="459">
        <f>'ADJ DETAIL-INPUT'!AT10</f>
        <v>3.1499999999999968</v>
      </c>
      <c r="AT10" s="459">
        <f>'ADJ DETAIL-INPUT'!AU10</f>
        <v>3.1599999999999966</v>
      </c>
      <c r="AU10" s="459" t="str">
        <f>'ADJ DETAIL-INPUT'!AV10</f>
        <v>3.17PF</v>
      </c>
      <c r="AV10" s="459" t="str">
        <f>'ADJ DETAIL-INPUT'!AX10</f>
        <v>3.18PF</v>
      </c>
      <c r="AW10" s="459" t="str">
        <f>'ADJ DETAIL-INPUT'!AZ10</f>
        <v>3.19PF</v>
      </c>
      <c r="AX10" s="459">
        <f>'ADJ DETAIL-INPUT'!BB10</f>
        <v>3.2</v>
      </c>
      <c r="AY10" s="459">
        <f>'ADJ DETAIL-INPUT'!BC10</f>
        <v>3.21</v>
      </c>
      <c r="AZ10" s="459" t="str">
        <f>'ADJ DETAIL-INPUT'!BF10</f>
        <v>PF-SubTtl</v>
      </c>
      <c r="BA10" s="459" t="str">
        <f>'ADJ DETAIL-INPUT'!BG10</f>
        <v>4.00T</v>
      </c>
      <c r="BB10" s="459" t="str">
        <f>'ADJ DETAIL-INPUT'!BH10</f>
        <v>Net Billed</v>
      </c>
    </row>
    <row r="11" spans="1:54" s="458" customFormat="1">
      <c r="A11" s="360"/>
      <c r="B11" s="361" t="s">
        <v>564</v>
      </c>
      <c r="C11" s="360"/>
      <c r="D11" s="360"/>
      <c r="E11" s="464" t="str">
        <f>'ADJ DETAIL-INPUT'!E11</f>
        <v>E-ROO</v>
      </c>
      <c r="F11" s="464" t="str">
        <f>'ADJ DETAIL-INPUT'!F11</f>
        <v>E-DFIT</v>
      </c>
      <c r="G11" s="464" t="str">
        <f>'ADJ DETAIL-INPUT'!G11</f>
        <v>E-DDC</v>
      </c>
      <c r="H11" s="464" t="str">
        <f>'ADJ DETAIL-INPUT'!H11</f>
        <v xml:space="preserve">E-WC </v>
      </c>
      <c r="I11" s="464" t="str">
        <f>'ADJ DETAIL-INPUT'!I11</f>
        <v>E-AMI</v>
      </c>
      <c r="J11" s="464" t="str">
        <f>'ADJ DETAIL-INPUT'!J11</f>
        <v>E-EBO</v>
      </c>
      <c r="K11" s="464" t="str">
        <f>'ADJ DETAIL-INPUT'!K11</f>
        <v>E-RPT</v>
      </c>
      <c r="L11" s="464" t="str">
        <f>'ADJ DETAIL-INPUT'!L11</f>
        <v>E-UE</v>
      </c>
      <c r="M11" s="464" t="str">
        <f>'ADJ DETAIL-INPUT'!M11</f>
        <v>E-RE</v>
      </c>
      <c r="N11" s="464" t="str">
        <f>'ADJ DETAIL-INPUT'!N11</f>
        <v>E-ID</v>
      </c>
      <c r="O11" s="464" t="str">
        <f>'ADJ DETAIL-INPUT'!O11</f>
        <v xml:space="preserve">E-FIT </v>
      </c>
      <c r="P11" s="464" t="str">
        <f>'ADJ DETAIL-INPUT'!P11</f>
        <v>E-OSC</v>
      </c>
      <c r="Q11" s="464" t="str">
        <f>'ADJ DETAIL-INPUT'!Q11</f>
        <v>E-RET</v>
      </c>
      <c r="R11" s="464" t="str">
        <f>'ADJ DETAIL-INPUT'!R11</f>
        <v>E-NGL</v>
      </c>
      <c r="S11" s="464" t="str">
        <f>'ADJ DETAIL-INPUT'!S11</f>
        <v>E-WN</v>
      </c>
      <c r="T11" s="464" t="str">
        <f>'ADJ DETAIL-INPUT'!T11</f>
        <v>E-EAS</v>
      </c>
      <c r="U11" s="464" t="str">
        <f>'ADJ DETAIL-INPUT'!U11</f>
        <v>E-MR</v>
      </c>
      <c r="V11" s="464" t="str">
        <f>'ADJ DETAIL-INPUT'!V11</f>
        <v>E-RI</v>
      </c>
      <c r="W11" s="464" t="str">
        <f>'ADJ DETAIL-INPUT'!W11</f>
        <v>E-RDI</v>
      </c>
      <c r="X11" s="464" t="str">
        <f>'ADJ DETAIL-INPUT'!X11</f>
        <v>E-EWPC</v>
      </c>
      <c r="Y11" s="464" t="str">
        <f>'ADJ DETAIL-INPUT'!Y11</f>
        <v>E-NPS</v>
      </c>
      <c r="Z11" s="464" t="str">
        <f>'ADJ DETAIL-INPUT'!Z11</f>
        <v>E-PMM</v>
      </c>
      <c r="AA11" s="464" t="str">
        <f>'ADJ DETAIL-INPUT'!AA11</f>
        <v>E-APS</v>
      </c>
      <c r="AB11" s="464" t="str">
        <f>'ADJ DETAIL-INPUT'!AB11</f>
        <v>E-EOP19</v>
      </c>
      <c r="AC11" s="464" t="str">
        <f>'ADJ DETAIL-INPUT'!AD11</f>
        <v>E-PPS</v>
      </c>
      <c r="AD11" s="464" t="str">
        <f>'ADJ DETAIL-INPUT'!AE11</f>
        <v>E-PTRAN</v>
      </c>
      <c r="AE11" s="464" t="str">
        <f>'ADJ DETAIL-INPUT'!AF11</f>
        <v>E-PREV</v>
      </c>
      <c r="AF11" s="464" t="str">
        <f>'ADJ DETAIL-INPUT'!AG11</f>
        <v>E-PRA</v>
      </c>
      <c r="AG11" s="464" t="str">
        <f>'ADJ DETAIL-INPUT'!AH11</f>
        <v>E-ARAM</v>
      </c>
      <c r="AH11" s="464" t="str">
        <f>'ADJ DETAIL-INPUT'!AI11</f>
        <v>E-PLN</v>
      </c>
      <c r="AI11" s="464" t="str">
        <f>'ADJ DETAIL-INPUT'!AJ11</f>
        <v>E-PLE</v>
      </c>
      <c r="AJ11" s="464" t="str">
        <f>'ADJ DETAIL-INPUT'!AK11</f>
        <v>E-PEB</v>
      </c>
      <c r="AK11" s="464" t="str">
        <f>'ADJ DETAIL-INPUT'!AL11</f>
        <v>E-PINS</v>
      </c>
      <c r="AL11" s="464" t="str">
        <f>'ADJ DETAIL-INPUT'!AM11</f>
        <v>E-PIT</v>
      </c>
      <c r="AM11" s="464" t="str">
        <f>'ADJ DETAIL-INPUT'!AN11</f>
        <v>E-PPT</v>
      </c>
      <c r="AN11" s="464" t="str">
        <f>'ADJ DETAIL-INPUT'!AO11</f>
        <v>E-PFEE</v>
      </c>
      <c r="AO11" s="464" t="str">
        <f>'ADJ DETAIL-INPUT'!AP11</f>
        <v>E-PCAP1</v>
      </c>
      <c r="AP11" s="464" t="str">
        <f>'ADJ DETAIL-INPUT'!AQ11</f>
        <v>E-CAP2</v>
      </c>
      <c r="AQ11" s="464" t="str">
        <f>'ADJ DETAIL-INPUT'!AR11</f>
        <v>E-CAP3</v>
      </c>
      <c r="AR11" s="464" t="str">
        <f>'ADJ DETAIL-INPUT'!AS11</f>
        <v>E-CAP4</v>
      </c>
      <c r="AS11" s="464" t="str">
        <f>'ADJ DETAIL-INPUT'!AT11</f>
        <v>E-CAP5</v>
      </c>
      <c r="AT11" s="464" t="str">
        <f>'ADJ DETAIL-INPUT'!AU11</f>
        <v>E-AMI</v>
      </c>
      <c r="AU11" s="464" t="str">
        <f>'ADJ DETAIL-INPUT'!AV11</f>
        <v>E-WF</v>
      </c>
      <c r="AV11" s="464" t="str">
        <f>'ADJ DETAIL-INPUT'!AX11</f>
        <v>E-PEIM</v>
      </c>
      <c r="AW11" s="464" t="str">
        <f>'ADJ DETAIL-INPUT'!AZ11</f>
        <v>E-PCOL</v>
      </c>
      <c r="AX11" s="464" t="str">
        <f>'ADJ DETAIL-INPUT'!BB11</f>
        <v>E-PMM</v>
      </c>
      <c r="AY11" s="464" t="str">
        <f>'ADJ DETAIL-INPUT'!BC11</f>
        <v>E-RDFIT</v>
      </c>
      <c r="AZ11" s="464">
        <f>'ADJ DETAIL-INPUT'!BF11</f>
        <v>0</v>
      </c>
      <c r="BA11" s="464" t="str">
        <f>'ADJ DETAIL-INPUT'!BG11</f>
        <v>E-Tax</v>
      </c>
      <c r="BB11" s="464" t="str">
        <f>'ADJ DETAIL-INPUT'!BH11</f>
        <v>Total</v>
      </c>
    </row>
    <row r="12" spans="1:54" s="458" customFormat="1">
      <c r="B12" s="461"/>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row>
    <row r="13" spans="1:54">
      <c r="B13" s="409" t="str">
        <f>'ADJ DETAIL-INPUT'!B13</f>
        <v xml:space="preserve">REVENUES  </v>
      </c>
    </row>
    <row r="14" spans="1:54" s="423" customFormat="1">
      <c r="A14" s="422">
        <f>'ADJ DETAIL-INPUT'!A14</f>
        <v>1</v>
      </c>
      <c r="B14" s="423" t="str">
        <f>'ADJ DETAIL-INPUT'!B14</f>
        <v xml:space="preserve">Total General Business  </v>
      </c>
      <c r="E14" s="449">
        <f>'ADJ DETAIL-INPUT'!E14</f>
        <v>546549</v>
      </c>
      <c r="F14" s="457">
        <f>'ADJ DETAIL-INPUT'!F14</f>
        <v>0</v>
      </c>
      <c r="G14" s="457">
        <f>'ADJ DETAIL-INPUT'!G14</f>
        <v>0</v>
      </c>
      <c r="H14" s="457">
        <f>'ADJ DETAIL-INPUT'!H14</f>
        <v>0</v>
      </c>
      <c r="I14" s="457">
        <f>'ADJ DETAIL-INPUT'!I14</f>
        <v>0</v>
      </c>
      <c r="J14" s="457">
        <f>'ADJ DETAIL-INPUT'!J14</f>
        <v>-18871</v>
      </c>
      <c r="K14" s="457">
        <f>'ADJ DETAIL-INPUT'!K14</f>
        <v>0</v>
      </c>
      <c r="L14" s="457">
        <f>'ADJ DETAIL-INPUT'!L14</f>
        <v>0</v>
      </c>
      <c r="M14" s="457">
        <f>'ADJ DETAIL-INPUT'!M14</f>
        <v>0</v>
      </c>
      <c r="N14" s="457">
        <f>'ADJ DETAIL-INPUT'!N14</f>
        <v>0</v>
      </c>
      <c r="O14" s="457">
        <f>'ADJ DETAIL-INPUT'!O14</f>
        <v>0</v>
      </c>
      <c r="P14" s="457">
        <f>'ADJ DETAIL-INPUT'!P14</f>
        <v>0</v>
      </c>
      <c r="Q14" s="457">
        <f>'ADJ DETAIL-INPUT'!Q14</f>
        <v>0</v>
      </c>
      <c r="R14" s="457">
        <f>'ADJ DETAIL-INPUT'!R14</f>
        <v>0</v>
      </c>
      <c r="S14" s="457">
        <f>'ADJ DETAIL-INPUT'!S14</f>
        <v>-3836</v>
      </c>
      <c r="T14" s="457">
        <f>'ADJ DETAIL-INPUT'!T14</f>
        <v>-21727</v>
      </c>
      <c r="U14" s="457">
        <f>'ADJ DETAIL-INPUT'!U14</f>
        <v>0</v>
      </c>
      <c r="V14" s="457">
        <f>'ADJ DETAIL-INPUT'!V14</f>
        <v>0</v>
      </c>
      <c r="W14" s="457">
        <f>'ADJ DETAIL-INPUT'!W14</f>
        <v>0</v>
      </c>
      <c r="X14" s="457">
        <f>'ADJ DETAIL-INPUT'!X14</f>
        <v>1740</v>
      </c>
      <c r="Y14" s="457">
        <f>'ADJ DETAIL-INPUT'!Y14</f>
        <v>0</v>
      </c>
      <c r="Z14" s="457">
        <f>'ADJ DETAIL-INPUT'!Z14</f>
        <v>0</v>
      </c>
      <c r="AA14" s="457">
        <f>'ADJ DETAIL-INPUT'!AA14</f>
        <v>0</v>
      </c>
      <c r="AB14" s="457">
        <f>'ADJ DETAIL-INPUT'!AB14</f>
        <v>0</v>
      </c>
      <c r="AC14" s="457">
        <f>'ADJ DETAIL-INPUT'!AD14</f>
        <v>0</v>
      </c>
      <c r="AD14" s="457">
        <f>'ADJ DETAIL-INPUT'!AE14</f>
        <v>0</v>
      </c>
      <c r="AE14" s="457">
        <f>'ADJ DETAIL-INPUT'!AF14</f>
        <v>25496</v>
      </c>
      <c r="AF14" s="457">
        <f>'ADJ DETAIL-INPUT'!AG14</f>
        <v>0</v>
      </c>
      <c r="AG14" s="457">
        <f>'ADJ DETAIL-INPUT'!AH14</f>
        <v>0</v>
      </c>
      <c r="AH14" s="457">
        <f>'ADJ DETAIL-INPUT'!AI14</f>
        <v>0</v>
      </c>
      <c r="AI14" s="457">
        <f>'ADJ DETAIL-INPUT'!AJ14</f>
        <v>0</v>
      </c>
      <c r="AJ14" s="457">
        <f>'ADJ DETAIL-INPUT'!AK14</f>
        <v>0</v>
      </c>
      <c r="AK14" s="457">
        <f>'ADJ DETAIL-INPUT'!AL14</f>
        <v>0</v>
      </c>
      <c r="AL14" s="457">
        <f>'ADJ DETAIL-INPUT'!AM14</f>
        <v>0</v>
      </c>
      <c r="AM14" s="457">
        <f>'ADJ DETAIL-INPUT'!AN14</f>
        <v>0</v>
      </c>
      <c r="AN14" s="457">
        <f>'ADJ DETAIL-INPUT'!AO14</f>
        <v>0</v>
      </c>
      <c r="AO14" s="457">
        <f>'ADJ DETAIL-INPUT'!AP14</f>
        <v>0</v>
      </c>
      <c r="AP14" s="457">
        <f>'ADJ DETAIL-INPUT'!AQ14</f>
        <v>0</v>
      </c>
      <c r="AQ14" s="457">
        <f>'ADJ DETAIL-INPUT'!AR14</f>
        <v>0</v>
      </c>
      <c r="AR14" s="457">
        <f>'ADJ DETAIL-INPUT'!AS14</f>
        <v>0</v>
      </c>
      <c r="AS14" s="457">
        <f>'ADJ DETAIL-INPUT'!AT14</f>
        <v>0</v>
      </c>
      <c r="AT14" s="457">
        <f>'ADJ DETAIL-INPUT'!AU14</f>
        <v>0</v>
      </c>
      <c r="AU14" s="457">
        <f>'ADJ DETAIL-INPUT'!AV14</f>
        <v>0</v>
      </c>
      <c r="AV14" s="457">
        <f>'ADJ DETAIL-INPUT'!AX14</f>
        <v>0</v>
      </c>
      <c r="AW14" s="457">
        <f>'ADJ DETAIL-INPUT'!AZ14</f>
        <v>0</v>
      </c>
      <c r="AX14" s="457">
        <f>'ADJ DETAIL-INPUT'!BB14</f>
        <v>0</v>
      </c>
      <c r="AY14" s="457">
        <f>'ADJ DETAIL-INPUT'!BC14</f>
        <v>0</v>
      </c>
      <c r="AZ14" s="457">
        <f>'ADJ DETAIL-INPUT'!BF14</f>
        <v>529351</v>
      </c>
      <c r="BA14" s="457">
        <f>'ADJ DETAIL-INPUT'!BG14</f>
        <v>0</v>
      </c>
      <c r="BB14" s="457">
        <f>'ADJ DETAIL-INPUT'!BH14</f>
        <v>529351</v>
      </c>
    </row>
    <row r="15" spans="1:54" s="424" customFormat="1">
      <c r="A15" s="422">
        <f>'ADJ DETAIL-INPUT'!A15</f>
        <v>2</v>
      </c>
      <c r="B15" s="424" t="str">
        <f>'ADJ DETAIL-INPUT'!B15</f>
        <v xml:space="preserve">Interdepartmental Sales  </v>
      </c>
      <c r="E15" s="427">
        <f>'ADJ DETAIL-INPUT'!E15</f>
        <v>1228</v>
      </c>
      <c r="F15" s="435">
        <f>'ADJ DETAIL-INPUT'!F15</f>
        <v>0</v>
      </c>
      <c r="G15" s="435">
        <f>'ADJ DETAIL-INPUT'!G15</f>
        <v>0</v>
      </c>
      <c r="H15" s="435">
        <f>'ADJ DETAIL-INPUT'!H15</f>
        <v>0</v>
      </c>
      <c r="I15" s="435">
        <f>'ADJ DETAIL-INPUT'!I15</f>
        <v>0</v>
      </c>
      <c r="J15" s="435">
        <f>'ADJ DETAIL-INPUT'!J15</f>
        <v>0</v>
      </c>
      <c r="K15" s="435">
        <f>'ADJ DETAIL-INPUT'!K15</f>
        <v>0</v>
      </c>
      <c r="L15" s="435">
        <f>'ADJ DETAIL-INPUT'!L15</f>
        <v>0</v>
      </c>
      <c r="M15" s="435">
        <f>'ADJ DETAIL-INPUT'!M15</f>
        <v>0</v>
      </c>
      <c r="N15" s="435">
        <f>'ADJ DETAIL-INPUT'!N15</f>
        <v>0</v>
      </c>
      <c r="O15" s="435">
        <f>'ADJ DETAIL-INPUT'!O15</f>
        <v>0</v>
      </c>
      <c r="P15" s="435">
        <f>'ADJ DETAIL-INPUT'!P15</f>
        <v>0</v>
      </c>
      <c r="Q15" s="435">
        <f>'ADJ DETAIL-INPUT'!Q15</f>
        <v>0</v>
      </c>
      <c r="R15" s="435">
        <f>'ADJ DETAIL-INPUT'!R15</f>
        <v>0</v>
      </c>
      <c r="S15" s="435">
        <f>'ADJ DETAIL-INPUT'!S15</f>
        <v>0</v>
      </c>
      <c r="T15" s="435">
        <f>'ADJ DETAIL-INPUT'!T15</f>
        <v>0</v>
      </c>
      <c r="U15" s="435">
        <f>'ADJ DETAIL-INPUT'!U15</f>
        <v>0</v>
      </c>
      <c r="V15" s="435">
        <f>'ADJ DETAIL-INPUT'!V15</f>
        <v>0</v>
      </c>
      <c r="W15" s="435">
        <f>'ADJ DETAIL-INPUT'!W15</f>
        <v>0</v>
      </c>
      <c r="X15" s="435" t="str">
        <f>'ADJ DETAIL-INPUT'!X15</f>
        <v>`</v>
      </c>
      <c r="Y15" s="435">
        <f>'ADJ DETAIL-INPUT'!Y15</f>
        <v>0</v>
      </c>
      <c r="Z15" s="435">
        <f>'ADJ DETAIL-INPUT'!Z15</f>
        <v>0</v>
      </c>
      <c r="AA15" s="435">
        <f>'ADJ DETAIL-INPUT'!AA15</f>
        <v>0</v>
      </c>
      <c r="AB15" s="435">
        <f>'ADJ DETAIL-INPUT'!AB15</f>
        <v>0</v>
      </c>
      <c r="AC15" s="435">
        <f>'ADJ DETAIL-INPUT'!AD15</f>
        <v>0</v>
      </c>
      <c r="AD15" s="435">
        <f>'ADJ DETAIL-INPUT'!AE15</f>
        <v>0</v>
      </c>
      <c r="AE15" s="435">
        <f>'ADJ DETAIL-INPUT'!AF15</f>
        <v>0</v>
      </c>
      <c r="AF15" s="435">
        <f>'ADJ DETAIL-INPUT'!AG15</f>
        <v>0</v>
      </c>
      <c r="AG15" s="435">
        <f>'ADJ DETAIL-INPUT'!AH15</f>
        <v>0</v>
      </c>
      <c r="AH15" s="435">
        <f>'ADJ DETAIL-INPUT'!AI15</f>
        <v>0</v>
      </c>
      <c r="AI15" s="435">
        <f>'ADJ DETAIL-INPUT'!AJ15</f>
        <v>0</v>
      </c>
      <c r="AJ15" s="435">
        <f>'ADJ DETAIL-INPUT'!AK15</f>
        <v>0</v>
      </c>
      <c r="AK15" s="435">
        <f>'ADJ DETAIL-INPUT'!AL15</f>
        <v>0</v>
      </c>
      <c r="AL15" s="435">
        <f>'ADJ DETAIL-INPUT'!AM15</f>
        <v>0</v>
      </c>
      <c r="AM15" s="435">
        <f>'ADJ DETAIL-INPUT'!AN15</f>
        <v>0</v>
      </c>
      <c r="AN15" s="435">
        <f>'ADJ DETAIL-INPUT'!AO15</f>
        <v>0</v>
      </c>
      <c r="AO15" s="435">
        <f>'ADJ DETAIL-INPUT'!AP15</f>
        <v>0</v>
      </c>
      <c r="AP15" s="435">
        <f>'ADJ DETAIL-INPUT'!AQ15</f>
        <v>0</v>
      </c>
      <c r="AQ15" s="435">
        <f>'ADJ DETAIL-INPUT'!AR15</f>
        <v>0</v>
      </c>
      <c r="AR15" s="435">
        <f>'ADJ DETAIL-INPUT'!AS15</f>
        <v>0</v>
      </c>
      <c r="AS15" s="435">
        <f>'ADJ DETAIL-INPUT'!AT15</f>
        <v>0</v>
      </c>
      <c r="AT15" s="435">
        <f>'ADJ DETAIL-INPUT'!AU15</f>
        <v>0</v>
      </c>
      <c r="AU15" s="435">
        <f>'ADJ DETAIL-INPUT'!AV15</f>
        <v>0</v>
      </c>
      <c r="AV15" s="435">
        <f>'ADJ DETAIL-INPUT'!AX15</f>
        <v>0</v>
      </c>
      <c r="AW15" s="435">
        <f>'ADJ DETAIL-INPUT'!AZ15</f>
        <v>0</v>
      </c>
      <c r="AX15" s="435">
        <f>'ADJ DETAIL-INPUT'!BB15</f>
        <v>0</v>
      </c>
      <c r="AY15" s="435">
        <f>'ADJ DETAIL-INPUT'!BC15</f>
        <v>0</v>
      </c>
      <c r="AZ15" s="435">
        <f>'ADJ DETAIL-INPUT'!BF15</f>
        <v>1228</v>
      </c>
      <c r="BA15" s="435">
        <f>'ADJ DETAIL-INPUT'!BG15</f>
        <v>0</v>
      </c>
      <c r="BB15" s="435">
        <f>'ADJ DETAIL-INPUT'!BH15</f>
        <v>1228</v>
      </c>
    </row>
    <row r="16" spans="1:54" s="424" customFormat="1">
      <c r="A16" s="422">
        <f>'ADJ DETAIL-INPUT'!A16</f>
        <v>3</v>
      </c>
      <c r="B16" s="424" t="str">
        <f>'ADJ DETAIL-INPUT'!B16</f>
        <v xml:space="preserve">Sales for Resale  </v>
      </c>
      <c r="E16" s="454">
        <f>'ADJ DETAIL-INPUT'!E16</f>
        <v>53430</v>
      </c>
      <c r="F16" s="444">
        <f>'ADJ DETAIL-INPUT'!F16</f>
        <v>0</v>
      </c>
      <c r="G16" s="444">
        <f>'ADJ DETAIL-INPUT'!G16</f>
        <v>0</v>
      </c>
      <c r="H16" s="444">
        <f>'ADJ DETAIL-INPUT'!H16</f>
        <v>0</v>
      </c>
      <c r="I16" s="444">
        <f>'ADJ DETAIL-INPUT'!I16</f>
        <v>0</v>
      </c>
      <c r="J16" s="444">
        <f>'ADJ DETAIL-INPUT'!J16</f>
        <v>0</v>
      </c>
      <c r="K16" s="444">
        <f>'ADJ DETAIL-INPUT'!K16</f>
        <v>0</v>
      </c>
      <c r="L16" s="444">
        <f>'ADJ DETAIL-INPUT'!L16</f>
        <v>0</v>
      </c>
      <c r="M16" s="444">
        <f>'ADJ DETAIL-INPUT'!M16</f>
        <v>0</v>
      </c>
      <c r="N16" s="444">
        <f>'ADJ DETAIL-INPUT'!N16</f>
        <v>0</v>
      </c>
      <c r="O16" s="444">
        <f>'ADJ DETAIL-INPUT'!O16</f>
        <v>0</v>
      </c>
      <c r="P16" s="444">
        <f>'ADJ DETAIL-INPUT'!P16</f>
        <v>0</v>
      </c>
      <c r="Q16" s="444">
        <f>'ADJ DETAIL-INPUT'!Q16</f>
        <v>0</v>
      </c>
      <c r="R16" s="444">
        <f>'ADJ DETAIL-INPUT'!R16</f>
        <v>0</v>
      </c>
      <c r="S16" s="444">
        <f>'ADJ DETAIL-INPUT'!S16</f>
        <v>0</v>
      </c>
      <c r="T16" s="444">
        <f>'ADJ DETAIL-INPUT'!T16</f>
        <v>0</v>
      </c>
      <c r="U16" s="444">
        <f>'ADJ DETAIL-INPUT'!U16</f>
        <v>0</v>
      </c>
      <c r="V16" s="444">
        <f>'ADJ DETAIL-INPUT'!V16</f>
        <v>0</v>
      </c>
      <c r="W16" s="444">
        <f>'ADJ DETAIL-INPUT'!W16</f>
        <v>0</v>
      </c>
      <c r="X16" s="444">
        <f>'ADJ DETAIL-INPUT'!X16</f>
        <v>0</v>
      </c>
      <c r="Y16" s="444">
        <f>'ADJ DETAIL-INPUT'!Y16</f>
        <v>0</v>
      </c>
      <c r="Z16" s="444">
        <f>'ADJ DETAIL-INPUT'!Z16</f>
        <v>0</v>
      </c>
      <c r="AA16" s="444">
        <f>'ADJ DETAIL-INPUT'!AA16</f>
        <v>-17144</v>
      </c>
      <c r="AB16" s="444">
        <f>'ADJ DETAIL-INPUT'!AB16</f>
        <v>0</v>
      </c>
      <c r="AC16" s="444">
        <f>'ADJ DETAIL-INPUT'!AD16</f>
        <v>19403.82</v>
      </c>
      <c r="AD16" s="444">
        <f>'ADJ DETAIL-INPUT'!AE16</f>
        <v>0</v>
      </c>
      <c r="AE16" s="444">
        <f>'ADJ DETAIL-INPUT'!AF16</f>
        <v>0</v>
      </c>
      <c r="AF16" s="444">
        <f>'ADJ DETAIL-INPUT'!AG16</f>
        <v>0</v>
      </c>
      <c r="AG16" s="444">
        <f>'ADJ DETAIL-INPUT'!AH16</f>
        <v>0</v>
      </c>
      <c r="AH16" s="444">
        <f>'ADJ DETAIL-INPUT'!AI16</f>
        <v>0</v>
      </c>
      <c r="AI16" s="444">
        <f>'ADJ DETAIL-INPUT'!AJ16</f>
        <v>0</v>
      </c>
      <c r="AJ16" s="444">
        <f>'ADJ DETAIL-INPUT'!AK16</f>
        <v>0</v>
      </c>
      <c r="AK16" s="444">
        <f>'ADJ DETAIL-INPUT'!AL16</f>
        <v>0</v>
      </c>
      <c r="AL16" s="444">
        <f>'ADJ DETAIL-INPUT'!AM16</f>
        <v>0</v>
      </c>
      <c r="AM16" s="444">
        <f>'ADJ DETAIL-INPUT'!AN16</f>
        <v>0</v>
      </c>
      <c r="AN16" s="444">
        <f>'ADJ DETAIL-INPUT'!AO16</f>
        <v>0</v>
      </c>
      <c r="AO16" s="444">
        <f>'ADJ DETAIL-INPUT'!AP16</f>
        <v>0</v>
      </c>
      <c r="AP16" s="444">
        <f>'ADJ DETAIL-INPUT'!AQ16</f>
        <v>0</v>
      </c>
      <c r="AQ16" s="444">
        <f>'ADJ DETAIL-INPUT'!AR16</f>
        <v>0</v>
      </c>
      <c r="AR16" s="444">
        <f>'ADJ DETAIL-INPUT'!AS16</f>
        <v>0</v>
      </c>
      <c r="AS16" s="444">
        <f>'ADJ DETAIL-INPUT'!AT16</f>
        <v>0</v>
      </c>
      <c r="AT16" s="444">
        <f>'ADJ DETAIL-INPUT'!AU16</f>
        <v>0</v>
      </c>
      <c r="AU16" s="444">
        <f>'ADJ DETAIL-INPUT'!AV16</f>
        <v>0</v>
      </c>
      <c r="AV16" s="444">
        <f>'ADJ DETAIL-INPUT'!AX16</f>
        <v>0</v>
      </c>
      <c r="AW16" s="444">
        <f>'ADJ DETAIL-INPUT'!AZ16</f>
        <v>0</v>
      </c>
      <c r="AX16" s="444">
        <f>'ADJ DETAIL-INPUT'!BB16</f>
        <v>0</v>
      </c>
      <c r="AY16" s="444">
        <f>'ADJ DETAIL-INPUT'!BC16</f>
        <v>0</v>
      </c>
      <c r="AZ16" s="444">
        <f>'ADJ DETAIL-INPUT'!BF16</f>
        <v>55689.82</v>
      </c>
      <c r="BA16" s="444">
        <f>'ADJ DETAIL-INPUT'!BG16</f>
        <v>0</v>
      </c>
      <c r="BB16" s="444">
        <f>'ADJ DETAIL-INPUT'!BH16</f>
        <v>55689.82</v>
      </c>
    </row>
    <row r="17" spans="1:54" s="424" customFormat="1">
      <c r="A17" s="422">
        <f>'ADJ DETAIL-INPUT'!A17</f>
        <v>4</v>
      </c>
      <c r="B17" s="424" t="str">
        <f>'ADJ DETAIL-INPUT'!B17</f>
        <v xml:space="preserve">Total Sales of Electricity  </v>
      </c>
      <c r="E17" s="427">
        <f>'ADJ DETAIL-INPUT'!E17</f>
        <v>601207</v>
      </c>
      <c r="F17" s="435">
        <f>'ADJ DETAIL-INPUT'!F17</f>
        <v>0</v>
      </c>
      <c r="G17" s="435">
        <f>'ADJ DETAIL-INPUT'!G17</f>
        <v>0</v>
      </c>
      <c r="H17" s="435">
        <f>'ADJ DETAIL-INPUT'!H17</f>
        <v>0</v>
      </c>
      <c r="I17" s="435">
        <f>'ADJ DETAIL-INPUT'!I17</f>
        <v>0</v>
      </c>
      <c r="J17" s="435">
        <f>'ADJ DETAIL-INPUT'!J17</f>
        <v>-18871</v>
      </c>
      <c r="K17" s="435">
        <f>'ADJ DETAIL-INPUT'!K17</f>
        <v>0</v>
      </c>
      <c r="L17" s="435">
        <f>'ADJ DETAIL-INPUT'!L17</f>
        <v>0</v>
      </c>
      <c r="M17" s="435">
        <f>'ADJ DETAIL-INPUT'!M17</f>
        <v>0</v>
      </c>
      <c r="N17" s="435">
        <f>'ADJ DETAIL-INPUT'!N17</f>
        <v>0</v>
      </c>
      <c r="O17" s="435">
        <f>'ADJ DETAIL-INPUT'!O17</f>
        <v>0</v>
      </c>
      <c r="P17" s="435">
        <f>'ADJ DETAIL-INPUT'!P17</f>
        <v>0</v>
      </c>
      <c r="Q17" s="435">
        <f>'ADJ DETAIL-INPUT'!Q17</f>
        <v>0</v>
      </c>
      <c r="R17" s="435">
        <f>'ADJ DETAIL-INPUT'!R17</f>
        <v>0</v>
      </c>
      <c r="S17" s="435">
        <f>'ADJ DETAIL-INPUT'!S17</f>
        <v>-3836</v>
      </c>
      <c r="T17" s="435">
        <f>'ADJ DETAIL-INPUT'!T17</f>
        <v>-21727</v>
      </c>
      <c r="U17" s="435">
        <f>'ADJ DETAIL-INPUT'!U17</f>
        <v>0</v>
      </c>
      <c r="V17" s="435">
        <f>'ADJ DETAIL-INPUT'!V17</f>
        <v>0</v>
      </c>
      <c r="W17" s="435">
        <f>'ADJ DETAIL-INPUT'!W17</f>
        <v>0</v>
      </c>
      <c r="X17" s="435">
        <f>'ADJ DETAIL-INPUT'!X17</f>
        <v>1740</v>
      </c>
      <c r="Y17" s="435">
        <f>'ADJ DETAIL-INPUT'!Y17</f>
        <v>0</v>
      </c>
      <c r="Z17" s="435">
        <f>'ADJ DETAIL-INPUT'!Z17</f>
        <v>0</v>
      </c>
      <c r="AA17" s="435">
        <f>'ADJ DETAIL-INPUT'!AA17</f>
        <v>-17144</v>
      </c>
      <c r="AB17" s="435">
        <f>'ADJ DETAIL-INPUT'!AB17</f>
        <v>0</v>
      </c>
      <c r="AC17" s="435">
        <f>'ADJ DETAIL-INPUT'!AD17</f>
        <v>19403.82</v>
      </c>
      <c r="AD17" s="435">
        <f>'ADJ DETAIL-INPUT'!AE17</f>
        <v>0</v>
      </c>
      <c r="AE17" s="435">
        <f>'ADJ DETAIL-INPUT'!AF17</f>
        <v>25496</v>
      </c>
      <c r="AF17" s="435">
        <f>'ADJ DETAIL-INPUT'!AG17</f>
        <v>0</v>
      </c>
      <c r="AG17" s="435">
        <f>'ADJ DETAIL-INPUT'!AH17</f>
        <v>0</v>
      </c>
      <c r="AH17" s="435">
        <f>'ADJ DETAIL-INPUT'!AI17</f>
        <v>0</v>
      </c>
      <c r="AI17" s="435">
        <f>'ADJ DETAIL-INPUT'!AJ17</f>
        <v>0</v>
      </c>
      <c r="AJ17" s="435">
        <f>'ADJ DETAIL-INPUT'!AK17</f>
        <v>0</v>
      </c>
      <c r="AK17" s="435">
        <f>'ADJ DETAIL-INPUT'!AL17</f>
        <v>0</v>
      </c>
      <c r="AL17" s="435">
        <f>'ADJ DETAIL-INPUT'!AM17</f>
        <v>0</v>
      </c>
      <c r="AM17" s="435">
        <f>'ADJ DETAIL-INPUT'!AN17</f>
        <v>0</v>
      </c>
      <c r="AN17" s="435">
        <f>'ADJ DETAIL-INPUT'!AO17</f>
        <v>0</v>
      </c>
      <c r="AO17" s="435">
        <f>'ADJ DETAIL-INPUT'!AP17</f>
        <v>0</v>
      </c>
      <c r="AP17" s="435">
        <f>'ADJ DETAIL-INPUT'!AQ17</f>
        <v>0</v>
      </c>
      <c r="AQ17" s="435">
        <f>'ADJ DETAIL-INPUT'!AR17</f>
        <v>0</v>
      </c>
      <c r="AR17" s="435">
        <f>'ADJ DETAIL-INPUT'!AS17</f>
        <v>0</v>
      </c>
      <c r="AS17" s="435">
        <f>'ADJ DETAIL-INPUT'!AT17</f>
        <v>0</v>
      </c>
      <c r="AT17" s="435">
        <f>'ADJ DETAIL-INPUT'!AU17</f>
        <v>0</v>
      </c>
      <c r="AU17" s="435">
        <f>'ADJ DETAIL-INPUT'!AV17</f>
        <v>0</v>
      </c>
      <c r="AV17" s="435">
        <f>'ADJ DETAIL-INPUT'!AX17</f>
        <v>0</v>
      </c>
      <c r="AW17" s="435">
        <f>'ADJ DETAIL-INPUT'!AZ17</f>
        <v>0</v>
      </c>
      <c r="AX17" s="435">
        <f>'ADJ DETAIL-INPUT'!BB17</f>
        <v>0</v>
      </c>
      <c r="AY17" s="435">
        <f>'ADJ DETAIL-INPUT'!BC17</f>
        <v>0</v>
      </c>
      <c r="AZ17" s="435">
        <f>'ADJ DETAIL-INPUT'!BF17</f>
        <v>586268.81999999995</v>
      </c>
      <c r="BA17" s="435">
        <f>'ADJ DETAIL-INPUT'!BG17</f>
        <v>0</v>
      </c>
      <c r="BB17" s="435">
        <f>'ADJ DETAIL-INPUT'!BH17</f>
        <v>586268.81999999995</v>
      </c>
    </row>
    <row r="18" spans="1:54" s="424" customFormat="1">
      <c r="A18" s="422">
        <f>'ADJ DETAIL-INPUT'!A18</f>
        <v>5</v>
      </c>
      <c r="B18" s="424" t="str">
        <f>'ADJ DETAIL-INPUT'!B18</f>
        <v xml:space="preserve">Other Revenue  </v>
      </c>
      <c r="E18" s="454">
        <f>'ADJ DETAIL-INPUT'!E18</f>
        <v>60250</v>
      </c>
      <c r="F18" s="444">
        <f>'ADJ DETAIL-INPUT'!F18</f>
        <v>0</v>
      </c>
      <c r="G18" s="444">
        <f>'ADJ DETAIL-INPUT'!G18</f>
        <v>0</v>
      </c>
      <c r="H18" s="444">
        <f>'ADJ DETAIL-INPUT'!H18</f>
        <v>0</v>
      </c>
      <c r="I18" s="444">
        <f>'ADJ DETAIL-INPUT'!I18</f>
        <v>0</v>
      </c>
      <c r="J18" s="444">
        <f>'ADJ DETAIL-INPUT'!J18</f>
        <v>-14</v>
      </c>
      <c r="K18" s="444">
        <f>'ADJ DETAIL-INPUT'!K18</f>
        <v>0</v>
      </c>
      <c r="L18" s="444">
        <f>'ADJ DETAIL-INPUT'!L18</f>
        <v>0</v>
      </c>
      <c r="M18" s="444">
        <f>'ADJ DETAIL-INPUT'!M18</f>
        <v>0</v>
      </c>
      <c r="N18" s="444">
        <f>'ADJ DETAIL-INPUT'!N18</f>
        <v>0</v>
      </c>
      <c r="O18" s="444">
        <f>'ADJ DETAIL-INPUT'!O18</f>
        <v>0</v>
      </c>
      <c r="P18" s="444">
        <f>'ADJ DETAIL-INPUT'!P18</f>
        <v>0</v>
      </c>
      <c r="Q18" s="444">
        <f>'ADJ DETAIL-INPUT'!Q18</f>
        <v>0</v>
      </c>
      <c r="R18" s="444">
        <f>'ADJ DETAIL-INPUT'!R18</f>
        <v>0</v>
      </c>
      <c r="S18" s="444">
        <f>'ADJ DETAIL-INPUT'!S18</f>
        <v>2883</v>
      </c>
      <c r="T18" s="444">
        <f>'ADJ DETAIL-INPUT'!T18</f>
        <v>-213</v>
      </c>
      <c r="U18" s="444">
        <f>'ADJ DETAIL-INPUT'!U18</f>
        <v>0</v>
      </c>
      <c r="V18" s="444">
        <f>'ADJ DETAIL-INPUT'!V18</f>
        <v>0</v>
      </c>
      <c r="W18" s="444">
        <f>'ADJ DETAIL-INPUT'!W18</f>
        <v>0</v>
      </c>
      <c r="X18" s="444">
        <f>'ADJ DETAIL-INPUT'!X18</f>
        <v>0</v>
      </c>
      <c r="Y18" s="444">
        <f>'ADJ DETAIL-INPUT'!Y18</f>
        <v>0</v>
      </c>
      <c r="Z18" s="444">
        <f>'ADJ DETAIL-INPUT'!Z18</f>
        <v>0</v>
      </c>
      <c r="AA18" s="444">
        <f>'ADJ DETAIL-INPUT'!AA18</f>
        <v>-39208</v>
      </c>
      <c r="AB18" s="444">
        <f>'ADJ DETAIL-INPUT'!AB18</f>
        <v>0</v>
      </c>
      <c r="AC18" s="444">
        <f>'ADJ DETAIL-INPUT'!AD18</f>
        <v>3133</v>
      </c>
      <c r="AD18" s="444">
        <f>'ADJ DETAIL-INPUT'!AE18</f>
        <v>658</v>
      </c>
      <c r="AE18" s="444">
        <f>'ADJ DETAIL-INPUT'!AF18</f>
        <v>-10608</v>
      </c>
      <c r="AF18" s="444">
        <f>'ADJ DETAIL-INPUT'!AG18</f>
        <v>0</v>
      </c>
      <c r="AG18" s="444">
        <f>'ADJ DETAIL-INPUT'!AH18</f>
        <v>0</v>
      </c>
      <c r="AH18" s="444">
        <f>'ADJ DETAIL-INPUT'!AI18</f>
        <v>0</v>
      </c>
      <c r="AI18" s="444">
        <f>'ADJ DETAIL-INPUT'!AJ18</f>
        <v>0</v>
      </c>
      <c r="AJ18" s="444">
        <f>'ADJ DETAIL-INPUT'!AK18</f>
        <v>0</v>
      </c>
      <c r="AK18" s="444">
        <f>'ADJ DETAIL-INPUT'!AL18</f>
        <v>0</v>
      </c>
      <c r="AL18" s="444">
        <f>'ADJ DETAIL-INPUT'!AM18</f>
        <v>0</v>
      </c>
      <c r="AM18" s="444">
        <f>'ADJ DETAIL-INPUT'!AN18</f>
        <v>0</v>
      </c>
      <c r="AN18" s="444">
        <f>'ADJ DETAIL-INPUT'!AO18</f>
        <v>0</v>
      </c>
      <c r="AO18" s="444">
        <f>'ADJ DETAIL-INPUT'!AP18</f>
        <v>0</v>
      </c>
      <c r="AP18" s="444">
        <f>'ADJ DETAIL-INPUT'!AQ18</f>
        <v>0</v>
      </c>
      <c r="AQ18" s="444">
        <f>'ADJ DETAIL-INPUT'!AR18</f>
        <v>0</v>
      </c>
      <c r="AR18" s="444">
        <f>'ADJ DETAIL-INPUT'!AS18</f>
        <v>0</v>
      </c>
      <c r="AS18" s="444">
        <f>'ADJ DETAIL-INPUT'!AT18</f>
        <v>0</v>
      </c>
      <c r="AT18" s="444">
        <f>'ADJ DETAIL-INPUT'!AU18</f>
        <v>0</v>
      </c>
      <c r="AU18" s="444">
        <f>'ADJ DETAIL-INPUT'!AV18</f>
        <v>0</v>
      </c>
      <c r="AV18" s="444">
        <f>'ADJ DETAIL-INPUT'!AX18</f>
        <v>0</v>
      </c>
      <c r="AW18" s="444">
        <f>'ADJ DETAIL-INPUT'!AZ18</f>
        <v>0</v>
      </c>
      <c r="AX18" s="444">
        <f>'ADJ DETAIL-INPUT'!BB18</f>
        <v>0</v>
      </c>
      <c r="AY18" s="444">
        <f>'ADJ DETAIL-INPUT'!BC18</f>
        <v>0</v>
      </c>
      <c r="AZ18" s="444">
        <f>'ADJ DETAIL-INPUT'!BF18</f>
        <v>16881</v>
      </c>
      <c r="BA18" s="444">
        <f>'ADJ DETAIL-INPUT'!BG18</f>
        <v>0</v>
      </c>
      <c r="BB18" s="444">
        <f>'ADJ DETAIL-INPUT'!BH18</f>
        <v>16881</v>
      </c>
    </row>
    <row r="19" spans="1:54" s="424" customFormat="1">
      <c r="A19" s="422">
        <f>'ADJ DETAIL-INPUT'!A19</f>
        <v>6</v>
      </c>
      <c r="B19" s="424" t="str">
        <f>'ADJ DETAIL-INPUT'!B19</f>
        <v xml:space="preserve">Total Electric Revenue  </v>
      </c>
      <c r="E19" s="427">
        <f>'ADJ DETAIL-INPUT'!E19</f>
        <v>661457</v>
      </c>
      <c r="F19" s="435">
        <f>'ADJ DETAIL-INPUT'!F19</f>
        <v>0</v>
      </c>
      <c r="G19" s="435">
        <f>'ADJ DETAIL-INPUT'!G19</f>
        <v>0</v>
      </c>
      <c r="H19" s="435">
        <f>'ADJ DETAIL-INPUT'!H19</f>
        <v>0</v>
      </c>
      <c r="I19" s="435">
        <f>'ADJ DETAIL-INPUT'!I19</f>
        <v>0</v>
      </c>
      <c r="J19" s="435">
        <f>'ADJ DETAIL-INPUT'!J19</f>
        <v>-18885</v>
      </c>
      <c r="K19" s="435">
        <f>'ADJ DETAIL-INPUT'!K19</f>
        <v>0</v>
      </c>
      <c r="L19" s="435">
        <f>'ADJ DETAIL-INPUT'!L19</f>
        <v>0</v>
      </c>
      <c r="M19" s="435">
        <f>'ADJ DETAIL-INPUT'!M19</f>
        <v>0</v>
      </c>
      <c r="N19" s="435">
        <f>'ADJ DETAIL-INPUT'!N19</f>
        <v>0</v>
      </c>
      <c r="O19" s="435">
        <f>'ADJ DETAIL-INPUT'!O19</f>
        <v>0</v>
      </c>
      <c r="P19" s="435">
        <f>'ADJ DETAIL-INPUT'!P19</f>
        <v>0</v>
      </c>
      <c r="Q19" s="435">
        <f>'ADJ DETAIL-INPUT'!Q19</f>
        <v>0</v>
      </c>
      <c r="R19" s="435">
        <f>'ADJ DETAIL-INPUT'!R19</f>
        <v>0</v>
      </c>
      <c r="S19" s="435">
        <f>'ADJ DETAIL-INPUT'!S19</f>
        <v>-953</v>
      </c>
      <c r="T19" s="435">
        <f>'ADJ DETAIL-INPUT'!T19</f>
        <v>-21940</v>
      </c>
      <c r="U19" s="435">
        <f>'ADJ DETAIL-INPUT'!U19</f>
        <v>0</v>
      </c>
      <c r="V19" s="435">
        <f>'ADJ DETAIL-INPUT'!V19</f>
        <v>0</v>
      </c>
      <c r="W19" s="435">
        <f>'ADJ DETAIL-INPUT'!W19</f>
        <v>0</v>
      </c>
      <c r="X19" s="435">
        <f>'ADJ DETAIL-INPUT'!X19</f>
        <v>1740</v>
      </c>
      <c r="Y19" s="435">
        <f>'ADJ DETAIL-INPUT'!Y19</f>
        <v>0</v>
      </c>
      <c r="Z19" s="435">
        <f>'ADJ DETAIL-INPUT'!Z19</f>
        <v>0</v>
      </c>
      <c r="AA19" s="435">
        <f>'ADJ DETAIL-INPUT'!AA19</f>
        <v>-56352</v>
      </c>
      <c r="AB19" s="435">
        <f>'ADJ DETAIL-INPUT'!AB19</f>
        <v>0</v>
      </c>
      <c r="AC19" s="435">
        <f>'ADJ DETAIL-INPUT'!AD19</f>
        <v>22536.82</v>
      </c>
      <c r="AD19" s="435">
        <f>'ADJ DETAIL-INPUT'!AE19</f>
        <v>658</v>
      </c>
      <c r="AE19" s="435">
        <f>'ADJ DETAIL-INPUT'!AF19</f>
        <v>14888</v>
      </c>
      <c r="AF19" s="435">
        <f>'ADJ DETAIL-INPUT'!AG19</f>
        <v>0</v>
      </c>
      <c r="AG19" s="435">
        <f>'ADJ DETAIL-INPUT'!AH19</f>
        <v>0</v>
      </c>
      <c r="AH19" s="435">
        <f>'ADJ DETAIL-INPUT'!AI19</f>
        <v>0</v>
      </c>
      <c r="AI19" s="435">
        <f>'ADJ DETAIL-INPUT'!AJ19</f>
        <v>0</v>
      </c>
      <c r="AJ19" s="435">
        <f>'ADJ DETAIL-INPUT'!AK19</f>
        <v>0</v>
      </c>
      <c r="AK19" s="435">
        <f>'ADJ DETAIL-INPUT'!AL19</f>
        <v>0</v>
      </c>
      <c r="AL19" s="435">
        <f>'ADJ DETAIL-INPUT'!AM19</f>
        <v>0</v>
      </c>
      <c r="AM19" s="435">
        <f>'ADJ DETAIL-INPUT'!AN19</f>
        <v>0</v>
      </c>
      <c r="AN19" s="435">
        <f>'ADJ DETAIL-INPUT'!AO19</f>
        <v>0</v>
      </c>
      <c r="AO19" s="435">
        <f>'ADJ DETAIL-INPUT'!AP19</f>
        <v>0</v>
      </c>
      <c r="AP19" s="435">
        <f>'ADJ DETAIL-INPUT'!AQ19</f>
        <v>0</v>
      </c>
      <c r="AQ19" s="435">
        <f>'ADJ DETAIL-INPUT'!AR19</f>
        <v>0</v>
      </c>
      <c r="AR19" s="435">
        <f>'ADJ DETAIL-INPUT'!AS19</f>
        <v>0</v>
      </c>
      <c r="AS19" s="435">
        <f>'ADJ DETAIL-INPUT'!AT19</f>
        <v>0</v>
      </c>
      <c r="AT19" s="435">
        <f>'ADJ DETAIL-INPUT'!AU19</f>
        <v>0</v>
      </c>
      <c r="AU19" s="435">
        <f>'ADJ DETAIL-INPUT'!AV19</f>
        <v>0</v>
      </c>
      <c r="AV19" s="435">
        <f>'ADJ DETAIL-INPUT'!AX19</f>
        <v>0</v>
      </c>
      <c r="AW19" s="435">
        <f>'ADJ DETAIL-INPUT'!AZ19</f>
        <v>0</v>
      </c>
      <c r="AX19" s="435">
        <f>'ADJ DETAIL-INPUT'!BB19</f>
        <v>0</v>
      </c>
      <c r="AY19" s="435">
        <f>'ADJ DETAIL-INPUT'!BC19</f>
        <v>0</v>
      </c>
      <c r="AZ19" s="435">
        <f>'ADJ DETAIL-INPUT'!BF19</f>
        <v>603149.81999999995</v>
      </c>
      <c r="BA19" s="435">
        <f>'ADJ DETAIL-INPUT'!BG19</f>
        <v>0</v>
      </c>
      <c r="BB19" s="435">
        <f>'ADJ DETAIL-INPUT'!BH19</f>
        <v>603149.81999999995</v>
      </c>
    </row>
    <row r="20" spans="1:54" s="424" customFormat="1" ht="6.75" customHeight="1">
      <c r="A20" s="422"/>
      <c r="E20" s="427"/>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424" customFormat="1">
      <c r="A21" s="422"/>
      <c r="B21" s="424" t="str">
        <f>'ADJ DETAIL-INPUT'!B21</f>
        <v xml:space="preserve">EXPENSES  </v>
      </c>
      <c r="E21" s="427"/>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424" customFormat="1">
      <c r="A22" s="422"/>
      <c r="B22" s="424" t="str">
        <f>'ADJ DETAIL-INPUT'!B22</f>
        <v xml:space="preserve">Production and Transmission  </v>
      </c>
      <c r="E22" s="427"/>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424" customFormat="1">
      <c r="A23" s="422">
        <f>'ADJ DETAIL-INPUT'!A23</f>
        <v>7</v>
      </c>
      <c r="C23" s="424" t="str">
        <f>'ADJ DETAIL-INPUT'!C23</f>
        <v xml:space="preserve">Operating Expenses  </v>
      </c>
      <c r="E23" s="427">
        <f>'ADJ DETAIL-INPUT'!E23</f>
        <v>170553</v>
      </c>
      <c r="F23" s="435">
        <f>'ADJ DETAIL-INPUT'!F23</f>
        <v>0</v>
      </c>
      <c r="G23" s="435">
        <f>'ADJ DETAIL-INPUT'!G23</f>
        <v>5</v>
      </c>
      <c r="H23" s="435">
        <f>'ADJ DETAIL-INPUT'!H23</f>
        <v>0</v>
      </c>
      <c r="I23" s="435">
        <f>'ADJ DETAIL-INPUT'!I23</f>
        <v>0</v>
      </c>
      <c r="J23" s="435">
        <f>'ADJ DETAIL-INPUT'!J23</f>
        <v>0</v>
      </c>
      <c r="K23" s="435">
        <f>'ADJ DETAIL-INPUT'!K23</f>
        <v>0</v>
      </c>
      <c r="L23" s="435">
        <f>'ADJ DETAIL-INPUT'!L23</f>
        <v>0</v>
      </c>
      <c r="M23" s="435">
        <f>'ADJ DETAIL-INPUT'!M23</f>
        <v>0</v>
      </c>
      <c r="N23" s="435">
        <f>'ADJ DETAIL-INPUT'!N23</f>
        <v>0</v>
      </c>
      <c r="O23" s="435">
        <f>'ADJ DETAIL-INPUT'!O23</f>
        <v>0</v>
      </c>
      <c r="P23" s="435">
        <f>'ADJ DETAIL-INPUT'!P23</f>
        <v>0</v>
      </c>
      <c r="Q23" s="435">
        <f>'ADJ DETAIL-INPUT'!Q23</f>
        <v>0</v>
      </c>
      <c r="R23" s="435">
        <f>'ADJ DETAIL-INPUT'!R23</f>
        <v>0</v>
      </c>
      <c r="S23" s="435">
        <f>'ADJ DETAIL-INPUT'!S23</f>
        <v>0</v>
      </c>
      <c r="T23" s="435">
        <f>'ADJ DETAIL-INPUT'!T23</f>
        <v>0</v>
      </c>
      <c r="U23" s="435">
        <f>'ADJ DETAIL-INPUT'!U23</f>
        <v>0</v>
      </c>
      <c r="V23" s="435">
        <f>'ADJ DETAIL-INPUT'!V23</f>
        <v>0</v>
      </c>
      <c r="W23" s="435">
        <f>'ADJ DETAIL-INPUT'!W23</f>
        <v>0</v>
      </c>
      <c r="X23" s="435">
        <f>'ADJ DETAIL-INPUT'!X23</f>
        <v>300</v>
      </c>
      <c r="Y23" s="435">
        <f>'ADJ DETAIL-INPUT'!Y23</f>
        <v>-5</v>
      </c>
      <c r="Z23" s="435">
        <f>'ADJ DETAIL-INPUT'!Z23</f>
        <v>-926</v>
      </c>
      <c r="AA23" s="435">
        <f>'ADJ DETAIL-INPUT'!AA23</f>
        <v>-35686</v>
      </c>
      <c r="AB23" s="435">
        <f>'ADJ DETAIL-INPUT'!AB23</f>
        <v>913</v>
      </c>
      <c r="AC23" s="435">
        <f>'ADJ DETAIL-INPUT'!AD23</f>
        <v>9006</v>
      </c>
      <c r="AD23" s="435">
        <f>'ADJ DETAIL-INPUT'!AE23</f>
        <v>-447</v>
      </c>
      <c r="AE23" s="435">
        <f>'ADJ DETAIL-INPUT'!AF23</f>
        <v>0</v>
      </c>
      <c r="AF23" s="435">
        <f>'ADJ DETAIL-INPUT'!AG23</f>
        <v>231</v>
      </c>
      <c r="AG23" s="435">
        <f>'ADJ DETAIL-INPUT'!AH23</f>
        <v>0</v>
      </c>
      <c r="AH23" s="435">
        <f>'ADJ DETAIL-INPUT'!AI23</f>
        <v>1169</v>
      </c>
      <c r="AI23" s="435">
        <f>'ADJ DETAIL-INPUT'!AJ23</f>
        <v>0</v>
      </c>
      <c r="AJ23" s="435">
        <f>'ADJ DETAIL-INPUT'!AK23</f>
        <v>427</v>
      </c>
      <c r="AK23" s="435">
        <f>'ADJ DETAIL-INPUT'!AL23</f>
        <v>0</v>
      </c>
      <c r="AL23" s="435">
        <f>'ADJ DETAIL-INPUT'!AM23</f>
        <v>0</v>
      </c>
      <c r="AM23" s="435">
        <f>'ADJ DETAIL-INPUT'!AN23</f>
        <v>0</v>
      </c>
      <c r="AN23" s="435">
        <f>'ADJ DETAIL-INPUT'!AO23</f>
        <v>0</v>
      </c>
      <c r="AO23" s="435">
        <f>'ADJ DETAIL-INPUT'!AP23</f>
        <v>0</v>
      </c>
      <c r="AP23" s="435">
        <f>'ADJ DETAIL-INPUT'!AQ23</f>
        <v>0</v>
      </c>
      <c r="AQ23" s="435">
        <f>'ADJ DETAIL-INPUT'!AR23</f>
        <v>0</v>
      </c>
      <c r="AR23" s="435">
        <f>'ADJ DETAIL-INPUT'!AS23</f>
        <v>0</v>
      </c>
      <c r="AS23" s="435">
        <f>'ADJ DETAIL-INPUT'!AT23</f>
        <v>0</v>
      </c>
      <c r="AT23" s="435">
        <f>'ADJ DETAIL-INPUT'!AU23</f>
        <v>0</v>
      </c>
      <c r="AU23" s="435">
        <f>'ADJ DETAIL-INPUT'!AV23</f>
        <v>995</v>
      </c>
      <c r="AV23" s="435">
        <f>'ADJ DETAIL-INPUT'!AX23</f>
        <v>1691</v>
      </c>
      <c r="AW23" s="435">
        <f>'ADJ DETAIL-INPUT'!AZ23</f>
        <v>0</v>
      </c>
      <c r="AX23" s="435">
        <f>'ADJ DETAIL-INPUT'!BB23</f>
        <v>33</v>
      </c>
      <c r="AY23" s="435">
        <f>'ADJ DETAIL-INPUT'!BC23</f>
        <v>0</v>
      </c>
      <c r="AZ23" s="435">
        <f>'ADJ DETAIL-INPUT'!BF23</f>
        <v>148259</v>
      </c>
      <c r="BA23" s="435">
        <f>'ADJ DETAIL-INPUT'!BG23</f>
        <v>0</v>
      </c>
      <c r="BB23" s="435">
        <f>'ADJ DETAIL-INPUT'!BH23</f>
        <v>148259</v>
      </c>
    </row>
    <row r="24" spans="1:54" s="424" customFormat="1">
      <c r="A24" s="422">
        <f>'ADJ DETAIL-INPUT'!A24</f>
        <v>8</v>
      </c>
      <c r="C24" s="424" t="str">
        <f>'ADJ DETAIL-INPUT'!C24</f>
        <v xml:space="preserve">Purchased Power  </v>
      </c>
      <c r="E24" s="427">
        <f>'ADJ DETAIL-INPUT'!E24</f>
        <v>89083</v>
      </c>
      <c r="F24" s="435">
        <f>'ADJ DETAIL-INPUT'!F24</f>
        <v>0</v>
      </c>
      <c r="G24" s="435">
        <f>'ADJ DETAIL-INPUT'!G24</f>
        <v>0</v>
      </c>
      <c r="H24" s="435">
        <f>'ADJ DETAIL-INPUT'!H24</f>
        <v>0</v>
      </c>
      <c r="I24" s="435">
        <f>'ADJ DETAIL-INPUT'!I24</f>
        <v>0</v>
      </c>
      <c r="J24" s="435">
        <f>'ADJ DETAIL-INPUT'!J24</f>
        <v>0</v>
      </c>
      <c r="K24" s="435">
        <f>'ADJ DETAIL-INPUT'!K24</f>
        <v>0</v>
      </c>
      <c r="L24" s="435">
        <f>'ADJ DETAIL-INPUT'!L24</f>
        <v>0</v>
      </c>
      <c r="M24" s="435">
        <f>'ADJ DETAIL-INPUT'!M24</f>
        <v>0</v>
      </c>
      <c r="N24" s="435">
        <f>'ADJ DETAIL-INPUT'!N24</f>
        <v>0</v>
      </c>
      <c r="O24" s="435">
        <f>'ADJ DETAIL-INPUT'!O24</f>
        <v>0</v>
      </c>
      <c r="P24" s="435">
        <f>'ADJ DETAIL-INPUT'!P24</f>
        <v>0</v>
      </c>
      <c r="Q24" s="435">
        <f>'ADJ DETAIL-INPUT'!Q24</f>
        <v>0</v>
      </c>
      <c r="R24" s="435">
        <f>'ADJ DETAIL-INPUT'!R24</f>
        <v>0</v>
      </c>
      <c r="S24" s="435">
        <f>'ADJ DETAIL-INPUT'!S24</f>
        <v>0</v>
      </c>
      <c r="T24" s="435">
        <f>'ADJ DETAIL-INPUT'!T24</f>
        <v>0</v>
      </c>
      <c r="U24" s="435">
        <f>'ADJ DETAIL-INPUT'!U24</f>
        <v>0</v>
      </c>
      <c r="V24" s="435">
        <f>'ADJ DETAIL-INPUT'!V24</f>
        <v>0</v>
      </c>
      <c r="W24" s="435">
        <f>'ADJ DETAIL-INPUT'!W24</f>
        <v>0</v>
      </c>
      <c r="X24" s="435">
        <f>'ADJ DETAIL-INPUT'!X24</f>
        <v>0</v>
      </c>
      <c r="Y24" s="435">
        <f>'ADJ DETAIL-INPUT'!Y24</f>
        <v>0</v>
      </c>
      <c r="Z24" s="435">
        <f>'ADJ DETAIL-INPUT'!Z24</f>
        <v>0</v>
      </c>
      <c r="AA24" s="435">
        <f>'ADJ DETAIL-INPUT'!AA24</f>
        <v>-14801</v>
      </c>
      <c r="AB24" s="435">
        <f>'ADJ DETAIL-INPUT'!AB24</f>
        <v>0</v>
      </c>
      <c r="AC24" s="435">
        <f>'ADJ DETAIL-INPUT'!AD24</f>
        <v>-3499</v>
      </c>
      <c r="AD24" s="435">
        <f>'ADJ DETAIL-INPUT'!AE24</f>
        <v>0</v>
      </c>
      <c r="AE24" s="435">
        <f>'ADJ DETAIL-INPUT'!AF24</f>
        <v>0</v>
      </c>
      <c r="AF24" s="435">
        <f>'ADJ DETAIL-INPUT'!AG24</f>
        <v>0</v>
      </c>
      <c r="AG24" s="435">
        <f>'ADJ DETAIL-INPUT'!AH24</f>
        <v>0</v>
      </c>
      <c r="AH24" s="435">
        <f>'ADJ DETAIL-INPUT'!AI24</f>
        <v>0</v>
      </c>
      <c r="AI24" s="435">
        <f>'ADJ DETAIL-INPUT'!AJ24</f>
        <v>0</v>
      </c>
      <c r="AJ24" s="435">
        <f>'ADJ DETAIL-INPUT'!AK24</f>
        <v>0</v>
      </c>
      <c r="AK24" s="435">
        <f>'ADJ DETAIL-INPUT'!AL24</f>
        <v>0</v>
      </c>
      <c r="AL24" s="435">
        <f>'ADJ DETAIL-INPUT'!AM24</f>
        <v>0</v>
      </c>
      <c r="AM24" s="435">
        <f>'ADJ DETAIL-INPUT'!AN24</f>
        <v>0</v>
      </c>
      <c r="AN24" s="435">
        <f>'ADJ DETAIL-INPUT'!AO24</f>
        <v>0</v>
      </c>
      <c r="AO24" s="435">
        <f>'ADJ DETAIL-INPUT'!AP24</f>
        <v>0</v>
      </c>
      <c r="AP24" s="435">
        <f>'ADJ DETAIL-INPUT'!AQ24</f>
        <v>0</v>
      </c>
      <c r="AQ24" s="435">
        <f>'ADJ DETAIL-INPUT'!AR24</f>
        <v>0</v>
      </c>
      <c r="AR24" s="435">
        <f>'ADJ DETAIL-INPUT'!AS24</f>
        <v>0</v>
      </c>
      <c r="AS24" s="435">
        <f>'ADJ DETAIL-INPUT'!AT24</f>
        <v>0</v>
      </c>
      <c r="AT24" s="435">
        <f>'ADJ DETAIL-INPUT'!AU24</f>
        <v>0</v>
      </c>
      <c r="AU24" s="435">
        <f>'ADJ DETAIL-INPUT'!AV24</f>
        <v>0</v>
      </c>
      <c r="AV24" s="435">
        <f>'ADJ DETAIL-INPUT'!AX24</f>
        <v>0</v>
      </c>
      <c r="AW24" s="435">
        <f>'ADJ DETAIL-INPUT'!AZ24</f>
        <v>0</v>
      </c>
      <c r="AX24" s="435">
        <f>'ADJ DETAIL-INPUT'!BB24</f>
        <v>0</v>
      </c>
      <c r="AY24" s="435">
        <f>'ADJ DETAIL-INPUT'!BC24</f>
        <v>0</v>
      </c>
      <c r="AZ24" s="435">
        <f>'ADJ DETAIL-INPUT'!BF24</f>
        <v>70783</v>
      </c>
      <c r="BA24" s="435">
        <f>'ADJ DETAIL-INPUT'!BG24</f>
        <v>0</v>
      </c>
      <c r="BB24" s="435">
        <f>'ADJ DETAIL-INPUT'!BH24</f>
        <v>70783</v>
      </c>
    </row>
    <row r="25" spans="1:54" s="424" customFormat="1">
      <c r="A25" s="422">
        <f>'ADJ DETAIL-INPUT'!A25</f>
        <v>9</v>
      </c>
      <c r="C25" s="424" t="str">
        <f>'ADJ DETAIL-INPUT'!C25</f>
        <v xml:space="preserve">Depreciation/Amortization  </v>
      </c>
      <c r="E25" s="427">
        <f>'ADJ DETAIL-INPUT'!E25</f>
        <v>32447</v>
      </c>
      <c r="F25" s="435">
        <f>'ADJ DETAIL-INPUT'!F25</f>
        <v>0</v>
      </c>
      <c r="G25" s="435">
        <f>'ADJ DETAIL-INPUT'!G25</f>
        <v>0</v>
      </c>
      <c r="H25" s="435">
        <f>'ADJ DETAIL-INPUT'!H25</f>
        <v>0</v>
      </c>
      <c r="I25" s="435">
        <f>'ADJ DETAIL-INPUT'!I25</f>
        <v>0</v>
      </c>
      <c r="J25" s="435">
        <f>'ADJ DETAIL-INPUT'!J25</f>
        <v>0</v>
      </c>
      <c r="K25" s="435">
        <f>'ADJ DETAIL-INPUT'!K25</f>
        <v>0</v>
      </c>
      <c r="L25" s="435">
        <f>'ADJ DETAIL-INPUT'!L25</f>
        <v>0</v>
      </c>
      <c r="M25" s="435">
        <f>'ADJ DETAIL-INPUT'!M25</f>
        <v>0</v>
      </c>
      <c r="N25" s="435">
        <f>'ADJ DETAIL-INPUT'!N25</f>
        <v>0</v>
      </c>
      <c r="O25" s="435">
        <f>'ADJ DETAIL-INPUT'!O25</f>
        <v>0</v>
      </c>
      <c r="P25" s="435">
        <f>'ADJ DETAIL-INPUT'!P25</f>
        <v>0</v>
      </c>
      <c r="Q25" s="435">
        <f>'ADJ DETAIL-INPUT'!Q25</f>
        <v>0</v>
      </c>
      <c r="R25" s="435">
        <f>'ADJ DETAIL-INPUT'!R25</f>
        <v>0</v>
      </c>
      <c r="S25" s="435">
        <f>'ADJ DETAIL-INPUT'!S25</f>
        <v>0</v>
      </c>
      <c r="T25" s="435">
        <f>'ADJ DETAIL-INPUT'!T25</f>
        <v>0</v>
      </c>
      <c r="U25" s="435">
        <f>'ADJ DETAIL-INPUT'!U25</f>
        <v>0</v>
      </c>
      <c r="V25" s="435">
        <f>'ADJ DETAIL-INPUT'!V25</f>
        <v>0</v>
      </c>
      <c r="W25" s="435">
        <f>'ADJ DETAIL-INPUT'!W25</f>
        <v>0</v>
      </c>
      <c r="X25" s="435">
        <f>'ADJ DETAIL-INPUT'!X25</f>
        <v>0</v>
      </c>
      <c r="Y25" s="435">
        <f>'ADJ DETAIL-INPUT'!Y25</f>
        <v>0</v>
      </c>
      <c r="Z25" s="435">
        <f>'ADJ DETAIL-INPUT'!Z25</f>
        <v>0</v>
      </c>
      <c r="AA25" s="435">
        <f>'ADJ DETAIL-INPUT'!AA25</f>
        <v>0</v>
      </c>
      <c r="AB25" s="435">
        <f>'ADJ DETAIL-INPUT'!AB25</f>
        <v>3557</v>
      </c>
      <c r="AC25" s="435">
        <f>'ADJ DETAIL-INPUT'!AD25</f>
        <v>0</v>
      </c>
      <c r="AD25" s="435">
        <f>'ADJ DETAIL-INPUT'!AE25</f>
        <v>0</v>
      </c>
      <c r="AE25" s="435">
        <f>'ADJ DETAIL-INPUT'!AF25</f>
        <v>0</v>
      </c>
      <c r="AF25" s="435">
        <f>'ADJ DETAIL-INPUT'!AG25</f>
        <v>0</v>
      </c>
      <c r="AG25" s="435">
        <f>'ADJ DETAIL-INPUT'!AH25</f>
        <v>0</v>
      </c>
      <c r="AH25" s="435">
        <f>'ADJ DETAIL-INPUT'!AI25</f>
        <v>0</v>
      </c>
      <c r="AI25" s="435">
        <f>'ADJ DETAIL-INPUT'!AJ25</f>
        <v>0</v>
      </c>
      <c r="AJ25" s="435">
        <f>'ADJ DETAIL-INPUT'!AK25</f>
        <v>0</v>
      </c>
      <c r="AK25" s="435">
        <f>'ADJ DETAIL-INPUT'!AL25</f>
        <v>0</v>
      </c>
      <c r="AL25" s="435">
        <f>'ADJ DETAIL-INPUT'!AM25</f>
        <v>0</v>
      </c>
      <c r="AM25" s="435">
        <f>'ADJ DETAIL-INPUT'!AN25</f>
        <v>0</v>
      </c>
      <c r="AN25" s="435">
        <f>'ADJ DETAIL-INPUT'!AO25</f>
        <v>0</v>
      </c>
      <c r="AO25" s="435">
        <f>'ADJ DETAIL-INPUT'!AP25</f>
        <v>0</v>
      </c>
      <c r="AP25" s="435">
        <f>'ADJ DETAIL-INPUT'!AQ25</f>
        <v>202</v>
      </c>
      <c r="AQ25" s="435">
        <f>'ADJ DETAIL-INPUT'!AR25</f>
        <v>193</v>
      </c>
      <c r="AR25" s="435">
        <f>'ADJ DETAIL-INPUT'!AS25</f>
        <v>531</v>
      </c>
      <c r="AS25" s="435">
        <f>'ADJ DETAIL-INPUT'!AT25</f>
        <v>0</v>
      </c>
      <c r="AT25" s="435">
        <f>'ADJ DETAIL-INPUT'!AU25</f>
        <v>0</v>
      </c>
      <c r="AU25" s="435">
        <f>'ADJ DETAIL-INPUT'!AV25</f>
        <v>47</v>
      </c>
      <c r="AV25" s="435">
        <f>'ADJ DETAIL-INPUT'!AX25</f>
        <v>117</v>
      </c>
      <c r="AW25" s="435">
        <f>'ADJ DETAIL-INPUT'!AZ25</f>
        <v>1046</v>
      </c>
      <c r="AX25" s="435">
        <f>'ADJ DETAIL-INPUT'!BB25</f>
        <v>0</v>
      </c>
      <c r="AY25" s="435">
        <f>'ADJ DETAIL-INPUT'!BC25</f>
        <v>0</v>
      </c>
      <c r="AZ25" s="435">
        <f>'ADJ DETAIL-INPUT'!BF25</f>
        <v>39025</v>
      </c>
      <c r="BA25" s="435">
        <f>'ADJ DETAIL-INPUT'!BG25</f>
        <v>0</v>
      </c>
      <c r="BB25" s="435">
        <f>'ADJ DETAIL-INPUT'!BH25</f>
        <v>39025</v>
      </c>
    </row>
    <row r="26" spans="1:54" s="424" customFormat="1">
      <c r="A26" s="422">
        <f>'ADJ DETAIL-INPUT'!A26</f>
        <v>10</v>
      </c>
      <c r="C26" s="427" t="str">
        <f>'ADJ DETAIL-INPUT'!C26</f>
        <v>Regulatory Amortization</v>
      </c>
      <c r="D26" s="427"/>
      <c r="E26" s="427">
        <f>'ADJ DETAIL-INPUT'!E26</f>
        <v>-712</v>
      </c>
      <c r="F26" s="436">
        <f>'ADJ DETAIL-INPUT'!F26</f>
        <v>0</v>
      </c>
      <c r="G26" s="436">
        <f>'ADJ DETAIL-INPUT'!G26</f>
        <v>0</v>
      </c>
      <c r="H26" s="436">
        <f>'ADJ DETAIL-INPUT'!H26</f>
        <v>0</v>
      </c>
      <c r="I26" s="436">
        <f>'ADJ DETAIL-INPUT'!I26</f>
        <v>0</v>
      </c>
      <c r="J26" s="436">
        <f>'ADJ DETAIL-INPUT'!J26</f>
        <v>0</v>
      </c>
      <c r="K26" s="436">
        <f>'ADJ DETAIL-INPUT'!K26</f>
        <v>0</v>
      </c>
      <c r="L26" s="436">
        <f>'ADJ DETAIL-INPUT'!L26</f>
        <v>0</v>
      </c>
      <c r="M26" s="436">
        <f>'ADJ DETAIL-INPUT'!M26</f>
        <v>0</v>
      </c>
      <c r="N26" s="436">
        <f>'ADJ DETAIL-INPUT'!N26</f>
        <v>0</v>
      </c>
      <c r="O26" s="436">
        <f>'ADJ DETAIL-INPUT'!O26</f>
        <v>0</v>
      </c>
      <c r="P26" s="436">
        <f>'ADJ DETAIL-INPUT'!P26</f>
        <v>0</v>
      </c>
      <c r="Q26" s="436">
        <f>'ADJ DETAIL-INPUT'!Q26</f>
        <v>0</v>
      </c>
      <c r="R26" s="436">
        <f>'ADJ DETAIL-INPUT'!R26</f>
        <v>0</v>
      </c>
      <c r="S26" s="436">
        <f>'ADJ DETAIL-INPUT'!S26</f>
        <v>0</v>
      </c>
      <c r="T26" s="436">
        <f>'ADJ DETAIL-INPUT'!T26</f>
        <v>3332</v>
      </c>
      <c r="U26" s="436">
        <f>'ADJ DETAIL-INPUT'!U26</f>
        <v>0</v>
      </c>
      <c r="V26" s="436">
        <f>'ADJ DETAIL-INPUT'!V26</f>
        <v>0</v>
      </c>
      <c r="W26" s="436">
        <f>'ADJ DETAIL-INPUT'!W26</f>
        <v>0</v>
      </c>
      <c r="X26" s="436">
        <f>'ADJ DETAIL-INPUT'!X26</f>
        <v>0</v>
      </c>
      <c r="Y26" s="436">
        <f>'ADJ DETAIL-INPUT'!Y26</f>
        <v>0</v>
      </c>
      <c r="Z26" s="436">
        <f>'ADJ DETAIL-INPUT'!Z26</f>
        <v>0</v>
      </c>
      <c r="AA26" s="436">
        <f>'ADJ DETAIL-INPUT'!AA26</f>
        <v>0</v>
      </c>
      <c r="AB26" s="436">
        <f>'ADJ DETAIL-INPUT'!AB26</f>
        <v>0</v>
      </c>
      <c r="AC26" s="436">
        <f>'ADJ DETAIL-INPUT'!AD26</f>
        <v>0</v>
      </c>
      <c r="AD26" s="436">
        <f>'ADJ DETAIL-INPUT'!AE26</f>
        <v>0</v>
      </c>
      <c r="AE26" s="436">
        <f>'ADJ DETAIL-INPUT'!AF26</f>
        <v>0</v>
      </c>
      <c r="AF26" s="436">
        <f>'ADJ DETAIL-INPUT'!AG26</f>
        <v>-1869</v>
      </c>
      <c r="AG26" s="436">
        <f>'ADJ DETAIL-INPUT'!AH26</f>
        <v>0</v>
      </c>
      <c r="AH26" s="436">
        <f>'ADJ DETAIL-INPUT'!AI26</f>
        <v>0</v>
      </c>
      <c r="AI26" s="436">
        <f>'ADJ DETAIL-INPUT'!AJ26</f>
        <v>0</v>
      </c>
      <c r="AJ26" s="436">
        <f>'ADJ DETAIL-INPUT'!AK26</f>
        <v>0</v>
      </c>
      <c r="AK26" s="436">
        <f>'ADJ DETAIL-INPUT'!AL26</f>
        <v>0</v>
      </c>
      <c r="AL26" s="436">
        <f>'ADJ DETAIL-INPUT'!AM26</f>
        <v>0</v>
      </c>
      <c r="AM26" s="436">
        <f>'ADJ DETAIL-INPUT'!AN26</f>
        <v>0</v>
      </c>
      <c r="AN26" s="436">
        <f>'ADJ DETAIL-INPUT'!AO26</f>
        <v>0</v>
      </c>
      <c r="AO26" s="436">
        <f>'ADJ DETAIL-INPUT'!AP26</f>
        <v>0</v>
      </c>
      <c r="AP26" s="436">
        <f>'ADJ DETAIL-INPUT'!AQ26</f>
        <v>0</v>
      </c>
      <c r="AQ26" s="436">
        <f>'ADJ DETAIL-INPUT'!AR26</f>
        <v>0</v>
      </c>
      <c r="AR26" s="436">
        <f>'ADJ DETAIL-INPUT'!AS26</f>
        <v>0</v>
      </c>
      <c r="AS26" s="436">
        <f>'ADJ DETAIL-INPUT'!AT26</f>
        <v>0</v>
      </c>
      <c r="AT26" s="436">
        <f>'ADJ DETAIL-INPUT'!AU26</f>
        <v>0</v>
      </c>
      <c r="AU26" s="436">
        <f>'ADJ DETAIL-INPUT'!AV26</f>
        <v>0</v>
      </c>
      <c r="AV26" s="436">
        <f>'ADJ DETAIL-INPUT'!AX26</f>
        <v>0</v>
      </c>
      <c r="AW26" s="436">
        <f>'ADJ DETAIL-INPUT'!AZ26</f>
        <v>-2534</v>
      </c>
      <c r="AX26" s="436">
        <f>'ADJ DETAIL-INPUT'!BB26</f>
        <v>0</v>
      </c>
      <c r="AY26" s="436">
        <f>'ADJ DETAIL-INPUT'!BC26</f>
        <v>0</v>
      </c>
      <c r="AZ26" s="436">
        <f>'ADJ DETAIL-INPUT'!BF26</f>
        <v>-1783</v>
      </c>
      <c r="BA26" s="436">
        <f>'ADJ DETAIL-INPUT'!BG26</f>
        <v>0</v>
      </c>
      <c r="BB26" s="436">
        <f>'ADJ DETAIL-INPUT'!BH26</f>
        <v>-1783</v>
      </c>
    </row>
    <row r="27" spans="1:54" s="424" customFormat="1">
      <c r="A27" s="422">
        <f>'ADJ DETAIL-INPUT'!A27</f>
        <v>11</v>
      </c>
      <c r="C27" s="424" t="str">
        <f>'ADJ DETAIL-INPUT'!C27</f>
        <v xml:space="preserve">Taxes  </v>
      </c>
      <c r="E27" s="454">
        <f>'ADJ DETAIL-INPUT'!E27</f>
        <v>16489</v>
      </c>
      <c r="F27" s="444">
        <f>'ADJ DETAIL-INPUT'!F27</f>
        <v>0</v>
      </c>
      <c r="G27" s="444">
        <f>'ADJ DETAIL-INPUT'!G27</f>
        <v>0</v>
      </c>
      <c r="H27" s="444">
        <f>'ADJ DETAIL-INPUT'!H27</f>
        <v>0</v>
      </c>
      <c r="I27" s="444">
        <f>'ADJ DETAIL-INPUT'!I27</f>
        <v>0</v>
      </c>
      <c r="J27" s="444">
        <f>'ADJ DETAIL-INPUT'!J27</f>
        <v>0</v>
      </c>
      <c r="K27" s="444">
        <f>'ADJ DETAIL-INPUT'!K27</f>
        <v>351</v>
      </c>
      <c r="L27" s="444">
        <f>'ADJ DETAIL-INPUT'!L27</f>
        <v>0</v>
      </c>
      <c r="M27" s="444">
        <f>'ADJ DETAIL-INPUT'!M27</f>
        <v>0</v>
      </c>
      <c r="N27" s="444">
        <f>'ADJ DETAIL-INPUT'!N27</f>
        <v>0</v>
      </c>
      <c r="O27" s="444">
        <f>'ADJ DETAIL-INPUT'!O27</f>
        <v>0</v>
      </c>
      <c r="P27" s="444">
        <f>'ADJ DETAIL-INPUT'!P27</f>
        <v>0</v>
      </c>
      <c r="Q27" s="444">
        <f>'ADJ DETAIL-INPUT'!Q27</f>
        <v>0</v>
      </c>
      <c r="R27" s="444">
        <f>'ADJ DETAIL-INPUT'!R27</f>
        <v>0</v>
      </c>
      <c r="S27" s="444">
        <f>'ADJ DETAIL-INPUT'!S27</f>
        <v>0</v>
      </c>
      <c r="T27" s="444">
        <f>'ADJ DETAIL-INPUT'!T27</f>
        <v>0</v>
      </c>
      <c r="U27" s="444">
        <f>'ADJ DETAIL-INPUT'!U27</f>
        <v>0</v>
      </c>
      <c r="V27" s="444">
        <f>'ADJ DETAIL-INPUT'!V27</f>
        <v>0</v>
      </c>
      <c r="W27" s="444">
        <f>'ADJ DETAIL-INPUT'!W27</f>
        <v>0</v>
      </c>
      <c r="X27" s="444">
        <f>'ADJ DETAIL-INPUT'!X27</f>
        <v>0</v>
      </c>
      <c r="Y27" s="444">
        <f>'ADJ DETAIL-INPUT'!Y27</f>
        <v>0</v>
      </c>
      <c r="Z27" s="444">
        <f>'ADJ DETAIL-INPUT'!Z27</f>
        <v>0</v>
      </c>
      <c r="AA27" s="444">
        <f>'ADJ DETAIL-INPUT'!AA27</f>
        <v>0</v>
      </c>
      <c r="AB27" s="444">
        <f>'ADJ DETAIL-INPUT'!AB27</f>
        <v>0</v>
      </c>
      <c r="AC27" s="444">
        <f>'ADJ DETAIL-INPUT'!AD27</f>
        <v>0</v>
      </c>
      <c r="AD27" s="444">
        <f>'ADJ DETAIL-INPUT'!AE27</f>
        <v>0</v>
      </c>
      <c r="AE27" s="444">
        <f>'ADJ DETAIL-INPUT'!AF27</f>
        <v>0</v>
      </c>
      <c r="AF27" s="444">
        <f>'ADJ DETAIL-INPUT'!AG27</f>
        <v>0</v>
      </c>
      <c r="AG27" s="444">
        <f>'ADJ DETAIL-INPUT'!AH27</f>
        <v>0</v>
      </c>
      <c r="AH27" s="444">
        <f>'ADJ DETAIL-INPUT'!AI27</f>
        <v>0</v>
      </c>
      <c r="AI27" s="444">
        <f>'ADJ DETAIL-INPUT'!AJ27</f>
        <v>0</v>
      </c>
      <c r="AJ27" s="444">
        <f>'ADJ DETAIL-INPUT'!AK27</f>
        <v>0</v>
      </c>
      <c r="AK27" s="444">
        <f>'ADJ DETAIL-INPUT'!AL27</f>
        <v>0</v>
      </c>
      <c r="AL27" s="444">
        <f>'ADJ DETAIL-INPUT'!AM27</f>
        <v>0</v>
      </c>
      <c r="AM27" s="444">
        <f>'ADJ DETAIL-INPUT'!AN27</f>
        <v>435</v>
      </c>
      <c r="AN27" s="444">
        <f>'ADJ DETAIL-INPUT'!AO27</f>
        <v>0</v>
      </c>
      <c r="AO27" s="444">
        <f>'ADJ DETAIL-INPUT'!AP27</f>
        <v>0</v>
      </c>
      <c r="AP27" s="444">
        <f>'ADJ DETAIL-INPUT'!AQ27</f>
        <v>0</v>
      </c>
      <c r="AQ27" s="444">
        <f>'ADJ DETAIL-INPUT'!AR27</f>
        <v>0</v>
      </c>
      <c r="AR27" s="444">
        <f>'ADJ DETAIL-INPUT'!AS27</f>
        <v>0</v>
      </c>
      <c r="AS27" s="444">
        <f>'ADJ DETAIL-INPUT'!AT27</f>
        <v>0</v>
      </c>
      <c r="AT27" s="444">
        <f>'ADJ DETAIL-INPUT'!AU27</f>
        <v>0</v>
      </c>
      <c r="AU27" s="444">
        <f>'ADJ DETAIL-INPUT'!AV27</f>
        <v>0</v>
      </c>
      <c r="AV27" s="444">
        <f>'ADJ DETAIL-INPUT'!AX27</f>
        <v>0</v>
      </c>
      <c r="AW27" s="444">
        <f>'ADJ DETAIL-INPUT'!AZ27</f>
        <v>0</v>
      </c>
      <c r="AX27" s="444">
        <f>'ADJ DETAIL-INPUT'!BB27</f>
        <v>0</v>
      </c>
      <c r="AY27" s="444">
        <f>'ADJ DETAIL-INPUT'!BC27</f>
        <v>0</v>
      </c>
      <c r="AZ27" s="444">
        <f>'ADJ DETAIL-INPUT'!BF27</f>
        <v>17275</v>
      </c>
      <c r="BA27" s="444">
        <f>'ADJ DETAIL-INPUT'!BG27</f>
        <v>0</v>
      </c>
      <c r="BB27" s="444">
        <f>'ADJ DETAIL-INPUT'!BH27</f>
        <v>17275</v>
      </c>
    </row>
    <row r="28" spans="1:54" s="424" customFormat="1">
      <c r="A28" s="422">
        <f>'ADJ DETAIL-INPUT'!A28</f>
        <v>12</v>
      </c>
      <c r="B28" s="424" t="str">
        <f>'ADJ DETAIL-INPUT'!B28</f>
        <v xml:space="preserve">Total Production &amp; Transmission  </v>
      </c>
      <c r="E28" s="427">
        <f>'ADJ DETAIL-INPUT'!E28</f>
        <v>307860</v>
      </c>
      <c r="F28" s="435">
        <f>'ADJ DETAIL-INPUT'!F28</f>
        <v>0</v>
      </c>
      <c r="G28" s="435">
        <f>'ADJ DETAIL-INPUT'!G28</f>
        <v>5</v>
      </c>
      <c r="H28" s="435">
        <f>'ADJ DETAIL-INPUT'!H28</f>
        <v>0</v>
      </c>
      <c r="I28" s="435">
        <f>'ADJ DETAIL-INPUT'!I28</f>
        <v>0</v>
      </c>
      <c r="J28" s="435">
        <f>'ADJ DETAIL-INPUT'!J28</f>
        <v>0</v>
      </c>
      <c r="K28" s="435">
        <f>'ADJ DETAIL-INPUT'!K28</f>
        <v>351</v>
      </c>
      <c r="L28" s="435">
        <f>'ADJ DETAIL-INPUT'!L28</f>
        <v>0</v>
      </c>
      <c r="M28" s="435">
        <f>'ADJ DETAIL-INPUT'!M28</f>
        <v>0</v>
      </c>
      <c r="N28" s="435">
        <f>'ADJ DETAIL-INPUT'!N28</f>
        <v>0</v>
      </c>
      <c r="O28" s="435">
        <f>'ADJ DETAIL-INPUT'!O28</f>
        <v>0</v>
      </c>
      <c r="P28" s="435">
        <f>'ADJ DETAIL-INPUT'!P28</f>
        <v>0</v>
      </c>
      <c r="Q28" s="435">
        <f>'ADJ DETAIL-INPUT'!Q28</f>
        <v>0</v>
      </c>
      <c r="R28" s="435">
        <f>'ADJ DETAIL-INPUT'!R28</f>
        <v>0</v>
      </c>
      <c r="S28" s="435">
        <f>'ADJ DETAIL-INPUT'!S28</f>
        <v>0</v>
      </c>
      <c r="T28" s="435">
        <f>'ADJ DETAIL-INPUT'!T28</f>
        <v>3332</v>
      </c>
      <c r="U28" s="435">
        <f>'ADJ DETAIL-INPUT'!U28</f>
        <v>0</v>
      </c>
      <c r="V28" s="435">
        <f>'ADJ DETAIL-INPUT'!V28</f>
        <v>0</v>
      </c>
      <c r="W28" s="435">
        <f>'ADJ DETAIL-INPUT'!W28</f>
        <v>0</v>
      </c>
      <c r="X28" s="435">
        <f>'ADJ DETAIL-INPUT'!X28</f>
        <v>300</v>
      </c>
      <c r="Y28" s="435">
        <f>'ADJ DETAIL-INPUT'!Y28</f>
        <v>-5</v>
      </c>
      <c r="Z28" s="435">
        <f>'ADJ DETAIL-INPUT'!Z28</f>
        <v>-926</v>
      </c>
      <c r="AA28" s="435">
        <f>'ADJ DETAIL-INPUT'!AA28</f>
        <v>-50487</v>
      </c>
      <c r="AB28" s="435">
        <f>'ADJ DETAIL-INPUT'!AB28</f>
        <v>4470</v>
      </c>
      <c r="AC28" s="435">
        <f>'ADJ DETAIL-INPUT'!AD28</f>
        <v>5507</v>
      </c>
      <c r="AD28" s="435">
        <f>'ADJ DETAIL-INPUT'!AE28</f>
        <v>-447</v>
      </c>
      <c r="AE28" s="435">
        <f>'ADJ DETAIL-INPUT'!AF28</f>
        <v>0</v>
      </c>
      <c r="AF28" s="435">
        <f>'ADJ DETAIL-INPUT'!AG28</f>
        <v>-1638</v>
      </c>
      <c r="AG28" s="435">
        <f>'ADJ DETAIL-INPUT'!AH28</f>
        <v>0</v>
      </c>
      <c r="AH28" s="435">
        <f>'ADJ DETAIL-INPUT'!AI28</f>
        <v>1169</v>
      </c>
      <c r="AI28" s="435">
        <f>'ADJ DETAIL-INPUT'!AJ28</f>
        <v>0</v>
      </c>
      <c r="AJ28" s="435">
        <f>'ADJ DETAIL-INPUT'!AK28</f>
        <v>427</v>
      </c>
      <c r="AK28" s="435">
        <f>'ADJ DETAIL-INPUT'!AL28</f>
        <v>0</v>
      </c>
      <c r="AL28" s="435">
        <f>'ADJ DETAIL-INPUT'!AM28</f>
        <v>0</v>
      </c>
      <c r="AM28" s="435">
        <f>'ADJ DETAIL-INPUT'!AN28</f>
        <v>435</v>
      </c>
      <c r="AN28" s="435">
        <f>'ADJ DETAIL-INPUT'!AO28</f>
        <v>0</v>
      </c>
      <c r="AO28" s="435">
        <f>'ADJ DETAIL-INPUT'!AP28</f>
        <v>0</v>
      </c>
      <c r="AP28" s="435">
        <f>'ADJ DETAIL-INPUT'!AQ28</f>
        <v>202</v>
      </c>
      <c r="AQ28" s="435">
        <f>'ADJ DETAIL-INPUT'!AR28</f>
        <v>193</v>
      </c>
      <c r="AR28" s="435">
        <f>'ADJ DETAIL-INPUT'!AS28</f>
        <v>531</v>
      </c>
      <c r="AS28" s="435">
        <f>'ADJ DETAIL-INPUT'!AT28</f>
        <v>0</v>
      </c>
      <c r="AT28" s="435">
        <f>'ADJ DETAIL-INPUT'!AU28</f>
        <v>0</v>
      </c>
      <c r="AU28" s="435">
        <f>'ADJ DETAIL-INPUT'!AV28</f>
        <v>1042</v>
      </c>
      <c r="AV28" s="435">
        <f>'ADJ DETAIL-INPUT'!AX28</f>
        <v>1808</v>
      </c>
      <c r="AW28" s="435">
        <f>'ADJ DETAIL-INPUT'!AZ28</f>
        <v>-1488</v>
      </c>
      <c r="AX28" s="435">
        <f>'ADJ DETAIL-INPUT'!BB28</f>
        <v>33</v>
      </c>
      <c r="AY28" s="435">
        <f>'ADJ DETAIL-INPUT'!BC28</f>
        <v>0</v>
      </c>
      <c r="AZ28" s="435">
        <f>'ADJ DETAIL-INPUT'!BF28</f>
        <v>273559</v>
      </c>
      <c r="BA28" s="435">
        <f>'ADJ DETAIL-INPUT'!BG28</f>
        <v>0</v>
      </c>
      <c r="BB28" s="435">
        <f>'ADJ DETAIL-INPUT'!BH28</f>
        <v>273559</v>
      </c>
    </row>
    <row r="29" spans="1:54" s="424" customFormat="1" ht="6.75" customHeight="1">
      <c r="A29" s="422"/>
      <c r="E29" s="427"/>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424" customFormat="1">
      <c r="A30" s="422"/>
      <c r="B30" s="424" t="str">
        <f>'ADJ DETAIL-INPUT'!B30</f>
        <v xml:space="preserve">Distribution  </v>
      </c>
      <c r="E30" s="427"/>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424" customFormat="1">
      <c r="A31" s="422">
        <f>'ADJ DETAIL-INPUT'!A31</f>
        <v>13</v>
      </c>
      <c r="C31" s="424" t="str">
        <f>'ADJ DETAIL-INPUT'!C31</f>
        <v xml:space="preserve">Operating Expenses  </v>
      </c>
      <c r="E31" s="431">
        <f>'ADJ DETAIL-INPUT'!E31</f>
        <v>26747</v>
      </c>
      <c r="F31" s="435">
        <f>'ADJ DETAIL-INPUT'!F31</f>
        <v>0</v>
      </c>
      <c r="G31" s="435">
        <f>'ADJ DETAIL-INPUT'!G31</f>
        <v>0</v>
      </c>
      <c r="H31" s="435">
        <f>'ADJ DETAIL-INPUT'!H31</f>
        <v>0</v>
      </c>
      <c r="I31" s="435">
        <f>'ADJ DETAIL-INPUT'!I31</f>
        <v>0</v>
      </c>
      <c r="J31" s="435">
        <f>'ADJ DETAIL-INPUT'!J31</f>
        <v>0</v>
      </c>
      <c r="K31" s="435">
        <f>'ADJ DETAIL-INPUT'!K31</f>
        <v>0</v>
      </c>
      <c r="L31" s="435">
        <f>'ADJ DETAIL-INPUT'!L31</f>
        <v>0</v>
      </c>
      <c r="M31" s="435">
        <f>'ADJ DETAIL-INPUT'!M31</f>
        <v>0</v>
      </c>
      <c r="N31" s="435">
        <f>'ADJ DETAIL-INPUT'!N31</f>
        <v>0</v>
      </c>
      <c r="O31" s="435">
        <f>'ADJ DETAIL-INPUT'!O31</f>
        <v>0</v>
      </c>
      <c r="P31" s="435">
        <f>'ADJ DETAIL-INPUT'!P31</f>
        <v>0</v>
      </c>
      <c r="Q31" s="435">
        <f>'ADJ DETAIL-INPUT'!Q31</f>
        <v>0</v>
      </c>
      <c r="R31" s="435">
        <f>'ADJ DETAIL-INPUT'!R31</f>
        <v>0</v>
      </c>
      <c r="S31" s="435">
        <f>'ADJ DETAIL-INPUT'!S31</f>
        <v>0</v>
      </c>
      <c r="T31" s="435">
        <f>'ADJ DETAIL-INPUT'!T31</f>
        <v>0</v>
      </c>
      <c r="U31" s="435">
        <f>'ADJ DETAIL-INPUT'!U31</f>
        <v>0</v>
      </c>
      <c r="V31" s="435">
        <f>'ADJ DETAIL-INPUT'!V31</f>
        <v>0</v>
      </c>
      <c r="W31" s="435">
        <f>'ADJ DETAIL-INPUT'!W31</f>
        <v>0</v>
      </c>
      <c r="X31" s="435">
        <f>'ADJ DETAIL-INPUT'!X31</f>
        <v>0</v>
      </c>
      <c r="Y31" s="435">
        <f>'ADJ DETAIL-INPUT'!Y31</f>
        <v>0</v>
      </c>
      <c r="Z31" s="435">
        <f>'ADJ DETAIL-INPUT'!Z31</f>
        <v>0</v>
      </c>
      <c r="AA31" s="435">
        <f>'ADJ DETAIL-INPUT'!AA31</f>
        <v>0</v>
      </c>
      <c r="AB31" s="435">
        <f>'ADJ DETAIL-INPUT'!AB31</f>
        <v>0</v>
      </c>
      <c r="AC31" s="435">
        <f>'ADJ DETAIL-INPUT'!AD31</f>
        <v>0</v>
      </c>
      <c r="AD31" s="435">
        <f>'ADJ DETAIL-INPUT'!AE31</f>
        <v>0</v>
      </c>
      <c r="AE31" s="435">
        <f>'ADJ DETAIL-INPUT'!AF31</f>
        <v>0</v>
      </c>
      <c r="AF31" s="435">
        <f>'ADJ DETAIL-INPUT'!AG31</f>
        <v>0</v>
      </c>
      <c r="AG31" s="435">
        <f>'ADJ DETAIL-INPUT'!AH31</f>
        <v>0</v>
      </c>
      <c r="AH31" s="435">
        <f>'ADJ DETAIL-INPUT'!AI31</f>
        <v>713</v>
      </c>
      <c r="AI31" s="435">
        <f>'ADJ DETAIL-INPUT'!AJ31</f>
        <v>0</v>
      </c>
      <c r="AJ31" s="435">
        <f>'ADJ DETAIL-INPUT'!AK31</f>
        <v>268</v>
      </c>
      <c r="AK31" s="435">
        <f>'ADJ DETAIL-INPUT'!AL31</f>
        <v>0</v>
      </c>
      <c r="AL31" s="435">
        <f>'ADJ DETAIL-INPUT'!AM31</f>
        <v>0</v>
      </c>
      <c r="AM31" s="435">
        <f>'ADJ DETAIL-INPUT'!AN31</f>
        <v>0</v>
      </c>
      <c r="AN31" s="435">
        <f>'ADJ DETAIL-INPUT'!AO31</f>
        <v>0</v>
      </c>
      <c r="AO31" s="435">
        <f>'ADJ DETAIL-INPUT'!AP31</f>
        <v>0</v>
      </c>
      <c r="AP31" s="435">
        <f>'ADJ DETAIL-INPUT'!AQ31</f>
        <v>0</v>
      </c>
      <c r="AQ31" s="435">
        <f>'ADJ DETAIL-INPUT'!AR31</f>
        <v>-206</v>
      </c>
      <c r="AR31" s="435">
        <f>'ADJ DETAIL-INPUT'!AS31</f>
        <v>0</v>
      </c>
      <c r="AS31" s="435">
        <f>'ADJ DETAIL-INPUT'!AT31</f>
        <v>0</v>
      </c>
      <c r="AT31" s="435">
        <f>'ADJ DETAIL-INPUT'!AU31</f>
        <v>0</v>
      </c>
      <c r="AU31" s="435">
        <f>'ADJ DETAIL-INPUT'!AV31</f>
        <v>3030</v>
      </c>
      <c r="AV31" s="435">
        <f>'ADJ DETAIL-INPUT'!AX31</f>
        <v>0</v>
      </c>
      <c r="AW31" s="435">
        <f>'ADJ DETAIL-INPUT'!AZ31</f>
        <v>0</v>
      </c>
      <c r="AX31" s="435">
        <f>'ADJ DETAIL-INPUT'!BB31</f>
        <v>0</v>
      </c>
      <c r="AY31" s="435">
        <f>'ADJ DETAIL-INPUT'!BC31</f>
        <v>0</v>
      </c>
      <c r="AZ31" s="435">
        <f>'ADJ DETAIL-INPUT'!BF31</f>
        <v>30552</v>
      </c>
      <c r="BA31" s="435">
        <f>'ADJ DETAIL-INPUT'!BG31</f>
        <v>0</v>
      </c>
      <c r="BB31" s="435">
        <f>'ADJ DETAIL-INPUT'!BH31</f>
        <v>30552</v>
      </c>
    </row>
    <row r="32" spans="1:54" s="424" customFormat="1">
      <c r="A32" s="422">
        <f>'ADJ DETAIL-INPUT'!A32</f>
        <v>14</v>
      </c>
      <c r="C32" s="424" t="str">
        <f>'ADJ DETAIL-INPUT'!C32</f>
        <v>Depreciation/Amortization</v>
      </c>
      <c r="E32" s="431">
        <f>'ADJ DETAIL-INPUT'!E32</f>
        <v>31132</v>
      </c>
      <c r="F32" s="435">
        <f>'ADJ DETAIL-INPUT'!F32</f>
        <v>0</v>
      </c>
      <c r="G32" s="435">
        <f>'ADJ DETAIL-INPUT'!G32</f>
        <v>0</v>
      </c>
      <c r="H32" s="435">
        <f>'ADJ DETAIL-INPUT'!H32</f>
        <v>0</v>
      </c>
      <c r="I32" s="435">
        <f>'ADJ DETAIL-INPUT'!I32</f>
        <v>0</v>
      </c>
      <c r="J32" s="435">
        <f>'ADJ DETAIL-INPUT'!J32</f>
        <v>0</v>
      </c>
      <c r="K32" s="435">
        <f>'ADJ DETAIL-INPUT'!K32</f>
        <v>0</v>
      </c>
      <c r="L32" s="435">
        <f>'ADJ DETAIL-INPUT'!L32</f>
        <v>0</v>
      </c>
      <c r="M32" s="435">
        <f>'ADJ DETAIL-INPUT'!M32</f>
        <v>0</v>
      </c>
      <c r="N32" s="435">
        <f>'ADJ DETAIL-INPUT'!N32</f>
        <v>0</v>
      </c>
      <c r="O32" s="435">
        <f>'ADJ DETAIL-INPUT'!O32</f>
        <v>0</v>
      </c>
      <c r="P32" s="435">
        <f>'ADJ DETAIL-INPUT'!P32</f>
        <v>0</v>
      </c>
      <c r="Q32" s="435">
        <f>'ADJ DETAIL-INPUT'!Q32</f>
        <v>0</v>
      </c>
      <c r="R32" s="435">
        <f>'ADJ DETAIL-INPUT'!R32</f>
        <v>-58</v>
      </c>
      <c r="S32" s="435">
        <f>'ADJ DETAIL-INPUT'!S32</f>
        <v>0</v>
      </c>
      <c r="T32" s="435">
        <f>'ADJ DETAIL-INPUT'!T32</f>
        <v>0</v>
      </c>
      <c r="U32" s="435">
        <f>'ADJ DETAIL-INPUT'!U32</f>
        <v>0</v>
      </c>
      <c r="V32" s="435">
        <f>'ADJ DETAIL-INPUT'!V32</f>
        <v>0</v>
      </c>
      <c r="W32" s="435">
        <f>'ADJ DETAIL-INPUT'!W32</f>
        <v>0</v>
      </c>
      <c r="X32" s="435">
        <f>'ADJ DETAIL-INPUT'!X32</f>
        <v>0</v>
      </c>
      <c r="Y32" s="435">
        <f>'ADJ DETAIL-INPUT'!Y32</f>
        <v>0</v>
      </c>
      <c r="Z32" s="435">
        <f>'ADJ DETAIL-INPUT'!Z32</f>
        <v>0</v>
      </c>
      <c r="AA32" s="435">
        <f>'ADJ DETAIL-INPUT'!AA32</f>
        <v>0</v>
      </c>
      <c r="AB32" s="435">
        <f>'ADJ DETAIL-INPUT'!AB32</f>
        <v>-1363</v>
      </c>
      <c r="AC32" s="435">
        <f>'ADJ DETAIL-INPUT'!AD32</f>
        <v>0</v>
      </c>
      <c r="AD32" s="435">
        <f>'ADJ DETAIL-INPUT'!AE32</f>
        <v>0</v>
      </c>
      <c r="AE32" s="435">
        <f>'ADJ DETAIL-INPUT'!AF32</f>
        <v>0</v>
      </c>
      <c r="AF32" s="435">
        <f>'ADJ DETAIL-INPUT'!AG32</f>
        <v>0</v>
      </c>
      <c r="AG32" s="435">
        <f>'ADJ DETAIL-INPUT'!AH32</f>
        <v>0</v>
      </c>
      <c r="AH32" s="435">
        <f>'ADJ DETAIL-INPUT'!AI32</f>
        <v>0</v>
      </c>
      <c r="AI32" s="435">
        <f>'ADJ DETAIL-INPUT'!AJ32</f>
        <v>0</v>
      </c>
      <c r="AJ32" s="435">
        <f>'ADJ DETAIL-INPUT'!AK32</f>
        <v>0</v>
      </c>
      <c r="AK32" s="435">
        <f>'ADJ DETAIL-INPUT'!AL32</f>
        <v>0</v>
      </c>
      <c r="AL32" s="435">
        <f>'ADJ DETAIL-INPUT'!AM32</f>
        <v>0</v>
      </c>
      <c r="AM32" s="435">
        <f>'ADJ DETAIL-INPUT'!AN32</f>
        <v>0</v>
      </c>
      <c r="AN32" s="435">
        <f>'ADJ DETAIL-INPUT'!AO32</f>
        <v>0</v>
      </c>
      <c r="AO32" s="435">
        <f>'ADJ DETAIL-INPUT'!AP32</f>
        <v>0</v>
      </c>
      <c r="AP32" s="435">
        <f>'ADJ DETAIL-INPUT'!AQ32</f>
        <v>47</v>
      </c>
      <c r="AQ32" s="435">
        <f>'ADJ DETAIL-INPUT'!AR32</f>
        <v>578</v>
      </c>
      <c r="AR32" s="435">
        <f>'ADJ DETAIL-INPUT'!AS32</f>
        <v>155</v>
      </c>
      <c r="AS32" s="435">
        <f>'ADJ DETAIL-INPUT'!AT32</f>
        <v>0</v>
      </c>
      <c r="AT32" s="435">
        <f>'ADJ DETAIL-INPUT'!AU32</f>
        <v>1870</v>
      </c>
      <c r="AU32" s="435">
        <f>'ADJ DETAIL-INPUT'!AV32</f>
        <v>177</v>
      </c>
      <c r="AV32" s="435">
        <f>'ADJ DETAIL-INPUT'!AX32</f>
        <v>5</v>
      </c>
      <c r="AW32" s="435">
        <f>'ADJ DETAIL-INPUT'!AZ32</f>
        <v>0</v>
      </c>
      <c r="AX32" s="435">
        <f>'ADJ DETAIL-INPUT'!BB32</f>
        <v>0</v>
      </c>
      <c r="AY32" s="435">
        <f>'ADJ DETAIL-INPUT'!BC32</f>
        <v>0</v>
      </c>
      <c r="AZ32" s="435">
        <f>'ADJ DETAIL-INPUT'!BF32</f>
        <v>32582</v>
      </c>
      <c r="BA32" s="435">
        <f>'ADJ DETAIL-INPUT'!BG32</f>
        <v>0</v>
      </c>
      <c r="BB32" s="435">
        <f>'ADJ DETAIL-INPUT'!BH32</f>
        <v>32582</v>
      </c>
    </row>
    <row r="33" spans="1:54" s="424" customFormat="1">
      <c r="A33" s="422">
        <f>'ADJ DETAIL-INPUT'!A34</f>
        <v>15</v>
      </c>
      <c r="C33" s="424" t="str">
        <f>'ADJ DETAIL-INPUT'!C34</f>
        <v xml:space="preserve">Taxes  </v>
      </c>
      <c r="E33" s="454">
        <f>'ADJ DETAIL-INPUT'!E34</f>
        <v>47422</v>
      </c>
      <c r="F33" s="444">
        <f>'ADJ DETAIL-INPUT'!F34</f>
        <v>0</v>
      </c>
      <c r="G33" s="444">
        <f>'ADJ DETAIL-INPUT'!G34</f>
        <v>0</v>
      </c>
      <c r="H33" s="444">
        <f>'ADJ DETAIL-INPUT'!H34</f>
        <v>0</v>
      </c>
      <c r="I33" s="444">
        <f>'ADJ DETAIL-INPUT'!I34</f>
        <v>0</v>
      </c>
      <c r="J33" s="444">
        <f>'ADJ DETAIL-INPUT'!J34</f>
        <v>-18805</v>
      </c>
      <c r="K33" s="444">
        <f>'ADJ DETAIL-INPUT'!K34</f>
        <v>650</v>
      </c>
      <c r="L33" s="444">
        <f>'ADJ DETAIL-INPUT'!L34</f>
        <v>0</v>
      </c>
      <c r="M33" s="444">
        <f>'ADJ DETAIL-INPUT'!M34</f>
        <v>0</v>
      </c>
      <c r="N33" s="444">
        <f>'ADJ DETAIL-INPUT'!N34</f>
        <v>0</v>
      </c>
      <c r="O33" s="444">
        <f>'ADJ DETAIL-INPUT'!O34</f>
        <v>0</v>
      </c>
      <c r="P33" s="444">
        <f>'ADJ DETAIL-INPUT'!P34</f>
        <v>0</v>
      </c>
      <c r="Q33" s="444">
        <f>'ADJ DETAIL-INPUT'!Q34</f>
        <v>34</v>
      </c>
      <c r="R33" s="444">
        <f>'ADJ DETAIL-INPUT'!R34</f>
        <v>0</v>
      </c>
      <c r="S33" s="444">
        <f>'ADJ DETAIL-INPUT'!S34</f>
        <v>-148</v>
      </c>
      <c r="T33" s="444">
        <f>'ADJ DETAIL-INPUT'!T34</f>
        <v>-839</v>
      </c>
      <c r="U33" s="444">
        <f>'ADJ DETAIL-INPUT'!U34</f>
        <v>0</v>
      </c>
      <c r="V33" s="444">
        <f>'ADJ DETAIL-INPUT'!V34</f>
        <v>0</v>
      </c>
      <c r="W33" s="444">
        <f>'ADJ DETAIL-INPUT'!W34</f>
        <v>0</v>
      </c>
      <c r="X33" s="444">
        <f>'ADJ DETAIL-INPUT'!X34</f>
        <v>67</v>
      </c>
      <c r="Y33" s="444">
        <f>'ADJ DETAIL-INPUT'!Y34</f>
        <v>0</v>
      </c>
      <c r="Z33" s="444">
        <f>'ADJ DETAIL-INPUT'!Z34</f>
        <v>0</v>
      </c>
      <c r="AA33" s="444">
        <f>'ADJ DETAIL-INPUT'!AA34</f>
        <v>0</v>
      </c>
      <c r="AB33" s="444">
        <f>'ADJ DETAIL-INPUT'!AB34</f>
        <v>0</v>
      </c>
      <c r="AC33" s="444">
        <f>'ADJ DETAIL-INPUT'!AD34</f>
        <v>0</v>
      </c>
      <c r="AD33" s="444">
        <f>'ADJ DETAIL-INPUT'!AE34</f>
        <v>0</v>
      </c>
      <c r="AE33" s="444">
        <f>'ADJ DETAIL-INPUT'!AF34</f>
        <v>984</v>
      </c>
      <c r="AF33" s="444">
        <f>'ADJ DETAIL-INPUT'!AG34</f>
        <v>0</v>
      </c>
      <c r="AG33" s="444">
        <f>'ADJ DETAIL-INPUT'!AH34</f>
        <v>0</v>
      </c>
      <c r="AH33" s="444">
        <f>'ADJ DETAIL-INPUT'!AI34</f>
        <v>0</v>
      </c>
      <c r="AI33" s="444">
        <f>'ADJ DETAIL-INPUT'!AJ34</f>
        <v>0</v>
      </c>
      <c r="AJ33" s="444">
        <f>'ADJ DETAIL-INPUT'!AK34</f>
        <v>0</v>
      </c>
      <c r="AK33" s="444">
        <f>'ADJ DETAIL-INPUT'!AL34</f>
        <v>0</v>
      </c>
      <c r="AL33" s="444">
        <f>'ADJ DETAIL-INPUT'!AM34</f>
        <v>0</v>
      </c>
      <c r="AM33" s="444">
        <f>'ADJ DETAIL-INPUT'!AN34</f>
        <v>199</v>
      </c>
      <c r="AN33" s="444">
        <f>'ADJ DETAIL-INPUT'!AO34</f>
        <v>0</v>
      </c>
      <c r="AO33" s="444">
        <f>'ADJ DETAIL-INPUT'!AP34</f>
        <v>0</v>
      </c>
      <c r="AP33" s="444">
        <f>'ADJ DETAIL-INPUT'!AQ34</f>
        <v>0</v>
      </c>
      <c r="AQ33" s="444">
        <f>'ADJ DETAIL-INPUT'!AR34</f>
        <v>0</v>
      </c>
      <c r="AR33" s="444">
        <f>'ADJ DETAIL-INPUT'!AS34</f>
        <v>0</v>
      </c>
      <c r="AS33" s="444">
        <f>'ADJ DETAIL-INPUT'!AT34</f>
        <v>0</v>
      </c>
      <c r="AT33" s="444">
        <f>'ADJ DETAIL-INPUT'!AU34</f>
        <v>0</v>
      </c>
      <c r="AU33" s="444">
        <f>'ADJ DETAIL-INPUT'!AV34</f>
        <v>0</v>
      </c>
      <c r="AV33" s="444">
        <f>'ADJ DETAIL-INPUT'!AX34</f>
        <v>0</v>
      </c>
      <c r="AW33" s="444">
        <f>'ADJ DETAIL-INPUT'!AZ34</f>
        <v>0</v>
      </c>
      <c r="AX33" s="444">
        <f>'ADJ DETAIL-INPUT'!BB34</f>
        <v>0</v>
      </c>
      <c r="AY33" s="444">
        <f>'ADJ DETAIL-INPUT'!BC34</f>
        <v>0</v>
      </c>
      <c r="AZ33" s="444">
        <f>'ADJ DETAIL-INPUT'!BF34</f>
        <v>29564</v>
      </c>
      <c r="BA33" s="444">
        <f>'ADJ DETAIL-INPUT'!BG34</f>
        <v>0</v>
      </c>
      <c r="BB33" s="444">
        <f>'ADJ DETAIL-INPUT'!BH34</f>
        <v>29564</v>
      </c>
    </row>
    <row r="34" spans="1:54" s="424" customFormat="1">
      <c r="A34" s="422">
        <f>'ADJ DETAIL-INPUT'!A35</f>
        <v>16</v>
      </c>
      <c r="B34" s="424" t="str">
        <f>'ADJ DETAIL-INPUT'!B35</f>
        <v xml:space="preserve">Total Distribution  </v>
      </c>
      <c r="E34" s="427">
        <f>'ADJ DETAIL-INPUT'!E35</f>
        <v>105301</v>
      </c>
      <c r="F34" s="435">
        <f>'ADJ DETAIL-INPUT'!F35</f>
        <v>0</v>
      </c>
      <c r="G34" s="435">
        <f>'ADJ DETAIL-INPUT'!G35</f>
        <v>0</v>
      </c>
      <c r="H34" s="435">
        <f>'ADJ DETAIL-INPUT'!H35</f>
        <v>0</v>
      </c>
      <c r="I34" s="435">
        <f>'ADJ DETAIL-INPUT'!I35</f>
        <v>0</v>
      </c>
      <c r="J34" s="435">
        <f>'ADJ DETAIL-INPUT'!J35</f>
        <v>-18805</v>
      </c>
      <c r="K34" s="435">
        <f>'ADJ DETAIL-INPUT'!K35</f>
        <v>650</v>
      </c>
      <c r="L34" s="435">
        <f>'ADJ DETAIL-INPUT'!L35</f>
        <v>0</v>
      </c>
      <c r="M34" s="435">
        <f>'ADJ DETAIL-INPUT'!M35</f>
        <v>0</v>
      </c>
      <c r="N34" s="435">
        <f>'ADJ DETAIL-INPUT'!N35</f>
        <v>0</v>
      </c>
      <c r="O34" s="435">
        <f>'ADJ DETAIL-INPUT'!O35</f>
        <v>0</v>
      </c>
      <c r="P34" s="435">
        <f>'ADJ DETAIL-INPUT'!P35</f>
        <v>0</v>
      </c>
      <c r="Q34" s="435">
        <f>'ADJ DETAIL-INPUT'!Q35</f>
        <v>34</v>
      </c>
      <c r="R34" s="435">
        <f>'ADJ DETAIL-INPUT'!R35</f>
        <v>-58</v>
      </c>
      <c r="S34" s="435">
        <f>'ADJ DETAIL-INPUT'!S35</f>
        <v>-148</v>
      </c>
      <c r="T34" s="435">
        <f>'ADJ DETAIL-INPUT'!T35</f>
        <v>-839</v>
      </c>
      <c r="U34" s="435">
        <f>'ADJ DETAIL-INPUT'!U35</f>
        <v>0</v>
      </c>
      <c r="V34" s="435">
        <f>'ADJ DETAIL-INPUT'!V35</f>
        <v>0</v>
      </c>
      <c r="W34" s="435">
        <f>'ADJ DETAIL-INPUT'!W35</f>
        <v>0</v>
      </c>
      <c r="X34" s="435">
        <f>'ADJ DETAIL-INPUT'!X35</f>
        <v>67</v>
      </c>
      <c r="Y34" s="435">
        <f>'ADJ DETAIL-INPUT'!Y35</f>
        <v>0</v>
      </c>
      <c r="Z34" s="435">
        <f>'ADJ DETAIL-INPUT'!Z35</f>
        <v>0</v>
      </c>
      <c r="AA34" s="435">
        <f>'ADJ DETAIL-INPUT'!AA35</f>
        <v>0</v>
      </c>
      <c r="AB34" s="435">
        <f>'ADJ DETAIL-INPUT'!AB35</f>
        <v>-1363</v>
      </c>
      <c r="AC34" s="435">
        <f>'ADJ DETAIL-INPUT'!AD35</f>
        <v>0</v>
      </c>
      <c r="AD34" s="435">
        <f>'ADJ DETAIL-INPUT'!AE35</f>
        <v>0</v>
      </c>
      <c r="AE34" s="435">
        <f>'ADJ DETAIL-INPUT'!AF35</f>
        <v>984</v>
      </c>
      <c r="AF34" s="435">
        <f>'ADJ DETAIL-INPUT'!AG35</f>
        <v>0</v>
      </c>
      <c r="AG34" s="435">
        <f>'ADJ DETAIL-INPUT'!AH35</f>
        <v>0</v>
      </c>
      <c r="AH34" s="435">
        <f>'ADJ DETAIL-INPUT'!AI35</f>
        <v>713</v>
      </c>
      <c r="AI34" s="435">
        <f>'ADJ DETAIL-INPUT'!AJ35</f>
        <v>0</v>
      </c>
      <c r="AJ34" s="435">
        <f>'ADJ DETAIL-INPUT'!AK35</f>
        <v>268</v>
      </c>
      <c r="AK34" s="435">
        <f>'ADJ DETAIL-INPUT'!AL35</f>
        <v>0</v>
      </c>
      <c r="AL34" s="435">
        <f>'ADJ DETAIL-INPUT'!AM35</f>
        <v>0</v>
      </c>
      <c r="AM34" s="435">
        <f>'ADJ DETAIL-INPUT'!AN35</f>
        <v>199</v>
      </c>
      <c r="AN34" s="435">
        <f>'ADJ DETAIL-INPUT'!AO35</f>
        <v>0</v>
      </c>
      <c r="AO34" s="435">
        <f>'ADJ DETAIL-INPUT'!AP35</f>
        <v>0</v>
      </c>
      <c r="AP34" s="435">
        <f>'ADJ DETAIL-INPUT'!AQ35</f>
        <v>47</v>
      </c>
      <c r="AQ34" s="435">
        <f>'ADJ DETAIL-INPUT'!AR35</f>
        <v>372</v>
      </c>
      <c r="AR34" s="435">
        <f>'ADJ DETAIL-INPUT'!AS35</f>
        <v>155</v>
      </c>
      <c r="AS34" s="435">
        <f>'ADJ DETAIL-INPUT'!AT35</f>
        <v>0</v>
      </c>
      <c r="AT34" s="435">
        <f>'ADJ DETAIL-INPUT'!AU35</f>
        <v>1870</v>
      </c>
      <c r="AU34" s="435">
        <f>'ADJ DETAIL-INPUT'!AV35</f>
        <v>3207</v>
      </c>
      <c r="AV34" s="435">
        <f>'ADJ DETAIL-INPUT'!AX35</f>
        <v>5</v>
      </c>
      <c r="AW34" s="435">
        <f>'ADJ DETAIL-INPUT'!AZ35</f>
        <v>0</v>
      </c>
      <c r="AX34" s="435">
        <f>'ADJ DETAIL-INPUT'!BB35</f>
        <v>0</v>
      </c>
      <c r="AY34" s="435">
        <f>'ADJ DETAIL-INPUT'!BC35</f>
        <v>0</v>
      </c>
      <c r="AZ34" s="435">
        <f>'ADJ DETAIL-INPUT'!BF35</f>
        <v>92698</v>
      </c>
      <c r="BA34" s="435">
        <f>'ADJ DETAIL-INPUT'!BG35</f>
        <v>0</v>
      </c>
      <c r="BB34" s="435">
        <f>'ADJ DETAIL-INPUT'!BH35</f>
        <v>92698</v>
      </c>
    </row>
    <row r="35" spans="1:54" s="424" customFormat="1" ht="6" customHeight="1">
      <c r="E35" s="427"/>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54" s="424" customFormat="1">
      <c r="A36" s="422">
        <f>'ADJ DETAIL-INPUT'!A37</f>
        <v>17</v>
      </c>
      <c r="B36" s="424" t="str">
        <f>'ADJ DETAIL-INPUT'!B37</f>
        <v xml:space="preserve">Customer Accounting  </v>
      </c>
      <c r="E36" s="431">
        <f>'ADJ DETAIL-INPUT'!E37</f>
        <v>9916</v>
      </c>
      <c r="F36" s="435">
        <f>'ADJ DETAIL-INPUT'!F37</f>
        <v>0</v>
      </c>
      <c r="G36" s="435">
        <f>'ADJ DETAIL-INPUT'!G37</f>
        <v>52</v>
      </c>
      <c r="H36" s="435">
        <f>'ADJ DETAIL-INPUT'!H37</f>
        <v>0</v>
      </c>
      <c r="I36" s="435">
        <f>'ADJ DETAIL-INPUT'!I37</f>
        <v>0</v>
      </c>
      <c r="J36" s="435">
        <f>'ADJ DETAIL-INPUT'!J37</f>
        <v>0</v>
      </c>
      <c r="K36" s="435">
        <f>'ADJ DETAIL-INPUT'!K37</f>
        <v>0</v>
      </c>
      <c r="L36" s="435">
        <f>'ADJ DETAIL-INPUT'!L37</f>
        <v>1437</v>
      </c>
      <c r="M36" s="435">
        <f>'ADJ DETAIL-INPUT'!M37</f>
        <v>0</v>
      </c>
      <c r="N36" s="435">
        <f>'ADJ DETAIL-INPUT'!N37</f>
        <v>0</v>
      </c>
      <c r="O36" s="435">
        <f>'ADJ DETAIL-INPUT'!O37</f>
        <v>0</v>
      </c>
      <c r="P36" s="435">
        <f>'ADJ DETAIL-INPUT'!P37</f>
        <v>0</v>
      </c>
      <c r="Q36" s="435">
        <f>'ADJ DETAIL-INPUT'!Q37</f>
        <v>0</v>
      </c>
      <c r="R36" s="435">
        <f>'ADJ DETAIL-INPUT'!R37</f>
        <v>0</v>
      </c>
      <c r="S36" s="435">
        <f>'ADJ DETAIL-INPUT'!S37</f>
        <v>-13</v>
      </c>
      <c r="T36" s="435">
        <f>'ADJ DETAIL-INPUT'!T37</f>
        <v>-72</v>
      </c>
      <c r="U36" s="435">
        <f>'ADJ DETAIL-INPUT'!U37</f>
        <v>0</v>
      </c>
      <c r="V36" s="435">
        <f>'ADJ DETAIL-INPUT'!V37</f>
        <v>0</v>
      </c>
      <c r="W36" s="435">
        <f>'ADJ DETAIL-INPUT'!W37</f>
        <v>0</v>
      </c>
      <c r="X36" s="435">
        <f>'ADJ DETAIL-INPUT'!X37</f>
        <v>11</v>
      </c>
      <c r="Y36" s="435">
        <f>'ADJ DETAIL-INPUT'!Y37</f>
        <v>0</v>
      </c>
      <c r="Z36" s="435">
        <f>'ADJ DETAIL-INPUT'!Z37</f>
        <v>0</v>
      </c>
      <c r="AA36" s="435">
        <f>'ADJ DETAIL-INPUT'!AA37</f>
        <v>0</v>
      </c>
      <c r="AB36" s="435">
        <f>'ADJ DETAIL-INPUT'!AB37</f>
        <v>0</v>
      </c>
      <c r="AC36" s="435">
        <f>'ADJ DETAIL-INPUT'!AD37</f>
        <v>0</v>
      </c>
      <c r="AD36" s="435">
        <f>'ADJ DETAIL-INPUT'!AE37</f>
        <v>0</v>
      </c>
      <c r="AE36" s="435">
        <f>'ADJ DETAIL-INPUT'!AF37</f>
        <v>85</v>
      </c>
      <c r="AF36" s="435">
        <f>'ADJ DETAIL-INPUT'!AG37</f>
        <v>0</v>
      </c>
      <c r="AG36" s="435">
        <f>'ADJ DETAIL-INPUT'!AH37</f>
        <v>0</v>
      </c>
      <c r="AH36" s="435">
        <f>'ADJ DETAIL-INPUT'!AI37</f>
        <v>315</v>
      </c>
      <c r="AI36" s="435">
        <f>'ADJ DETAIL-INPUT'!AJ37</f>
        <v>0</v>
      </c>
      <c r="AJ36" s="435">
        <f>'ADJ DETAIL-INPUT'!AK37</f>
        <v>122</v>
      </c>
      <c r="AK36" s="435">
        <f>'ADJ DETAIL-INPUT'!AL37</f>
        <v>0</v>
      </c>
      <c r="AL36" s="435">
        <f>'ADJ DETAIL-INPUT'!AM37</f>
        <v>0</v>
      </c>
      <c r="AM36" s="435">
        <f>'ADJ DETAIL-INPUT'!AN37</f>
        <v>0</v>
      </c>
      <c r="AN36" s="435">
        <f>'ADJ DETAIL-INPUT'!AO37</f>
        <v>97</v>
      </c>
      <c r="AO36" s="435">
        <f>'ADJ DETAIL-INPUT'!AP37</f>
        <v>0</v>
      </c>
      <c r="AP36" s="435">
        <f>'ADJ DETAIL-INPUT'!AQ37</f>
        <v>0</v>
      </c>
      <c r="AQ36" s="435">
        <f>'ADJ DETAIL-INPUT'!AR37</f>
        <v>0</v>
      </c>
      <c r="AR36" s="435">
        <f>'ADJ DETAIL-INPUT'!AS37</f>
        <v>0</v>
      </c>
      <c r="AS36" s="435">
        <f>'ADJ DETAIL-INPUT'!AT37</f>
        <v>0</v>
      </c>
      <c r="AT36" s="435">
        <f>'ADJ DETAIL-INPUT'!AU37</f>
        <v>0</v>
      </c>
      <c r="AU36" s="435">
        <f>'ADJ DETAIL-INPUT'!AV37</f>
        <v>0</v>
      </c>
      <c r="AV36" s="435">
        <f>'ADJ DETAIL-INPUT'!AX37</f>
        <v>0</v>
      </c>
      <c r="AW36" s="435">
        <f>'ADJ DETAIL-INPUT'!AZ37</f>
        <v>0</v>
      </c>
      <c r="AX36" s="435">
        <f>'ADJ DETAIL-INPUT'!BB37</f>
        <v>0</v>
      </c>
      <c r="AY36" s="435">
        <f>'ADJ DETAIL-INPUT'!BC37</f>
        <v>0</v>
      </c>
      <c r="AZ36" s="435">
        <f>'ADJ DETAIL-INPUT'!BF37</f>
        <v>11950</v>
      </c>
      <c r="BA36" s="435">
        <f>'ADJ DETAIL-INPUT'!BG37</f>
        <v>0</v>
      </c>
      <c r="BB36" s="435">
        <f>'ADJ DETAIL-INPUT'!BH37</f>
        <v>11950</v>
      </c>
    </row>
    <row r="37" spans="1:54" s="424" customFormat="1">
      <c r="A37" s="422">
        <f>'ADJ DETAIL-INPUT'!A38</f>
        <v>18</v>
      </c>
      <c r="B37" s="424" t="str">
        <f>'ADJ DETAIL-INPUT'!B38</f>
        <v xml:space="preserve">Customer Service &amp; Information  </v>
      </c>
      <c r="E37" s="431">
        <f>'ADJ DETAIL-INPUT'!E38</f>
        <v>28425</v>
      </c>
      <c r="F37" s="435">
        <f>'ADJ DETAIL-INPUT'!F38</f>
        <v>0</v>
      </c>
      <c r="G37" s="435">
        <f>'ADJ DETAIL-INPUT'!G38</f>
        <v>0</v>
      </c>
      <c r="H37" s="435">
        <f>'ADJ DETAIL-INPUT'!H38</f>
        <v>0</v>
      </c>
      <c r="I37" s="435">
        <f>'ADJ DETAIL-INPUT'!I38</f>
        <v>0</v>
      </c>
      <c r="J37" s="435">
        <f>'ADJ DETAIL-INPUT'!J38</f>
        <v>0</v>
      </c>
      <c r="K37" s="435">
        <f>'ADJ DETAIL-INPUT'!K38</f>
        <v>0</v>
      </c>
      <c r="L37" s="435">
        <f>'ADJ DETAIL-INPUT'!L38</f>
        <v>0</v>
      </c>
      <c r="M37" s="435">
        <f>'ADJ DETAIL-INPUT'!M38</f>
        <v>0</v>
      </c>
      <c r="N37" s="435">
        <f>'ADJ DETAIL-INPUT'!N38</f>
        <v>0</v>
      </c>
      <c r="O37" s="435">
        <f>'ADJ DETAIL-INPUT'!O38</f>
        <v>0</v>
      </c>
      <c r="P37" s="435">
        <f>'ADJ DETAIL-INPUT'!P38</f>
        <v>0</v>
      </c>
      <c r="Q37" s="435">
        <f>'ADJ DETAIL-INPUT'!Q38</f>
        <v>0</v>
      </c>
      <c r="R37" s="435">
        <f>'ADJ DETAIL-INPUT'!R38</f>
        <v>0</v>
      </c>
      <c r="S37" s="435">
        <f>'ADJ DETAIL-INPUT'!S38</f>
        <v>0</v>
      </c>
      <c r="T37" s="435">
        <f>'ADJ DETAIL-INPUT'!T38</f>
        <v>-26835</v>
      </c>
      <c r="U37" s="435">
        <f>'ADJ DETAIL-INPUT'!U38</f>
        <v>8</v>
      </c>
      <c r="V37" s="435">
        <f>'ADJ DETAIL-INPUT'!V38</f>
        <v>0</v>
      </c>
      <c r="W37" s="435">
        <f>'ADJ DETAIL-INPUT'!W38</f>
        <v>0</v>
      </c>
      <c r="X37" s="435">
        <f>'ADJ DETAIL-INPUT'!X38</f>
        <v>0</v>
      </c>
      <c r="Y37" s="435">
        <f>'ADJ DETAIL-INPUT'!Y38</f>
        <v>0</v>
      </c>
      <c r="Z37" s="435">
        <f>'ADJ DETAIL-INPUT'!Z38</f>
        <v>0</v>
      </c>
      <c r="AA37" s="435">
        <f>'ADJ DETAIL-INPUT'!AA38</f>
        <v>0</v>
      </c>
      <c r="AB37" s="435">
        <f>'ADJ DETAIL-INPUT'!AB38</f>
        <v>0</v>
      </c>
      <c r="AC37" s="435">
        <f>'ADJ DETAIL-INPUT'!AD38</f>
        <v>0</v>
      </c>
      <c r="AD37" s="435">
        <f>'ADJ DETAIL-INPUT'!AE38</f>
        <v>0</v>
      </c>
      <c r="AE37" s="435">
        <f>'ADJ DETAIL-INPUT'!AF38</f>
        <v>0</v>
      </c>
      <c r="AF37" s="435">
        <f>'ADJ DETAIL-INPUT'!AG38</f>
        <v>0</v>
      </c>
      <c r="AG37" s="435">
        <f>'ADJ DETAIL-INPUT'!AH38</f>
        <v>0</v>
      </c>
      <c r="AH37" s="435">
        <f>'ADJ DETAIL-INPUT'!AI38</f>
        <v>25</v>
      </c>
      <c r="AI37" s="435">
        <f>'ADJ DETAIL-INPUT'!AJ38</f>
        <v>0</v>
      </c>
      <c r="AJ37" s="435">
        <f>'ADJ DETAIL-INPUT'!AK38</f>
        <v>12</v>
      </c>
      <c r="AK37" s="435">
        <f>'ADJ DETAIL-INPUT'!AL38</f>
        <v>0</v>
      </c>
      <c r="AL37" s="435">
        <f>'ADJ DETAIL-INPUT'!AM38</f>
        <v>0</v>
      </c>
      <c r="AM37" s="435">
        <f>'ADJ DETAIL-INPUT'!AN38</f>
        <v>0</v>
      </c>
      <c r="AN37" s="435">
        <f>'ADJ DETAIL-INPUT'!AO38</f>
        <v>0</v>
      </c>
      <c r="AO37" s="435">
        <f>'ADJ DETAIL-INPUT'!AP38</f>
        <v>0</v>
      </c>
      <c r="AP37" s="435">
        <f>'ADJ DETAIL-INPUT'!AQ38</f>
        <v>0</v>
      </c>
      <c r="AQ37" s="435">
        <f>'ADJ DETAIL-INPUT'!AR38</f>
        <v>0</v>
      </c>
      <c r="AR37" s="435">
        <f>'ADJ DETAIL-INPUT'!AS38</f>
        <v>0</v>
      </c>
      <c r="AS37" s="435">
        <f>'ADJ DETAIL-INPUT'!AT38</f>
        <v>0</v>
      </c>
      <c r="AT37" s="435">
        <f>'ADJ DETAIL-INPUT'!AU38</f>
        <v>0</v>
      </c>
      <c r="AU37" s="435">
        <f>'ADJ DETAIL-INPUT'!AV38</f>
        <v>0</v>
      </c>
      <c r="AV37" s="435">
        <f>'ADJ DETAIL-INPUT'!AX38</f>
        <v>0</v>
      </c>
      <c r="AW37" s="435">
        <f>'ADJ DETAIL-INPUT'!AZ38</f>
        <v>0</v>
      </c>
      <c r="AX37" s="435">
        <f>'ADJ DETAIL-INPUT'!BB38</f>
        <v>0</v>
      </c>
      <c r="AY37" s="435">
        <f>'ADJ DETAIL-INPUT'!BC38</f>
        <v>0</v>
      </c>
      <c r="AZ37" s="435">
        <f>'ADJ DETAIL-INPUT'!BF38</f>
        <v>1635</v>
      </c>
      <c r="BA37" s="435">
        <f>'ADJ DETAIL-INPUT'!BG38</f>
        <v>0</v>
      </c>
      <c r="BB37" s="435">
        <f>'ADJ DETAIL-INPUT'!BH38</f>
        <v>1635</v>
      </c>
    </row>
    <row r="38" spans="1:54" s="424" customFormat="1">
      <c r="A38" s="422">
        <f>'ADJ DETAIL-INPUT'!A39</f>
        <v>19</v>
      </c>
      <c r="B38" s="424" t="str">
        <f>'ADJ DETAIL-INPUT'!B39</f>
        <v xml:space="preserve">Sales Expenses  </v>
      </c>
      <c r="E38" s="431">
        <f>'ADJ DETAIL-INPUT'!E39</f>
        <v>0</v>
      </c>
      <c r="F38" s="435">
        <f>'ADJ DETAIL-INPUT'!F39</f>
        <v>0</v>
      </c>
      <c r="G38" s="435">
        <f>'ADJ DETAIL-INPUT'!G39</f>
        <v>0</v>
      </c>
      <c r="H38" s="435">
        <f>'ADJ DETAIL-INPUT'!H39</f>
        <v>0</v>
      </c>
      <c r="I38" s="435">
        <f>'ADJ DETAIL-INPUT'!I39</f>
        <v>0</v>
      </c>
      <c r="J38" s="435">
        <f>'ADJ DETAIL-INPUT'!J39</f>
        <v>0</v>
      </c>
      <c r="K38" s="435">
        <f>'ADJ DETAIL-INPUT'!K39</f>
        <v>0</v>
      </c>
      <c r="L38" s="435">
        <f>'ADJ DETAIL-INPUT'!L39</f>
        <v>0</v>
      </c>
      <c r="M38" s="435">
        <f>'ADJ DETAIL-INPUT'!M39</f>
        <v>0</v>
      </c>
      <c r="N38" s="435">
        <f>'ADJ DETAIL-INPUT'!N39</f>
        <v>0</v>
      </c>
      <c r="O38" s="435">
        <f>'ADJ DETAIL-INPUT'!O39</f>
        <v>0</v>
      </c>
      <c r="P38" s="435">
        <f>'ADJ DETAIL-INPUT'!P39</f>
        <v>0</v>
      </c>
      <c r="Q38" s="435">
        <f>'ADJ DETAIL-INPUT'!Q39</f>
        <v>0</v>
      </c>
      <c r="R38" s="435">
        <f>'ADJ DETAIL-INPUT'!R39</f>
        <v>0</v>
      </c>
      <c r="S38" s="435">
        <f>'ADJ DETAIL-INPUT'!S39</f>
        <v>0</v>
      </c>
      <c r="T38" s="435">
        <f>'ADJ DETAIL-INPUT'!T39</f>
        <v>0</v>
      </c>
      <c r="U38" s="435">
        <f>'ADJ DETAIL-INPUT'!U39</f>
        <v>0</v>
      </c>
      <c r="V38" s="435">
        <f>'ADJ DETAIL-INPUT'!V39</f>
        <v>0</v>
      </c>
      <c r="W38" s="435">
        <f>'ADJ DETAIL-INPUT'!W39</f>
        <v>0</v>
      </c>
      <c r="X38" s="435">
        <f>'ADJ DETAIL-INPUT'!X39</f>
        <v>0</v>
      </c>
      <c r="Y38" s="435">
        <f>'ADJ DETAIL-INPUT'!Y39</f>
        <v>0</v>
      </c>
      <c r="Z38" s="435">
        <f>'ADJ DETAIL-INPUT'!Z39</f>
        <v>0</v>
      </c>
      <c r="AA38" s="435">
        <f>'ADJ DETAIL-INPUT'!AA39</f>
        <v>0</v>
      </c>
      <c r="AB38" s="435">
        <f>'ADJ DETAIL-INPUT'!AB39</f>
        <v>0</v>
      </c>
      <c r="AC38" s="435">
        <f>'ADJ DETAIL-INPUT'!AD39</f>
        <v>0</v>
      </c>
      <c r="AD38" s="435">
        <f>'ADJ DETAIL-INPUT'!AE39</f>
        <v>0</v>
      </c>
      <c r="AE38" s="435">
        <f>'ADJ DETAIL-INPUT'!AF39</f>
        <v>0</v>
      </c>
      <c r="AF38" s="435">
        <f>'ADJ DETAIL-INPUT'!AG39</f>
        <v>0</v>
      </c>
      <c r="AG38" s="435">
        <f>'ADJ DETAIL-INPUT'!AH39</f>
        <v>0</v>
      </c>
      <c r="AH38" s="435">
        <f>'ADJ DETAIL-INPUT'!AI39</f>
        <v>0</v>
      </c>
      <c r="AI38" s="435">
        <f>'ADJ DETAIL-INPUT'!AJ39</f>
        <v>0</v>
      </c>
      <c r="AJ38" s="435">
        <f>'ADJ DETAIL-INPUT'!AK39</f>
        <v>0</v>
      </c>
      <c r="AK38" s="435">
        <f>'ADJ DETAIL-INPUT'!AL39</f>
        <v>0</v>
      </c>
      <c r="AL38" s="435">
        <f>'ADJ DETAIL-INPUT'!AM39</f>
        <v>0</v>
      </c>
      <c r="AM38" s="435">
        <f>'ADJ DETAIL-INPUT'!AN39</f>
        <v>0</v>
      </c>
      <c r="AN38" s="435">
        <f>'ADJ DETAIL-INPUT'!AO39</f>
        <v>0</v>
      </c>
      <c r="AO38" s="435">
        <f>'ADJ DETAIL-INPUT'!AP39</f>
        <v>0</v>
      </c>
      <c r="AP38" s="435">
        <f>'ADJ DETAIL-INPUT'!AQ39</f>
        <v>0</v>
      </c>
      <c r="AQ38" s="435">
        <f>'ADJ DETAIL-INPUT'!AR39</f>
        <v>0</v>
      </c>
      <c r="AR38" s="435">
        <f>'ADJ DETAIL-INPUT'!AS39</f>
        <v>0</v>
      </c>
      <c r="AS38" s="435">
        <f>'ADJ DETAIL-INPUT'!AT39</f>
        <v>0</v>
      </c>
      <c r="AT38" s="435">
        <f>'ADJ DETAIL-INPUT'!AU39</f>
        <v>0</v>
      </c>
      <c r="AU38" s="435">
        <f>'ADJ DETAIL-INPUT'!AV39</f>
        <v>0</v>
      </c>
      <c r="AV38" s="435">
        <f>'ADJ DETAIL-INPUT'!AX39</f>
        <v>0</v>
      </c>
      <c r="AW38" s="435">
        <f>'ADJ DETAIL-INPUT'!AZ39</f>
        <v>0</v>
      </c>
      <c r="AX38" s="435">
        <f>'ADJ DETAIL-INPUT'!BB39</f>
        <v>0</v>
      </c>
      <c r="AY38" s="435">
        <f>'ADJ DETAIL-INPUT'!BC39</f>
        <v>0</v>
      </c>
      <c r="AZ38" s="435">
        <f>'ADJ DETAIL-INPUT'!BF39</f>
        <v>0</v>
      </c>
      <c r="BA38" s="435">
        <f>'ADJ DETAIL-INPUT'!BG39</f>
        <v>0</v>
      </c>
      <c r="BB38" s="435">
        <f>'ADJ DETAIL-INPUT'!BH39</f>
        <v>0</v>
      </c>
    </row>
    <row r="39" spans="1:54" s="424" customFormat="1" ht="6" customHeight="1">
      <c r="A39" s="422"/>
      <c r="E39" s="427"/>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54" s="424" customFormat="1">
      <c r="B40" s="424" t="str">
        <f>'ADJ DETAIL-INPUT'!B41</f>
        <v xml:space="preserve">Administrative &amp; General  </v>
      </c>
      <c r="E40" s="427"/>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54" s="424" customFormat="1">
      <c r="A41" s="422">
        <f>'ADJ DETAIL-INPUT'!A42</f>
        <v>20</v>
      </c>
      <c r="C41" s="424" t="str">
        <f>'ADJ DETAIL-INPUT'!C42</f>
        <v xml:space="preserve">Operating Expenses  </v>
      </c>
      <c r="E41" s="431">
        <f>'ADJ DETAIL-INPUT'!E42</f>
        <v>55880</v>
      </c>
      <c r="F41" s="435">
        <f>'ADJ DETAIL-INPUT'!F42</f>
        <v>0</v>
      </c>
      <c r="G41" s="435">
        <f>'ADJ DETAIL-INPUT'!G42</f>
        <v>0</v>
      </c>
      <c r="H41" s="435">
        <f>'ADJ DETAIL-INPUT'!H42</f>
        <v>0</v>
      </c>
      <c r="I41" s="435">
        <f>'ADJ DETAIL-INPUT'!I42</f>
        <v>0</v>
      </c>
      <c r="J41" s="435">
        <f>'ADJ DETAIL-INPUT'!J42</f>
        <v>0</v>
      </c>
      <c r="K41" s="435">
        <f>'ADJ DETAIL-INPUT'!K42</f>
        <v>0</v>
      </c>
      <c r="L41" s="435">
        <f>'ADJ DETAIL-INPUT'!L42</f>
        <v>0</v>
      </c>
      <c r="M41" s="435">
        <f>'ADJ DETAIL-INPUT'!M42</f>
        <v>37</v>
      </c>
      <c r="N41" s="435">
        <f>'ADJ DETAIL-INPUT'!N42</f>
        <v>51</v>
      </c>
      <c r="O41" s="435">
        <f>'ADJ DETAIL-INPUT'!O42</f>
        <v>0</v>
      </c>
      <c r="P41" s="435">
        <f>'ADJ DETAIL-INPUT'!P42</f>
        <v>-52</v>
      </c>
      <c r="Q41" s="435">
        <f>'ADJ DETAIL-INPUT'!Q42</f>
        <v>0</v>
      </c>
      <c r="R41" s="435">
        <f>'ADJ DETAIL-INPUT'!R42</f>
        <v>0</v>
      </c>
      <c r="S41" s="435">
        <f>'ADJ DETAIL-INPUT'!S42</f>
        <v>-8</v>
      </c>
      <c r="T41" s="435">
        <f>'ADJ DETAIL-INPUT'!T42</f>
        <v>-43</v>
      </c>
      <c r="U41" s="435">
        <f>'ADJ DETAIL-INPUT'!U42</f>
        <v>-1232</v>
      </c>
      <c r="V41" s="435">
        <f>'ADJ DETAIL-INPUT'!V42</f>
        <v>753</v>
      </c>
      <c r="W41" s="435">
        <f>'ADJ DETAIL-INPUT'!W42</f>
        <v>0</v>
      </c>
      <c r="X41" s="435">
        <f>'ADJ DETAIL-INPUT'!X42</f>
        <v>3</v>
      </c>
      <c r="Y41" s="435">
        <f>'ADJ DETAIL-INPUT'!Y42</f>
        <v>0</v>
      </c>
      <c r="Z41" s="435">
        <f>'ADJ DETAIL-INPUT'!Z42</f>
        <v>0</v>
      </c>
      <c r="AA41" s="435">
        <f>'ADJ DETAIL-INPUT'!AA42</f>
        <v>0</v>
      </c>
      <c r="AB41" s="435">
        <f>'ADJ DETAIL-INPUT'!AB42</f>
        <v>0</v>
      </c>
      <c r="AC41" s="435">
        <f>'ADJ DETAIL-INPUT'!AD42</f>
        <v>0</v>
      </c>
      <c r="AD41" s="435">
        <f>'ADJ DETAIL-INPUT'!AE42</f>
        <v>0</v>
      </c>
      <c r="AE41" s="435">
        <f>'ADJ DETAIL-INPUT'!AF42</f>
        <v>51</v>
      </c>
      <c r="AF41" s="435">
        <f>'ADJ DETAIL-INPUT'!AG42</f>
        <v>0</v>
      </c>
      <c r="AG41" s="435">
        <f>'ADJ DETAIL-INPUT'!AH42</f>
        <v>0</v>
      </c>
      <c r="AH41" s="435">
        <f>'ADJ DETAIL-INPUT'!AI42</f>
        <v>1045</v>
      </c>
      <c r="AI41" s="435">
        <f>'ADJ DETAIL-INPUT'!AJ42</f>
        <v>-318</v>
      </c>
      <c r="AJ41" s="435">
        <f>'ADJ DETAIL-INPUT'!AK42</f>
        <v>391</v>
      </c>
      <c r="AK41" s="435">
        <f>'ADJ DETAIL-INPUT'!AL42</f>
        <v>2456</v>
      </c>
      <c r="AL41" s="435">
        <f>'ADJ DETAIL-INPUT'!AM42</f>
        <v>2013</v>
      </c>
      <c r="AM41" s="435">
        <f>'ADJ DETAIL-INPUT'!AN42</f>
        <v>0</v>
      </c>
      <c r="AN41" s="435">
        <f>'ADJ DETAIL-INPUT'!AO42</f>
        <v>0</v>
      </c>
      <c r="AO41" s="435">
        <f>'ADJ DETAIL-INPUT'!AP42</f>
        <v>0</v>
      </c>
      <c r="AP41" s="435">
        <f>'ADJ DETAIL-INPUT'!AQ42</f>
        <v>0</v>
      </c>
      <c r="AQ41" s="435">
        <f>'ADJ DETAIL-INPUT'!AR42</f>
        <v>0</v>
      </c>
      <c r="AR41" s="435">
        <f>'ADJ DETAIL-INPUT'!AS42</f>
        <v>0</v>
      </c>
      <c r="AS41" s="435">
        <f>'ADJ DETAIL-INPUT'!AT42</f>
        <v>0</v>
      </c>
      <c r="AT41" s="435">
        <f>'ADJ DETAIL-INPUT'!AU42</f>
        <v>-2833</v>
      </c>
      <c r="AU41" s="435">
        <f>'ADJ DETAIL-INPUT'!AV42</f>
        <v>0</v>
      </c>
      <c r="AV41" s="435">
        <f>'ADJ DETAIL-INPUT'!AX42</f>
        <v>0</v>
      </c>
      <c r="AW41" s="435">
        <f>'ADJ DETAIL-INPUT'!AZ42</f>
        <v>0</v>
      </c>
      <c r="AX41" s="435">
        <f>'ADJ DETAIL-INPUT'!BB42</f>
        <v>0</v>
      </c>
      <c r="AY41" s="435">
        <f>'ADJ DETAIL-INPUT'!BC42</f>
        <v>0</v>
      </c>
      <c r="AZ41" s="435">
        <f>'ADJ DETAIL-INPUT'!BF42</f>
        <v>58194</v>
      </c>
      <c r="BA41" s="435">
        <f>'ADJ DETAIL-INPUT'!BG42</f>
        <v>0</v>
      </c>
      <c r="BB41" s="435">
        <f>'ADJ DETAIL-INPUT'!BH42</f>
        <v>58194</v>
      </c>
    </row>
    <row r="42" spans="1:54" s="424" customFormat="1">
      <c r="A42" s="422">
        <f>'ADJ DETAIL-INPUT'!A43</f>
        <v>21</v>
      </c>
      <c r="C42" s="424" t="str">
        <f>'ADJ DETAIL-INPUT'!C43</f>
        <v>Depreciation/Amortization</v>
      </c>
      <c r="E42" s="431">
        <f>'ADJ DETAIL-INPUT'!E43</f>
        <v>35595</v>
      </c>
      <c r="F42" s="435">
        <f>'ADJ DETAIL-INPUT'!F43</f>
        <v>0</v>
      </c>
      <c r="G42" s="435">
        <f>'ADJ DETAIL-INPUT'!G43</f>
        <v>0</v>
      </c>
      <c r="H42" s="435">
        <f>'ADJ DETAIL-INPUT'!H43</f>
        <v>0</v>
      </c>
      <c r="I42" s="435">
        <f>'ADJ DETAIL-INPUT'!I43</f>
        <v>0</v>
      </c>
      <c r="J42" s="435">
        <f>'ADJ DETAIL-INPUT'!J43</f>
        <v>0</v>
      </c>
      <c r="K42" s="435">
        <f>'ADJ DETAIL-INPUT'!K43</f>
        <v>0</v>
      </c>
      <c r="L42" s="435">
        <f>'ADJ DETAIL-INPUT'!L43</f>
        <v>0</v>
      </c>
      <c r="M42" s="435">
        <f>'ADJ DETAIL-INPUT'!M43</f>
        <v>0</v>
      </c>
      <c r="N42" s="435">
        <f>'ADJ DETAIL-INPUT'!N43</f>
        <v>0</v>
      </c>
      <c r="O42" s="435">
        <f>'ADJ DETAIL-INPUT'!O43</f>
        <v>0</v>
      </c>
      <c r="P42" s="435">
        <f>'ADJ DETAIL-INPUT'!P43</f>
        <v>0</v>
      </c>
      <c r="Q42" s="435">
        <f>'ADJ DETAIL-INPUT'!Q43</f>
        <v>0</v>
      </c>
      <c r="R42" s="435">
        <f>'ADJ DETAIL-INPUT'!R43</f>
        <v>0</v>
      </c>
      <c r="S42" s="435">
        <f>'ADJ DETAIL-INPUT'!S43</f>
        <v>0</v>
      </c>
      <c r="T42" s="435">
        <f>'ADJ DETAIL-INPUT'!T43</f>
        <v>0</v>
      </c>
      <c r="U42" s="435">
        <f>'ADJ DETAIL-INPUT'!U43</f>
        <v>0</v>
      </c>
      <c r="V42" s="435">
        <f>'ADJ DETAIL-INPUT'!V43</f>
        <v>0</v>
      </c>
      <c r="W42" s="435">
        <f>'ADJ DETAIL-INPUT'!W43</f>
        <v>0</v>
      </c>
      <c r="X42" s="435">
        <f>'ADJ DETAIL-INPUT'!X43</f>
        <v>0</v>
      </c>
      <c r="Y42" s="435">
        <f>'ADJ DETAIL-INPUT'!Y43</f>
        <v>0</v>
      </c>
      <c r="Z42" s="435">
        <f>'ADJ DETAIL-INPUT'!Z43</f>
        <v>0</v>
      </c>
      <c r="AA42" s="435">
        <f>'ADJ DETAIL-INPUT'!AA43</f>
        <v>0</v>
      </c>
      <c r="AB42" s="435">
        <f>'ADJ DETAIL-INPUT'!AB43</f>
        <v>-348</v>
      </c>
      <c r="AC42" s="435">
        <f>'ADJ DETAIL-INPUT'!AD43</f>
        <v>0</v>
      </c>
      <c r="AD42" s="435">
        <f>'ADJ DETAIL-INPUT'!AE43</f>
        <v>0</v>
      </c>
      <c r="AE42" s="435">
        <f>'ADJ DETAIL-INPUT'!AF43</f>
        <v>0</v>
      </c>
      <c r="AF42" s="435">
        <f>'ADJ DETAIL-INPUT'!AG43</f>
        <v>0</v>
      </c>
      <c r="AG42" s="435">
        <f>'ADJ DETAIL-INPUT'!AH43</f>
        <v>0</v>
      </c>
      <c r="AH42" s="435">
        <f>'ADJ DETAIL-INPUT'!AI43</f>
        <v>0</v>
      </c>
      <c r="AI42" s="435">
        <f>'ADJ DETAIL-INPUT'!AJ43</f>
        <v>0</v>
      </c>
      <c r="AJ42" s="435">
        <f>'ADJ DETAIL-INPUT'!AK43</f>
        <v>0</v>
      </c>
      <c r="AK42" s="435">
        <f>'ADJ DETAIL-INPUT'!AL43</f>
        <v>0</v>
      </c>
      <c r="AL42" s="435">
        <f>'ADJ DETAIL-INPUT'!AM43</f>
        <v>0</v>
      </c>
      <c r="AM42" s="435">
        <f>'ADJ DETAIL-INPUT'!AN43</f>
        <v>0</v>
      </c>
      <c r="AN42" s="435">
        <f>'ADJ DETAIL-INPUT'!AO43</f>
        <v>0</v>
      </c>
      <c r="AO42" s="435">
        <f>'ADJ DETAIL-INPUT'!AP43</f>
        <v>2042</v>
      </c>
      <c r="AP42" s="435">
        <f>'ADJ DETAIL-INPUT'!AQ43</f>
        <v>-11</v>
      </c>
      <c r="AQ42" s="435">
        <f>'ADJ DETAIL-INPUT'!AR43</f>
        <v>283</v>
      </c>
      <c r="AR42" s="435">
        <f>'ADJ DETAIL-INPUT'!AS43</f>
        <v>-17</v>
      </c>
      <c r="AS42" s="435">
        <f>'ADJ DETAIL-INPUT'!AT43</f>
        <v>1922</v>
      </c>
      <c r="AT42" s="435">
        <f>'ADJ DETAIL-INPUT'!AU43</f>
        <v>456</v>
      </c>
      <c r="AU42" s="435">
        <f>'ADJ DETAIL-INPUT'!AV43</f>
        <v>48</v>
      </c>
      <c r="AV42" s="435">
        <f>'ADJ DETAIL-INPUT'!AX43</f>
        <v>768</v>
      </c>
      <c r="AW42" s="435">
        <f>'ADJ DETAIL-INPUT'!AZ43</f>
        <v>0</v>
      </c>
      <c r="AX42" s="435">
        <f>'ADJ DETAIL-INPUT'!BB43</f>
        <v>0</v>
      </c>
      <c r="AY42" s="435">
        <f>'ADJ DETAIL-INPUT'!BC43</f>
        <v>0</v>
      </c>
      <c r="AZ42" s="435">
        <f>'ADJ DETAIL-INPUT'!BF43</f>
        <v>41557</v>
      </c>
      <c r="BA42" s="435">
        <f>'ADJ DETAIL-INPUT'!BG43</f>
        <v>0</v>
      </c>
      <c r="BB42" s="435">
        <f>'ADJ DETAIL-INPUT'!BH43</f>
        <v>41557</v>
      </c>
    </row>
    <row r="43" spans="1:54" s="424" customFormat="1">
      <c r="A43" s="422">
        <f>'ADJ DETAIL-INPUT'!A44</f>
        <v>22</v>
      </c>
      <c r="C43" s="424" t="str">
        <f>'ADJ DETAIL-INPUT'!C44</f>
        <v>Regulatory Deferrals/Amortization</v>
      </c>
      <c r="E43" s="431">
        <f>'ADJ DETAIL-INPUT'!E44</f>
        <v>-9018</v>
      </c>
      <c r="F43" s="435">
        <f>'ADJ DETAIL-INPUT'!F44</f>
        <v>0</v>
      </c>
      <c r="G43" s="435">
        <f>'ADJ DETAIL-INPUT'!G44</f>
        <v>0</v>
      </c>
      <c r="H43" s="435">
        <f>'ADJ DETAIL-INPUT'!H44</f>
        <v>0</v>
      </c>
      <c r="I43" s="435">
        <f>'ADJ DETAIL-INPUT'!I44</f>
        <v>0</v>
      </c>
      <c r="J43" s="435">
        <f>'ADJ DETAIL-INPUT'!J44</f>
        <v>0</v>
      </c>
      <c r="K43" s="435">
        <f>'ADJ DETAIL-INPUT'!K44</f>
        <v>0</v>
      </c>
      <c r="L43" s="435">
        <f>'ADJ DETAIL-INPUT'!L44</f>
        <v>0</v>
      </c>
      <c r="M43" s="435">
        <f>'ADJ DETAIL-INPUT'!M44</f>
        <v>0</v>
      </c>
      <c r="N43" s="435">
        <f>'ADJ DETAIL-INPUT'!N44</f>
        <v>0</v>
      </c>
      <c r="O43" s="435">
        <f>'ADJ DETAIL-INPUT'!O44</f>
        <v>0</v>
      </c>
      <c r="P43" s="435">
        <f>'ADJ DETAIL-INPUT'!P44</f>
        <v>0</v>
      </c>
      <c r="Q43" s="435">
        <f>'ADJ DETAIL-INPUT'!Q44</f>
        <v>0</v>
      </c>
      <c r="R43" s="435">
        <f>'ADJ DETAIL-INPUT'!R44</f>
        <v>0</v>
      </c>
      <c r="S43" s="435">
        <f>'ADJ DETAIL-INPUT'!S44</f>
        <v>0</v>
      </c>
      <c r="T43" s="435">
        <f>'ADJ DETAIL-INPUT'!T44</f>
        <v>3914</v>
      </c>
      <c r="U43" s="435">
        <f>'ADJ DETAIL-INPUT'!U44</f>
        <v>0</v>
      </c>
      <c r="V43" s="435">
        <f>'ADJ DETAIL-INPUT'!V44</f>
        <v>0</v>
      </c>
      <c r="W43" s="435">
        <f>'ADJ DETAIL-INPUT'!W44</f>
        <v>0</v>
      </c>
      <c r="X43" s="435">
        <f>'ADJ DETAIL-INPUT'!X44</f>
        <v>0</v>
      </c>
      <c r="Y43" s="435">
        <f>'ADJ DETAIL-INPUT'!Y44</f>
        <v>0</v>
      </c>
      <c r="Z43" s="435">
        <f>'ADJ DETAIL-INPUT'!Z44</f>
        <v>0</v>
      </c>
      <c r="AA43" s="435">
        <f>'ADJ DETAIL-INPUT'!AA44</f>
        <v>0</v>
      </c>
      <c r="AB43" s="435">
        <f>'ADJ DETAIL-INPUT'!AB44</f>
        <v>0</v>
      </c>
      <c r="AC43" s="435">
        <f>'ADJ DETAIL-INPUT'!AD44</f>
        <v>0</v>
      </c>
      <c r="AD43" s="435">
        <f>'ADJ DETAIL-INPUT'!AE44</f>
        <v>0</v>
      </c>
      <c r="AE43" s="435">
        <f>'ADJ DETAIL-INPUT'!AF44</f>
        <v>0</v>
      </c>
      <c r="AF43" s="435">
        <f>'ADJ DETAIL-INPUT'!AG44</f>
        <v>-779</v>
      </c>
      <c r="AG43" s="435">
        <f>'ADJ DETAIL-INPUT'!AH44</f>
        <v>0</v>
      </c>
      <c r="AH43" s="435">
        <f>'ADJ DETAIL-INPUT'!AI44</f>
        <v>0</v>
      </c>
      <c r="AI43" s="435">
        <f>'ADJ DETAIL-INPUT'!AJ44</f>
        <v>0</v>
      </c>
      <c r="AJ43" s="435">
        <f>'ADJ DETAIL-INPUT'!AK44</f>
        <v>0</v>
      </c>
      <c r="AK43" s="435">
        <f>'ADJ DETAIL-INPUT'!AL44</f>
        <v>0</v>
      </c>
      <c r="AL43" s="435">
        <f>'ADJ DETAIL-INPUT'!AM44</f>
        <v>0</v>
      </c>
      <c r="AM43" s="435">
        <f>'ADJ DETAIL-INPUT'!AN44</f>
        <v>0</v>
      </c>
      <c r="AN43" s="435">
        <f>'ADJ DETAIL-INPUT'!AO44</f>
        <v>1235</v>
      </c>
      <c r="AO43" s="435">
        <f>'ADJ DETAIL-INPUT'!AP44</f>
        <v>0</v>
      </c>
      <c r="AP43" s="435">
        <f>'ADJ DETAIL-INPUT'!AQ44</f>
        <v>0</v>
      </c>
      <c r="AQ43" s="435">
        <f>'ADJ DETAIL-INPUT'!AR44</f>
        <v>0</v>
      </c>
      <c r="AR43" s="435">
        <f>'ADJ DETAIL-INPUT'!AS44</f>
        <v>0</v>
      </c>
      <c r="AS43" s="435">
        <f>'ADJ DETAIL-INPUT'!AT44</f>
        <v>0</v>
      </c>
      <c r="AT43" s="435">
        <f>'ADJ DETAIL-INPUT'!AU44</f>
        <v>10133</v>
      </c>
      <c r="AU43" s="435">
        <f>'ADJ DETAIL-INPUT'!AV44</f>
        <v>0</v>
      </c>
      <c r="AV43" s="435">
        <f>'ADJ DETAIL-INPUT'!AX44</f>
        <v>0</v>
      </c>
      <c r="AW43" s="435">
        <f>'ADJ DETAIL-INPUT'!AZ44</f>
        <v>0</v>
      </c>
      <c r="AX43" s="435">
        <f>'ADJ DETAIL-INPUT'!BB44</f>
        <v>0</v>
      </c>
      <c r="AY43" s="435">
        <f>'ADJ DETAIL-INPUT'!BC44</f>
        <v>0</v>
      </c>
      <c r="AZ43" s="435">
        <f>'ADJ DETAIL-INPUT'!BF44</f>
        <v>5485</v>
      </c>
      <c r="BA43" s="435">
        <f>'ADJ DETAIL-INPUT'!BG44</f>
        <v>-39937.281946778356</v>
      </c>
      <c r="BB43" s="435">
        <f>'ADJ DETAIL-INPUT'!BH44</f>
        <v>-34452.281946778356</v>
      </c>
    </row>
    <row r="44" spans="1:54" s="424" customFormat="1">
      <c r="A44" s="448">
        <f>'ADJ DETAIL-INPUT'!A45</f>
        <v>23</v>
      </c>
      <c r="C44" s="424" t="str">
        <f>'ADJ DETAIL-INPUT'!C45</f>
        <v xml:space="preserve">Taxes  </v>
      </c>
      <c r="E44" s="454">
        <f>'ADJ DETAIL-INPUT'!E45</f>
        <v>0</v>
      </c>
      <c r="F44" s="444">
        <f>'ADJ DETAIL-INPUT'!F45</f>
        <v>0</v>
      </c>
      <c r="G44" s="444">
        <f>'ADJ DETAIL-INPUT'!G45</f>
        <v>0</v>
      </c>
      <c r="H44" s="444">
        <f>'ADJ DETAIL-INPUT'!H45</f>
        <v>0</v>
      </c>
      <c r="I44" s="444">
        <f>'ADJ DETAIL-INPUT'!I45</f>
        <v>0</v>
      </c>
      <c r="J44" s="444">
        <f>'ADJ DETAIL-INPUT'!J45</f>
        <v>0</v>
      </c>
      <c r="K44" s="444">
        <f>'ADJ DETAIL-INPUT'!K45</f>
        <v>0</v>
      </c>
      <c r="L44" s="444">
        <f>'ADJ DETAIL-INPUT'!L45</f>
        <v>0</v>
      </c>
      <c r="M44" s="444">
        <f>'ADJ DETAIL-INPUT'!M45</f>
        <v>0</v>
      </c>
      <c r="N44" s="444">
        <f>'ADJ DETAIL-INPUT'!N45</f>
        <v>0</v>
      </c>
      <c r="O44" s="444">
        <f>'ADJ DETAIL-INPUT'!O45</f>
        <v>0</v>
      </c>
      <c r="P44" s="444">
        <f>'ADJ DETAIL-INPUT'!P45</f>
        <v>0</v>
      </c>
      <c r="Q44" s="444">
        <f>'ADJ DETAIL-INPUT'!Q45</f>
        <v>0</v>
      </c>
      <c r="R44" s="444">
        <f>'ADJ DETAIL-INPUT'!R45</f>
        <v>0</v>
      </c>
      <c r="S44" s="444">
        <f>'ADJ DETAIL-INPUT'!S45</f>
        <v>0</v>
      </c>
      <c r="T44" s="444">
        <f>'ADJ DETAIL-INPUT'!T45</f>
        <v>0</v>
      </c>
      <c r="U44" s="444">
        <f>'ADJ DETAIL-INPUT'!U45</f>
        <v>0</v>
      </c>
      <c r="V44" s="444">
        <f>'ADJ DETAIL-INPUT'!V45</f>
        <v>0</v>
      </c>
      <c r="W44" s="444">
        <f>'ADJ DETAIL-INPUT'!W45</f>
        <v>0</v>
      </c>
      <c r="X44" s="444">
        <f>'ADJ DETAIL-INPUT'!X45</f>
        <v>0</v>
      </c>
      <c r="Y44" s="444">
        <f>'ADJ DETAIL-INPUT'!Y45</f>
        <v>0</v>
      </c>
      <c r="Z44" s="444">
        <f>'ADJ DETAIL-INPUT'!Z45</f>
        <v>0</v>
      </c>
      <c r="AA44" s="444">
        <f>'ADJ DETAIL-INPUT'!AA45</f>
        <v>0</v>
      </c>
      <c r="AB44" s="444">
        <f>'ADJ DETAIL-INPUT'!AB45</f>
        <v>0</v>
      </c>
      <c r="AC44" s="444">
        <f>'ADJ DETAIL-INPUT'!AD45</f>
        <v>0</v>
      </c>
      <c r="AD44" s="444">
        <f>'ADJ DETAIL-INPUT'!AE45</f>
        <v>0</v>
      </c>
      <c r="AE44" s="444">
        <f>'ADJ DETAIL-INPUT'!AF45</f>
        <v>0</v>
      </c>
      <c r="AF44" s="444">
        <f>'ADJ DETAIL-INPUT'!AG45</f>
        <v>0</v>
      </c>
      <c r="AG44" s="444">
        <f>'ADJ DETAIL-INPUT'!AH45</f>
        <v>0</v>
      </c>
      <c r="AH44" s="444">
        <f>'ADJ DETAIL-INPUT'!AI45</f>
        <v>0</v>
      </c>
      <c r="AI44" s="444">
        <f>'ADJ DETAIL-INPUT'!AJ45</f>
        <v>0</v>
      </c>
      <c r="AJ44" s="444">
        <f>'ADJ DETAIL-INPUT'!AK45</f>
        <v>0</v>
      </c>
      <c r="AK44" s="444">
        <f>'ADJ DETAIL-INPUT'!AL45</f>
        <v>0</v>
      </c>
      <c r="AL44" s="444">
        <f>'ADJ DETAIL-INPUT'!AM45</f>
        <v>0</v>
      </c>
      <c r="AM44" s="444">
        <f>'ADJ DETAIL-INPUT'!AN45</f>
        <v>0</v>
      </c>
      <c r="AN44" s="444">
        <f>'ADJ DETAIL-INPUT'!AO45</f>
        <v>0</v>
      </c>
      <c r="AO44" s="444">
        <f>'ADJ DETAIL-INPUT'!AP45</f>
        <v>0</v>
      </c>
      <c r="AP44" s="444">
        <f>'ADJ DETAIL-INPUT'!AQ45</f>
        <v>0</v>
      </c>
      <c r="AQ44" s="444">
        <f>'ADJ DETAIL-INPUT'!AR45</f>
        <v>0</v>
      </c>
      <c r="AR44" s="444">
        <f>'ADJ DETAIL-INPUT'!AS45</f>
        <v>0</v>
      </c>
      <c r="AS44" s="444">
        <f>'ADJ DETAIL-INPUT'!AT45</f>
        <v>0</v>
      </c>
      <c r="AT44" s="444">
        <f>'ADJ DETAIL-INPUT'!AU45</f>
        <v>0</v>
      </c>
      <c r="AU44" s="444">
        <f>'ADJ DETAIL-INPUT'!AV45</f>
        <v>0</v>
      </c>
      <c r="AV44" s="444">
        <f>'ADJ DETAIL-INPUT'!AX45</f>
        <v>0</v>
      </c>
      <c r="AW44" s="444">
        <f>'ADJ DETAIL-INPUT'!AZ45</f>
        <v>0</v>
      </c>
      <c r="AX44" s="444">
        <f>'ADJ DETAIL-INPUT'!BB45</f>
        <v>0</v>
      </c>
      <c r="AY44" s="444">
        <f>'ADJ DETAIL-INPUT'!BC45</f>
        <v>0</v>
      </c>
      <c r="AZ44" s="444">
        <f>'ADJ DETAIL-INPUT'!BF45</f>
        <v>0</v>
      </c>
      <c r="BA44" s="444">
        <f>'ADJ DETAIL-INPUT'!BG45</f>
        <v>0</v>
      </c>
      <c r="BB44" s="444">
        <f>'ADJ DETAIL-INPUT'!BH45</f>
        <v>0</v>
      </c>
    </row>
    <row r="45" spans="1:54" s="424" customFormat="1">
      <c r="A45" s="422">
        <f>'ADJ DETAIL-INPUT'!A46</f>
        <v>24</v>
      </c>
      <c r="B45" s="424" t="str">
        <f>'ADJ DETAIL-INPUT'!B46</f>
        <v xml:space="preserve">Total Admin. &amp; General  </v>
      </c>
      <c r="E45" s="454">
        <f>'ADJ DETAIL-INPUT'!E46</f>
        <v>82457</v>
      </c>
      <c r="F45" s="444">
        <f>'ADJ DETAIL-INPUT'!F46</f>
        <v>0</v>
      </c>
      <c r="G45" s="444">
        <f>'ADJ DETAIL-INPUT'!G46</f>
        <v>0</v>
      </c>
      <c r="H45" s="444">
        <f>'ADJ DETAIL-INPUT'!H46</f>
        <v>0</v>
      </c>
      <c r="I45" s="444">
        <f>'ADJ DETAIL-INPUT'!I46</f>
        <v>0</v>
      </c>
      <c r="J45" s="444">
        <f>'ADJ DETAIL-INPUT'!J46</f>
        <v>0</v>
      </c>
      <c r="K45" s="444">
        <f>'ADJ DETAIL-INPUT'!K46</f>
        <v>0</v>
      </c>
      <c r="L45" s="444">
        <f>'ADJ DETAIL-INPUT'!L46</f>
        <v>0</v>
      </c>
      <c r="M45" s="444">
        <f>'ADJ DETAIL-INPUT'!M46</f>
        <v>37</v>
      </c>
      <c r="N45" s="444">
        <f>'ADJ DETAIL-INPUT'!N46</f>
        <v>51</v>
      </c>
      <c r="O45" s="444">
        <f>'ADJ DETAIL-INPUT'!O46</f>
        <v>0</v>
      </c>
      <c r="P45" s="444">
        <f>'ADJ DETAIL-INPUT'!P46</f>
        <v>-52</v>
      </c>
      <c r="Q45" s="444">
        <f>'ADJ DETAIL-INPUT'!Q46</f>
        <v>0</v>
      </c>
      <c r="R45" s="444">
        <f>'ADJ DETAIL-INPUT'!R46</f>
        <v>0</v>
      </c>
      <c r="S45" s="444">
        <f>'ADJ DETAIL-INPUT'!S46</f>
        <v>-8</v>
      </c>
      <c r="T45" s="444">
        <f>'ADJ DETAIL-INPUT'!T46</f>
        <v>3871</v>
      </c>
      <c r="U45" s="444">
        <f>'ADJ DETAIL-INPUT'!U46</f>
        <v>-1232</v>
      </c>
      <c r="V45" s="444">
        <f>'ADJ DETAIL-INPUT'!V46</f>
        <v>753</v>
      </c>
      <c r="W45" s="444">
        <f>'ADJ DETAIL-INPUT'!W46</f>
        <v>0</v>
      </c>
      <c r="X45" s="444">
        <f>'ADJ DETAIL-INPUT'!X46</f>
        <v>3</v>
      </c>
      <c r="Y45" s="444">
        <f>'ADJ DETAIL-INPUT'!Y46</f>
        <v>0</v>
      </c>
      <c r="Z45" s="444">
        <f>'ADJ DETAIL-INPUT'!Z46</f>
        <v>0</v>
      </c>
      <c r="AA45" s="444">
        <f>'ADJ DETAIL-INPUT'!AA46</f>
        <v>0</v>
      </c>
      <c r="AB45" s="444">
        <f>'ADJ DETAIL-INPUT'!AB46</f>
        <v>-348</v>
      </c>
      <c r="AC45" s="444">
        <f>'ADJ DETAIL-INPUT'!AD46</f>
        <v>0</v>
      </c>
      <c r="AD45" s="444">
        <f>'ADJ DETAIL-INPUT'!AE46</f>
        <v>0</v>
      </c>
      <c r="AE45" s="444">
        <f>'ADJ DETAIL-INPUT'!AF46</f>
        <v>51</v>
      </c>
      <c r="AF45" s="444">
        <f>'ADJ DETAIL-INPUT'!AG46</f>
        <v>-779</v>
      </c>
      <c r="AG45" s="444">
        <f>'ADJ DETAIL-INPUT'!AH46</f>
        <v>0</v>
      </c>
      <c r="AH45" s="444">
        <f>'ADJ DETAIL-INPUT'!AI46</f>
        <v>1045</v>
      </c>
      <c r="AI45" s="444">
        <f>'ADJ DETAIL-INPUT'!AJ46</f>
        <v>-318</v>
      </c>
      <c r="AJ45" s="444">
        <f>'ADJ DETAIL-INPUT'!AK46</f>
        <v>391</v>
      </c>
      <c r="AK45" s="444">
        <f>'ADJ DETAIL-INPUT'!AL46</f>
        <v>2456</v>
      </c>
      <c r="AL45" s="444">
        <f>'ADJ DETAIL-INPUT'!AM46</f>
        <v>2013</v>
      </c>
      <c r="AM45" s="444">
        <f>'ADJ DETAIL-INPUT'!AN46</f>
        <v>0</v>
      </c>
      <c r="AN45" s="444">
        <f>'ADJ DETAIL-INPUT'!AO46</f>
        <v>1235</v>
      </c>
      <c r="AO45" s="444">
        <f>'ADJ DETAIL-INPUT'!AP46</f>
        <v>2042</v>
      </c>
      <c r="AP45" s="444">
        <f>'ADJ DETAIL-INPUT'!AQ46</f>
        <v>-11</v>
      </c>
      <c r="AQ45" s="444">
        <f>'ADJ DETAIL-INPUT'!AR46</f>
        <v>283</v>
      </c>
      <c r="AR45" s="444">
        <f>'ADJ DETAIL-INPUT'!AS46</f>
        <v>-17</v>
      </c>
      <c r="AS45" s="444">
        <f>'ADJ DETAIL-INPUT'!AT46</f>
        <v>1922</v>
      </c>
      <c r="AT45" s="444">
        <f>'ADJ DETAIL-INPUT'!AU46</f>
        <v>7756</v>
      </c>
      <c r="AU45" s="444">
        <f>'ADJ DETAIL-INPUT'!AV46</f>
        <v>48</v>
      </c>
      <c r="AV45" s="444">
        <f>'ADJ DETAIL-INPUT'!AX46</f>
        <v>768</v>
      </c>
      <c r="AW45" s="444">
        <f>'ADJ DETAIL-INPUT'!AZ46</f>
        <v>0</v>
      </c>
      <c r="AX45" s="444">
        <f>'ADJ DETAIL-INPUT'!BB46</f>
        <v>0</v>
      </c>
      <c r="AY45" s="444">
        <f>'ADJ DETAIL-INPUT'!BC46</f>
        <v>0</v>
      </c>
      <c r="AZ45" s="444">
        <f>'ADJ DETAIL-INPUT'!BF46</f>
        <v>105236</v>
      </c>
      <c r="BA45" s="444">
        <f>'ADJ DETAIL-INPUT'!BG46</f>
        <v>-39937.281946778356</v>
      </c>
      <c r="BB45" s="444">
        <f>'ADJ DETAIL-INPUT'!BH46</f>
        <v>65298.718053221644</v>
      </c>
    </row>
    <row r="46" spans="1:54" s="424" customFormat="1">
      <c r="A46" s="422">
        <f>'ADJ DETAIL-INPUT'!A47</f>
        <v>25</v>
      </c>
      <c r="B46" s="424" t="str">
        <f>'ADJ DETAIL-INPUT'!B47</f>
        <v xml:space="preserve">Total Electric Expenses  </v>
      </c>
      <c r="E46" s="454">
        <f>'ADJ DETAIL-INPUT'!E47</f>
        <v>533959</v>
      </c>
      <c r="F46" s="444">
        <f>'ADJ DETAIL-INPUT'!F47</f>
        <v>0</v>
      </c>
      <c r="G46" s="444">
        <f>'ADJ DETAIL-INPUT'!G47</f>
        <v>57</v>
      </c>
      <c r="H46" s="444">
        <f>'ADJ DETAIL-INPUT'!H47</f>
        <v>0</v>
      </c>
      <c r="I46" s="444">
        <f>'ADJ DETAIL-INPUT'!I47</f>
        <v>0</v>
      </c>
      <c r="J46" s="444">
        <f>'ADJ DETAIL-INPUT'!J47</f>
        <v>-18805</v>
      </c>
      <c r="K46" s="444">
        <f>'ADJ DETAIL-INPUT'!K47</f>
        <v>1001</v>
      </c>
      <c r="L46" s="444">
        <f>'ADJ DETAIL-INPUT'!L47</f>
        <v>1437</v>
      </c>
      <c r="M46" s="444">
        <f>'ADJ DETAIL-INPUT'!M47</f>
        <v>37</v>
      </c>
      <c r="N46" s="444">
        <f>'ADJ DETAIL-INPUT'!N47</f>
        <v>51</v>
      </c>
      <c r="O46" s="444">
        <f>'ADJ DETAIL-INPUT'!O47</f>
        <v>0</v>
      </c>
      <c r="P46" s="444">
        <f>'ADJ DETAIL-INPUT'!P47</f>
        <v>-52</v>
      </c>
      <c r="Q46" s="444">
        <f>'ADJ DETAIL-INPUT'!Q47</f>
        <v>34</v>
      </c>
      <c r="R46" s="444">
        <f>'ADJ DETAIL-INPUT'!R47</f>
        <v>-58</v>
      </c>
      <c r="S46" s="444">
        <f>'ADJ DETAIL-INPUT'!S47</f>
        <v>-169</v>
      </c>
      <c r="T46" s="444">
        <f>'ADJ DETAIL-INPUT'!T47</f>
        <v>-20543</v>
      </c>
      <c r="U46" s="444">
        <f>'ADJ DETAIL-INPUT'!U47</f>
        <v>-1224</v>
      </c>
      <c r="V46" s="444">
        <f>'ADJ DETAIL-INPUT'!V47</f>
        <v>753</v>
      </c>
      <c r="W46" s="444">
        <f>'ADJ DETAIL-INPUT'!W47</f>
        <v>0</v>
      </c>
      <c r="X46" s="444">
        <f>'ADJ DETAIL-INPUT'!X47</f>
        <v>381</v>
      </c>
      <c r="Y46" s="444">
        <f>'ADJ DETAIL-INPUT'!Y47</f>
        <v>-5</v>
      </c>
      <c r="Z46" s="444">
        <f>'ADJ DETAIL-INPUT'!Z47</f>
        <v>-926</v>
      </c>
      <c r="AA46" s="444">
        <f>'ADJ DETAIL-INPUT'!AA47</f>
        <v>-50487</v>
      </c>
      <c r="AB46" s="444">
        <f>'ADJ DETAIL-INPUT'!AB47</f>
        <v>2759</v>
      </c>
      <c r="AC46" s="444">
        <f>'ADJ DETAIL-INPUT'!AD47</f>
        <v>5507</v>
      </c>
      <c r="AD46" s="444">
        <f>'ADJ DETAIL-INPUT'!AE47</f>
        <v>-447</v>
      </c>
      <c r="AE46" s="444">
        <f>'ADJ DETAIL-INPUT'!AF47</f>
        <v>1120</v>
      </c>
      <c r="AF46" s="444">
        <f>'ADJ DETAIL-INPUT'!AG47</f>
        <v>-2417</v>
      </c>
      <c r="AG46" s="444">
        <f>'ADJ DETAIL-INPUT'!AH47</f>
        <v>0</v>
      </c>
      <c r="AH46" s="444">
        <f>'ADJ DETAIL-INPUT'!AI47</f>
        <v>3267</v>
      </c>
      <c r="AI46" s="444">
        <f>'ADJ DETAIL-INPUT'!AJ47</f>
        <v>-318</v>
      </c>
      <c r="AJ46" s="444">
        <f>'ADJ DETAIL-INPUT'!AK47</f>
        <v>1220</v>
      </c>
      <c r="AK46" s="444">
        <f>'ADJ DETAIL-INPUT'!AL47</f>
        <v>2456</v>
      </c>
      <c r="AL46" s="444">
        <f>'ADJ DETAIL-INPUT'!AM47</f>
        <v>2013</v>
      </c>
      <c r="AM46" s="444">
        <f>'ADJ DETAIL-INPUT'!AN47</f>
        <v>634</v>
      </c>
      <c r="AN46" s="444">
        <f>'ADJ DETAIL-INPUT'!AO47</f>
        <v>1332</v>
      </c>
      <c r="AO46" s="444">
        <f>'ADJ DETAIL-INPUT'!AP47</f>
        <v>2042</v>
      </c>
      <c r="AP46" s="444">
        <f>'ADJ DETAIL-INPUT'!AQ47</f>
        <v>238</v>
      </c>
      <c r="AQ46" s="444">
        <f>'ADJ DETAIL-INPUT'!AR47</f>
        <v>848</v>
      </c>
      <c r="AR46" s="444">
        <f>'ADJ DETAIL-INPUT'!AS47</f>
        <v>669</v>
      </c>
      <c r="AS46" s="444">
        <f>'ADJ DETAIL-INPUT'!AT47</f>
        <v>1922</v>
      </c>
      <c r="AT46" s="444">
        <f>'ADJ DETAIL-INPUT'!AU47</f>
        <v>9626</v>
      </c>
      <c r="AU46" s="444">
        <f>'ADJ DETAIL-INPUT'!AV47</f>
        <v>4297</v>
      </c>
      <c r="AV46" s="444">
        <f>'ADJ DETAIL-INPUT'!AX47</f>
        <v>2581</v>
      </c>
      <c r="AW46" s="444">
        <f>'ADJ DETAIL-INPUT'!AZ47</f>
        <v>-1488</v>
      </c>
      <c r="AX46" s="444">
        <f>'ADJ DETAIL-INPUT'!BB47</f>
        <v>33</v>
      </c>
      <c r="AY46" s="444">
        <f>'ADJ DETAIL-INPUT'!BC47</f>
        <v>0</v>
      </c>
      <c r="AZ46" s="444">
        <f>'ADJ DETAIL-INPUT'!BF47</f>
        <v>485078</v>
      </c>
      <c r="BA46" s="444">
        <f>'ADJ DETAIL-INPUT'!BG47</f>
        <v>-39937.281946778356</v>
      </c>
      <c r="BB46" s="444">
        <f>'ADJ DETAIL-INPUT'!BH47</f>
        <v>445140.71805322164</v>
      </c>
    </row>
    <row r="47" spans="1:54" s="424" customFormat="1" ht="6.75" customHeight="1">
      <c r="E47" s="427"/>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54" s="424" customFormat="1">
      <c r="A48" s="422">
        <f>'ADJ DETAIL-INPUT'!A49</f>
        <v>26</v>
      </c>
      <c r="B48" s="424" t="str">
        <f>'ADJ DETAIL-INPUT'!B49</f>
        <v xml:space="preserve">OPERATING INCOME BEFORE FIT  </v>
      </c>
      <c r="E48" s="427">
        <f>'ADJ DETAIL-INPUT'!E49</f>
        <v>127498</v>
      </c>
      <c r="F48" s="435">
        <f>'ADJ DETAIL-INPUT'!F49</f>
        <v>0</v>
      </c>
      <c r="G48" s="435">
        <f>'ADJ DETAIL-INPUT'!G49</f>
        <v>-57</v>
      </c>
      <c r="H48" s="435">
        <f>'ADJ DETAIL-INPUT'!H49</f>
        <v>0</v>
      </c>
      <c r="I48" s="435">
        <f>'ADJ DETAIL-INPUT'!I49</f>
        <v>0</v>
      </c>
      <c r="J48" s="435">
        <f>'ADJ DETAIL-INPUT'!J49</f>
        <v>-80</v>
      </c>
      <c r="K48" s="435">
        <f>'ADJ DETAIL-INPUT'!K49</f>
        <v>-1001</v>
      </c>
      <c r="L48" s="435">
        <f>'ADJ DETAIL-INPUT'!L49</f>
        <v>-1437</v>
      </c>
      <c r="M48" s="435">
        <f>'ADJ DETAIL-INPUT'!M49</f>
        <v>-37</v>
      </c>
      <c r="N48" s="435">
        <f>'ADJ DETAIL-INPUT'!N49</f>
        <v>-51</v>
      </c>
      <c r="O48" s="435">
        <f>'ADJ DETAIL-INPUT'!O49</f>
        <v>0</v>
      </c>
      <c r="P48" s="435">
        <f>'ADJ DETAIL-INPUT'!P49</f>
        <v>52</v>
      </c>
      <c r="Q48" s="435">
        <f>'ADJ DETAIL-INPUT'!Q49</f>
        <v>-34</v>
      </c>
      <c r="R48" s="435">
        <f>'ADJ DETAIL-INPUT'!R49</f>
        <v>58</v>
      </c>
      <c r="S48" s="435">
        <f>'ADJ DETAIL-INPUT'!S49</f>
        <v>-784</v>
      </c>
      <c r="T48" s="435">
        <f>'ADJ DETAIL-INPUT'!T49</f>
        <v>-1397</v>
      </c>
      <c r="U48" s="435">
        <f>'ADJ DETAIL-INPUT'!U49</f>
        <v>1224</v>
      </c>
      <c r="V48" s="435">
        <f>'ADJ DETAIL-INPUT'!V49</f>
        <v>-753</v>
      </c>
      <c r="W48" s="435">
        <f>'ADJ DETAIL-INPUT'!W49</f>
        <v>0</v>
      </c>
      <c r="X48" s="435">
        <f>'ADJ DETAIL-INPUT'!X49</f>
        <v>1359</v>
      </c>
      <c r="Y48" s="435">
        <f>'ADJ DETAIL-INPUT'!Y49</f>
        <v>5</v>
      </c>
      <c r="Z48" s="435">
        <f>'ADJ DETAIL-INPUT'!Z49</f>
        <v>926</v>
      </c>
      <c r="AA48" s="435">
        <f>'ADJ DETAIL-INPUT'!AA49</f>
        <v>-5865</v>
      </c>
      <c r="AB48" s="435">
        <f>'ADJ DETAIL-INPUT'!AB49</f>
        <v>-2759</v>
      </c>
      <c r="AC48" s="435">
        <f>'ADJ DETAIL-INPUT'!AD49</f>
        <v>17029.82</v>
      </c>
      <c r="AD48" s="435">
        <f>'ADJ DETAIL-INPUT'!AE49</f>
        <v>1105</v>
      </c>
      <c r="AE48" s="435">
        <f>'ADJ DETAIL-INPUT'!AF49</f>
        <v>13768</v>
      </c>
      <c r="AF48" s="435">
        <f>'ADJ DETAIL-INPUT'!AG49</f>
        <v>2417</v>
      </c>
      <c r="AG48" s="435">
        <f>'ADJ DETAIL-INPUT'!AH49</f>
        <v>0</v>
      </c>
      <c r="AH48" s="435">
        <f>'ADJ DETAIL-INPUT'!AI49</f>
        <v>-3267</v>
      </c>
      <c r="AI48" s="435">
        <f>'ADJ DETAIL-INPUT'!AJ49</f>
        <v>318</v>
      </c>
      <c r="AJ48" s="435">
        <f>'ADJ DETAIL-INPUT'!AK49</f>
        <v>-1220</v>
      </c>
      <c r="AK48" s="435">
        <f>'ADJ DETAIL-INPUT'!AL49</f>
        <v>-2456</v>
      </c>
      <c r="AL48" s="435">
        <f>'ADJ DETAIL-INPUT'!AM49</f>
        <v>-2013</v>
      </c>
      <c r="AM48" s="435">
        <f>'ADJ DETAIL-INPUT'!AN49</f>
        <v>-634</v>
      </c>
      <c r="AN48" s="435">
        <f>'ADJ DETAIL-INPUT'!AO49</f>
        <v>-1332</v>
      </c>
      <c r="AO48" s="435">
        <f>'ADJ DETAIL-INPUT'!AP49</f>
        <v>-2042</v>
      </c>
      <c r="AP48" s="435">
        <f>'ADJ DETAIL-INPUT'!AQ49</f>
        <v>-238</v>
      </c>
      <c r="AQ48" s="435">
        <f>'ADJ DETAIL-INPUT'!AR49</f>
        <v>-848</v>
      </c>
      <c r="AR48" s="435">
        <f>'ADJ DETAIL-INPUT'!AS49</f>
        <v>-669</v>
      </c>
      <c r="AS48" s="435">
        <f>'ADJ DETAIL-INPUT'!AT49</f>
        <v>-1922</v>
      </c>
      <c r="AT48" s="435">
        <f>'ADJ DETAIL-INPUT'!AU49</f>
        <v>-9626</v>
      </c>
      <c r="AU48" s="435">
        <f>'ADJ DETAIL-INPUT'!AV49</f>
        <v>-4297</v>
      </c>
      <c r="AV48" s="435">
        <f>'ADJ DETAIL-INPUT'!AX49</f>
        <v>-2581</v>
      </c>
      <c r="AW48" s="435">
        <f>'ADJ DETAIL-INPUT'!AZ49</f>
        <v>1488</v>
      </c>
      <c r="AX48" s="435">
        <f>'ADJ DETAIL-INPUT'!BB49</f>
        <v>-33</v>
      </c>
      <c r="AY48" s="435">
        <f>'ADJ DETAIL-INPUT'!BC49</f>
        <v>0</v>
      </c>
      <c r="AZ48" s="435">
        <f>'ADJ DETAIL-INPUT'!BF49</f>
        <v>118071.82</v>
      </c>
      <c r="BA48" s="435">
        <f>'ADJ DETAIL-INPUT'!BG49</f>
        <v>39937.281946778356</v>
      </c>
      <c r="BB48" s="435">
        <f>'ADJ DETAIL-INPUT'!BH49</f>
        <v>158009.10194677836</v>
      </c>
    </row>
    <row r="49" spans="1:54" s="424" customFormat="1" ht="6.75" customHeight="1">
      <c r="A49" s="422"/>
      <c r="E49" s="427"/>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424" customFormat="1">
      <c r="A50" s="426"/>
      <c r="B50" s="424" t="str">
        <f>'ADJ DETAIL-INPUT'!B51</f>
        <v xml:space="preserve">FEDERAL INCOME TAX  </v>
      </c>
      <c r="E50" s="427">
        <f>'ADJ DETAIL-INPUT'!E51</f>
        <v>0</v>
      </c>
      <c r="F50" s="435">
        <f>'ADJ DETAIL-INPUT'!F51</f>
        <v>0</v>
      </c>
      <c r="G50" s="435">
        <f>'ADJ DETAIL-INPUT'!G51</f>
        <v>0</v>
      </c>
      <c r="H50" s="435">
        <f>'ADJ DETAIL-INPUT'!H51</f>
        <v>0</v>
      </c>
      <c r="I50" s="435">
        <f>'ADJ DETAIL-INPUT'!I51</f>
        <v>0</v>
      </c>
      <c r="J50" s="435">
        <f>'ADJ DETAIL-INPUT'!J51</f>
        <v>0</v>
      </c>
      <c r="K50" s="435">
        <f>'ADJ DETAIL-INPUT'!K51</f>
        <v>0</v>
      </c>
      <c r="L50" s="435">
        <f>'ADJ DETAIL-INPUT'!L51</f>
        <v>0</v>
      </c>
      <c r="M50" s="435">
        <f>'ADJ DETAIL-INPUT'!M51</f>
        <v>0</v>
      </c>
      <c r="N50" s="435">
        <f>'ADJ DETAIL-INPUT'!N51</f>
        <v>0</v>
      </c>
      <c r="O50" s="435">
        <f>'ADJ DETAIL-INPUT'!O51</f>
        <v>0</v>
      </c>
      <c r="P50" s="435">
        <f>'ADJ DETAIL-INPUT'!P51</f>
        <v>0</v>
      </c>
      <c r="Q50" s="435">
        <f>'ADJ DETAIL-INPUT'!Q51</f>
        <v>0</v>
      </c>
      <c r="R50" s="435">
        <f>'ADJ DETAIL-INPUT'!R51</f>
        <v>0</v>
      </c>
      <c r="S50" s="435">
        <f>'ADJ DETAIL-INPUT'!S51</f>
        <v>0</v>
      </c>
      <c r="T50" s="435">
        <f>'ADJ DETAIL-INPUT'!T51</f>
        <v>0</v>
      </c>
      <c r="U50" s="435">
        <f>'ADJ DETAIL-INPUT'!U51</f>
        <v>0</v>
      </c>
      <c r="V50" s="435">
        <f>'ADJ DETAIL-INPUT'!V51</f>
        <v>0</v>
      </c>
      <c r="W50" s="435">
        <f>'ADJ DETAIL-INPUT'!W51</f>
        <v>0</v>
      </c>
      <c r="X50" s="435">
        <f>'ADJ DETAIL-INPUT'!X51</f>
        <v>0</v>
      </c>
      <c r="Y50" s="435">
        <f>'ADJ DETAIL-INPUT'!Y51</f>
        <v>0</v>
      </c>
      <c r="Z50" s="435">
        <f>'ADJ DETAIL-INPUT'!Z51</f>
        <v>0</v>
      </c>
      <c r="AA50" s="435">
        <f>'ADJ DETAIL-INPUT'!AA51</f>
        <v>0</v>
      </c>
      <c r="AB50" s="435">
        <f>'ADJ DETAIL-INPUT'!AB51</f>
        <v>0</v>
      </c>
      <c r="AC50" s="435">
        <f>'ADJ DETAIL-INPUT'!AD51</f>
        <v>0</v>
      </c>
      <c r="AD50" s="435">
        <f>'ADJ DETAIL-INPUT'!AE51</f>
        <v>0</v>
      </c>
      <c r="AE50" s="435">
        <f>'ADJ DETAIL-INPUT'!AF51</f>
        <v>0</v>
      </c>
      <c r="AF50" s="435">
        <f>'ADJ DETAIL-INPUT'!AG51</f>
        <v>0</v>
      </c>
      <c r="AG50" s="435">
        <f>'ADJ DETAIL-INPUT'!AH51</f>
        <v>0</v>
      </c>
      <c r="AH50" s="435">
        <f>'ADJ DETAIL-INPUT'!AI51</f>
        <v>0</v>
      </c>
      <c r="AI50" s="435">
        <f>'ADJ DETAIL-INPUT'!AJ51</f>
        <v>0</v>
      </c>
      <c r="AJ50" s="435">
        <f>'ADJ DETAIL-INPUT'!AK51</f>
        <v>0</v>
      </c>
      <c r="AK50" s="435">
        <f>'ADJ DETAIL-INPUT'!AL51</f>
        <v>0</v>
      </c>
      <c r="AL50" s="435">
        <f>'ADJ DETAIL-INPUT'!AM51</f>
        <v>0</v>
      </c>
      <c r="AM50" s="435">
        <f>'ADJ DETAIL-INPUT'!AN51</f>
        <v>0</v>
      </c>
      <c r="AN50" s="435">
        <f>'ADJ DETAIL-INPUT'!AO51</f>
        <v>0</v>
      </c>
      <c r="AO50" s="435">
        <f>'ADJ DETAIL-INPUT'!AP51</f>
        <v>0</v>
      </c>
      <c r="AP50" s="435">
        <f>'ADJ DETAIL-INPUT'!AQ51</f>
        <v>0</v>
      </c>
      <c r="AQ50" s="435">
        <f>'ADJ DETAIL-INPUT'!AR51</f>
        <v>0</v>
      </c>
      <c r="AR50" s="435">
        <f>'ADJ DETAIL-INPUT'!AS51</f>
        <v>0</v>
      </c>
      <c r="AS50" s="435">
        <f>'ADJ DETAIL-INPUT'!AT51</f>
        <v>0</v>
      </c>
      <c r="AT50" s="435">
        <f>'ADJ DETAIL-INPUT'!AU51</f>
        <v>0</v>
      </c>
      <c r="AU50" s="435">
        <f>'ADJ DETAIL-INPUT'!AV51</f>
        <v>0</v>
      </c>
      <c r="AV50" s="435">
        <f>'ADJ DETAIL-INPUT'!AX51</f>
        <v>0</v>
      </c>
      <c r="AW50" s="435">
        <f>'ADJ DETAIL-INPUT'!AZ51</f>
        <v>0</v>
      </c>
      <c r="AX50" s="435">
        <f>'ADJ DETAIL-INPUT'!BB51</f>
        <v>0</v>
      </c>
      <c r="AY50" s="435">
        <f>'ADJ DETAIL-INPUT'!BC51</f>
        <v>0</v>
      </c>
      <c r="AZ50" s="435">
        <f>'ADJ DETAIL-INPUT'!BF51</f>
        <v>0</v>
      </c>
      <c r="BA50" s="435">
        <f>'ADJ DETAIL-INPUT'!BG51</f>
        <v>0</v>
      </c>
      <c r="BB50" s="435">
        <f>'ADJ DETAIL-INPUT'!BH51</f>
        <v>0</v>
      </c>
    </row>
    <row r="51" spans="1:54" s="424" customFormat="1">
      <c r="A51" s="448">
        <f>'ADJ DETAIL-INPUT'!A52</f>
        <v>27</v>
      </c>
      <c r="B51" s="424" t="str">
        <f>'ADJ DETAIL-INPUT'!B52</f>
        <v xml:space="preserve">Current Accrual </v>
      </c>
      <c r="E51" s="431">
        <f>'ADJ DETAIL-INPUT'!E52</f>
        <v>4963</v>
      </c>
      <c r="F51" s="435">
        <f>'ADJ DETAIL-INPUT'!F52</f>
        <v>0</v>
      </c>
      <c r="G51" s="435">
        <f>'ADJ DETAIL-INPUT'!G52</f>
        <v>-11.969999999999999</v>
      </c>
      <c r="H51" s="435">
        <f>'ADJ DETAIL-INPUT'!H52</f>
        <v>0</v>
      </c>
      <c r="I51" s="435">
        <f>'ADJ DETAIL-INPUT'!I52</f>
        <v>0</v>
      </c>
      <c r="J51" s="435">
        <f>'ADJ DETAIL-INPUT'!J52</f>
        <v>-16.8</v>
      </c>
      <c r="K51" s="435">
        <f>'ADJ DETAIL-INPUT'!K52</f>
        <v>-210.20999999999998</v>
      </c>
      <c r="L51" s="435">
        <f>'ADJ DETAIL-INPUT'!L52</f>
        <v>-301.77</v>
      </c>
      <c r="M51" s="435">
        <f>'ADJ DETAIL-INPUT'!M52</f>
        <v>-7.77</v>
      </c>
      <c r="N51" s="435">
        <f>'ADJ DETAIL-INPUT'!N52</f>
        <v>-10.709999999999999</v>
      </c>
      <c r="O51" s="435">
        <f>'ADJ DETAIL-INPUT'!O52</f>
        <v>1</v>
      </c>
      <c r="P51" s="435">
        <f>'ADJ DETAIL-INPUT'!P52</f>
        <v>10.92</v>
      </c>
      <c r="Q51" s="435">
        <f>'ADJ DETAIL-INPUT'!Q52</f>
        <v>-7.14</v>
      </c>
      <c r="R51" s="435">
        <f>'ADJ DETAIL-INPUT'!R52</f>
        <v>12.18</v>
      </c>
      <c r="S51" s="435">
        <f>'ADJ DETAIL-INPUT'!S52</f>
        <v>-164.64</v>
      </c>
      <c r="T51" s="435">
        <f>'ADJ DETAIL-INPUT'!T52</f>
        <v>-293.37</v>
      </c>
      <c r="U51" s="435">
        <f>'ADJ DETAIL-INPUT'!U52</f>
        <v>257.03999999999996</v>
      </c>
      <c r="V51" s="435">
        <f>'ADJ DETAIL-INPUT'!V52</f>
        <v>-158.13</v>
      </c>
      <c r="W51" s="435">
        <f>'ADJ DETAIL-INPUT'!W52</f>
        <v>934</v>
      </c>
      <c r="X51" s="435">
        <f>'ADJ DETAIL-INPUT'!X52</f>
        <v>348</v>
      </c>
      <c r="Y51" s="435">
        <f>'ADJ DETAIL-INPUT'!Y52</f>
        <v>1.05</v>
      </c>
      <c r="Z51" s="435">
        <f>'ADJ DETAIL-INPUT'!Z52</f>
        <v>194.45999999999998</v>
      </c>
      <c r="AA51" s="435">
        <f>'ADJ DETAIL-INPUT'!AA52</f>
        <v>-1231.6499999999999</v>
      </c>
      <c r="AB51" s="435">
        <f>'ADJ DETAIL-INPUT'!AB52</f>
        <v>-579.39</v>
      </c>
      <c r="AC51" s="435">
        <f>'ADJ DETAIL-INPUT'!AD52</f>
        <v>3576.2621999999997</v>
      </c>
      <c r="AD51" s="435">
        <f>'ADJ DETAIL-INPUT'!AE52</f>
        <v>232.04999999999998</v>
      </c>
      <c r="AE51" s="435">
        <f>'ADJ DETAIL-INPUT'!AF52</f>
        <v>2891.2799999999997</v>
      </c>
      <c r="AF51" s="435">
        <f>'ADJ DETAIL-INPUT'!AG52</f>
        <v>507.57</v>
      </c>
      <c r="AG51" s="435">
        <f>'ADJ DETAIL-INPUT'!AH52</f>
        <v>0</v>
      </c>
      <c r="AH51" s="435">
        <f>'ADJ DETAIL-INPUT'!AI52</f>
        <v>-686.06999999999994</v>
      </c>
      <c r="AI51" s="435">
        <f>'ADJ DETAIL-INPUT'!AJ52</f>
        <v>66.78</v>
      </c>
      <c r="AJ51" s="435">
        <f>'ADJ DETAIL-INPUT'!AK52</f>
        <v>-256.2</v>
      </c>
      <c r="AK51" s="435">
        <f>'ADJ DETAIL-INPUT'!AL52</f>
        <v>-515.76</v>
      </c>
      <c r="AL51" s="435">
        <f>'ADJ DETAIL-INPUT'!AM52</f>
        <v>-422.72999999999996</v>
      </c>
      <c r="AM51" s="435">
        <f>'ADJ DETAIL-INPUT'!AN52</f>
        <v>-133.13999999999999</v>
      </c>
      <c r="AN51" s="435">
        <f>'ADJ DETAIL-INPUT'!AO52</f>
        <v>-279.71999999999997</v>
      </c>
      <c r="AO51" s="435">
        <f>'ADJ DETAIL-INPUT'!AP52</f>
        <v>-428.82</v>
      </c>
      <c r="AP51" s="435">
        <f>'ADJ DETAIL-INPUT'!AQ52</f>
        <v>-49.98</v>
      </c>
      <c r="AQ51" s="435">
        <f>'ADJ DETAIL-INPUT'!AR52</f>
        <v>-178.07999999999998</v>
      </c>
      <c r="AR51" s="435">
        <f>'ADJ DETAIL-INPUT'!AS52</f>
        <v>-140.48999999999998</v>
      </c>
      <c r="AS51" s="435">
        <f>'ADJ DETAIL-INPUT'!AT52</f>
        <v>-403.62</v>
      </c>
      <c r="AT51" s="435">
        <f>'ADJ DETAIL-INPUT'!AU52</f>
        <v>-2021.46</v>
      </c>
      <c r="AU51" s="435">
        <f>'ADJ DETAIL-INPUT'!AV52</f>
        <v>-902.37</v>
      </c>
      <c r="AV51" s="435">
        <f>'ADJ DETAIL-INPUT'!AX52</f>
        <v>-542.01</v>
      </c>
      <c r="AW51" s="435">
        <f>'ADJ DETAIL-INPUT'!AZ52</f>
        <v>312.47999999999996</v>
      </c>
      <c r="AX51" s="435">
        <f>'ADJ DETAIL-INPUT'!BB52</f>
        <v>-6.93</v>
      </c>
      <c r="AY51" s="435">
        <f>'ADJ DETAIL-INPUT'!BC52</f>
        <v>0</v>
      </c>
      <c r="AZ51" s="435">
        <f>'ADJ DETAIL-INPUT'!BF52</f>
        <v>3981.1122000000018</v>
      </c>
      <c r="BA51" s="435">
        <f>'ADJ DETAIL-INPUT'!BG52</f>
        <v>8386.8292088234539</v>
      </c>
      <c r="BB51" s="435">
        <f>'ADJ DETAIL-INPUT'!BH52</f>
        <v>12367.941408823455</v>
      </c>
    </row>
    <row r="52" spans="1:54" s="427" customFormat="1">
      <c r="A52" s="422">
        <f>'ADJ DETAIL-INPUT'!A53</f>
        <v>28</v>
      </c>
      <c r="B52" s="427" t="str">
        <f>'ADJ DETAIL-INPUT'!B53</f>
        <v>Debt Interest</v>
      </c>
      <c r="E52" s="431">
        <f>'ADJ DETAIL-INPUT'!E53</f>
        <v>0</v>
      </c>
      <c r="F52" s="436">
        <f>'ADJ DETAIL-INPUT'!F53</f>
        <v>-0.24477599999999999</v>
      </c>
      <c r="G52" s="436">
        <f>'ADJ DETAIL-INPUT'!G53</f>
        <v>-5.208E-3</v>
      </c>
      <c r="H52" s="436">
        <f>'ADJ DETAIL-INPUT'!H53</f>
        <v>19.540416</v>
      </c>
      <c r="I52" s="436">
        <f>'ADJ DETAIL-INPUT'!I53</f>
        <v>251.483904</v>
      </c>
      <c r="J52" s="436">
        <f>'ADJ DETAIL-INPUT'!J53</f>
        <v>0</v>
      </c>
      <c r="K52" s="436">
        <f>'ADJ DETAIL-INPUT'!K53</f>
        <v>0</v>
      </c>
      <c r="L52" s="436">
        <f>'ADJ DETAIL-INPUT'!L53</f>
        <v>0</v>
      </c>
      <c r="M52" s="436">
        <f>'ADJ DETAIL-INPUT'!M53</f>
        <v>0</v>
      </c>
      <c r="N52" s="436">
        <f>'ADJ DETAIL-INPUT'!N53</f>
        <v>0</v>
      </c>
      <c r="O52" s="436">
        <f>'ADJ DETAIL-INPUT'!O53</f>
        <v>0</v>
      </c>
      <c r="P52" s="436">
        <f>'ADJ DETAIL-INPUT'!P53</f>
        <v>0</v>
      </c>
      <c r="Q52" s="436">
        <f>'ADJ DETAIL-INPUT'!Q53</f>
        <v>0</v>
      </c>
      <c r="R52" s="436">
        <f>'ADJ DETAIL-INPUT'!R53</f>
        <v>0</v>
      </c>
      <c r="S52" s="436">
        <f>'ADJ DETAIL-INPUT'!S53</f>
        <v>0</v>
      </c>
      <c r="T52" s="436">
        <f>'ADJ DETAIL-INPUT'!T53</f>
        <v>0</v>
      </c>
      <c r="U52" s="436">
        <f>'ADJ DETAIL-INPUT'!U53</f>
        <v>0</v>
      </c>
      <c r="V52" s="436">
        <f>'ADJ DETAIL-INPUT'!V53</f>
        <v>0</v>
      </c>
      <c r="W52" s="436">
        <f>'ADJ DETAIL-INPUT'!W53</f>
        <v>0</v>
      </c>
      <c r="X52" s="436">
        <f>'ADJ DETAIL-INPUT'!X53</f>
        <v>0</v>
      </c>
      <c r="Y52" s="436">
        <f>'ADJ DETAIL-INPUT'!Y53</f>
        <v>0</v>
      </c>
      <c r="Z52" s="436">
        <f>'ADJ DETAIL-INPUT'!Z53</f>
        <v>0</v>
      </c>
      <c r="AA52" s="436">
        <f>'ADJ DETAIL-INPUT'!AA53</f>
        <v>0</v>
      </c>
      <c r="AB52" s="436">
        <f>'ADJ DETAIL-INPUT'!AB53</f>
        <v>-104.91965442799344</v>
      </c>
      <c r="AC52" s="436">
        <f>'ADJ DETAIL-INPUT'!AD53</f>
        <v>0</v>
      </c>
      <c r="AD52" s="436">
        <f>'ADJ DETAIL-INPUT'!AE53</f>
        <v>0</v>
      </c>
      <c r="AE52" s="436">
        <f>'ADJ DETAIL-INPUT'!AF53</f>
        <v>0</v>
      </c>
      <c r="AF52" s="436">
        <f>'ADJ DETAIL-INPUT'!AG53</f>
        <v>3.989328</v>
      </c>
      <c r="AG52" s="436">
        <f>'ADJ DETAIL-INPUT'!AH53</f>
        <v>0</v>
      </c>
      <c r="AH52" s="436">
        <f>'ADJ DETAIL-INPUT'!AI53</f>
        <v>0</v>
      </c>
      <c r="AI52" s="436">
        <f>'ADJ DETAIL-INPUT'!AJ53</f>
        <v>0</v>
      </c>
      <c r="AJ52" s="436">
        <f>'ADJ DETAIL-INPUT'!AK53</f>
        <v>0</v>
      </c>
      <c r="AK52" s="436">
        <f>'ADJ DETAIL-INPUT'!AL53</f>
        <v>0</v>
      </c>
      <c r="AL52" s="436">
        <f>'ADJ DETAIL-INPUT'!AM53</f>
        <v>0</v>
      </c>
      <c r="AM52" s="436">
        <f>'ADJ DETAIL-INPUT'!AN53</f>
        <v>0</v>
      </c>
      <c r="AN52" s="436">
        <f>'ADJ DETAIL-INPUT'!AO53</f>
        <v>0</v>
      </c>
      <c r="AO52" s="436">
        <f>'ADJ DETAIL-INPUT'!AP53</f>
        <v>-53.533031999999999</v>
      </c>
      <c r="AP52" s="436">
        <f>'ADJ DETAIL-INPUT'!AQ53</f>
        <v>-93.770039999999995</v>
      </c>
      <c r="AQ52" s="436">
        <f>'ADJ DETAIL-INPUT'!AR53</f>
        <v>-247.27063199999998</v>
      </c>
      <c r="AR52" s="436">
        <f>'ADJ DETAIL-INPUT'!AS53</f>
        <v>-191.78980799999999</v>
      </c>
      <c r="AS52" s="436">
        <f>'ADJ DETAIL-INPUT'!AT53</f>
        <v>-53.017440000000001</v>
      </c>
      <c r="AT52" s="436">
        <f>'ADJ DETAIL-INPUT'!AU53</f>
        <v>-456.14267999999993</v>
      </c>
      <c r="AU52" s="436">
        <f>'ADJ DETAIL-INPUT'!AV53</f>
        <v>-48.983697215919719</v>
      </c>
      <c r="AV52" s="436">
        <f>'ADJ DETAIL-INPUT'!AX53</f>
        <v>-45.438950370056105</v>
      </c>
      <c r="AW52" s="436">
        <f>'ADJ DETAIL-INPUT'!AZ53</f>
        <v>111.701184</v>
      </c>
      <c r="AX52" s="436">
        <f>'ADJ DETAIL-INPUT'!BB53</f>
        <v>0</v>
      </c>
      <c r="AY52" s="436">
        <f>'ADJ DETAIL-INPUT'!BC53</f>
        <v>159.062736</v>
      </c>
      <c r="AZ52" s="436">
        <f>'ADJ DETAIL-INPUT'!BF53</f>
        <v>-783.64255210481508</v>
      </c>
      <c r="BA52" s="436">
        <f>'ADJ DETAIL-INPUT'!BG53</f>
        <v>-92.082647999999992</v>
      </c>
      <c r="BB52" s="436">
        <f>'ADJ DETAIL-INPUT'!BH53</f>
        <v>-875.72520010481503</v>
      </c>
    </row>
    <row r="53" spans="1:54" s="424" customFormat="1">
      <c r="A53" s="422">
        <f>'ADJ DETAIL-INPUT'!A54</f>
        <v>29</v>
      </c>
      <c r="B53" s="424" t="str">
        <f>'ADJ DETAIL-INPUT'!B54</f>
        <v xml:space="preserve">Deferred Income Taxes  </v>
      </c>
      <c r="E53" s="431">
        <f>'ADJ DETAIL-INPUT'!E54</f>
        <v>7830</v>
      </c>
      <c r="F53" s="435">
        <f>'ADJ DETAIL-INPUT'!F54</f>
        <v>0</v>
      </c>
      <c r="G53" s="435">
        <f>'ADJ DETAIL-INPUT'!G54</f>
        <v>0</v>
      </c>
      <c r="H53" s="435">
        <f>'ADJ DETAIL-INPUT'!H54</f>
        <v>0</v>
      </c>
      <c r="I53" s="435">
        <f>'ADJ DETAIL-INPUT'!I54</f>
        <v>0</v>
      </c>
      <c r="J53" s="435">
        <f>'ADJ DETAIL-INPUT'!J54</f>
        <v>0</v>
      </c>
      <c r="K53" s="435">
        <f>'ADJ DETAIL-INPUT'!K54</f>
        <v>0</v>
      </c>
      <c r="L53" s="435">
        <f>'ADJ DETAIL-INPUT'!L54</f>
        <v>0</v>
      </c>
      <c r="M53" s="435">
        <f>'ADJ DETAIL-INPUT'!M54</f>
        <v>0</v>
      </c>
      <c r="N53" s="435">
        <f>'ADJ DETAIL-INPUT'!N54</f>
        <v>0</v>
      </c>
      <c r="O53" s="435">
        <f>'ADJ DETAIL-INPUT'!O54</f>
        <v>-4</v>
      </c>
      <c r="P53" s="435">
        <f>'ADJ DETAIL-INPUT'!P54</f>
        <v>0</v>
      </c>
      <c r="Q53" s="435">
        <f>'ADJ DETAIL-INPUT'!Q54</f>
        <v>0</v>
      </c>
      <c r="R53" s="435">
        <f>'ADJ DETAIL-INPUT'!R54</f>
        <v>0</v>
      </c>
      <c r="S53" s="435">
        <f>'ADJ DETAIL-INPUT'!S54</f>
        <v>0</v>
      </c>
      <c r="T53" s="435">
        <f>'ADJ DETAIL-INPUT'!T54</f>
        <v>0</v>
      </c>
      <c r="U53" s="435">
        <f>'ADJ DETAIL-INPUT'!U54</f>
        <v>0</v>
      </c>
      <c r="V53" s="435">
        <f>'ADJ DETAIL-INPUT'!V54</f>
        <v>0</v>
      </c>
      <c r="W53" s="435">
        <f>'ADJ DETAIL-INPUT'!W54</f>
        <v>0</v>
      </c>
      <c r="X53" s="435">
        <f>'ADJ DETAIL-INPUT'!X54</f>
        <v>-63</v>
      </c>
      <c r="Y53" s="435">
        <f>'ADJ DETAIL-INPUT'!Y54</f>
        <v>0</v>
      </c>
      <c r="Z53" s="435">
        <f>'ADJ DETAIL-INPUT'!Z54</f>
        <v>0</v>
      </c>
      <c r="AA53" s="435">
        <f>'ADJ DETAIL-INPUT'!AA54</f>
        <v>0</v>
      </c>
      <c r="AB53" s="435">
        <f>'ADJ DETAIL-INPUT'!AB54</f>
        <v>0</v>
      </c>
      <c r="AC53" s="435">
        <f>'ADJ DETAIL-INPUT'!AD54</f>
        <v>0</v>
      </c>
      <c r="AD53" s="435">
        <f>'ADJ DETAIL-INPUT'!AE54</f>
        <v>0</v>
      </c>
      <c r="AE53" s="435">
        <f>'ADJ DETAIL-INPUT'!AF54</f>
        <v>0</v>
      </c>
      <c r="AF53" s="435">
        <f>'ADJ DETAIL-INPUT'!AG54</f>
        <v>0</v>
      </c>
      <c r="AG53" s="435">
        <f>'ADJ DETAIL-INPUT'!AH54</f>
        <v>-485</v>
      </c>
      <c r="AH53" s="435">
        <f>'ADJ DETAIL-INPUT'!AI54</f>
        <v>0</v>
      </c>
      <c r="AI53" s="435">
        <f>'ADJ DETAIL-INPUT'!AJ54</f>
        <v>0</v>
      </c>
      <c r="AJ53" s="435">
        <f>'ADJ DETAIL-INPUT'!AK54</f>
        <v>0</v>
      </c>
      <c r="AK53" s="435">
        <f>'ADJ DETAIL-INPUT'!AL54</f>
        <v>0</v>
      </c>
      <c r="AL53" s="435">
        <f>'ADJ DETAIL-INPUT'!AM54</f>
        <v>0</v>
      </c>
      <c r="AM53" s="435">
        <f>'ADJ DETAIL-INPUT'!AN54</f>
        <v>0</v>
      </c>
      <c r="AN53" s="435">
        <f>'ADJ DETAIL-INPUT'!AO54</f>
        <v>0</v>
      </c>
      <c r="AO53" s="435">
        <f>'ADJ DETAIL-INPUT'!AP54</f>
        <v>0</v>
      </c>
      <c r="AP53" s="435">
        <f>'ADJ DETAIL-INPUT'!AQ54</f>
        <v>0</v>
      </c>
      <c r="AQ53" s="435">
        <f>'ADJ DETAIL-INPUT'!AR54</f>
        <v>0</v>
      </c>
      <c r="AR53" s="435">
        <f>'ADJ DETAIL-INPUT'!AS54</f>
        <v>0</v>
      </c>
      <c r="AS53" s="435">
        <f>'ADJ DETAIL-INPUT'!AT54</f>
        <v>0</v>
      </c>
      <c r="AT53" s="435">
        <f>'ADJ DETAIL-INPUT'!AU54</f>
        <v>0</v>
      </c>
      <c r="AU53" s="435">
        <f>'ADJ DETAIL-INPUT'!AV54</f>
        <v>0</v>
      </c>
      <c r="AV53" s="435">
        <f>'ADJ DETAIL-INPUT'!AX54</f>
        <v>0</v>
      </c>
      <c r="AW53" s="435">
        <f>'ADJ DETAIL-INPUT'!AZ54</f>
        <v>0</v>
      </c>
      <c r="AX53" s="435">
        <f>'ADJ DETAIL-INPUT'!BB54</f>
        <v>0</v>
      </c>
      <c r="AY53" s="435">
        <f>'ADJ DETAIL-INPUT'!BC54</f>
        <v>0</v>
      </c>
      <c r="AZ53" s="435">
        <f>'ADJ DETAIL-INPUT'!BF54</f>
        <v>7278</v>
      </c>
      <c r="BA53" s="435">
        <f>'ADJ DETAIL-INPUT'!BG54</f>
        <v>0</v>
      </c>
      <c r="BB53" s="435">
        <f>'ADJ DETAIL-INPUT'!BH54</f>
        <v>7278</v>
      </c>
    </row>
    <row r="54" spans="1:54" s="424" customFormat="1">
      <c r="A54" s="426">
        <f>'ADJ DETAIL-INPUT'!A55</f>
        <v>30</v>
      </c>
      <c r="B54" s="424" t="str">
        <f>'ADJ DETAIL-INPUT'!B55</f>
        <v>Amortized ITC - Noxon</v>
      </c>
      <c r="E54" s="454">
        <f>'ADJ DETAIL-INPUT'!E55</f>
        <v>-318</v>
      </c>
      <c r="F54" s="444">
        <f>'ADJ DETAIL-INPUT'!F55</f>
        <v>0</v>
      </c>
      <c r="G54" s="444">
        <f>'ADJ DETAIL-INPUT'!G55</f>
        <v>0</v>
      </c>
      <c r="H54" s="444">
        <f>'ADJ DETAIL-INPUT'!H55</f>
        <v>0</v>
      </c>
      <c r="I54" s="444">
        <f>'ADJ DETAIL-INPUT'!I55</f>
        <v>0</v>
      </c>
      <c r="J54" s="444">
        <f>'ADJ DETAIL-INPUT'!J55</f>
        <v>0</v>
      </c>
      <c r="K54" s="444">
        <f>'ADJ DETAIL-INPUT'!K55</f>
        <v>0</v>
      </c>
      <c r="L54" s="444">
        <f>'ADJ DETAIL-INPUT'!L55</f>
        <v>0</v>
      </c>
      <c r="M54" s="444">
        <f>'ADJ DETAIL-INPUT'!M55</f>
        <v>0</v>
      </c>
      <c r="N54" s="444">
        <f>'ADJ DETAIL-INPUT'!N55</f>
        <v>0</v>
      </c>
      <c r="O54" s="444">
        <f>'ADJ DETAIL-INPUT'!O55</f>
        <v>0</v>
      </c>
      <c r="P54" s="444">
        <f>'ADJ DETAIL-INPUT'!P55</f>
        <v>0</v>
      </c>
      <c r="Q54" s="444">
        <f>'ADJ DETAIL-INPUT'!Q55</f>
        <v>0</v>
      </c>
      <c r="R54" s="444">
        <f>'ADJ DETAIL-INPUT'!R55</f>
        <v>0</v>
      </c>
      <c r="S54" s="444">
        <f>'ADJ DETAIL-INPUT'!S55</f>
        <v>0</v>
      </c>
      <c r="T54" s="444">
        <f>'ADJ DETAIL-INPUT'!T55</f>
        <v>0</v>
      </c>
      <c r="U54" s="444">
        <f>'ADJ DETAIL-INPUT'!U55</f>
        <v>0</v>
      </c>
      <c r="V54" s="444">
        <f>'ADJ DETAIL-INPUT'!V55</f>
        <v>0</v>
      </c>
      <c r="W54" s="444">
        <f>'ADJ DETAIL-INPUT'!W55</f>
        <v>0</v>
      </c>
      <c r="X54" s="444">
        <f>'ADJ DETAIL-INPUT'!X55</f>
        <v>0</v>
      </c>
      <c r="Y54" s="444">
        <f>'ADJ DETAIL-INPUT'!Y55</f>
        <v>0</v>
      </c>
      <c r="Z54" s="444">
        <f>'ADJ DETAIL-INPUT'!Z55</f>
        <v>0</v>
      </c>
      <c r="AA54" s="444">
        <f>'ADJ DETAIL-INPUT'!AA55</f>
        <v>0</v>
      </c>
      <c r="AB54" s="444">
        <f>'ADJ DETAIL-INPUT'!AB55</f>
        <v>0</v>
      </c>
      <c r="AC54" s="444">
        <f>'ADJ DETAIL-INPUT'!AD55</f>
        <v>0</v>
      </c>
      <c r="AD54" s="444">
        <f>'ADJ DETAIL-INPUT'!AE55</f>
        <v>0</v>
      </c>
      <c r="AE54" s="444">
        <f>'ADJ DETAIL-INPUT'!AF55</f>
        <v>0</v>
      </c>
      <c r="AF54" s="444">
        <f>'ADJ DETAIL-INPUT'!AG55</f>
        <v>0</v>
      </c>
      <c r="AG54" s="444">
        <f>'ADJ DETAIL-INPUT'!AH55</f>
        <v>0</v>
      </c>
      <c r="AH54" s="444">
        <f>'ADJ DETAIL-INPUT'!AI55</f>
        <v>0</v>
      </c>
      <c r="AI54" s="444">
        <f>'ADJ DETAIL-INPUT'!AJ55</f>
        <v>0</v>
      </c>
      <c r="AJ54" s="444">
        <f>'ADJ DETAIL-INPUT'!AK55</f>
        <v>0</v>
      </c>
      <c r="AK54" s="444">
        <f>'ADJ DETAIL-INPUT'!AL55</f>
        <v>0</v>
      </c>
      <c r="AL54" s="444">
        <f>'ADJ DETAIL-INPUT'!AM55</f>
        <v>0</v>
      </c>
      <c r="AM54" s="444">
        <f>'ADJ DETAIL-INPUT'!AN55</f>
        <v>0</v>
      </c>
      <c r="AN54" s="444">
        <f>'ADJ DETAIL-INPUT'!AO55</f>
        <v>0</v>
      </c>
      <c r="AO54" s="444">
        <f>'ADJ DETAIL-INPUT'!AP55</f>
        <v>0</v>
      </c>
      <c r="AP54" s="444">
        <f>'ADJ DETAIL-INPUT'!AQ55</f>
        <v>0</v>
      </c>
      <c r="AQ54" s="444">
        <f>'ADJ DETAIL-INPUT'!AR55</f>
        <v>0</v>
      </c>
      <c r="AR54" s="444">
        <f>'ADJ DETAIL-INPUT'!AS55</f>
        <v>0</v>
      </c>
      <c r="AS54" s="444">
        <f>'ADJ DETAIL-INPUT'!AT55</f>
        <v>0</v>
      </c>
      <c r="AT54" s="444">
        <f>'ADJ DETAIL-INPUT'!AU55</f>
        <v>0</v>
      </c>
      <c r="AU54" s="444">
        <f>'ADJ DETAIL-INPUT'!AV55</f>
        <v>0</v>
      </c>
      <c r="AV54" s="444">
        <f>'ADJ DETAIL-INPUT'!AX55</f>
        <v>0</v>
      </c>
      <c r="AW54" s="444">
        <f>'ADJ DETAIL-INPUT'!AZ55</f>
        <v>0</v>
      </c>
      <c r="AX54" s="444">
        <f>'ADJ DETAIL-INPUT'!BB55</f>
        <v>0</v>
      </c>
      <c r="AY54" s="444">
        <f>'ADJ DETAIL-INPUT'!BC55</f>
        <v>0</v>
      </c>
      <c r="AZ54" s="444">
        <f>'ADJ DETAIL-INPUT'!BF55</f>
        <v>-318</v>
      </c>
      <c r="BA54" s="444">
        <f>'ADJ DETAIL-INPUT'!BG55</f>
        <v>0</v>
      </c>
      <c r="BB54" s="444">
        <f>'ADJ DETAIL-INPUT'!BH55</f>
        <v>-318</v>
      </c>
    </row>
    <row r="55" spans="1:54" ht="6.75" customHeight="1"/>
    <row r="56" spans="1:54" s="423" customFormat="1" ht="12.75" thickBot="1">
      <c r="A56" s="425">
        <f>'ADJ DETAIL-INPUT'!A57</f>
        <v>31</v>
      </c>
      <c r="B56" s="423" t="str">
        <f>'ADJ DETAIL-INPUT'!B57</f>
        <v xml:space="preserve">NET OPERATING INCOME  </v>
      </c>
      <c r="E56" s="455">
        <f>'ADJ DETAIL-INPUT'!E57</f>
        <v>115023</v>
      </c>
      <c r="F56" s="456">
        <f>'ADJ DETAIL-INPUT'!F57</f>
        <v>0.24477599999999999</v>
      </c>
      <c r="G56" s="456">
        <f>'ADJ DETAIL-INPUT'!G57</f>
        <v>-45.024792000000005</v>
      </c>
      <c r="H56" s="456">
        <f>'ADJ DETAIL-INPUT'!H57</f>
        <v>-19.540416</v>
      </c>
      <c r="I56" s="456">
        <f>'ADJ DETAIL-INPUT'!I57</f>
        <v>-251.483904</v>
      </c>
      <c r="J56" s="456">
        <f>'ADJ DETAIL-INPUT'!J57</f>
        <v>-63.2</v>
      </c>
      <c r="K56" s="456">
        <f>'ADJ DETAIL-INPUT'!K57</f>
        <v>-790.79</v>
      </c>
      <c r="L56" s="456">
        <f>'ADJ DETAIL-INPUT'!L57</f>
        <v>-1135.23</v>
      </c>
      <c r="M56" s="456">
        <f>'ADJ DETAIL-INPUT'!M57</f>
        <v>-29.23</v>
      </c>
      <c r="N56" s="456">
        <f>'ADJ DETAIL-INPUT'!N57</f>
        <v>-40.29</v>
      </c>
      <c r="O56" s="456">
        <f>'ADJ DETAIL-INPUT'!O57</f>
        <v>3</v>
      </c>
      <c r="P56" s="456">
        <f>'ADJ DETAIL-INPUT'!P57</f>
        <v>41.08</v>
      </c>
      <c r="Q56" s="456">
        <f>'ADJ DETAIL-INPUT'!Q57</f>
        <v>-26.86</v>
      </c>
      <c r="R56" s="456">
        <f>'ADJ DETAIL-INPUT'!R57</f>
        <v>45.82</v>
      </c>
      <c r="S56" s="456">
        <f>'ADJ DETAIL-INPUT'!S57</f>
        <v>-619.36</v>
      </c>
      <c r="T56" s="456">
        <f>'ADJ DETAIL-INPUT'!T57</f>
        <v>-1103.6300000000001</v>
      </c>
      <c r="U56" s="456">
        <f>'ADJ DETAIL-INPUT'!U57</f>
        <v>966.96</v>
      </c>
      <c r="V56" s="456">
        <f>'ADJ DETAIL-INPUT'!V57</f>
        <v>-594.87</v>
      </c>
      <c r="W56" s="456">
        <f>'ADJ DETAIL-INPUT'!W57</f>
        <v>-934</v>
      </c>
      <c r="X56" s="456">
        <f>'ADJ DETAIL-INPUT'!X57</f>
        <v>1074</v>
      </c>
      <c r="Y56" s="456">
        <f>'ADJ DETAIL-INPUT'!Y57</f>
        <v>3.95</v>
      </c>
      <c r="Z56" s="456">
        <f>'ADJ DETAIL-INPUT'!Z57</f>
        <v>731.54</v>
      </c>
      <c r="AA56" s="456">
        <f>'ADJ DETAIL-INPUT'!AA57</f>
        <v>-4633.3500000000004</v>
      </c>
      <c r="AB56" s="456">
        <f>'ADJ DETAIL-INPUT'!AB57</f>
        <v>-2074.6903455720067</v>
      </c>
      <c r="AC56" s="456">
        <f>'ADJ DETAIL-INPUT'!AD57</f>
        <v>13453.5578</v>
      </c>
      <c r="AD56" s="456">
        <f>'ADJ DETAIL-INPUT'!AE57</f>
        <v>872.95</v>
      </c>
      <c r="AE56" s="456">
        <f>'ADJ DETAIL-INPUT'!AF57</f>
        <v>10876.720000000001</v>
      </c>
      <c r="AF56" s="456">
        <f>'ADJ DETAIL-INPUT'!AG57</f>
        <v>1905.4406719999999</v>
      </c>
      <c r="AG56" s="456">
        <f>'ADJ DETAIL-INPUT'!AH57</f>
        <v>485</v>
      </c>
      <c r="AH56" s="456">
        <f>'ADJ DETAIL-INPUT'!AI57</f>
        <v>-2580.9300000000003</v>
      </c>
      <c r="AI56" s="456">
        <f>'ADJ DETAIL-INPUT'!AJ57</f>
        <v>251.22</v>
      </c>
      <c r="AJ56" s="456">
        <f>'ADJ DETAIL-INPUT'!AK57</f>
        <v>-963.8</v>
      </c>
      <c r="AK56" s="456">
        <f>'ADJ DETAIL-INPUT'!AL57</f>
        <v>-1940.24</v>
      </c>
      <c r="AL56" s="456">
        <f>'ADJ DETAIL-INPUT'!AM57</f>
        <v>-1590.27</v>
      </c>
      <c r="AM56" s="456">
        <f>'ADJ DETAIL-INPUT'!AN57</f>
        <v>-500.86</v>
      </c>
      <c r="AN56" s="456">
        <f>'ADJ DETAIL-INPUT'!AO57</f>
        <v>-1052.28</v>
      </c>
      <c r="AO56" s="456">
        <f>'ADJ DETAIL-INPUT'!AP57</f>
        <v>-1559.646968</v>
      </c>
      <c r="AP56" s="456">
        <f>'ADJ DETAIL-INPUT'!AQ57</f>
        <v>-94.249960000000016</v>
      </c>
      <c r="AQ56" s="456">
        <f>'ADJ DETAIL-INPUT'!AR57</f>
        <v>-422.64936800000004</v>
      </c>
      <c r="AR56" s="456">
        <f>'ADJ DETAIL-INPUT'!AS57</f>
        <v>-336.720192</v>
      </c>
      <c r="AS56" s="456">
        <f>'ADJ DETAIL-INPUT'!AT57</f>
        <v>-1465.36256</v>
      </c>
      <c r="AT56" s="456">
        <f>'ADJ DETAIL-INPUT'!AU57</f>
        <v>-7148.39732</v>
      </c>
      <c r="AU56" s="456">
        <f>'ADJ DETAIL-INPUT'!AV57</f>
        <v>-3345.64630278408</v>
      </c>
      <c r="AV56" s="456">
        <f>'ADJ DETAIL-INPUT'!AX57</f>
        <v>-1993.5510496299439</v>
      </c>
      <c r="AW56" s="456">
        <f>'ADJ DETAIL-INPUT'!AZ57</f>
        <v>1063.818816</v>
      </c>
      <c r="AX56" s="456">
        <f>'ADJ DETAIL-INPUT'!BB57</f>
        <v>-26.07</v>
      </c>
      <c r="AY56" s="456">
        <f>'ADJ DETAIL-INPUT'!BC57</f>
        <v>-159.062736</v>
      </c>
      <c r="AZ56" s="456">
        <f>'ADJ DETAIL-INPUT'!BF57</f>
        <v>107914.3503521048</v>
      </c>
      <c r="BA56" s="456">
        <f>'ADJ DETAIL-INPUT'!BG57</f>
        <v>31642.5353859549</v>
      </c>
      <c r="BB56" s="456">
        <f>'ADJ DETAIL-INPUT'!BH57</f>
        <v>139556.8857380597</v>
      </c>
    </row>
    <row r="57" spans="1:54" ht="8.25" customHeight="1" thickTop="1">
      <c r="A57" s="425"/>
    </row>
    <row r="58" spans="1:54">
      <c r="A58" s="425"/>
      <c r="B58" s="409" t="str">
        <f>'ADJ DETAIL-INPUT'!B59</f>
        <v xml:space="preserve">RATE BASE  </v>
      </c>
    </row>
    <row r="59" spans="1:54">
      <c r="B59" s="409" t="str">
        <f>'ADJ DETAIL-INPUT'!B60</f>
        <v xml:space="preserve">PLANT IN SERVICE  </v>
      </c>
    </row>
    <row r="60" spans="1:54" s="423" customFormat="1">
      <c r="A60" s="452">
        <f>'ADJ DETAIL-INPUT'!A61</f>
        <v>32</v>
      </c>
      <c r="C60" s="423" t="str">
        <f>'ADJ DETAIL-INPUT'!C61</f>
        <v xml:space="preserve">Intangible  </v>
      </c>
      <c r="E60" s="432">
        <f>'ADJ DETAIL-INPUT'!E61</f>
        <v>211035</v>
      </c>
      <c r="F60" s="423">
        <f>'ADJ DETAIL-INPUT'!F61</f>
        <v>0</v>
      </c>
      <c r="G60" s="423">
        <f>'ADJ DETAIL-INPUT'!G61</f>
        <v>0</v>
      </c>
      <c r="H60" s="423">
        <f>'ADJ DETAIL-INPUT'!H61</f>
        <v>0</v>
      </c>
      <c r="I60" s="423">
        <f>'ADJ DETAIL-INPUT'!I61</f>
        <v>-30225</v>
      </c>
      <c r="J60" s="423">
        <f>'ADJ DETAIL-INPUT'!J61</f>
        <v>0</v>
      </c>
      <c r="K60" s="423">
        <f>'ADJ DETAIL-INPUT'!K61</f>
        <v>0</v>
      </c>
      <c r="L60" s="423">
        <f>'ADJ DETAIL-INPUT'!L61</f>
        <v>0</v>
      </c>
      <c r="M60" s="423">
        <f>'ADJ DETAIL-INPUT'!M61</f>
        <v>0</v>
      </c>
      <c r="N60" s="423">
        <f>'ADJ DETAIL-INPUT'!N61</f>
        <v>0</v>
      </c>
      <c r="O60" s="423">
        <f>'ADJ DETAIL-INPUT'!O61</f>
        <v>0</v>
      </c>
      <c r="P60" s="423">
        <f>'ADJ DETAIL-INPUT'!P61</f>
        <v>0</v>
      </c>
      <c r="Q60" s="423">
        <f>'ADJ DETAIL-INPUT'!Q61</f>
        <v>0</v>
      </c>
      <c r="R60" s="423">
        <f>'ADJ DETAIL-INPUT'!R61</f>
        <v>0</v>
      </c>
      <c r="S60" s="423">
        <f>'ADJ DETAIL-INPUT'!S61</f>
        <v>0</v>
      </c>
      <c r="T60" s="423">
        <f>'ADJ DETAIL-INPUT'!T61</f>
        <v>0</v>
      </c>
      <c r="U60" s="423">
        <f>'ADJ DETAIL-INPUT'!U61</f>
        <v>0</v>
      </c>
      <c r="V60" s="423">
        <f>'ADJ DETAIL-INPUT'!V61</f>
        <v>0</v>
      </c>
      <c r="W60" s="423">
        <f>'ADJ DETAIL-INPUT'!W61</f>
        <v>0</v>
      </c>
      <c r="X60" s="423">
        <f>'ADJ DETAIL-INPUT'!X61</f>
        <v>0</v>
      </c>
      <c r="Y60" s="423">
        <f>'ADJ DETAIL-INPUT'!Y61</f>
        <v>0</v>
      </c>
      <c r="Z60" s="423">
        <f>'ADJ DETAIL-INPUT'!Z61</f>
        <v>0</v>
      </c>
      <c r="AA60" s="423">
        <f>'ADJ DETAIL-INPUT'!AA61</f>
        <v>0</v>
      </c>
      <c r="AB60" s="423">
        <f>'ADJ DETAIL-INPUT'!AB61</f>
        <v>2079.1125307387479</v>
      </c>
      <c r="AC60" s="423">
        <f>'ADJ DETAIL-INPUT'!AD61</f>
        <v>0</v>
      </c>
      <c r="AD60" s="423">
        <f>'ADJ DETAIL-INPUT'!AE61</f>
        <v>0</v>
      </c>
      <c r="AE60" s="423">
        <f>'ADJ DETAIL-INPUT'!AF61</f>
        <v>0</v>
      </c>
      <c r="AF60" s="423">
        <f>'ADJ DETAIL-INPUT'!AG61</f>
        <v>0</v>
      </c>
      <c r="AG60" s="423">
        <f>'ADJ DETAIL-INPUT'!AH61</f>
        <v>0</v>
      </c>
      <c r="AH60" s="423">
        <f>'ADJ DETAIL-INPUT'!AI61</f>
        <v>0</v>
      </c>
      <c r="AI60" s="423">
        <f>'ADJ DETAIL-INPUT'!AJ61</f>
        <v>0</v>
      </c>
      <c r="AJ60" s="423">
        <f>'ADJ DETAIL-INPUT'!AK61</f>
        <v>0</v>
      </c>
      <c r="AK60" s="423">
        <f>'ADJ DETAIL-INPUT'!AL61</f>
        <v>0</v>
      </c>
      <c r="AL60" s="423">
        <f>'ADJ DETAIL-INPUT'!AM61</f>
        <v>0</v>
      </c>
      <c r="AM60" s="423">
        <f>'ADJ DETAIL-INPUT'!AN61</f>
        <v>0</v>
      </c>
      <c r="AN60" s="423">
        <f>'ADJ DETAIL-INPUT'!AO61</f>
        <v>0</v>
      </c>
      <c r="AO60" s="423">
        <f>'ADJ DETAIL-INPUT'!AP61</f>
        <v>8504</v>
      </c>
      <c r="AP60" s="423">
        <f>'ADJ DETAIL-INPUT'!AQ61</f>
        <v>0</v>
      </c>
      <c r="AQ60" s="423">
        <f>'ADJ DETAIL-INPUT'!AR61</f>
        <v>649</v>
      </c>
      <c r="AR60" s="423">
        <f>'ADJ DETAIL-INPUT'!AS61</f>
        <v>41</v>
      </c>
      <c r="AS60" s="423">
        <f>'ADJ DETAIL-INPUT'!AT61</f>
        <v>6445</v>
      </c>
      <c r="AT60" s="423">
        <f>'ADJ DETAIL-INPUT'!AU61</f>
        <v>29982</v>
      </c>
      <c r="AU60" s="423">
        <f>'ADJ DETAIL-INPUT'!AV61</f>
        <v>242</v>
      </c>
      <c r="AV60" s="423">
        <f>'ADJ DETAIL-INPUT'!AX61</f>
        <v>3654.5158033470666</v>
      </c>
      <c r="AW60" s="423">
        <f>'ADJ DETAIL-INPUT'!AZ61</f>
        <v>0</v>
      </c>
      <c r="AX60" s="423">
        <f>'ADJ DETAIL-INPUT'!BB61</f>
        <v>0</v>
      </c>
      <c r="AY60" s="423">
        <f>'ADJ DETAIL-INPUT'!BC61</f>
        <v>0</v>
      </c>
      <c r="AZ60" s="423">
        <f>'ADJ DETAIL-INPUT'!BF61</f>
        <v>236505.53448649833</v>
      </c>
      <c r="BA60" s="423">
        <f>'ADJ DETAIL-INPUT'!BG61</f>
        <v>0</v>
      </c>
      <c r="BB60" s="423">
        <f>'ADJ DETAIL-INPUT'!BH61</f>
        <v>236505.53448649833</v>
      </c>
    </row>
    <row r="61" spans="1:54" s="424" customFormat="1">
      <c r="A61" s="425">
        <f>'ADJ DETAIL-INPUT'!A62</f>
        <v>33</v>
      </c>
      <c r="C61" s="424" t="str">
        <f>'ADJ DETAIL-INPUT'!C62</f>
        <v xml:space="preserve">Production  </v>
      </c>
      <c r="E61" s="431">
        <f>'ADJ DETAIL-INPUT'!E62</f>
        <v>930160</v>
      </c>
      <c r="F61" s="435">
        <f>'ADJ DETAIL-INPUT'!F62</f>
        <v>0</v>
      </c>
      <c r="G61" s="435">
        <f>'ADJ DETAIL-INPUT'!G62</f>
        <v>0</v>
      </c>
      <c r="H61" s="435">
        <f>'ADJ DETAIL-INPUT'!H62</f>
        <v>0</v>
      </c>
      <c r="I61" s="435">
        <f>'ADJ DETAIL-INPUT'!I62</f>
        <v>0</v>
      </c>
      <c r="J61" s="435">
        <f>'ADJ DETAIL-INPUT'!J62</f>
        <v>0</v>
      </c>
      <c r="K61" s="435">
        <f>'ADJ DETAIL-INPUT'!K62</f>
        <v>0</v>
      </c>
      <c r="L61" s="435">
        <f>'ADJ DETAIL-INPUT'!L62</f>
        <v>0</v>
      </c>
      <c r="M61" s="435">
        <f>'ADJ DETAIL-INPUT'!M62</f>
        <v>0</v>
      </c>
      <c r="N61" s="435">
        <f>'ADJ DETAIL-INPUT'!N62</f>
        <v>0</v>
      </c>
      <c r="O61" s="435">
        <f>'ADJ DETAIL-INPUT'!O62</f>
        <v>0</v>
      </c>
      <c r="P61" s="435">
        <f>'ADJ DETAIL-INPUT'!P62</f>
        <v>0</v>
      </c>
      <c r="Q61" s="435">
        <f>'ADJ DETAIL-INPUT'!Q62</f>
        <v>0</v>
      </c>
      <c r="R61" s="435">
        <f>'ADJ DETAIL-INPUT'!R62</f>
        <v>0</v>
      </c>
      <c r="S61" s="435">
        <f>'ADJ DETAIL-INPUT'!S62</f>
        <v>0</v>
      </c>
      <c r="T61" s="435">
        <f>'ADJ DETAIL-INPUT'!T62</f>
        <v>0</v>
      </c>
      <c r="U61" s="435">
        <f>'ADJ DETAIL-INPUT'!U62</f>
        <v>0</v>
      </c>
      <c r="V61" s="435">
        <f>'ADJ DETAIL-INPUT'!V62</f>
        <v>0</v>
      </c>
      <c r="W61" s="435">
        <f>'ADJ DETAIL-INPUT'!W62</f>
        <v>0</v>
      </c>
      <c r="X61" s="435">
        <f>'ADJ DETAIL-INPUT'!X62</f>
        <v>0</v>
      </c>
      <c r="Y61" s="435">
        <f>'ADJ DETAIL-INPUT'!Y62</f>
        <v>0</v>
      </c>
      <c r="Z61" s="435">
        <f>'ADJ DETAIL-INPUT'!Z62</f>
        <v>0</v>
      </c>
      <c r="AA61" s="435">
        <f>'ADJ DETAIL-INPUT'!AA62</f>
        <v>0</v>
      </c>
      <c r="AB61" s="435">
        <f>'ADJ DETAIL-INPUT'!AB62</f>
        <v>3318</v>
      </c>
      <c r="AC61" s="435">
        <f>'ADJ DETAIL-INPUT'!AD62</f>
        <v>0</v>
      </c>
      <c r="AD61" s="435">
        <f>'ADJ DETAIL-INPUT'!AE62</f>
        <v>0</v>
      </c>
      <c r="AE61" s="435">
        <f>'ADJ DETAIL-INPUT'!AF62</f>
        <v>0</v>
      </c>
      <c r="AF61" s="435">
        <f>'ADJ DETAIL-INPUT'!AG62</f>
        <v>0</v>
      </c>
      <c r="AG61" s="435">
        <f>'ADJ DETAIL-INPUT'!AH62</f>
        <v>0</v>
      </c>
      <c r="AH61" s="435">
        <f>'ADJ DETAIL-INPUT'!AI62</f>
        <v>0</v>
      </c>
      <c r="AI61" s="435">
        <f>'ADJ DETAIL-INPUT'!AJ62</f>
        <v>0</v>
      </c>
      <c r="AJ61" s="435">
        <f>'ADJ DETAIL-INPUT'!AK62</f>
        <v>0</v>
      </c>
      <c r="AK61" s="435">
        <f>'ADJ DETAIL-INPUT'!AL62</f>
        <v>0</v>
      </c>
      <c r="AL61" s="435">
        <f>'ADJ DETAIL-INPUT'!AM62</f>
        <v>0</v>
      </c>
      <c r="AM61" s="435">
        <f>'ADJ DETAIL-INPUT'!AN62</f>
        <v>0</v>
      </c>
      <c r="AN61" s="435">
        <f>'ADJ DETAIL-INPUT'!AO62</f>
        <v>0</v>
      </c>
      <c r="AO61" s="435">
        <f>'ADJ DETAIL-INPUT'!AP62</f>
        <v>0</v>
      </c>
      <c r="AP61" s="435">
        <f>'ADJ DETAIL-INPUT'!AQ62</f>
        <v>1704</v>
      </c>
      <c r="AQ61" s="435">
        <f>'ADJ DETAIL-INPUT'!AR62</f>
        <v>1831</v>
      </c>
      <c r="AR61" s="435">
        <f>'ADJ DETAIL-INPUT'!AS62</f>
        <v>1150</v>
      </c>
      <c r="AS61" s="435">
        <f>'ADJ DETAIL-INPUT'!AT62</f>
        <v>0</v>
      </c>
      <c r="AT61" s="435">
        <f>'ADJ DETAIL-INPUT'!AU62</f>
        <v>0</v>
      </c>
      <c r="AU61" s="435">
        <f>'ADJ DETAIL-INPUT'!AV62</f>
        <v>0</v>
      </c>
      <c r="AV61" s="435">
        <f>'ADJ DETAIL-INPUT'!AX62</f>
        <v>3636.8219566918365</v>
      </c>
      <c r="AW61" s="435">
        <f>'ADJ DETAIL-INPUT'!AZ62</f>
        <v>4806</v>
      </c>
      <c r="AX61" s="435">
        <f>'ADJ DETAIL-INPUT'!BB62</f>
        <v>0</v>
      </c>
      <c r="AY61" s="435">
        <f>'ADJ DETAIL-INPUT'!BC62</f>
        <v>0</v>
      </c>
      <c r="AZ61" s="435">
        <f>'ADJ DETAIL-INPUT'!BF62</f>
        <v>948263.8219566918</v>
      </c>
      <c r="BA61" s="435">
        <f>'ADJ DETAIL-INPUT'!BG62</f>
        <v>0</v>
      </c>
      <c r="BB61" s="435">
        <f>'ADJ DETAIL-INPUT'!BH62</f>
        <v>948263.8219566918</v>
      </c>
    </row>
    <row r="62" spans="1:54" s="424" customFormat="1">
      <c r="A62" s="425">
        <f>'ADJ DETAIL-INPUT'!A63</f>
        <v>34</v>
      </c>
      <c r="C62" s="424" t="str">
        <f>'ADJ DETAIL-INPUT'!C63</f>
        <v xml:space="preserve">Transmission  </v>
      </c>
      <c r="E62" s="431">
        <f>'ADJ DETAIL-INPUT'!E63</f>
        <v>509897</v>
      </c>
      <c r="F62" s="435">
        <f>'ADJ DETAIL-INPUT'!F63</f>
        <v>0</v>
      </c>
      <c r="G62" s="435">
        <f>'ADJ DETAIL-INPUT'!G63</f>
        <v>0</v>
      </c>
      <c r="H62" s="435">
        <f>'ADJ DETAIL-INPUT'!H63</f>
        <v>0</v>
      </c>
      <c r="I62" s="435">
        <f>'ADJ DETAIL-INPUT'!I63</f>
        <v>0</v>
      </c>
      <c r="J62" s="435">
        <f>'ADJ DETAIL-INPUT'!J63</f>
        <v>0</v>
      </c>
      <c r="K62" s="435">
        <f>'ADJ DETAIL-INPUT'!K63</f>
        <v>0</v>
      </c>
      <c r="L62" s="435">
        <f>'ADJ DETAIL-INPUT'!L63</f>
        <v>0</v>
      </c>
      <c r="M62" s="435">
        <f>'ADJ DETAIL-INPUT'!M63</f>
        <v>0</v>
      </c>
      <c r="N62" s="435">
        <f>'ADJ DETAIL-INPUT'!N63</f>
        <v>0</v>
      </c>
      <c r="O62" s="435">
        <f>'ADJ DETAIL-INPUT'!O63</f>
        <v>0</v>
      </c>
      <c r="P62" s="435">
        <f>'ADJ DETAIL-INPUT'!P63</f>
        <v>0</v>
      </c>
      <c r="Q62" s="435">
        <f>'ADJ DETAIL-INPUT'!Q63</f>
        <v>0</v>
      </c>
      <c r="R62" s="435">
        <f>'ADJ DETAIL-INPUT'!R63</f>
        <v>0</v>
      </c>
      <c r="S62" s="435">
        <f>'ADJ DETAIL-INPUT'!S63</f>
        <v>0</v>
      </c>
      <c r="T62" s="435">
        <f>'ADJ DETAIL-INPUT'!T63</f>
        <v>0</v>
      </c>
      <c r="U62" s="435">
        <f>'ADJ DETAIL-INPUT'!U63</f>
        <v>0</v>
      </c>
      <c r="V62" s="435">
        <f>'ADJ DETAIL-INPUT'!V63</f>
        <v>0</v>
      </c>
      <c r="W62" s="435">
        <f>'ADJ DETAIL-INPUT'!W63</f>
        <v>0</v>
      </c>
      <c r="X62" s="435">
        <f>'ADJ DETAIL-INPUT'!X63</f>
        <v>0</v>
      </c>
      <c r="Y62" s="435">
        <f>'ADJ DETAIL-INPUT'!Y63</f>
        <v>0</v>
      </c>
      <c r="Z62" s="435">
        <f>'ADJ DETAIL-INPUT'!Z63</f>
        <v>0</v>
      </c>
      <c r="AA62" s="435">
        <f>'ADJ DETAIL-INPUT'!AA63</f>
        <v>0</v>
      </c>
      <c r="AB62" s="435">
        <f>'ADJ DETAIL-INPUT'!AB63</f>
        <v>17967.087999999989</v>
      </c>
      <c r="AC62" s="435">
        <f>'ADJ DETAIL-INPUT'!AD63</f>
        <v>0</v>
      </c>
      <c r="AD62" s="435">
        <f>'ADJ DETAIL-INPUT'!AE63</f>
        <v>0</v>
      </c>
      <c r="AE62" s="435">
        <f>'ADJ DETAIL-INPUT'!AF63</f>
        <v>0</v>
      </c>
      <c r="AF62" s="435">
        <f>'ADJ DETAIL-INPUT'!AG63</f>
        <v>0</v>
      </c>
      <c r="AG62" s="435">
        <f>'ADJ DETAIL-INPUT'!AH63</f>
        <v>0</v>
      </c>
      <c r="AH62" s="435">
        <f>'ADJ DETAIL-INPUT'!AI63</f>
        <v>0</v>
      </c>
      <c r="AI62" s="435">
        <f>'ADJ DETAIL-INPUT'!AJ63</f>
        <v>0</v>
      </c>
      <c r="AJ62" s="435">
        <f>'ADJ DETAIL-INPUT'!AK63</f>
        <v>0</v>
      </c>
      <c r="AK62" s="435">
        <f>'ADJ DETAIL-INPUT'!AL63</f>
        <v>0</v>
      </c>
      <c r="AL62" s="435">
        <f>'ADJ DETAIL-INPUT'!AM63</f>
        <v>0</v>
      </c>
      <c r="AM62" s="435">
        <f>'ADJ DETAIL-INPUT'!AN63</f>
        <v>0</v>
      </c>
      <c r="AN62" s="435">
        <f>'ADJ DETAIL-INPUT'!AO63</f>
        <v>0</v>
      </c>
      <c r="AO62" s="435">
        <f>'ADJ DETAIL-INPUT'!AP63</f>
        <v>0</v>
      </c>
      <c r="AP62" s="435">
        <f>'ADJ DETAIL-INPUT'!AQ63</f>
        <v>7977</v>
      </c>
      <c r="AQ62" s="435">
        <f>'ADJ DETAIL-INPUT'!AR63</f>
        <v>6737</v>
      </c>
      <c r="AR62" s="435">
        <f>'ADJ DETAIL-INPUT'!AS63</f>
        <v>24579</v>
      </c>
      <c r="AS62" s="435">
        <f>'ADJ DETAIL-INPUT'!AT63</f>
        <v>0</v>
      </c>
      <c r="AT62" s="435">
        <f>'ADJ DETAIL-INPUT'!AU63</f>
        <v>0</v>
      </c>
      <c r="AU62" s="435">
        <f>'ADJ DETAIL-INPUT'!AV63</f>
        <v>2264.4756959887491</v>
      </c>
      <c r="AV62" s="435">
        <f>'ADJ DETAIL-INPUT'!AX63</f>
        <v>1502.5084696382678</v>
      </c>
      <c r="AW62" s="435">
        <f>'ADJ DETAIL-INPUT'!AZ63</f>
        <v>0</v>
      </c>
      <c r="AX62" s="435">
        <f>'ADJ DETAIL-INPUT'!BB63</f>
        <v>0</v>
      </c>
      <c r="AY62" s="435">
        <f>'ADJ DETAIL-INPUT'!BC63</f>
        <v>0</v>
      </c>
      <c r="AZ62" s="435">
        <f>'ADJ DETAIL-INPUT'!BF63</f>
        <v>571171.58987126488</v>
      </c>
      <c r="BA62" s="435">
        <f>'ADJ DETAIL-INPUT'!BG63</f>
        <v>0</v>
      </c>
      <c r="BB62" s="435">
        <f>'ADJ DETAIL-INPUT'!BH63</f>
        <v>571171.58987126488</v>
      </c>
    </row>
    <row r="63" spans="1:54" s="424" customFormat="1">
      <c r="A63" s="425">
        <f>'ADJ DETAIL-INPUT'!A64</f>
        <v>35</v>
      </c>
      <c r="C63" s="424" t="str">
        <f>'ADJ DETAIL-INPUT'!C64</f>
        <v xml:space="preserve">Distribution  </v>
      </c>
      <c r="E63" s="431">
        <f>'ADJ DETAIL-INPUT'!E64</f>
        <v>1194477</v>
      </c>
      <c r="F63" s="435">
        <f>'ADJ DETAIL-INPUT'!F64</f>
        <v>0</v>
      </c>
      <c r="G63" s="435">
        <f>'ADJ DETAIL-INPUT'!G64</f>
        <v>0</v>
      </c>
      <c r="H63" s="435">
        <f>'ADJ DETAIL-INPUT'!H64</f>
        <v>0</v>
      </c>
      <c r="I63" s="435">
        <f>'ADJ DETAIL-INPUT'!I64</f>
        <v>-19146</v>
      </c>
      <c r="J63" s="435">
        <f>'ADJ DETAIL-INPUT'!J64</f>
        <v>0</v>
      </c>
      <c r="K63" s="435">
        <f>'ADJ DETAIL-INPUT'!K64</f>
        <v>0</v>
      </c>
      <c r="L63" s="435">
        <f>'ADJ DETAIL-INPUT'!L64</f>
        <v>0</v>
      </c>
      <c r="M63" s="435">
        <f>'ADJ DETAIL-INPUT'!M64</f>
        <v>0</v>
      </c>
      <c r="N63" s="435">
        <f>'ADJ DETAIL-INPUT'!N64</f>
        <v>0</v>
      </c>
      <c r="O63" s="435">
        <f>'ADJ DETAIL-INPUT'!O64</f>
        <v>0</v>
      </c>
      <c r="P63" s="435">
        <f>'ADJ DETAIL-INPUT'!P64</f>
        <v>0</v>
      </c>
      <c r="Q63" s="435">
        <f>'ADJ DETAIL-INPUT'!Q64</f>
        <v>0</v>
      </c>
      <c r="R63" s="435">
        <f>'ADJ DETAIL-INPUT'!R64</f>
        <v>0</v>
      </c>
      <c r="S63" s="435">
        <f>'ADJ DETAIL-INPUT'!S64</f>
        <v>0</v>
      </c>
      <c r="T63" s="435">
        <f>'ADJ DETAIL-INPUT'!T64</f>
        <v>0</v>
      </c>
      <c r="U63" s="435">
        <f>'ADJ DETAIL-INPUT'!U64</f>
        <v>0</v>
      </c>
      <c r="V63" s="435">
        <f>'ADJ DETAIL-INPUT'!V64</f>
        <v>0</v>
      </c>
      <c r="W63" s="435">
        <f>'ADJ DETAIL-INPUT'!W64</f>
        <v>0</v>
      </c>
      <c r="X63" s="435">
        <f>'ADJ DETAIL-INPUT'!X64</f>
        <v>0</v>
      </c>
      <c r="Y63" s="435">
        <f>'ADJ DETAIL-INPUT'!Y64</f>
        <v>0</v>
      </c>
      <c r="Z63" s="435">
        <f>'ADJ DETAIL-INPUT'!Z64</f>
        <v>0</v>
      </c>
      <c r="AA63" s="435">
        <f>'ADJ DETAIL-INPUT'!AA64</f>
        <v>0</v>
      </c>
      <c r="AB63" s="435">
        <f>'ADJ DETAIL-INPUT'!AB64</f>
        <v>7509.7858044323584</v>
      </c>
      <c r="AC63" s="435">
        <f>'ADJ DETAIL-INPUT'!AD64</f>
        <v>0</v>
      </c>
      <c r="AD63" s="435">
        <f>'ADJ DETAIL-INPUT'!AE64</f>
        <v>0</v>
      </c>
      <c r="AE63" s="435">
        <f>'ADJ DETAIL-INPUT'!AF64</f>
        <v>0</v>
      </c>
      <c r="AF63" s="435">
        <f>'ADJ DETAIL-INPUT'!AG64</f>
        <v>0</v>
      </c>
      <c r="AG63" s="435">
        <f>'ADJ DETAIL-INPUT'!AH64</f>
        <v>0</v>
      </c>
      <c r="AH63" s="435">
        <f>'ADJ DETAIL-INPUT'!AI64</f>
        <v>0</v>
      </c>
      <c r="AI63" s="435">
        <f>'ADJ DETAIL-INPUT'!AJ64</f>
        <v>0</v>
      </c>
      <c r="AJ63" s="435">
        <f>'ADJ DETAIL-INPUT'!AK64</f>
        <v>0</v>
      </c>
      <c r="AK63" s="435">
        <f>'ADJ DETAIL-INPUT'!AL64</f>
        <v>0</v>
      </c>
      <c r="AL63" s="435">
        <f>'ADJ DETAIL-INPUT'!AM64</f>
        <v>0</v>
      </c>
      <c r="AM63" s="435">
        <f>'ADJ DETAIL-INPUT'!AN64</f>
        <v>0</v>
      </c>
      <c r="AN63" s="435">
        <f>'ADJ DETAIL-INPUT'!AO64</f>
        <v>0</v>
      </c>
      <c r="AO63" s="435">
        <f>'ADJ DETAIL-INPUT'!AP64</f>
        <v>0</v>
      </c>
      <c r="AP63" s="435">
        <f>'ADJ DETAIL-INPUT'!AQ64</f>
        <v>1761</v>
      </c>
      <c r="AQ63" s="435">
        <f>'ADJ DETAIL-INPUT'!AR64</f>
        <v>21415</v>
      </c>
      <c r="AR63" s="435">
        <f>'ADJ DETAIL-INPUT'!AS64</f>
        <v>5735</v>
      </c>
      <c r="AS63" s="435">
        <f>'ADJ DETAIL-INPUT'!AT64</f>
        <v>0</v>
      </c>
      <c r="AT63" s="435">
        <f>'ADJ DETAIL-INPUT'!AU64</f>
        <v>33814</v>
      </c>
      <c r="AU63" s="435">
        <f>'ADJ DETAIL-INPUT'!AV64</f>
        <v>7244.470171663671</v>
      </c>
      <c r="AV63" s="435">
        <f>'ADJ DETAIL-INPUT'!AX64</f>
        <v>187.14045078018191</v>
      </c>
      <c r="AW63" s="435">
        <f>'ADJ DETAIL-INPUT'!AZ64</f>
        <v>0</v>
      </c>
      <c r="AX63" s="435">
        <f>'ADJ DETAIL-INPUT'!BB64</f>
        <v>0</v>
      </c>
      <c r="AY63" s="435">
        <f>'ADJ DETAIL-INPUT'!BC64</f>
        <v>0</v>
      </c>
      <c r="AZ63" s="435">
        <f>'ADJ DETAIL-INPUT'!BF64</f>
        <v>1254568.8904596339</v>
      </c>
      <c r="BA63" s="435">
        <f>'ADJ DETAIL-INPUT'!BG64</f>
        <v>0</v>
      </c>
      <c r="BB63" s="435">
        <f>'ADJ DETAIL-INPUT'!BH64</f>
        <v>1254568.8904596339</v>
      </c>
    </row>
    <row r="64" spans="1:54" s="424" customFormat="1">
      <c r="A64" s="425">
        <f>'ADJ DETAIL-INPUT'!A65</f>
        <v>36</v>
      </c>
      <c r="C64" s="424" t="str">
        <f>'ADJ DETAIL-INPUT'!C65</f>
        <v xml:space="preserve">General  </v>
      </c>
      <c r="E64" s="454">
        <f>'ADJ DETAIL-INPUT'!E65</f>
        <v>279556</v>
      </c>
      <c r="F64" s="444">
        <f>'ADJ DETAIL-INPUT'!F65</f>
        <v>0</v>
      </c>
      <c r="G64" s="444">
        <f>'ADJ DETAIL-INPUT'!G65</f>
        <v>0</v>
      </c>
      <c r="H64" s="444">
        <f>'ADJ DETAIL-INPUT'!H65</f>
        <v>0</v>
      </c>
      <c r="I64" s="444">
        <f>'ADJ DETAIL-INPUT'!I65</f>
        <v>-8297</v>
      </c>
      <c r="J64" s="444">
        <f>'ADJ DETAIL-INPUT'!J65</f>
        <v>0</v>
      </c>
      <c r="K64" s="444">
        <f>'ADJ DETAIL-INPUT'!K65</f>
        <v>0</v>
      </c>
      <c r="L64" s="444">
        <f>'ADJ DETAIL-INPUT'!L65</f>
        <v>0</v>
      </c>
      <c r="M64" s="444">
        <f>'ADJ DETAIL-INPUT'!M65</f>
        <v>0</v>
      </c>
      <c r="N64" s="444">
        <f>'ADJ DETAIL-INPUT'!N65</f>
        <v>0</v>
      </c>
      <c r="O64" s="444">
        <f>'ADJ DETAIL-INPUT'!O65</f>
        <v>0</v>
      </c>
      <c r="P64" s="444">
        <f>'ADJ DETAIL-INPUT'!P65</f>
        <v>0</v>
      </c>
      <c r="Q64" s="444">
        <f>'ADJ DETAIL-INPUT'!Q65</f>
        <v>0</v>
      </c>
      <c r="R64" s="444">
        <f>'ADJ DETAIL-INPUT'!R65</f>
        <v>0</v>
      </c>
      <c r="S64" s="444">
        <f>'ADJ DETAIL-INPUT'!S65</f>
        <v>0</v>
      </c>
      <c r="T64" s="444">
        <f>'ADJ DETAIL-INPUT'!T65</f>
        <v>0</v>
      </c>
      <c r="U64" s="444">
        <f>'ADJ DETAIL-INPUT'!U65</f>
        <v>0</v>
      </c>
      <c r="V64" s="444">
        <f>'ADJ DETAIL-INPUT'!V65</f>
        <v>0</v>
      </c>
      <c r="W64" s="444">
        <f>'ADJ DETAIL-INPUT'!W65</f>
        <v>0</v>
      </c>
      <c r="X64" s="444">
        <f>'ADJ DETAIL-INPUT'!X65</f>
        <v>0</v>
      </c>
      <c r="Y64" s="444">
        <f>'ADJ DETAIL-INPUT'!Y65</f>
        <v>0</v>
      </c>
      <c r="Z64" s="444">
        <f>'ADJ DETAIL-INPUT'!Z65</f>
        <v>0</v>
      </c>
      <c r="AA64" s="444">
        <f>'ADJ DETAIL-INPUT'!AA65</f>
        <v>0</v>
      </c>
      <c r="AB64" s="444">
        <f>'ADJ DETAIL-INPUT'!AB65</f>
        <v>5613.0008319739036</v>
      </c>
      <c r="AC64" s="444">
        <f>'ADJ DETAIL-INPUT'!AD65</f>
        <v>0</v>
      </c>
      <c r="AD64" s="444">
        <f>'ADJ DETAIL-INPUT'!AE65</f>
        <v>0</v>
      </c>
      <c r="AE64" s="444">
        <f>'ADJ DETAIL-INPUT'!AF65</f>
        <v>0</v>
      </c>
      <c r="AF64" s="444">
        <f>'ADJ DETAIL-INPUT'!AG65</f>
        <v>0</v>
      </c>
      <c r="AG64" s="444">
        <f>'ADJ DETAIL-INPUT'!AH65</f>
        <v>0</v>
      </c>
      <c r="AH64" s="444">
        <f>'ADJ DETAIL-INPUT'!AI65</f>
        <v>0</v>
      </c>
      <c r="AI64" s="444">
        <f>'ADJ DETAIL-INPUT'!AJ65</f>
        <v>0</v>
      </c>
      <c r="AJ64" s="444">
        <f>'ADJ DETAIL-INPUT'!AK65</f>
        <v>0</v>
      </c>
      <c r="AK64" s="444">
        <f>'ADJ DETAIL-INPUT'!AL65</f>
        <v>0</v>
      </c>
      <c r="AL64" s="444">
        <f>'ADJ DETAIL-INPUT'!AM65</f>
        <v>0</v>
      </c>
      <c r="AM64" s="444">
        <f>'ADJ DETAIL-INPUT'!AN65</f>
        <v>0</v>
      </c>
      <c r="AN64" s="444">
        <f>'ADJ DETAIL-INPUT'!AO65</f>
        <v>0</v>
      </c>
      <c r="AO64" s="444">
        <f>'ADJ DETAIL-INPUT'!AP65</f>
        <v>-9</v>
      </c>
      <c r="AP64" s="444">
        <f>'ADJ DETAIL-INPUT'!AQ65</f>
        <v>865</v>
      </c>
      <c r="AQ64" s="444">
        <f>'ADJ DETAIL-INPUT'!AR65</f>
        <v>1403</v>
      </c>
      <c r="AR64" s="444">
        <f>'ADJ DETAIL-INPUT'!AS65</f>
        <v>-72</v>
      </c>
      <c r="AS64" s="444">
        <f>'ADJ DETAIL-INPUT'!AT65</f>
        <v>-140</v>
      </c>
      <c r="AT64" s="444">
        <f>'ADJ DETAIL-INPUT'!AU65</f>
        <v>12782</v>
      </c>
      <c r="AU64" s="444">
        <f>'ADJ DETAIL-INPUT'!AV65</f>
        <v>0</v>
      </c>
      <c r="AV64" s="444">
        <f>'ADJ DETAIL-INPUT'!AX65</f>
        <v>827.63720375973105</v>
      </c>
      <c r="AW64" s="444">
        <f>'ADJ DETAIL-INPUT'!AZ65</f>
        <v>0</v>
      </c>
      <c r="AX64" s="444">
        <f>'ADJ DETAIL-INPUT'!BB65</f>
        <v>0</v>
      </c>
      <c r="AY64" s="444">
        <f>'ADJ DETAIL-INPUT'!BC65</f>
        <v>0</v>
      </c>
      <c r="AZ64" s="444">
        <f>'ADJ DETAIL-INPUT'!BF65</f>
        <v>292528.63803573366</v>
      </c>
      <c r="BA64" s="444">
        <f>'ADJ DETAIL-INPUT'!BG65</f>
        <v>0</v>
      </c>
      <c r="BB64" s="444">
        <f>'ADJ DETAIL-INPUT'!BH65</f>
        <v>292528.63803573366</v>
      </c>
    </row>
    <row r="65" spans="1:54" s="424" customFormat="1">
      <c r="A65" s="425">
        <f>'ADJ DETAIL-INPUT'!A66</f>
        <v>37</v>
      </c>
      <c r="B65" s="424" t="str">
        <f>'ADJ DETAIL-INPUT'!B66</f>
        <v xml:space="preserve">Total Plant in Service  </v>
      </c>
      <c r="E65" s="436">
        <f>'ADJ DETAIL-INPUT'!E66</f>
        <v>3125125</v>
      </c>
      <c r="F65" s="435">
        <f>'ADJ DETAIL-INPUT'!F66</f>
        <v>0</v>
      </c>
      <c r="G65" s="435">
        <f>'ADJ DETAIL-INPUT'!G66</f>
        <v>0</v>
      </c>
      <c r="H65" s="435">
        <f>'ADJ DETAIL-INPUT'!H66</f>
        <v>0</v>
      </c>
      <c r="I65" s="435">
        <f>'ADJ DETAIL-INPUT'!I66</f>
        <v>-57668</v>
      </c>
      <c r="J65" s="435">
        <f>'ADJ DETAIL-INPUT'!J66</f>
        <v>0</v>
      </c>
      <c r="K65" s="435">
        <f>'ADJ DETAIL-INPUT'!K66</f>
        <v>0</v>
      </c>
      <c r="L65" s="435">
        <f>'ADJ DETAIL-INPUT'!L66</f>
        <v>0</v>
      </c>
      <c r="M65" s="435">
        <f>'ADJ DETAIL-INPUT'!M66</f>
        <v>0</v>
      </c>
      <c r="N65" s="435">
        <f>'ADJ DETAIL-INPUT'!N66</f>
        <v>0</v>
      </c>
      <c r="O65" s="435">
        <f>'ADJ DETAIL-INPUT'!O66</f>
        <v>0</v>
      </c>
      <c r="P65" s="435">
        <f>'ADJ DETAIL-INPUT'!P66</f>
        <v>0</v>
      </c>
      <c r="Q65" s="435">
        <f>'ADJ DETAIL-INPUT'!Q66</f>
        <v>0</v>
      </c>
      <c r="R65" s="435">
        <f>'ADJ DETAIL-INPUT'!R66</f>
        <v>0</v>
      </c>
      <c r="S65" s="435">
        <f>'ADJ DETAIL-INPUT'!S66</f>
        <v>0</v>
      </c>
      <c r="T65" s="435">
        <f>'ADJ DETAIL-INPUT'!T66</f>
        <v>0</v>
      </c>
      <c r="U65" s="435">
        <f>'ADJ DETAIL-INPUT'!U66</f>
        <v>0</v>
      </c>
      <c r="V65" s="435">
        <f>'ADJ DETAIL-INPUT'!V66</f>
        <v>0</v>
      </c>
      <c r="W65" s="435">
        <f>'ADJ DETAIL-INPUT'!W66</f>
        <v>0</v>
      </c>
      <c r="X65" s="435">
        <f>'ADJ DETAIL-INPUT'!X66</f>
        <v>0</v>
      </c>
      <c r="Y65" s="435">
        <f>'ADJ DETAIL-INPUT'!Y66</f>
        <v>0</v>
      </c>
      <c r="Z65" s="435">
        <f>'ADJ DETAIL-INPUT'!Z66</f>
        <v>0</v>
      </c>
      <c r="AA65" s="435">
        <f>'ADJ DETAIL-INPUT'!AA66</f>
        <v>0</v>
      </c>
      <c r="AB65" s="435">
        <f>'ADJ DETAIL-INPUT'!AB66</f>
        <v>36486.987167145002</v>
      </c>
      <c r="AC65" s="435">
        <f>'ADJ DETAIL-INPUT'!AD66</f>
        <v>0</v>
      </c>
      <c r="AD65" s="435">
        <f>'ADJ DETAIL-INPUT'!AE66</f>
        <v>0</v>
      </c>
      <c r="AE65" s="435">
        <f>'ADJ DETAIL-INPUT'!AF66</f>
        <v>0</v>
      </c>
      <c r="AF65" s="435">
        <f>'ADJ DETAIL-INPUT'!AG66</f>
        <v>0</v>
      </c>
      <c r="AG65" s="435">
        <f>'ADJ DETAIL-INPUT'!AH66</f>
        <v>0</v>
      </c>
      <c r="AH65" s="435">
        <f>'ADJ DETAIL-INPUT'!AI66</f>
        <v>0</v>
      </c>
      <c r="AI65" s="435">
        <f>'ADJ DETAIL-INPUT'!AJ66</f>
        <v>0</v>
      </c>
      <c r="AJ65" s="435">
        <f>'ADJ DETAIL-INPUT'!AK66</f>
        <v>0</v>
      </c>
      <c r="AK65" s="435">
        <f>'ADJ DETAIL-INPUT'!AL66</f>
        <v>0</v>
      </c>
      <c r="AL65" s="435">
        <f>'ADJ DETAIL-INPUT'!AM66</f>
        <v>0</v>
      </c>
      <c r="AM65" s="435">
        <f>'ADJ DETAIL-INPUT'!AN66</f>
        <v>0</v>
      </c>
      <c r="AN65" s="435">
        <f>'ADJ DETAIL-INPUT'!AO66</f>
        <v>0</v>
      </c>
      <c r="AO65" s="435">
        <f>'ADJ DETAIL-INPUT'!AP66</f>
        <v>8495</v>
      </c>
      <c r="AP65" s="435">
        <f>'ADJ DETAIL-INPUT'!AQ66</f>
        <v>12307</v>
      </c>
      <c r="AQ65" s="435">
        <f>'ADJ DETAIL-INPUT'!AR66</f>
        <v>32035</v>
      </c>
      <c r="AR65" s="435">
        <f>'ADJ DETAIL-INPUT'!AS66</f>
        <v>31433</v>
      </c>
      <c r="AS65" s="435">
        <f>'ADJ DETAIL-INPUT'!AT66</f>
        <v>6305</v>
      </c>
      <c r="AT65" s="435">
        <f>'ADJ DETAIL-INPUT'!AU66</f>
        <v>76578</v>
      </c>
      <c r="AU65" s="435">
        <f>'ADJ DETAIL-INPUT'!AV66</f>
        <v>9750.9458676524191</v>
      </c>
      <c r="AV65" s="435">
        <f>'ADJ DETAIL-INPUT'!AX66</f>
        <v>9808.6238842170824</v>
      </c>
      <c r="AW65" s="435">
        <f>'ADJ DETAIL-INPUT'!AZ66</f>
        <v>4806</v>
      </c>
      <c r="AX65" s="435">
        <f>'ADJ DETAIL-INPUT'!BB66</f>
        <v>0</v>
      </c>
      <c r="AY65" s="435">
        <f>'ADJ DETAIL-INPUT'!BC66</f>
        <v>0</v>
      </c>
      <c r="AZ65" s="435">
        <f>'ADJ DETAIL-INPUT'!BF66</f>
        <v>3303038.4748098222</v>
      </c>
      <c r="BA65" s="435">
        <f>'ADJ DETAIL-INPUT'!BG66</f>
        <v>0</v>
      </c>
      <c r="BB65" s="435">
        <f>'ADJ DETAIL-INPUT'!BH66</f>
        <v>3303038.4748098222</v>
      </c>
    </row>
    <row r="66" spans="1:54" s="424" customFormat="1">
      <c r="A66" s="425"/>
      <c r="B66" s="424" t="str">
        <f>'ADJ DETAIL-INPUT'!B67</f>
        <v>ACCUMULATED DEPRECIATION/AMORT</v>
      </c>
      <c r="E66" s="436"/>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row>
    <row r="67" spans="1:54" s="424" customFormat="1">
      <c r="A67" s="425">
        <f>'ADJ DETAIL-INPUT'!A68</f>
        <v>38</v>
      </c>
      <c r="C67" s="423" t="str">
        <f>'ADJ DETAIL-INPUT'!C68</f>
        <v xml:space="preserve">Intangible  </v>
      </c>
      <c r="E67" s="431">
        <f>'ADJ DETAIL-INPUT'!E68</f>
        <v>-57078</v>
      </c>
      <c r="F67" s="435">
        <f>'ADJ DETAIL-INPUT'!F68</f>
        <v>0</v>
      </c>
      <c r="G67" s="435">
        <f>'ADJ DETAIL-INPUT'!G68</f>
        <v>0</v>
      </c>
      <c r="H67" s="435">
        <f>'ADJ DETAIL-INPUT'!H68</f>
        <v>0</v>
      </c>
      <c r="I67" s="435">
        <f>'ADJ DETAIL-INPUT'!I68</f>
        <v>4432</v>
      </c>
      <c r="J67" s="435">
        <f>'ADJ DETAIL-INPUT'!J68</f>
        <v>0</v>
      </c>
      <c r="K67" s="435">
        <f>'ADJ DETAIL-INPUT'!K68</f>
        <v>0</v>
      </c>
      <c r="L67" s="435">
        <f>'ADJ DETAIL-INPUT'!L68</f>
        <v>0</v>
      </c>
      <c r="M67" s="435">
        <f>'ADJ DETAIL-INPUT'!M68</f>
        <v>0</v>
      </c>
      <c r="N67" s="435">
        <f>'ADJ DETAIL-INPUT'!N68</f>
        <v>0</v>
      </c>
      <c r="O67" s="435">
        <f>'ADJ DETAIL-INPUT'!O68</f>
        <v>0</v>
      </c>
      <c r="P67" s="435">
        <f>'ADJ DETAIL-INPUT'!P68</f>
        <v>0</v>
      </c>
      <c r="Q67" s="435">
        <f>'ADJ DETAIL-INPUT'!Q68</f>
        <v>0</v>
      </c>
      <c r="R67" s="435">
        <f>'ADJ DETAIL-INPUT'!R68</f>
        <v>0</v>
      </c>
      <c r="S67" s="435">
        <f>'ADJ DETAIL-INPUT'!S68</f>
        <v>0</v>
      </c>
      <c r="T67" s="435">
        <f>'ADJ DETAIL-INPUT'!T68</f>
        <v>0</v>
      </c>
      <c r="U67" s="435">
        <f>'ADJ DETAIL-INPUT'!U68</f>
        <v>0</v>
      </c>
      <c r="V67" s="435">
        <f>'ADJ DETAIL-INPUT'!V68</f>
        <v>0</v>
      </c>
      <c r="W67" s="435">
        <f>'ADJ DETAIL-INPUT'!W68</f>
        <v>0</v>
      </c>
      <c r="X67" s="435">
        <f>'ADJ DETAIL-INPUT'!X68</f>
        <v>0</v>
      </c>
      <c r="Y67" s="435">
        <f>'ADJ DETAIL-INPUT'!Y68</f>
        <v>0</v>
      </c>
      <c r="Z67" s="435">
        <f>'ADJ DETAIL-INPUT'!Z68</f>
        <v>0</v>
      </c>
      <c r="AA67" s="435">
        <f>'ADJ DETAIL-INPUT'!AA68</f>
        <v>0</v>
      </c>
      <c r="AB67" s="435">
        <f>'ADJ DETAIL-INPUT'!AB68</f>
        <v>-5313.6517048432197</v>
      </c>
      <c r="AC67" s="435">
        <f>'ADJ DETAIL-INPUT'!AD68</f>
        <v>0</v>
      </c>
      <c r="AD67" s="435">
        <f>'ADJ DETAIL-INPUT'!AE68</f>
        <v>0</v>
      </c>
      <c r="AE67" s="435">
        <f>'ADJ DETAIL-INPUT'!AF68</f>
        <v>0</v>
      </c>
      <c r="AF67" s="435">
        <f>'ADJ DETAIL-INPUT'!AG68</f>
        <v>0</v>
      </c>
      <c r="AG67" s="435">
        <f>'ADJ DETAIL-INPUT'!AH68</f>
        <v>0</v>
      </c>
      <c r="AH67" s="435">
        <f>'ADJ DETAIL-INPUT'!AI68</f>
        <v>0</v>
      </c>
      <c r="AI67" s="435">
        <f>'ADJ DETAIL-INPUT'!AJ68</f>
        <v>0</v>
      </c>
      <c r="AJ67" s="435">
        <f>'ADJ DETAIL-INPUT'!AK68</f>
        <v>0</v>
      </c>
      <c r="AK67" s="435">
        <f>'ADJ DETAIL-INPUT'!AL68</f>
        <v>0</v>
      </c>
      <c r="AL67" s="435">
        <f>'ADJ DETAIL-INPUT'!AM68</f>
        <v>0</v>
      </c>
      <c r="AM67" s="435">
        <f>'ADJ DETAIL-INPUT'!AN68</f>
        <v>0</v>
      </c>
      <c r="AN67" s="435">
        <f>'ADJ DETAIL-INPUT'!AO68</f>
        <v>0</v>
      </c>
      <c r="AO67" s="435">
        <f>'ADJ DETAIL-INPUT'!AP68</f>
        <v>1866</v>
      </c>
      <c r="AP67" s="435">
        <f>'ADJ DETAIL-INPUT'!AQ68</f>
        <v>0</v>
      </c>
      <c r="AQ67" s="435">
        <f>'ADJ DETAIL-INPUT'!AR68</f>
        <v>190</v>
      </c>
      <c r="AR67" s="435">
        <f>'ADJ DETAIL-INPUT'!AS68</f>
        <v>8</v>
      </c>
      <c r="AS67" s="435">
        <f>'ADJ DETAIL-INPUT'!AT68</f>
        <v>1310</v>
      </c>
      <c r="AT67" s="435">
        <f>'ADJ DETAIL-INPUT'!AU68</f>
        <v>-16280</v>
      </c>
      <c r="AU67" s="435">
        <f>'ADJ DETAIL-INPUT'!AV68</f>
        <v>-42.333832007293744</v>
      </c>
      <c r="AV67" s="435">
        <f>'ADJ DETAIL-INPUT'!AX68</f>
        <v>-752.22625098575622</v>
      </c>
      <c r="AW67" s="435">
        <f>'ADJ DETAIL-INPUT'!AZ68</f>
        <v>0</v>
      </c>
      <c r="AX67" s="435">
        <f>'ADJ DETAIL-INPUT'!BB68</f>
        <v>0</v>
      </c>
      <c r="AY67" s="435">
        <f>'ADJ DETAIL-INPUT'!BC68</f>
        <v>0</v>
      </c>
      <c r="AZ67" s="435">
        <f>'ADJ DETAIL-INPUT'!BF68</f>
        <v>-71875.372641395137</v>
      </c>
      <c r="BA67" s="435">
        <f>'ADJ DETAIL-INPUT'!BG68</f>
        <v>0</v>
      </c>
      <c r="BB67" s="435">
        <f>'ADJ DETAIL-INPUT'!BH68</f>
        <v>-71875.372641395137</v>
      </c>
    </row>
    <row r="68" spans="1:54" s="424" customFormat="1">
      <c r="A68" s="425">
        <f>'ADJ DETAIL-INPUT'!A69</f>
        <v>39</v>
      </c>
      <c r="C68" s="424" t="str">
        <f>'ADJ DETAIL-INPUT'!C69</f>
        <v xml:space="preserve">Production  </v>
      </c>
      <c r="E68" s="431">
        <f>'ADJ DETAIL-INPUT'!E69</f>
        <v>-382437</v>
      </c>
      <c r="F68" s="435">
        <f>'ADJ DETAIL-INPUT'!F69</f>
        <v>0</v>
      </c>
      <c r="G68" s="435">
        <f>'ADJ DETAIL-INPUT'!G69</f>
        <v>0</v>
      </c>
      <c r="H68" s="435">
        <f>'ADJ DETAIL-INPUT'!H69</f>
        <v>0</v>
      </c>
      <c r="I68" s="435">
        <f>'ADJ DETAIL-INPUT'!I69</f>
        <v>0</v>
      </c>
      <c r="J68" s="435">
        <f>'ADJ DETAIL-INPUT'!J69</f>
        <v>0</v>
      </c>
      <c r="K68" s="435">
        <f>'ADJ DETAIL-INPUT'!K69</f>
        <v>0</v>
      </c>
      <c r="L68" s="435">
        <f>'ADJ DETAIL-INPUT'!L69</f>
        <v>0</v>
      </c>
      <c r="M68" s="435">
        <f>'ADJ DETAIL-INPUT'!M69</f>
        <v>0</v>
      </c>
      <c r="N68" s="435">
        <f>'ADJ DETAIL-INPUT'!N69</f>
        <v>0</v>
      </c>
      <c r="O68" s="435">
        <f>'ADJ DETAIL-INPUT'!O69</f>
        <v>0</v>
      </c>
      <c r="P68" s="435">
        <f>'ADJ DETAIL-INPUT'!P69</f>
        <v>0</v>
      </c>
      <c r="Q68" s="435">
        <f>'ADJ DETAIL-INPUT'!Q69</f>
        <v>0</v>
      </c>
      <c r="R68" s="435">
        <f>'ADJ DETAIL-INPUT'!R69</f>
        <v>0</v>
      </c>
      <c r="S68" s="435">
        <f>'ADJ DETAIL-INPUT'!S69</f>
        <v>0</v>
      </c>
      <c r="T68" s="435">
        <f>'ADJ DETAIL-INPUT'!T69</f>
        <v>0</v>
      </c>
      <c r="U68" s="435">
        <f>'ADJ DETAIL-INPUT'!U69</f>
        <v>0</v>
      </c>
      <c r="V68" s="435">
        <f>'ADJ DETAIL-INPUT'!V69</f>
        <v>0</v>
      </c>
      <c r="W68" s="435">
        <f>'ADJ DETAIL-INPUT'!W69</f>
        <v>0</v>
      </c>
      <c r="X68" s="435">
        <f>'ADJ DETAIL-INPUT'!X69</f>
        <v>0</v>
      </c>
      <c r="Y68" s="435">
        <f>'ADJ DETAIL-INPUT'!Y69</f>
        <v>0</v>
      </c>
      <c r="Z68" s="435">
        <f>'ADJ DETAIL-INPUT'!Z69</f>
        <v>0</v>
      </c>
      <c r="AA68" s="435">
        <f>'ADJ DETAIL-INPUT'!AA69</f>
        <v>0</v>
      </c>
      <c r="AB68" s="435">
        <f>'ADJ DETAIL-INPUT'!AB69</f>
        <v>-8416</v>
      </c>
      <c r="AC68" s="435">
        <f>'ADJ DETAIL-INPUT'!AD69</f>
        <v>0</v>
      </c>
      <c r="AD68" s="435">
        <f>'ADJ DETAIL-INPUT'!AE69</f>
        <v>0</v>
      </c>
      <c r="AE68" s="435">
        <f>'ADJ DETAIL-INPUT'!AF69</f>
        <v>0</v>
      </c>
      <c r="AF68" s="435">
        <f>'ADJ DETAIL-INPUT'!AG69</f>
        <v>0</v>
      </c>
      <c r="AG68" s="435">
        <f>'ADJ DETAIL-INPUT'!AH69</f>
        <v>0</v>
      </c>
      <c r="AH68" s="435">
        <f>'ADJ DETAIL-INPUT'!AI69</f>
        <v>0</v>
      </c>
      <c r="AI68" s="435">
        <f>'ADJ DETAIL-INPUT'!AJ69</f>
        <v>0</v>
      </c>
      <c r="AJ68" s="435">
        <f>'ADJ DETAIL-INPUT'!AK69</f>
        <v>0</v>
      </c>
      <c r="AK68" s="435">
        <f>'ADJ DETAIL-INPUT'!AL69</f>
        <v>0</v>
      </c>
      <c r="AL68" s="435">
        <f>'ADJ DETAIL-INPUT'!AM69</f>
        <v>0</v>
      </c>
      <c r="AM68" s="435">
        <f>'ADJ DETAIL-INPUT'!AN69</f>
        <v>0</v>
      </c>
      <c r="AN68" s="435">
        <f>'ADJ DETAIL-INPUT'!AO69</f>
        <v>0</v>
      </c>
      <c r="AO68" s="435">
        <f>'ADJ DETAIL-INPUT'!AP69</f>
        <v>0</v>
      </c>
      <c r="AP68" s="435">
        <f>'ADJ DETAIL-INPUT'!AQ69</f>
        <v>1332</v>
      </c>
      <c r="AQ68" s="435">
        <f>'ADJ DETAIL-INPUT'!AR69</f>
        <v>129</v>
      </c>
      <c r="AR68" s="435">
        <f>'ADJ DETAIL-INPUT'!AS69</f>
        <v>263</v>
      </c>
      <c r="AS68" s="435">
        <f>'ADJ DETAIL-INPUT'!AT69</f>
        <v>0</v>
      </c>
      <c r="AT68" s="435">
        <f>'ADJ DETAIL-INPUT'!AU69</f>
        <v>0</v>
      </c>
      <c r="AU68" s="435">
        <f>'ADJ DETAIL-INPUT'!AV69</f>
        <v>0</v>
      </c>
      <c r="AV68" s="435">
        <f>'ADJ DETAIL-INPUT'!AX69</f>
        <v>-92.349768487379862</v>
      </c>
      <c r="AW68" s="435">
        <f>'ADJ DETAIL-INPUT'!AZ69</f>
        <v>-24173</v>
      </c>
      <c r="AX68" s="435">
        <f>'ADJ DETAIL-INPUT'!BB69</f>
        <v>0</v>
      </c>
      <c r="AY68" s="435">
        <f>'ADJ DETAIL-INPUT'!BC69</f>
        <v>0</v>
      </c>
      <c r="AZ68" s="435">
        <f>'ADJ DETAIL-INPUT'!BF69</f>
        <v>-413875.34976848739</v>
      </c>
      <c r="BA68" s="435">
        <f>'ADJ DETAIL-INPUT'!BG69</f>
        <v>0</v>
      </c>
      <c r="BB68" s="435">
        <f>'ADJ DETAIL-INPUT'!BH69</f>
        <v>-413875.34976848739</v>
      </c>
    </row>
    <row r="69" spans="1:54" s="424" customFormat="1">
      <c r="A69" s="425">
        <f>'ADJ DETAIL-INPUT'!A70</f>
        <v>40</v>
      </c>
      <c r="C69" s="424" t="str">
        <f>'ADJ DETAIL-INPUT'!C70</f>
        <v xml:space="preserve">Transmission  </v>
      </c>
      <c r="E69" s="431">
        <f>'ADJ DETAIL-INPUT'!E70</f>
        <v>-147016</v>
      </c>
      <c r="F69" s="435">
        <f>'ADJ DETAIL-INPUT'!F70</f>
        <v>0</v>
      </c>
      <c r="G69" s="435">
        <f>'ADJ DETAIL-INPUT'!G70</f>
        <v>0</v>
      </c>
      <c r="H69" s="435">
        <f>'ADJ DETAIL-INPUT'!H70</f>
        <v>0</v>
      </c>
      <c r="I69" s="435">
        <f>'ADJ DETAIL-INPUT'!I70</f>
        <v>0</v>
      </c>
      <c r="J69" s="435">
        <f>'ADJ DETAIL-INPUT'!J70</f>
        <v>0</v>
      </c>
      <c r="K69" s="435">
        <f>'ADJ DETAIL-INPUT'!K70</f>
        <v>0</v>
      </c>
      <c r="L69" s="435">
        <f>'ADJ DETAIL-INPUT'!L70</f>
        <v>0</v>
      </c>
      <c r="M69" s="435">
        <f>'ADJ DETAIL-INPUT'!M70</f>
        <v>0</v>
      </c>
      <c r="N69" s="435">
        <f>'ADJ DETAIL-INPUT'!N70</f>
        <v>0</v>
      </c>
      <c r="O69" s="435">
        <f>'ADJ DETAIL-INPUT'!O70</f>
        <v>0</v>
      </c>
      <c r="P69" s="435">
        <f>'ADJ DETAIL-INPUT'!P70</f>
        <v>0</v>
      </c>
      <c r="Q69" s="435">
        <f>'ADJ DETAIL-INPUT'!Q70</f>
        <v>0</v>
      </c>
      <c r="R69" s="435">
        <f>'ADJ DETAIL-INPUT'!R70</f>
        <v>0</v>
      </c>
      <c r="S69" s="435">
        <f>'ADJ DETAIL-INPUT'!S70</f>
        <v>0</v>
      </c>
      <c r="T69" s="435">
        <f>'ADJ DETAIL-INPUT'!T70</f>
        <v>0</v>
      </c>
      <c r="U69" s="435">
        <f>'ADJ DETAIL-INPUT'!U70</f>
        <v>0</v>
      </c>
      <c r="V69" s="435">
        <f>'ADJ DETAIL-INPUT'!V70</f>
        <v>0</v>
      </c>
      <c r="W69" s="435">
        <f>'ADJ DETAIL-INPUT'!W70</f>
        <v>0</v>
      </c>
      <c r="X69" s="435">
        <f>'ADJ DETAIL-INPUT'!X70</f>
        <v>0</v>
      </c>
      <c r="Y69" s="435">
        <f>'ADJ DETAIL-INPUT'!Y70</f>
        <v>0</v>
      </c>
      <c r="Z69" s="435">
        <f>'ADJ DETAIL-INPUT'!Z70</f>
        <v>0</v>
      </c>
      <c r="AA69" s="435">
        <f>'ADJ DETAIL-INPUT'!AA70</f>
        <v>0</v>
      </c>
      <c r="AB69" s="435">
        <f>'ADJ DETAIL-INPUT'!AB70</f>
        <v>-3770.7280000000028</v>
      </c>
      <c r="AC69" s="435">
        <f>'ADJ DETAIL-INPUT'!AD70</f>
        <v>0</v>
      </c>
      <c r="AD69" s="435">
        <f>'ADJ DETAIL-INPUT'!AE70</f>
        <v>0</v>
      </c>
      <c r="AE69" s="435">
        <f>'ADJ DETAIL-INPUT'!AF70</f>
        <v>0</v>
      </c>
      <c r="AF69" s="435">
        <f>'ADJ DETAIL-INPUT'!AG70</f>
        <v>0</v>
      </c>
      <c r="AG69" s="435">
        <f>'ADJ DETAIL-INPUT'!AH70</f>
        <v>0</v>
      </c>
      <c r="AH69" s="435">
        <f>'ADJ DETAIL-INPUT'!AI70</f>
        <v>0</v>
      </c>
      <c r="AI69" s="435">
        <f>'ADJ DETAIL-INPUT'!AJ70</f>
        <v>0</v>
      </c>
      <c r="AJ69" s="435">
        <f>'ADJ DETAIL-INPUT'!AK70</f>
        <v>0</v>
      </c>
      <c r="AK69" s="435">
        <f>'ADJ DETAIL-INPUT'!AL70</f>
        <v>0</v>
      </c>
      <c r="AL69" s="435">
        <f>'ADJ DETAIL-INPUT'!AM70</f>
        <v>0</v>
      </c>
      <c r="AM69" s="435">
        <f>'ADJ DETAIL-INPUT'!AN70</f>
        <v>0</v>
      </c>
      <c r="AN69" s="435">
        <f>'ADJ DETAIL-INPUT'!AO70</f>
        <v>0</v>
      </c>
      <c r="AO69" s="435">
        <f>'ADJ DETAIL-INPUT'!AP70</f>
        <v>0</v>
      </c>
      <c r="AP69" s="435">
        <f>'ADJ DETAIL-INPUT'!AQ70</f>
        <v>617</v>
      </c>
      <c r="AQ69" s="435">
        <f>'ADJ DETAIL-INPUT'!AR70</f>
        <v>536</v>
      </c>
      <c r="AR69" s="435">
        <f>'ADJ DETAIL-INPUT'!AS70</f>
        <v>2019</v>
      </c>
      <c r="AS69" s="435">
        <f>'ADJ DETAIL-INPUT'!AT70</f>
        <v>0</v>
      </c>
      <c r="AT69" s="435">
        <f>'ADJ DETAIL-INPUT'!AU70</f>
        <v>0</v>
      </c>
      <c r="AU69" s="435">
        <f>'ADJ DETAIL-INPUT'!AV70</f>
        <v>-34.066447127904603</v>
      </c>
      <c r="AV69" s="435">
        <f>'ADJ DETAIL-INPUT'!AX70</f>
        <v>-30.369722733126842</v>
      </c>
      <c r="AW69" s="435">
        <f>'ADJ DETAIL-INPUT'!AZ70</f>
        <v>0</v>
      </c>
      <c r="AX69" s="435">
        <f>'ADJ DETAIL-INPUT'!BB70</f>
        <v>0</v>
      </c>
      <c r="AY69" s="435">
        <f>'ADJ DETAIL-INPUT'!BC70</f>
        <v>0</v>
      </c>
      <c r="AZ69" s="435">
        <f>'ADJ DETAIL-INPUT'!BF70</f>
        <v>-147681.43365765258</v>
      </c>
      <c r="BA69" s="435">
        <f>'ADJ DETAIL-INPUT'!BG70</f>
        <v>0</v>
      </c>
      <c r="BB69" s="435">
        <f>'ADJ DETAIL-INPUT'!BH70</f>
        <v>-147681.43365765258</v>
      </c>
    </row>
    <row r="70" spans="1:54" s="424" customFormat="1">
      <c r="A70" s="425">
        <f>'ADJ DETAIL-INPUT'!A71</f>
        <v>41</v>
      </c>
      <c r="C70" s="424" t="str">
        <f>'ADJ DETAIL-INPUT'!C71</f>
        <v xml:space="preserve">Distribution  </v>
      </c>
      <c r="E70" s="431">
        <f>'ADJ DETAIL-INPUT'!E71</f>
        <v>-358989</v>
      </c>
      <c r="F70" s="435">
        <f>'ADJ DETAIL-INPUT'!F71</f>
        <v>0</v>
      </c>
      <c r="G70" s="435">
        <f>'ADJ DETAIL-INPUT'!G71</f>
        <v>0</v>
      </c>
      <c r="H70" s="435">
        <f>'ADJ DETAIL-INPUT'!H71</f>
        <v>0</v>
      </c>
      <c r="I70" s="435">
        <f>'ADJ DETAIL-INPUT'!I71</f>
        <v>546</v>
      </c>
      <c r="J70" s="435">
        <f>'ADJ DETAIL-INPUT'!J71</f>
        <v>0</v>
      </c>
      <c r="K70" s="435">
        <f>'ADJ DETAIL-INPUT'!K71</f>
        <v>0</v>
      </c>
      <c r="L70" s="435">
        <f>'ADJ DETAIL-INPUT'!L71</f>
        <v>0</v>
      </c>
      <c r="M70" s="435">
        <f>'ADJ DETAIL-INPUT'!M71</f>
        <v>0</v>
      </c>
      <c r="N70" s="435">
        <f>'ADJ DETAIL-INPUT'!N71</f>
        <v>0</v>
      </c>
      <c r="O70" s="435">
        <f>'ADJ DETAIL-INPUT'!O71</f>
        <v>0</v>
      </c>
      <c r="P70" s="435">
        <f>'ADJ DETAIL-INPUT'!P71</f>
        <v>0</v>
      </c>
      <c r="Q70" s="435">
        <f>'ADJ DETAIL-INPUT'!Q71</f>
        <v>0</v>
      </c>
      <c r="R70" s="435">
        <f>'ADJ DETAIL-INPUT'!R71</f>
        <v>0</v>
      </c>
      <c r="S70" s="435">
        <f>'ADJ DETAIL-INPUT'!S71</f>
        <v>0</v>
      </c>
      <c r="T70" s="435">
        <f>'ADJ DETAIL-INPUT'!T71</f>
        <v>0</v>
      </c>
      <c r="U70" s="435">
        <f>'ADJ DETAIL-INPUT'!U71</f>
        <v>0</v>
      </c>
      <c r="V70" s="435">
        <f>'ADJ DETAIL-INPUT'!V71</f>
        <v>0</v>
      </c>
      <c r="W70" s="435">
        <f>'ADJ DETAIL-INPUT'!W71</f>
        <v>0</v>
      </c>
      <c r="X70" s="435">
        <f>'ADJ DETAIL-INPUT'!X71</f>
        <v>0</v>
      </c>
      <c r="Y70" s="435">
        <f>'ADJ DETAIL-INPUT'!Y71</f>
        <v>0</v>
      </c>
      <c r="Z70" s="435">
        <f>'ADJ DETAIL-INPUT'!Z71</f>
        <v>0</v>
      </c>
      <c r="AA70" s="435">
        <f>'ADJ DETAIL-INPUT'!AA71</f>
        <v>0</v>
      </c>
      <c r="AB70" s="435">
        <f>'ADJ DETAIL-INPUT'!AB71</f>
        <v>558.15549731263059</v>
      </c>
      <c r="AC70" s="435">
        <f>'ADJ DETAIL-INPUT'!AD71</f>
        <v>0</v>
      </c>
      <c r="AD70" s="435">
        <f>'ADJ DETAIL-INPUT'!AE71</f>
        <v>0</v>
      </c>
      <c r="AE70" s="435">
        <f>'ADJ DETAIL-INPUT'!AF71</f>
        <v>0</v>
      </c>
      <c r="AF70" s="435">
        <f>'ADJ DETAIL-INPUT'!AG71</f>
        <v>0</v>
      </c>
      <c r="AG70" s="435">
        <f>'ADJ DETAIL-INPUT'!AH71</f>
        <v>0</v>
      </c>
      <c r="AH70" s="435">
        <f>'ADJ DETAIL-INPUT'!AI71</f>
        <v>0</v>
      </c>
      <c r="AI70" s="435">
        <f>'ADJ DETAIL-INPUT'!AJ71</f>
        <v>0</v>
      </c>
      <c r="AJ70" s="435">
        <f>'ADJ DETAIL-INPUT'!AK71</f>
        <v>0</v>
      </c>
      <c r="AK70" s="435">
        <f>'ADJ DETAIL-INPUT'!AL71</f>
        <v>0</v>
      </c>
      <c r="AL70" s="435">
        <f>'ADJ DETAIL-INPUT'!AM71</f>
        <v>0</v>
      </c>
      <c r="AM70" s="435">
        <f>'ADJ DETAIL-INPUT'!AN71</f>
        <v>0</v>
      </c>
      <c r="AN70" s="435">
        <f>'ADJ DETAIL-INPUT'!AO71</f>
        <v>0</v>
      </c>
      <c r="AO70" s="435">
        <f>'ADJ DETAIL-INPUT'!AP71</f>
        <v>0</v>
      </c>
      <c r="AP70" s="435">
        <f>'ADJ DETAIL-INPUT'!AQ71</f>
        <v>841</v>
      </c>
      <c r="AQ70" s="435">
        <f>'ADJ DETAIL-INPUT'!AR71</f>
        <v>10046</v>
      </c>
      <c r="AR70" s="435">
        <f>'ADJ DETAIL-INPUT'!AS71</f>
        <v>2715</v>
      </c>
      <c r="AS70" s="435">
        <f>'ADJ DETAIL-INPUT'!AT71</f>
        <v>0</v>
      </c>
      <c r="AT70" s="435">
        <f>'ADJ DETAIL-INPUT'!AU71</f>
        <v>-6831</v>
      </c>
      <c r="AU70" s="435">
        <f>'ADJ DETAIL-INPUT'!AV71</f>
        <v>-172.22774071650974</v>
      </c>
      <c r="AV70" s="435">
        <f>'ADJ DETAIL-INPUT'!AX71</f>
        <v>-3.6297449932572796</v>
      </c>
      <c r="AW70" s="435">
        <f>'ADJ DETAIL-INPUT'!AZ71</f>
        <v>0</v>
      </c>
      <c r="AX70" s="435">
        <f>'ADJ DETAIL-INPUT'!BB71</f>
        <v>0</v>
      </c>
      <c r="AY70" s="435">
        <f>'ADJ DETAIL-INPUT'!BC71</f>
        <v>0</v>
      </c>
      <c r="AZ70" s="435">
        <f>'ADJ DETAIL-INPUT'!BF71</f>
        <v>-351306.67707627249</v>
      </c>
      <c r="BA70" s="435">
        <f>'ADJ DETAIL-INPUT'!BG71</f>
        <v>0</v>
      </c>
      <c r="BB70" s="435">
        <f>'ADJ DETAIL-INPUT'!BH71</f>
        <v>-351306.67707627249</v>
      </c>
    </row>
    <row r="71" spans="1:54" s="424" customFormat="1">
      <c r="A71" s="425">
        <f>'ADJ DETAIL-INPUT'!A72</f>
        <v>42</v>
      </c>
      <c r="C71" s="424" t="str">
        <f>'ADJ DETAIL-INPUT'!C72</f>
        <v xml:space="preserve">General  </v>
      </c>
      <c r="E71" s="431">
        <f>'ADJ DETAIL-INPUT'!E72</f>
        <v>-92865</v>
      </c>
      <c r="F71" s="435">
        <f>'ADJ DETAIL-INPUT'!F72</f>
        <v>0</v>
      </c>
      <c r="G71" s="435">
        <f>'ADJ DETAIL-INPUT'!G72</f>
        <v>0</v>
      </c>
      <c r="H71" s="435">
        <f>'ADJ DETAIL-INPUT'!H72</f>
        <v>0</v>
      </c>
      <c r="I71" s="435">
        <f>'ADJ DETAIL-INPUT'!I72</f>
        <v>1200</v>
      </c>
      <c r="J71" s="435">
        <f>'ADJ DETAIL-INPUT'!J72</f>
        <v>0</v>
      </c>
      <c r="K71" s="435">
        <f>'ADJ DETAIL-INPUT'!K72</f>
        <v>0</v>
      </c>
      <c r="L71" s="435">
        <f>'ADJ DETAIL-INPUT'!L72</f>
        <v>0</v>
      </c>
      <c r="M71" s="435">
        <f>'ADJ DETAIL-INPUT'!M72</f>
        <v>0</v>
      </c>
      <c r="N71" s="435">
        <f>'ADJ DETAIL-INPUT'!N72</f>
        <v>0</v>
      </c>
      <c r="O71" s="435">
        <f>'ADJ DETAIL-INPUT'!O72</f>
        <v>0</v>
      </c>
      <c r="P71" s="435">
        <f>'ADJ DETAIL-INPUT'!P72</f>
        <v>0</v>
      </c>
      <c r="Q71" s="435">
        <f>'ADJ DETAIL-INPUT'!Q72</f>
        <v>0</v>
      </c>
      <c r="R71" s="435">
        <f>'ADJ DETAIL-INPUT'!R72</f>
        <v>0</v>
      </c>
      <c r="S71" s="435">
        <f>'ADJ DETAIL-INPUT'!S72</f>
        <v>0</v>
      </c>
      <c r="T71" s="435">
        <f>'ADJ DETAIL-INPUT'!T72</f>
        <v>0</v>
      </c>
      <c r="U71" s="435">
        <f>'ADJ DETAIL-INPUT'!U72</f>
        <v>0</v>
      </c>
      <c r="V71" s="435">
        <f>'ADJ DETAIL-INPUT'!V72</f>
        <v>0</v>
      </c>
      <c r="W71" s="435">
        <f>'ADJ DETAIL-INPUT'!W72</f>
        <v>0</v>
      </c>
      <c r="X71" s="435">
        <f>'ADJ DETAIL-INPUT'!X72</f>
        <v>0</v>
      </c>
      <c r="Y71" s="435">
        <f>'ADJ DETAIL-INPUT'!Y72</f>
        <v>0</v>
      </c>
      <c r="Z71" s="435">
        <f>'ADJ DETAIL-INPUT'!Z72</f>
        <v>0</v>
      </c>
      <c r="AA71" s="435">
        <f>'ADJ DETAIL-INPUT'!AA72</f>
        <v>0</v>
      </c>
      <c r="AB71" s="435">
        <f>'ADJ DETAIL-INPUT'!AB72</f>
        <v>1118.1000257914006</v>
      </c>
      <c r="AC71" s="435">
        <f>'ADJ DETAIL-INPUT'!AD72</f>
        <v>0</v>
      </c>
      <c r="AD71" s="435">
        <f>'ADJ DETAIL-INPUT'!AE72</f>
        <v>0</v>
      </c>
      <c r="AE71" s="435">
        <f>'ADJ DETAIL-INPUT'!AF72</f>
        <v>0</v>
      </c>
      <c r="AF71" s="435">
        <f>'ADJ DETAIL-INPUT'!AG72</f>
        <v>0</v>
      </c>
      <c r="AG71" s="435">
        <f>'ADJ DETAIL-INPUT'!AH72</f>
        <v>0</v>
      </c>
      <c r="AH71" s="435">
        <f>'ADJ DETAIL-INPUT'!AI72</f>
        <v>0</v>
      </c>
      <c r="AI71" s="435">
        <f>'ADJ DETAIL-INPUT'!AJ72</f>
        <v>0</v>
      </c>
      <c r="AJ71" s="435">
        <f>'ADJ DETAIL-INPUT'!AK72</f>
        <v>0</v>
      </c>
      <c r="AK71" s="435">
        <f>'ADJ DETAIL-INPUT'!AL72</f>
        <v>0</v>
      </c>
      <c r="AL71" s="435">
        <f>'ADJ DETAIL-INPUT'!AM72</f>
        <v>0</v>
      </c>
      <c r="AM71" s="435">
        <f>'ADJ DETAIL-INPUT'!AN72</f>
        <v>0</v>
      </c>
      <c r="AN71" s="435">
        <f>'ADJ DETAIL-INPUT'!AO72</f>
        <v>0</v>
      </c>
      <c r="AO71" s="435">
        <f>'ADJ DETAIL-INPUT'!AP72</f>
        <v>150</v>
      </c>
      <c r="AP71" s="435">
        <f>'ADJ DETAIL-INPUT'!AQ72</f>
        <v>3428</v>
      </c>
      <c r="AQ71" s="435">
        <f>'ADJ DETAIL-INPUT'!AR72</f>
        <v>6492</v>
      </c>
      <c r="AR71" s="435">
        <f>'ADJ DETAIL-INPUT'!AS72</f>
        <v>1575</v>
      </c>
      <c r="AS71" s="435">
        <f>'ADJ DETAIL-INPUT'!AT72</f>
        <v>2773</v>
      </c>
      <c r="AT71" s="435">
        <f>'ADJ DETAIL-INPUT'!AU72</f>
        <v>-4707</v>
      </c>
      <c r="AU71" s="435">
        <f>'ADJ DETAIL-INPUT'!AV72</f>
        <v>0</v>
      </c>
      <c r="AV71" s="435">
        <f>'ADJ DETAIL-INPUT'!AX72</f>
        <v>-57</v>
      </c>
      <c r="AW71" s="435">
        <f>'ADJ DETAIL-INPUT'!AZ72</f>
        <v>0</v>
      </c>
      <c r="AX71" s="435">
        <f>'ADJ DETAIL-INPUT'!BB72</f>
        <v>0</v>
      </c>
      <c r="AY71" s="435">
        <f>'ADJ DETAIL-INPUT'!BC72</f>
        <v>0</v>
      </c>
      <c r="AZ71" s="435">
        <f>'ADJ DETAIL-INPUT'!BF72</f>
        <v>-80892.899974208602</v>
      </c>
      <c r="BA71" s="435">
        <f>'ADJ DETAIL-INPUT'!BG72</f>
        <v>0</v>
      </c>
      <c r="BB71" s="435">
        <f>'ADJ DETAIL-INPUT'!BH72</f>
        <v>-80892.899974208602</v>
      </c>
    </row>
    <row r="72" spans="1:54" s="424" customFormat="1">
      <c r="A72" s="425">
        <f>'ADJ DETAIL-INPUT'!A73</f>
        <v>43</v>
      </c>
      <c r="B72" s="424" t="str">
        <f>'ADJ DETAIL-INPUT'!B73</f>
        <v>Total Accumulated Depreciation</v>
      </c>
      <c r="E72" s="453">
        <f>'ADJ DETAIL-INPUT'!E73</f>
        <v>-1038385</v>
      </c>
      <c r="F72" s="453">
        <f>'ADJ DETAIL-INPUT'!F73</f>
        <v>0</v>
      </c>
      <c r="G72" s="453">
        <f>'ADJ DETAIL-INPUT'!G73</f>
        <v>0</v>
      </c>
      <c r="H72" s="453">
        <f>'ADJ DETAIL-INPUT'!H73</f>
        <v>0</v>
      </c>
      <c r="I72" s="453">
        <f>'ADJ DETAIL-INPUT'!I73</f>
        <v>6178</v>
      </c>
      <c r="J72" s="453">
        <f>'ADJ DETAIL-INPUT'!J73</f>
        <v>0</v>
      </c>
      <c r="K72" s="453">
        <f>'ADJ DETAIL-INPUT'!K73</f>
        <v>0</v>
      </c>
      <c r="L72" s="453">
        <f>'ADJ DETAIL-INPUT'!L73</f>
        <v>0</v>
      </c>
      <c r="M72" s="453">
        <f>'ADJ DETAIL-INPUT'!M73</f>
        <v>0</v>
      </c>
      <c r="N72" s="453">
        <f>'ADJ DETAIL-INPUT'!N73</f>
        <v>0</v>
      </c>
      <c r="O72" s="453">
        <f>'ADJ DETAIL-INPUT'!O73</f>
        <v>0</v>
      </c>
      <c r="P72" s="453">
        <f>'ADJ DETAIL-INPUT'!P73</f>
        <v>0</v>
      </c>
      <c r="Q72" s="453">
        <f>'ADJ DETAIL-INPUT'!Q73</f>
        <v>0</v>
      </c>
      <c r="R72" s="453">
        <f>'ADJ DETAIL-INPUT'!R73</f>
        <v>0</v>
      </c>
      <c r="S72" s="453">
        <f>'ADJ DETAIL-INPUT'!S73</f>
        <v>0</v>
      </c>
      <c r="T72" s="453">
        <f>'ADJ DETAIL-INPUT'!T73</f>
        <v>0</v>
      </c>
      <c r="U72" s="453">
        <f>'ADJ DETAIL-INPUT'!U73</f>
        <v>0</v>
      </c>
      <c r="V72" s="453">
        <f>'ADJ DETAIL-INPUT'!V73</f>
        <v>0</v>
      </c>
      <c r="W72" s="453">
        <f>'ADJ DETAIL-INPUT'!W73</f>
        <v>0</v>
      </c>
      <c r="X72" s="453">
        <f>'ADJ DETAIL-INPUT'!X73</f>
        <v>0</v>
      </c>
      <c r="Y72" s="453">
        <f>'ADJ DETAIL-INPUT'!Y73</f>
        <v>0</v>
      </c>
      <c r="Z72" s="453">
        <f>'ADJ DETAIL-INPUT'!Z73</f>
        <v>0</v>
      </c>
      <c r="AA72" s="453">
        <f>'ADJ DETAIL-INPUT'!AA73</f>
        <v>0</v>
      </c>
      <c r="AB72" s="453">
        <f>'ADJ DETAIL-INPUT'!AB73</f>
        <v>-15824.124181739195</v>
      </c>
      <c r="AC72" s="453">
        <f>'ADJ DETAIL-INPUT'!AD73</f>
        <v>0</v>
      </c>
      <c r="AD72" s="453">
        <f>'ADJ DETAIL-INPUT'!AE73</f>
        <v>0</v>
      </c>
      <c r="AE72" s="453">
        <f>'ADJ DETAIL-INPUT'!AF73</f>
        <v>0</v>
      </c>
      <c r="AF72" s="453">
        <f>'ADJ DETAIL-INPUT'!AG73</f>
        <v>0</v>
      </c>
      <c r="AG72" s="453">
        <f>'ADJ DETAIL-INPUT'!AH73</f>
        <v>0</v>
      </c>
      <c r="AH72" s="453">
        <f>'ADJ DETAIL-INPUT'!AI73</f>
        <v>0</v>
      </c>
      <c r="AI72" s="453">
        <f>'ADJ DETAIL-INPUT'!AJ73</f>
        <v>0</v>
      </c>
      <c r="AJ72" s="453">
        <f>'ADJ DETAIL-INPUT'!AK73</f>
        <v>0</v>
      </c>
      <c r="AK72" s="453">
        <f>'ADJ DETAIL-INPUT'!AL73</f>
        <v>0</v>
      </c>
      <c r="AL72" s="453">
        <f>'ADJ DETAIL-INPUT'!AM73</f>
        <v>0</v>
      </c>
      <c r="AM72" s="453">
        <f>'ADJ DETAIL-INPUT'!AN73</f>
        <v>0</v>
      </c>
      <c r="AN72" s="453">
        <f>'ADJ DETAIL-INPUT'!AO73</f>
        <v>0</v>
      </c>
      <c r="AO72" s="453">
        <f>'ADJ DETAIL-INPUT'!AP73</f>
        <v>2016</v>
      </c>
      <c r="AP72" s="453">
        <f>'ADJ DETAIL-INPUT'!AQ73</f>
        <v>6218</v>
      </c>
      <c r="AQ72" s="453">
        <f>'ADJ DETAIL-INPUT'!AR73</f>
        <v>17393</v>
      </c>
      <c r="AR72" s="453">
        <f>'ADJ DETAIL-INPUT'!AS73</f>
        <v>6580</v>
      </c>
      <c r="AS72" s="453">
        <f>'ADJ DETAIL-INPUT'!AT73</f>
        <v>4083</v>
      </c>
      <c r="AT72" s="453">
        <f>'ADJ DETAIL-INPUT'!AU73</f>
        <v>-27818</v>
      </c>
      <c r="AU72" s="453">
        <f>'ADJ DETAIL-INPUT'!AV73</f>
        <v>-248.62801985170807</v>
      </c>
      <c r="AV72" s="453">
        <f>'ADJ DETAIL-INPUT'!AX73</f>
        <v>-935.57548719952024</v>
      </c>
      <c r="AW72" s="453">
        <f>'ADJ DETAIL-INPUT'!AZ73</f>
        <v>-24173</v>
      </c>
      <c r="AX72" s="453">
        <f>'ADJ DETAIL-INPUT'!BB73</f>
        <v>0</v>
      </c>
      <c r="AY72" s="453">
        <f>'ADJ DETAIL-INPUT'!BC73</f>
        <v>0</v>
      </c>
      <c r="AZ72" s="453">
        <f>'ADJ DETAIL-INPUT'!BF73</f>
        <v>-1065631.7331180163</v>
      </c>
      <c r="BA72" s="453">
        <f>'ADJ DETAIL-INPUT'!BG73</f>
        <v>0</v>
      </c>
      <c r="BB72" s="453">
        <f>'ADJ DETAIL-INPUT'!BH73</f>
        <v>-1065631.7331180163</v>
      </c>
    </row>
    <row r="73" spans="1:54" s="424" customFormat="1">
      <c r="A73" s="425">
        <f>'ADJ DETAIL-INPUT'!A74</f>
        <v>44</v>
      </c>
      <c r="B73" s="424" t="str">
        <f>'ADJ DETAIL-INPUT'!B74</f>
        <v xml:space="preserve">NET PLANT </v>
      </c>
      <c r="E73" s="453">
        <f>'ADJ DETAIL-INPUT'!E74</f>
        <v>2086740</v>
      </c>
      <c r="F73" s="453">
        <f>'ADJ DETAIL-INPUT'!F74</f>
        <v>0</v>
      </c>
      <c r="G73" s="453">
        <f>'ADJ DETAIL-INPUT'!G74</f>
        <v>0</v>
      </c>
      <c r="H73" s="453">
        <f>'ADJ DETAIL-INPUT'!H74</f>
        <v>0</v>
      </c>
      <c r="I73" s="453">
        <f>'ADJ DETAIL-INPUT'!I74</f>
        <v>-51490</v>
      </c>
      <c r="J73" s="453">
        <f>'ADJ DETAIL-INPUT'!J74</f>
        <v>0</v>
      </c>
      <c r="K73" s="453">
        <f>'ADJ DETAIL-INPUT'!K74</f>
        <v>0</v>
      </c>
      <c r="L73" s="453">
        <f>'ADJ DETAIL-INPUT'!L74</f>
        <v>0</v>
      </c>
      <c r="M73" s="453">
        <f>'ADJ DETAIL-INPUT'!M74</f>
        <v>0</v>
      </c>
      <c r="N73" s="453">
        <f>'ADJ DETAIL-INPUT'!N74</f>
        <v>0</v>
      </c>
      <c r="O73" s="453">
        <f>'ADJ DETAIL-INPUT'!O74</f>
        <v>0</v>
      </c>
      <c r="P73" s="453">
        <f>'ADJ DETAIL-INPUT'!P74</f>
        <v>0</v>
      </c>
      <c r="Q73" s="453">
        <f>'ADJ DETAIL-INPUT'!Q74</f>
        <v>0</v>
      </c>
      <c r="R73" s="453">
        <f>'ADJ DETAIL-INPUT'!R74</f>
        <v>0</v>
      </c>
      <c r="S73" s="453">
        <f>'ADJ DETAIL-INPUT'!S74</f>
        <v>0</v>
      </c>
      <c r="T73" s="453">
        <f>'ADJ DETAIL-INPUT'!T74</f>
        <v>0</v>
      </c>
      <c r="U73" s="453">
        <f>'ADJ DETAIL-INPUT'!U74</f>
        <v>0</v>
      </c>
      <c r="V73" s="453">
        <f>'ADJ DETAIL-INPUT'!V74</f>
        <v>0</v>
      </c>
      <c r="W73" s="453">
        <f>'ADJ DETAIL-INPUT'!W74</f>
        <v>0</v>
      </c>
      <c r="X73" s="453">
        <f>'ADJ DETAIL-INPUT'!X74</f>
        <v>0</v>
      </c>
      <c r="Y73" s="453">
        <f>'ADJ DETAIL-INPUT'!Y74</f>
        <v>0</v>
      </c>
      <c r="Z73" s="453">
        <f>'ADJ DETAIL-INPUT'!Z74</f>
        <v>0</v>
      </c>
      <c r="AA73" s="453">
        <f>'ADJ DETAIL-INPUT'!AA74</f>
        <v>0</v>
      </c>
      <c r="AB73" s="453">
        <f>'ADJ DETAIL-INPUT'!AB74</f>
        <v>20662.862985405809</v>
      </c>
      <c r="AC73" s="453">
        <f>'ADJ DETAIL-INPUT'!AD74</f>
        <v>0</v>
      </c>
      <c r="AD73" s="453">
        <f>'ADJ DETAIL-INPUT'!AE74</f>
        <v>0</v>
      </c>
      <c r="AE73" s="453">
        <f>'ADJ DETAIL-INPUT'!AF74</f>
        <v>0</v>
      </c>
      <c r="AF73" s="453">
        <f>'ADJ DETAIL-INPUT'!AG74</f>
        <v>0</v>
      </c>
      <c r="AG73" s="453">
        <f>'ADJ DETAIL-INPUT'!AH74</f>
        <v>0</v>
      </c>
      <c r="AH73" s="453">
        <f>'ADJ DETAIL-INPUT'!AI74</f>
        <v>0</v>
      </c>
      <c r="AI73" s="453">
        <f>'ADJ DETAIL-INPUT'!AJ74</f>
        <v>0</v>
      </c>
      <c r="AJ73" s="453">
        <f>'ADJ DETAIL-INPUT'!AK74</f>
        <v>0</v>
      </c>
      <c r="AK73" s="453">
        <f>'ADJ DETAIL-INPUT'!AL74</f>
        <v>0</v>
      </c>
      <c r="AL73" s="453">
        <f>'ADJ DETAIL-INPUT'!AM74</f>
        <v>0</v>
      </c>
      <c r="AM73" s="453">
        <f>'ADJ DETAIL-INPUT'!AN74</f>
        <v>0</v>
      </c>
      <c r="AN73" s="453">
        <f>'ADJ DETAIL-INPUT'!AO74</f>
        <v>0</v>
      </c>
      <c r="AO73" s="453">
        <f>'ADJ DETAIL-INPUT'!AP74</f>
        <v>10511</v>
      </c>
      <c r="AP73" s="453">
        <f>'ADJ DETAIL-INPUT'!AQ74</f>
        <v>18525</v>
      </c>
      <c r="AQ73" s="453">
        <f>'ADJ DETAIL-INPUT'!AR74</f>
        <v>49428</v>
      </c>
      <c r="AR73" s="453">
        <f>'ADJ DETAIL-INPUT'!AS74</f>
        <v>38013</v>
      </c>
      <c r="AS73" s="453">
        <f>'ADJ DETAIL-INPUT'!AT74</f>
        <v>10388</v>
      </c>
      <c r="AT73" s="453">
        <f>'ADJ DETAIL-INPUT'!AU74</f>
        <v>48760</v>
      </c>
      <c r="AU73" s="453">
        <f>'ADJ DETAIL-INPUT'!AV74</f>
        <v>9502.3178478007103</v>
      </c>
      <c r="AV73" s="453">
        <f>'ADJ DETAIL-INPUT'!AX74</f>
        <v>8873.0483970175628</v>
      </c>
      <c r="AW73" s="453">
        <f>'ADJ DETAIL-INPUT'!AZ74</f>
        <v>-19367</v>
      </c>
      <c r="AX73" s="453">
        <f>'ADJ DETAIL-INPUT'!BB74</f>
        <v>0</v>
      </c>
      <c r="AY73" s="453">
        <f>'ADJ DETAIL-INPUT'!BC74</f>
        <v>0</v>
      </c>
      <c r="AZ73" s="453">
        <f>'ADJ DETAIL-INPUT'!BF74</f>
        <v>2237406.7416918059</v>
      </c>
      <c r="BA73" s="453">
        <f>'ADJ DETAIL-INPUT'!BG74</f>
        <v>0</v>
      </c>
      <c r="BB73" s="453">
        <f>'ADJ DETAIL-INPUT'!BH74</f>
        <v>2237406.7416918059</v>
      </c>
    </row>
    <row r="74" spans="1:54" s="424" customFormat="1" ht="6.75" customHeight="1">
      <c r="A74" s="425"/>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2"/>
      <c r="AY74" s="442"/>
      <c r="AZ74" s="442"/>
      <c r="BA74" s="442"/>
      <c r="BB74" s="442"/>
    </row>
    <row r="75" spans="1:54" s="424" customFormat="1">
      <c r="A75" s="426">
        <f>'ADJ DETAIL-INPUT'!A76</f>
        <v>45</v>
      </c>
      <c r="B75" s="424" t="str">
        <f>'ADJ DETAIL-INPUT'!B76</f>
        <v xml:space="preserve">DEFERRED TAXES  </v>
      </c>
      <c r="E75" s="443">
        <f>'ADJ DETAIL-INPUT'!E76</f>
        <v>-418971</v>
      </c>
      <c r="F75" s="444">
        <f>'ADJ DETAIL-INPUT'!F76</f>
        <v>47</v>
      </c>
      <c r="G75" s="444">
        <f>'ADJ DETAIL-INPUT'!G76</f>
        <v>0</v>
      </c>
      <c r="H75" s="444">
        <f>'ADJ DETAIL-INPUT'!H76</f>
        <v>0</v>
      </c>
      <c r="I75" s="444">
        <f>'ADJ DETAIL-INPUT'!I76</f>
        <v>3384</v>
      </c>
      <c r="J75" s="444">
        <f>'ADJ DETAIL-INPUT'!J76</f>
        <v>0</v>
      </c>
      <c r="K75" s="444">
        <f>'ADJ DETAIL-INPUT'!K76</f>
        <v>0</v>
      </c>
      <c r="L75" s="444">
        <f>'ADJ DETAIL-INPUT'!L76</f>
        <v>0</v>
      </c>
      <c r="M75" s="444">
        <f>'ADJ DETAIL-INPUT'!M76</f>
        <v>0</v>
      </c>
      <c r="N75" s="444">
        <f>'ADJ DETAIL-INPUT'!N76</f>
        <v>0</v>
      </c>
      <c r="O75" s="444">
        <f>'ADJ DETAIL-INPUT'!O76</f>
        <v>0</v>
      </c>
      <c r="P75" s="444">
        <f>'ADJ DETAIL-INPUT'!P76</f>
        <v>0</v>
      </c>
      <c r="Q75" s="444">
        <f>'ADJ DETAIL-INPUT'!Q76</f>
        <v>0</v>
      </c>
      <c r="R75" s="444">
        <f>'ADJ DETAIL-INPUT'!R76</f>
        <v>0</v>
      </c>
      <c r="S75" s="444">
        <f>'ADJ DETAIL-INPUT'!S76</f>
        <v>0</v>
      </c>
      <c r="T75" s="444">
        <f>'ADJ DETAIL-INPUT'!T76</f>
        <v>0</v>
      </c>
      <c r="U75" s="444">
        <f>'ADJ DETAIL-INPUT'!U76</f>
        <v>0</v>
      </c>
      <c r="V75" s="444">
        <f>'ADJ DETAIL-INPUT'!V76</f>
        <v>0</v>
      </c>
      <c r="W75" s="444">
        <f>'ADJ DETAIL-INPUT'!W76</f>
        <v>0</v>
      </c>
      <c r="X75" s="444">
        <f>'ADJ DETAIL-INPUT'!X76</f>
        <v>0</v>
      </c>
      <c r="Y75" s="444">
        <f>'ADJ DETAIL-INPUT'!Y76</f>
        <v>0</v>
      </c>
      <c r="Z75" s="444">
        <f>'ADJ DETAIL-INPUT'!Z76</f>
        <v>0</v>
      </c>
      <c r="AA75" s="444">
        <f>'ADJ DETAIL-INPUT'!AA76</f>
        <v>0</v>
      </c>
      <c r="AB75" s="444">
        <f>'ADJ DETAIL-INPUT'!AB76</f>
        <v>-517</v>
      </c>
      <c r="AC75" s="444">
        <f>'ADJ DETAIL-INPUT'!AD76</f>
        <v>0</v>
      </c>
      <c r="AD75" s="444">
        <f>'ADJ DETAIL-INPUT'!AE76</f>
        <v>0</v>
      </c>
      <c r="AE75" s="444">
        <f>'ADJ DETAIL-INPUT'!AF76</f>
        <v>0</v>
      </c>
      <c r="AF75" s="444">
        <f>'ADJ DETAIL-INPUT'!AG76</f>
        <v>0</v>
      </c>
      <c r="AG75" s="444">
        <f>'ADJ DETAIL-INPUT'!AH76</f>
        <v>0</v>
      </c>
      <c r="AH75" s="444">
        <f>'ADJ DETAIL-INPUT'!AI76</f>
        <v>0</v>
      </c>
      <c r="AI75" s="444">
        <f>'ADJ DETAIL-INPUT'!AJ76</f>
        <v>0</v>
      </c>
      <c r="AJ75" s="444">
        <f>'ADJ DETAIL-INPUT'!AK76</f>
        <v>0</v>
      </c>
      <c r="AK75" s="444">
        <f>'ADJ DETAIL-INPUT'!AL76</f>
        <v>0</v>
      </c>
      <c r="AL75" s="444">
        <f>'ADJ DETAIL-INPUT'!AM76</f>
        <v>0</v>
      </c>
      <c r="AM75" s="444">
        <f>'ADJ DETAIL-INPUT'!AN76</f>
        <v>0</v>
      </c>
      <c r="AN75" s="444">
        <f>'ADJ DETAIL-INPUT'!AO76</f>
        <v>0</v>
      </c>
      <c r="AO75" s="444">
        <f>'ADJ DETAIL-INPUT'!AP76</f>
        <v>-232</v>
      </c>
      <c r="AP75" s="444">
        <f>'ADJ DETAIL-INPUT'!AQ76</f>
        <v>-520</v>
      </c>
      <c r="AQ75" s="444">
        <f>'ADJ DETAIL-INPUT'!AR76</f>
        <v>-1949</v>
      </c>
      <c r="AR75" s="444">
        <f>'ADJ DETAIL-INPUT'!AS76</f>
        <v>-1187</v>
      </c>
      <c r="AS75" s="444">
        <f>'ADJ DETAIL-INPUT'!AT76</f>
        <v>-208</v>
      </c>
      <c r="AT75" s="444">
        <f>'ADJ DETAIL-INPUT'!AU76</f>
        <v>-14330</v>
      </c>
      <c r="AU75" s="444">
        <f>'ADJ DETAIL-INPUT'!AV76</f>
        <v>-96.846032147920695</v>
      </c>
      <c r="AV75" s="444">
        <f>'ADJ DETAIL-INPUT'!AX76</f>
        <v>-148.21153640771027</v>
      </c>
      <c r="AW75" s="444">
        <f>'ADJ DETAIL-INPUT'!AZ76</f>
        <v>2185</v>
      </c>
      <c r="AX75" s="444">
        <f>'ADJ DETAIL-INPUT'!BB76</f>
        <v>0</v>
      </c>
      <c r="AY75" s="444">
        <f>'ADJ DETAIL-INPUT'!BC76</f>
        <v>-30542</v>
      </c>
      <c r="AZ75" s="444">
        <f>'ADJ DETAIL-INPUT'!BF76</f>
        <v>-463358.74167168036</v>
      </c>
      <c r="BA75" s="444">
        <f>'ADJ DETAIL-INPUT'!BG76</f>
        <v>17681</v>
      </c>
      <c r="BB75" s="444">
        <f>'ADJ DETAIL-INPUT'!BH76</f>
        <v>-445677.74167168036</v>
      </c>
    </row>
    <row r="76" spans="1:54" s="424" customFormat="1">
      <c r="A76" s="426">
        <f>'ADJ DETAIL-INPUT'!A77</f>
        <v>46</v>
      </c>
      <c r="C76" s="424" t="str">
        <f>'ADJ DETAIL-INPUT'!C77</f>
        <v>Net Plant After DFIT</v>
      </c>
      <c r="E76" s="442">
        <f>'ADJ DETAIL-INPUT'!E77</f>
        <v>1667769</v>
      </c>
      <c r="F76" s="442">
        <f>'ADJ DETAIL-INPUT'!F77</f>
        <v>47</v>
      </c>
      <c r="G76" s="442">
        <f>'ADJ DETAIL-INPUT'!G77</f>
        <v>0</v>
      </c>
      <c r="H76" s="442">
        <f>'ADJ DETAIL-INPUT'!H77</f>
        <v>0</v>
      </c>
      <c r="I76" s="442">
        <f>'ADJ DETAIL-INPUT'!I77</f>
        <v>-48106</v>
      </c>
      <c r="J76" s="442">
        <f>'ADJ DETAIL-INPUT'!J77</f>
        <v>0</v>
      </c>
      <c r="K76" s="442">
        <f>'ADJ DETAIL-INPUT'!K77</f>
        <v>0</v>
      </c>
      <c r="L76" s="442">
        <f>'ADJ DETAIL-INPUT'!L77</f>
        <v>0</v>
      </c>
      <c r="M76" s="442">
        <f>'ADJ DETAIL-INPUT'!M77</f>
        <v>0</v>
      </c>
      <c r="N76" s="442">
        <f>'ADJ DETAIL-INPUT'!N77</f>
        <v>0</v>
      </c>
      <c r="O76" s="442">
        <f>'ADJ DETAIL-INPUT'!O77</f>
        <v>0</v>
      </c>
      <c r="P76" s="442">
        <f>'ADJ DETAIL-INPUT'!P77</f>
        <v>0</v>
      </c>
      <c r="Q76" s="442">
        <f>'ADJ DETAIL-INPUT'!Q77</f>
        <v>0</v>
      </c>
      <c r="R76" s="442">
        <f>'ADJ DETAIL-INPUT'!R77</f>
        <v>0</v>
      </c>
      <c r="S76" s="442">
        <f>'ADJ DETAIL-INPUT'!S77</f>
        <v>0</v>
      </c>
      <c r="T76" s="442">
        <f>'ADJ DETAIL-INPUT'!T77</f>
        <v>0</v>
      </c>
      <c r="U76" s="442">
        <f>'ADJ DETAIL-INPUT'!U77</f>
        <v>0</v>
      </c>
      <c r="V76" s="442">
        <f>'ADJ DETAIL-INPUT'!V77</f>
        <v>0</v>
      </c>
      <c r="W76" s="442">
        <f>'ADJ DETAIL-INPUT'!W77</f>
        <v>0</v>
      </c>
      <c r="X76" s="442">
        <f>'ADJ DETAIL-INPUT'!X77</f>
        <v>0</v>
      </c>
      <c r="Y76" s="442">
        <f>'ADJ DETAIL-INPUT'!Y77</f>
        <v>0</v>
      </c>
      <c r="Z76" s="442">
        <f>'ADJ DETAIL-INPUT'!Z77</f>
        <v>0</v>
      </c>
      <c r="AA76" s="442">
        <f>'ADJ DETAIL-INPUT'!AA77</f>
        <v>0</v>
      </c>
      <c r="AB76" s="442">
        <f>'ADJ DETAIL-INPUT'!AB77</f>
        <v>20145.862985405809</v>
      </c>
      <c r="AC76" s="442">
        <f>'ADJ DETAIL-INPUT'!AD77</f>
        <v>0</v>
      </c>
      <c r="AD76" s="442">
        <f>'ADJ DETAIL-INPUT'!AE77</f>
        <v>0</v>
      </c>
      <c r="AE76" s="442">
        <f>'ADJ DETAIL-INPUT'!AF77</f>
        <v>0</v>
      </c>
      <c r="AF76" s="442">
        <f>'ADJ DETAIL-INPUT'!AG77</f>
        <v>0</v>
      </c>
      <c r="AG76" s="442">
        <f>'ADJ DETAIL-INPUT'!AH77</f>
        <v>0</v>
      </c>
      <c r="AH76" s="442">
        <f>'ADJ DETAIL-INPUT'!AI77</f>
        <v>0</v>
      </c>
      <c r="AI76" s="442">
        <f>'ADJ DETAIL-INPUT'!AJ77</f>
        <v>0</v>
      </c>
      <c r="AJ76" s="442">
        <f>'ADJ DETAIL-INPUT'!AK77</f>
        <v>0</v>
      </c>
      <c r="AK76" s="442">
        <f>'ADJ DETAIL-INPUT'!AL77</f>
        <v>0</v>
      </c>
      <c r="AL76" s="442">
        <f>'ADJ DETAIL-INPUT'!AM77</f>
        <v>0</v>
      </c>
      <c r="AM76" s="442">
        <f>'ADJ DETAIL-INPUT'!AN77</f>
        <v>0</v>
      </c>
      <c r="AN76" s="442">
        <f>'ADJ DETAIL-INPUT'!AO77</f>
        <v>0</v>
      </c>
      <c r="AO76" s="442">
        <f>'ADJ DETAIL-INPUT'!AP77</f>
        <v>10279</v>
      </c>
      <c r="AP76" s="442">
        <f>'ADJ DETAIL-INPUT'!AQ77</f>
        <v>18005</v>
      </c>
      <c r="AQ76" s="442">
        <f>'ADJ DETAIL-INPUT'!AR77</f>
        <v>47479</v>
      </c>
      <c r="AR76" s="442">
        <f>'ADJ DETAIL-INPUT'!AS77</f>
        <v>36826</v>
      </c>
      <c r="AS76" s="442">
        <f>'ADJ DETAIL-INPUT'!AT77</f>
        <v>10180</v>
      </c>
      <c r="AT76" s="442">
        <f>'ADJ DETAIL-INPUT'!AU77</f>
        <v>34430</v>
      </c>
      <c r="AU76" s="442">
        <f>'ADJ DETAIL-INPUT'!AV77</f>
        <v>9405.4718156527888</v>
      </c>
      <c r="AV76" s="442">
        <f>'ADJ DETAIL-INPUT'!AX77</f>
        <v>8724.836860609852</v>
      </c>
      <c r="AW76" s="442">
        <f>'ADJ DETAIL-INPUT'!AZ77</f>
        <v>-17182</v>
      </c>
      <c r="AX76" s="442">
        <f>'ADJ DETAIL-INPUT'!BB77</f>
        <v>0</v>
      </c>
      <c r="AY76" s="442">
        <f>'ADJ DETAIL-INPUT'!BC77</f>
        <v>-30542</v>
      </c>
      <c r="AZ76" s="442">
        <f>'ADJ DETAIL-INPUT'!BF77</f>
        <v>1774048.0000201254</v>
      </c>
      <c r="BA76" s="442">
        <f>'ADJ DETAIL-INPUT'!BG77</f>
        <v>17681</v>
      </c>
      <c r="BB76" s="442">
        <f>'ADJ DETAIL-INPUT'!BH77</f>
        <v>1791729.0000201254</v>
      </c>
    </row>
    <row r="77" spans="1:54" s="424" customFormat="1">
      <c r="A77" s="425">
        <f>'ADJ DETAIL-INPUT'!A78</f>
        <v>47</v>
      </c>
      <c r="B77" s="424" t="str">
        <f>'ADJ DETAIL-INPUT'!B78</f>
        <v>DEFERRED DEBITS AND CREDITS &amp; OTHER</v>
      </c>
      <c r="E77" s="442">
        <f>'ADJ DETAIL-INPUT'!E78</f>
        <v>-2096</v>
      </c>
      <c r="F77" s="435">
        <f>'ADJ DETAIL-INPUT'!F78</f>
        <v>0</v>
      </c>
      <c r="G77" s="435">
        <f>'ADJ DETAIL-INPUT'!G78</f>
        <v>1</v>
      </c>
      <c r="H77" s="435">
        <f>'ADJ DETAIL-INPUT'!H78</f>
        <v>0</v>
      </c>
      <c r="I77" s="435">
        <f>'ADJ DETAIL-INPUT'!I78</f>
        <v>-182</v>
      </c>
      <c r="J77" s="435">
        <f>'ADJ DETAIL-INPUT'!J78</f>
        <v>0</v>
      </c>
      <c r="K77" s="435">
        <f>'ADJ DETAIL-INPUT'!K78</f>
        <v>0</v>
      </c>
      <c r="L77" s="435">
        <f>'ADJ DETAIL-INPUT'!L78</f>
        <v>0</v>
      </c>
      <c r="M77" s="435">
        <f>'ADJ DETAIL-INPUT'!M78</f>
        <v>0</v>
      </c>
      <c r="N77" s="435">
        <f>'ADJ DETAIL-INPUT'!N78</f>
        <v>0</v>
      </c>
      <c r="O77" s="435">
        <f>'ADJ DETAIL-INPUT'!O78</f>
        <v>0</v>
      </c>
      <c r="P77" s="435">
        <f>'ADJ DETAIL-INPUT'!P78</f>
        <v>0</v>
      </c>
      <c r="Q77" s="435">
        <f>'ADJ DETAIL-INPUT'!Q78</f>
        <v>0</v>
      </c>
      <c r="R77" s="435">
        <f>'ADJ DETAIL-INPUT'!R78</f>
        <v>0</v>
      </c>
      <c r="S77" s="435">
        <f>'ADJ DETAIL-INPUT'!S78</f>
        <v>0</v>
      </c>
      <c r="T77" s="435">
        <f>'ADJ DETAIL-INPUT'!T78</f>
        <v>0</v>
      </c>
      <c r="U77" s="435">
        <f>'ADJ DETAIL-INPUT'!U78</f>
        <v>0</v>
      </c>
      <c r="V77" s="435">
        <f>'ADJ DETAIL-INPUT'!V78</f>
        <v>0</v>
      </c>
      <c r="W77" s="435">
        <f>'ADJ DETAIL-INPUT'!W78</f>
        <v>0</v>
      </c>
      <c r="X77" s="435">
        <f>'ADJ DETAIL-INPUT'!X78</f>
        <v>0</v>
      </c>
      <c r="Y77" s="435">
        <f>'ADJ DETAIL-INPUT'!Y78</f>
        <v>0</v>
      </c>
      <c r="Z77" s="435">
        <f>'ADJ DETAIL-INPUT'!Z78</f>
        <v>0</v>
      </c>
      <c r="AA77" s="435">
        <f>'ADJ DETAIL-INPUT'!AA78</f>
        <v>0</v>
      </c>
      <c r="AB77" s="435">
        <f>'ADJ DETAIL-INPUT'!AB78</f>
        <v>0</v>
      </c>
      <c r="AC77" s="435">
        <f>'ADJ DETAIL-INPUT'!AD78</f>
        <v>0</v>
      </c>
      <c r="AD77" s="435">
        <f>'ADJ DETAIL-INPUT'!AE78</f>
        <v>0</v>
      </c>
      <c r="AE77" s="435">
        <f>'ADJ DETAIL-INPUT'!AF78</f>
        <v>0</v>
      </c>
      <c r="AF77" s="435">
        <f>'ADJ DETAIL-INPUT'!AG78</f>
        <v>-766</v>
      </c>
      <c r="AG77" s="435">
        <f>'ADJ DETAIL-INPUT'!AH78</f>
        <v>0</v>
      </c>
      <c r="AH77" s="435">
        <f>'ADJ DETAIL-INPUT'!AI78</f>
        <v>0</v>
      </c>
      <c r="AI77" s="435">
        <f>'ADJ DETAIL-INPUT'!AJ78</f>
        <v>0</v>
      </c>
      <c r="AJ77" s="435">
        <f>'ADJ DETAIL-INPUT'!AK78</f>
        <v>0</v>
      </c>
      <c r="AK77" s="435">
        <f>'ADJ DETAIL-INPUT'!AL78</f>
        <v>0</v>
      </c>
      <c r="AL77" s="435">
        <f>'ADJ DETAIL-INPUT'!AM78</f>
        <v>0</v>
      </c>
      <c r="AM77" s="435">
        <f>'ADJ DETAIL-INPUT'!AN78</f>
        <v>0</v>
      </c>
      <c r="AN77" s="435">
        <f>'ADJ DETAIL-INPUT'!AO78</f>
        <v>0</v>
      </c>
      <c r="AO77" s="435">
        <f>'ADJ DETAIL-INPUT'!AP78</f>
        <v>0</v>
      </c>
      <c r="AP77" s="435">
        <f>'ADJ DETAIL-INPUT'!AQ78</f>
        <v>0</v>
      </c>
      <c r="AQ77" s="435">
        <f>'ADJ DETAIL-INPUT'!AR78</f>
        <v>0</v>
      </c>
      <c r="AR77" s="435">
        <f>'ADJ DETAIL-INPUT'!AS78</f>
        <v>0</v>
      </c>
      <c r="AS77" s="435">
        <f>'ADJ DETAIL-INPUT'!AT78</f>
        <v>0</v>
      </c>
      <c r="AT77" s="435">
        <f>'ADJ DETAIL-INPUT'!AU78</f>
        <v>53155</v>
      </c>
      <c r="AU77" s="435">
        <f>'ADJ DETAIL-INPUT'!AV78</f>
        <v>0</v>
      </c>
      <c r="AV77" s="435">
        <f>'ADJ DETAIL-INPUT'!AX78</f>
        <v>0</v>
      </c>
      <c r="AW77" s="435">
        <f>'ADJ DETAIL-INPUT'!AZ78</f>
        <v>-4266</v>
      </c>
      <c r="AX77" s="435">
        <f>'ADJ DETAIL-INPUT'!BB78</f>
        <v>0</v>
      </c>
      <c r="AY77" s="435">
        <f>'ADJ DETAIL-INPUT'!BC78</f>
        <v>0</v>
      </c>
      <c r="AZ77" s="435">
        <f>'ADJ DETAIL-INPUT'!BF78</f>
        <v>45846</v>
      </c>
      <c r="BA77" s="435">
        <f>'ADJ DETAIL-INPUT'!BG78</f>
        <v>0</v>
      </c>
      <c r="BB77" s="435">
        <f>'ADJ DETAIL-INPUT'!BH78</f>
        <v>45846</v>
      </c>
    </row>
    <row r="78" spans="1:54" s="424" customFormat="1">
      <c r="A78" s="425">
        <f>'ADJ DETAIL-INPUT'!A79</f>
        <v>48</v>
      </c>
      <c r="B78" s="424" t="str">
        <f>'ADJ DETAIL-INPUT'!B79</f>
        <v xml:space="preserve">WORKING CAPITAL </v>
      </c>
      <c r="E78" s="442">
        <f>'ADJ DETAIL-INPUT'!E79</f>
        <v>44462</v>
      </c>
      <c r="F78" s="444">
        <f>'ADJ DETAIL-INPUT'!F79</f>
        <v>0</v>
      </c>
      <c r="G78" s="444">
        <f>'ADJ DETAIL-INPUT'!G79</f>
        <v>0</v>
      </c>
      <c r="H78" s="444">
        <f>'ADJ DETAIL-INPUT'!H79</f>
        <v>-3752</v>
      </c>
      <c r="I78" s="444">
        <f>'ADJ DETAIL-INPUT'!I79</f>
        <v>0</v>
      </c>
      <c r="J78" s="444">
        <f>'ADJ DETAIL-INPUT'!J79</f>
        <v>0</v>
      </c>
      <c r="K78" s="444">
        <f>'ADJ DETAIL-INPUT'!K79</f>
        <v>0</v>
      </c>
      <c r="L78" s="444">
        <f>'ADJ DETAIL-INPUT'!L79</f>
        <v>0</v>
      </c>
      <c r="M78" s="444">
        <f>'ADJ DETAIL-INPUT'!M79</f>
        <v>0</v>
      </c>
      <c r="N78" s="444">
        <f>'ADJ DETAIL-INPUT'!N79</f>
        <v>0</v>
      </c>
      <c r="O78" s="444">
        <f>'ADJ DETAIL-INPUT'!O79</f>
        <v>0</v>
      </c>
      <c r="P78" s="444">
        <f>'ADJ DETAIL-INPUT'!P79</f>
        <v>0</v>
      </c>
      <c r="Q78" s="444">
        <f>'ADJ DETAIL-INPUT'!Q79</f>
        <v>0</v>
      </c>
      <c r="R78" s="444">
        <f>'ADJ DETAIL-INPUT'!R79</f>
        <v>0</v>
      </c>
      <c r="S78" s="444">
        <f>'ADJ DETAIL-INPUT'!S79</f>
        <v>0</v>
      </c>
      <c r="T78" s="444">
        <f>'ADJ DETAIL-INPUT'!T79</f>
        <v>0</v>
      </c>
      <c r="U78" s="444">
        <f>'ADJ DETAIL-INPUT'!U79</f>
        <v>0</v>
      </c>
      <c r="V78" s="444">
        <f>'ADJ DETAIL-INPUT'!V79</f>
        <v>0</v>
      </c>
      <c r="W78" s="444">
        <f>'ADJ DETAIL-INPUT'!W79</f>
        <v>0</v>
      </c>
      <c r="X78" s="444">
        <f>'ADJ DETAIL-INPUT'!X79</f>
        <v>0</v>
      </c>
      <c r="Y78" s="444">
        <f>'ADJ DETAIL-INPUT'!Y79</f>
        <v>0</v>
      </c>
      <c r="Z78" s="444">
        <f>'ADJ DETAIL-INPUT'!Z79</f>
        <v>0</v>
      </c>
      <c r="AA78" s="444">
        <f>'ADJ DETAIL-INPUT'!AA79</f>
        <v>0</v>
      </c>
      <c r="AB78" s="444">
        <f>'ADJ DETAIL-INPUT'!AB79</f>
        <v>0</v>
      </c>
      <c r="AC78" s="444">
        <f>'ADJ DETAIL-INPUT'!AD79</f>
        <v>0</v>
      </c>
      <c r="AD78" s="444">
        <f>'ADJ DETAIL-INPUT'!AE79</f>
        <v>0</v>
      </c>
      <c r="AE78" s="444">
        <f>'ADJ DETAIL-INPUT'!AF79</f>
        <v>0</v>
      </c>
      <c r="AF78" s="444">
        <f>'ADJ DETAIL-INPUT'!AG79</f>
        <v>0</v>
      </c>
      <c r="AG78" s="444">
        <f>'ADJ DETAIL-INPUT'!AH79</f>
        <v>0</v>
      </c>
      <c r="AH78" s="444">
        <f>'ADJ DETAIL-INPUT'!AI79</f>
        <v>0</v>
      </c>
      <c r="AI78" s="444">
        <f>'ADJ DETAIL-INPUT'!AJ79</f>
        <v>0</v>
      </c>
      <c r="AJ78" s="444">
        <f>'ADJ DETAIL-INPUT'!AK79</f>
        <v>0</v>
      </c>
      <c r="AK78" s="444">
        <f>'ADJ DETAIL-INPUT'!AL79</f>
        <v>0</v>
      </c>
      <c r="AL78" s="444">
        <f>'ADJ DETAIL-INPUT'!AM79</f>
        <v>0</v>
      </c>
      <c r="AM78" s="444">
        <f>'ADJ DETAIL-INPUT'!AN79</f>
        <v>0</v>
      </c>
      <c r="AN78" s="444">
        <f>'ADJ DETAIL-INPUT'!AO79</f>
        <v>0</v>
      </c>
      <c r="AO78" s="444">
        <f>'ADJ DETAIL-INPUT'!AP79</f>
        <v>0</v>
      </c>
      <c r="AP78" s="444">
        <f>'ADJ DETAIL-INPUT'!AQ79</f>
        <v>0</v>
      </c>
      <c r="AQ78" s="444">
        <f>'ADJ DETAIL-INPUT'!AR79</f>
        <v>0</v>
      </c>
      <c r="AR78" s="444">
        <f>'ADJ DETAIL-INPUT'!AS79</f>
        <v>0</v>
      </c>
      <c r="AS78" s="444">
        <f>'ADJ DETAIL-INPUT'!AT79</f>
        <v>0</v>
      </c>
      <c r="AT78" s="444">
        <f>'ADJ DETAIL-INPUT'!AU79</f>
        <v>0</v>
      </c>
      <c r="AU78" s="444">
        <f>'ADJ DETAIL-INPUT'!AV79</f>
        <v>0</v>
      </c>
      <c r="AV78" s="444">
        <f>'ADJ DETAIL-INPUT'!AX79</f>
        <v>0</v>
      </c>
      <c r="AW78" s="444">
        <f>'ADJ DETAIL-INPUT'!AZ79</f>
        <v>0</v>
      </c>
      <c r="AX78" s="444">
        <f>'ADJ DETAIL-INPUT'!BB79</f>
        <v>0</v>
      </c>
      <c r="AY78" s="444">
        <f>'ADJ DETAIL-INPUT'!BC79</f>
        <v>0</v>
      </c>
      <c r="AZ78" s="444">
        <f>'ADJ DETAIL-INPUT'!BF79</f>
        <v>40710</v>
      </c>
      <c r="BA78" s="444">
        <f>'ADJ DETAIL-INPUT'!BG79</f>
        <v>0</v>
      </c>
      <c r="BB78" s="444">
        <f>'ADJ DETAIL-INPUT'!BH79</f>
        <v>40710</v>
      </c>
    </row>
    <row r="79" spans="1:54" s="424" customFormat="1" ht="6.75" customHeight="1">
      <c r="A79" s="426"/>
      <c r="E79" s="453">
        <f>'ADJ DETAIL-INPUT'!E80</f>
        <v>0</v>
      </c>
      <c r="F79" s="435">
        <f>'ADJ DETAIL-INPUT'!F80</f>
        <v>0</v>
      </c>
      <c r="G79" s="435">
        <f>'ADJ DETAIL-INPUT'!G80</f>
        <v>0</v>
      </c>
      <c r="H79" s="435">
        <f>'ADJ DETAIL-INPUT'!H80</f>
        <v>0</v>
      </c>
      <c r="I79" s="435">
        <f>'ADJ DETAIL-INPUT'!I80</f>
        <v>0</v>
      </c>
      <c r="J79" s="435">
        <f>'ADJ DETAIL-INPUT'!J80</f>
        <v>0</v>
      </c>
      <c r="K79" s="435">
        <f>'ADJ DETAIL-INPUT'!K80</f>
        <v>0</v>
      </c>
      <c r="L79" s="435">
        <f>'ADJ DETAIL-INPUT'!L80</f>
        <v>0</v>
      </c>
      <c r="M79" s="435">
        <f>'ADJ DETAIL-INPUT'!M80</f>
        <v>0</v>
      </c>
      <c r="N79" s="435">
        <f>'ADJ DETAIL-INPUT'!N80</f>
        <v>0</v>
      </c>
      <c r="O79" s="435">
        <f>'ADJ DETAIL-INPUT'!O80</f>
        <v>0</v>
      </c>
      <c r="P79" s="435">
        <f>'ADJ DETAIL-INPUT'!P80</f>
        <v>0</v>
      </c>
      <c r="Q79" s="435">
        <f>'ADJ DETAIL-INPUT'!Q80</f>
        <v>0</v>
      </c>
      <c r="R79" s="435">
        <f>'ADJ DETAIL-INPUT'!R80</f>
        <v>0</v>
      </c>
      <c r="S79" s="435">
        <f>'ADJ DETAIL-INPUT'!S80</f>
        <v>0</v>
      </c>
      <c r="T79" s="435">
        <f>'ADJ DETAIL-INPUT'!T80</f>
        <v>0</v>
      </c>
      <c r="U79" s="435">
        <f>'ADJ DETAIL-INPUT'!U80</f>
        <v>0</v>
      </c>
      <c r="V79" s="435">
        <f>'ADJ DETAIL-INPUT'!V80</f>
        <v>0</v>
      </c>
      <c r="W79" s="435">
        <f>'ADJ DETAIL-INPUT'!W80</f>
        <v>0</v>
      </c>
      <c r="X79" s="435">
        <f>'ADJ DETAIL-INPUT'!X80</f>
        <v>0</v>
      </c>
      <c r="Y79" s="435">
        <f>'ADJ DETAIL-INPUT'!Y80</f>
        <v>0</v>
      </c>
      <c r="Z79" s="435">
        <f>'ADJ DETAIL-INPUT'!Z80</f>
        <v>0</v>
      </c>
      <c r="AA79" s="435">
        <f>'ADJ DETAIL-INPUT'!AA80</f>
        <v>0</v>
      </c>
      <c r="AB79" s="435">
        <f>'ADJ DETAIL-INPUT'!AB80</f>
        <v>0</v>
      </c>
      <c r="AC79" s="435">
        <f>'ADJ DETAIL-INPUT'!AD80</f>
        <v>0</v>
      </c>
      <c r="AD79" s="435">
        <f>'ADJ DETAIL-INPUT'!AE80</f>
        <v>0</v>
      </c>
      <c r="AE79" s="435">
        <f>'ADJ DETAIL-INPUT'!AF80</f>
        <v>0</v>
      </c>
      <c r="AF79" s="435">
        <f>'ADJ DETAIL-INPUT'!AG80</f>
        <v>0</v>
      </c>
      <c r="AG79" s="435">
        <f>'ADJ DETAIL-INPUT'!AH80</f>
        <v>0</v>
      </c>
      <c r="AH79" s="435">
        <f>'ADJ DETAIL-INPUT'!AI80</f>
        <v>0</v>
      </c>
      <c r="AI79" s="435">
        <f>'ADJ DETAIL-INPUT'!AJ80</f>
        <v>0</v>
      </c>
      <c r="AJ79" s="435">
        <f>'ADJ DETAIL-INPUT'!AK80</f>
        <v>0</v>
      </c>
      <c r="AK79" s="435">
        <f>'ADJ DETAIL-INPUT'!AL80</f>
        <v>0</v>
      </c>
      <c r="AL79" s="435">
        <f>'ADJ DETAIL-INPUT'!AM80</f>
        <v>0</v>
      </c>
      <c r="AM79" s="435">
        <f>'ADJ DETAIL-INPUT'!AN80</f>
        <v>0</v>
      </c>
      <c r="AN79" s="435">
        <f>'ADJ DETAIL-INPUT'!AO80</f>
        <v>0</v>
      </c>
      <c r="AO79" s="435">
        <f>'ADJ DETAIL-INPUT'!AP80</f>
        <v>0</v>
      </c>
      <c r="AP79" s="435">
        <f>'ADJ DETAIL-INPUT'!AQ80</f>
        <v>0</v>
      </c>
      <c r="AQ79" s="435">
        <f>'ADJ DETAIL-INPUT'!AR80</f>
        <v>0</v>
      </c>
      <c r="AR79" s="435">
        <f>'ADJ DETAIL-INPUT'!AS80</f>
        <v>0</v>
      </c>
      <c r="AS79" s="435">
        <f>'ADJ DETAIL-INPUT'!AT80</f>
        <v>0</v>
      </c>
      <c r="AT79" s="435">
        <f>'ADJ DETAIL-INPUT'!AU80</f>
        <v>0</v>
      </c>
      <c r="AU79" s="435">
        <f>'ADJ DETAIL-INPUT'!AV80</f>
        <v>0</v>
      </c>
      <c r="AV79" s="435">
        <f>'ADJ DETAIL-INPUT'!AX80</f>
        <v>0</v>
      </c>
      <c r="AW79" s="435">
        <f>'ADJ DETAIL-INPUT'!AZ80</f>
        <v>0</v>
      </c>
      <c r="AX79" s="435">
        <f>'ADJ DETAIL-INPUT'!BB80</f>
        <v>0</v>
      </c>
      <c r="AY79" s="435">
        <f>'ADJ DETAIL-INPUT'!BC80</f>
        <v>0</v>
      </c>
      <c r="AZ79" s="435">
        <f>'ADJ DETAIL-INPUT'!BF80</f>
        <v>0</v>
      </c>
      <c r="BA79" s="435">
        <f>'ADJ DETAIL-INPUT'!BG80</f>
        <v>0</v>
      </c>
      <c r="BB79" s="435">
        <f>'ADJ DETAIL-INPUT'!BH80</f>
        <v>0</v>
      </c>
    </row>
    <row r="80" spans="1:54" s="423" customFormat="1" ht="12.75" thickBot="1">
      <c r="A80" s="422">
        <f>'ADJ DETAIL-INPUT'!A81</f>
        <v>49</v>
      </c>
      <c r="B80" s="423" t="str">
        <f>'ADJ DETAIL-INPUT'!B81</f>
        <v xml:space="preserve">TOTAL RATE BASE  </v>
      </c>
      <c r="E80" s="455">
        <f>'ADJ DETAIL-INPUT'!E81</f>
        <v>1710135</v>
      </c>
      <c r="F80" s="455">
        <f>'ADJ DETAIL-INPUT'!F81</f>
        <v>47</v>
      </c>
      <c r="G80" s="455">
        <f>'ADJ DETAIL-INPUT'!G81</f>
        <v>1</v>
      </c>
      <c r="H80" s="455">
        <f>'ADJ DETAIL-INPUT'!H81</f>
        <v>-3752</v>
      </c>
      <c r="I80" s="455">
        <f>'ADJ DETAIL-INPUT'!I81</f>
        <v>-48288</v>
      </c>
      <c r="J80" s="455">
        <f>'ADJ DETAIL-INPUT'!J81</f>
        <v>0</v>
      </c>
      <c r="K80" s="455">
        <f>'ADJ DETAIL-INPUT'!K81</f>
        <v>0</v>
      </c>
      <c r="L80" s="455">
        <f>'ADJ DETAIL-INPUT'!L81</f>
        <v>0</v>
      </c>
      <c r="M80" s="455">
        <f>'ADJ DETAIL-INPUT'!M81</f>
        <v>0</v>
      </c>
      <c r="N80" s="455">
        <f>'ADJ DETAIL-INPUT'!N81</f>
        <v>0</v>
      </c>
      <c r="O80" s="455">
        <f>'ADJ DETAIL-INPUT'!O81</f>
        <v>0</v>
      </c>
      <c r="P80" s="455">
        <f>'ADJ DETAIL-INPUT'!P81</f>
        <v>0</v>
      </c>
      <c r="Q80" s="455">
        <f>'ADJ DETAIL-INPUT'!Q81</f>
        <v>0</v>
      </c>
      <c r="R80" s="455">
        <f>'ADJ DETAIL-INPUT'!R81</f>
        <v>0</v>
      </c>
      <c r="S80" s="455">
        <f>'ADJ DETAIL-INPUT'!S81</f>
        <v>0</v>
      </c>
      <c r="T80" s="455">
        <f>'ADJ DETAIL-INPUT'!T81</f>
        <v>0</v>
      </c>
      <c r="U80" s="455">
        <f>'ADJ DETAIL-INPUT'!U81</f>
        <v>0</v>
      </c>
      <c r="V80" s="455">
        <f>'ADJ DETAIL-INPUT'!V81</f>
        <v>0</v>
      </c>
      <c r="W80" s="455">
        <f>'ADJ DETAIL-INPUT'!W81</f>
        <v>0</v>
      </c>
      <c r="X80" s="455">
        <f>'ADJ DETAIL-INPUT'!X81</f>
        <v>0</v>
      </c>
      <c r="Y80" s="455">
        <f>'ADJ DETAIL-INPUT'!Y81</f>
        <v>0</v>
      </c>
      <c r="Z80" s="455">
        <f>'ADJ DETAIL-INPUT'!Z81</f>
        <v>0</v>
      </c>
      <c r="AA80" s="455">
        <f>'ADJ DETAIL-INPUT'!AA81</f>
        <v>0</v>
      </c>
      <c r="AB80" s="455">
        <f>'ADJ DETAIL-INPUT'!AB81</f>
        <v>20145.862985405809</v>
      </c>
      <c r="AC80" s="455">
        <f>'ADJ DETAIL-INPUT'!AD81</f>
        <v>0</v>
      </c>
      <c r="AD80" s="455">
        <f>'ADJ DETAIL-INPUT'!AE81</f>
        <v>0</v>
      </c>
      <c r="AE80" s="455">
        <f>'ADJ DETAIL-INPUT'!AF81</f>
        <v>0</v>
      </c>
      <c r="AF80" s="455">
        <f>'ADJ DETAIL-INPUT'!AG81</f>
        <v>-766</v>
      </c>
      <c r="AG80" s="455">
        <f>'ADJ DETAIL-INPUT'!AH81</f>
        <v>0</v>
      </c>
      <c r="AH80" s="455">
        <f>'ADJ DETAIL-INPUT'!AI81</f>
        <v>0</v>
      </c>
      <c r="AI80" s="455">
        <f>'ADJ DETAIL-INPUT'!AJ81</f>
        <v>0</v>
      </c>
      <c r="AJ80" s="455">
        <f>'ADJ DETAIL-INPUT'!AK81</f>
        <v>0</v>
      </c>
      <c r="AK80" s="455">
        <f>'ADJ DETAIL-INPUT'!AL81</f>
        <v>0</v>
      </c>
      <c r="AL80" s="455">
        <f>'ADJ DETAIL-INPUT'!AM81</f>
        <v>0</v>
      </c>
      <c r="AM80" s="455">
        <f>'ADJ DETAIL-INPUT'!AN81</f>
        <v>0</v>
      </c>
      <c r="AN80" s="455">
        <f>'ADJ DETAIL-INPUT'!AO81</f>
        <v>0</v>
      </c>
      <c r="AO80" s="455">
        <f>'ADJ DETAIL-INPUT'!AP81</f>
        <v>10279</v>
      </c>
      <c r="AP80" s="455">
        <f>'ADJ DETAIL-INPUT'!AQ81</f>
        <v>18005</v>
      </c>
      <c r="AQ80" s="455">
        <f>'ADJ DETAIL-INPUT'!AR81</f>
        <v>47479</v>
      </c>
      <c r="AR80" s="455">
        <f>'ADJ DETAIL-INPUT'!AS81</f>
        <v>36826</v>
      </c>
      <c r="AS80" s="455">
        <f>'ADJ DETAIL-INPUT'!AT81</f>
        <v>10180</v>
      </c>
      <c r="AT80" s="455">
        <f>'ADJ DETAIL-INPUT'!AU81</f>
        <v>87585</v>
      </c>
      <c r="AU80" s="455">
        <f>'ADJ DETAIL-INPUT'!AV81</f>
        <v>9405.4718156527888</v>
      </c>
      <c r="AV80" s="455">
        <f>'ADJ DETAIL-INPUT'!AX81</f>
        <v>8724.836860609852</v>
      </c>
      <c r="AW80" s="455">
        <f>'ADJ DETAIL-INPUT'!AZ81</f>
        <v>-21448</v>
      </c>
      <c r="AX80" s="455">
        <f>'ADJ DETAIL-INPUT'!BB81</f>
        <v>0</v>
      </c>
      <c r="AY80" s="455">
        <f>'ADJ DETAIL-INPUT'!BC81</f>
        <v>-30542</v>
      </c>
      <c r="AZ80" s="455">
        <f>'ADJ DETAIL-INPUT'!BF81</f>
        <v>1860604.0000201254</v>
      </c>
      <c r="BA80" s="455">
        <f>'ADJ DETAIL-INPUT'!BG81</f>
        <v>17681</v>
      </c>
      <c r="BB80" s="455">
        <f>'ADJ DETAIL-INPUT'!BH81</f>
        <v>1878285.0000201254</v>
      </c>
    </row>
    <row r="81" spans="4:5" ht="12.75" thickTop="1">
      <c r="D81" s="428"/>
      <c r="E81" s="435"/>
    </row>
    <row r="82" spans="4:5">
      <c r="E82" s="435"/>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workbookViewId="0"/>
  </sheetViews>
  <sheetFormatPr defaultColWidth="12.42578125" defaultRowHeight="12"/>
  <cols>
    <col min="1" max="1" width="7.85546875" style="265" customWidth="1"/>
    <col min="2" max="2" width="26.140625" style="264" customWidth="1"/>
    <col min="3" max="3" width="12.42578125" style="264" customWidth="1"/>
    <col min="4" max="4" width="5.5703125" style="264" bestFit="1" customWidth="1"/>
    <col min="5" max="5" width="14.5703125" style="264" customWidth="1"/>
    <col min="6" max="8" width="12.42578125" style="264" customWidth="1"/>
    <col min="9" max="9" width="14.5703125" style="264" hidden="1" customWidth="1"/>
    <col min="10" max="11" width="12.42578125" style="264" hidden="1" customWidth="1"/>
    <col min="12" max="16384" width="12.42578125" style="264"/>
  </cols>
  <sheetData>
    <row r="1" spans="1:11">
      <c r="A1" s="291" t="s">
        <v>116</v>
      </c>
      <c r="B1" s="292"/>
      <c r="C1" s="291"/>
    </row>
    <row r="2" spans="1:11">
      <c r="A2" s="291" t="s">
        <v>86</v>
      </c>
      <c r="B2" s="292"/>
      <c r="C2" s="291"/>
      <c r="I2" s="291"/>
      <c r="J2" s="265" t="s">
        <v>138</v>
      </c>
      <c r="K2" s="291"/>
    </row>
    <row r="3" spans="1:11">
      <c r="A3" s="292" t="str">
        <f>'[2]ADJ DETAIL-INPUT'!A4</f>
        <v>TWELVE MONTHS ENDED DECEMBER 31, 2019</v>
      </c>
      <c r="B3" s="292"/>
      <c r="C3" s="291"/>
      <c r="I3" s="291" t="s">
        <v>139</v>
      </c>
      <c r="J3" s="291"/>
      <c r="K3" s="291"/>
    </row>
    <row r="4" spans="1:11">
      <c r="A4" s="291" t="s">
        <v>0</v>
      </c>
      <c r="B4" s="292"/>
      <c r="C4" s="291"/>
      <c r="F4" s="383"/>
      <c r="I4" s="290" t="s">
        <v>89</v>
      </c>
      <c r="J4" s="290"/>
      <c r="K4" s="289"/>
    </row>
    <row r="5" spans="1:11">
      <c r="A5" s="291"/>
      <c r="B5" s="292"/>
      <c r="C5" s="291"/>
      <c r="I5" s="288"/>
      <c r="J5" s="288"/>
      <c r="K5" s="287"/>
    </row>
    <row r="6" spans="1:11">
      <c r="A6" s="291"/>
      <c r="B6" s="292"/>
      <c r="C6" s="291"/>
      <c r="E6" s="291" t="s">
        <v>87</v>
      </c>
      <c r="F6" s="291"/>
      <c r="G6" s="291"/>
      <c r="I6" s="288"/>
      <c r="J6" s="288"/>
      <c r="K6" s="287"/>
    </row>
    <row r="7" spans="1:11">
      <c r="A7" s="291"/>
      <c r="B7" s="292"/>
      <c r="C7" s="291"/>
      <c r="E7" s="291" t="s">
        <v>88</v>
      </c>
      <c r="F7" s="291"/>
      <c r="G7" s="291"/>
      <c r="I7" s="288"/>
      <c r="J7" s="288"/>
      <c r="K7" s="287"/>
    </row>
    <row r="8" spans="1:11">
      <c r="A8" s="291"/>
      <c r="B8" s="292"/>
      <c r="C8" s="291"/>
      <c r="E8" s="290" t="s">
        <v>89</v>
      </c>
      <c r="F8" s="290"/>
      <c r="G8" s="289"/>
      <c r="I8" s="288"/>
      <c r="J8" s="288"/>
      <c r="K8" s="287"/>
    </row>
    <row r="9" spans="1:11">
      <c r="A9" s="265" t="s">
        <v>8</v>
      </c>
    </row>
    <row r="10" spans="1:11" s="265" customFormat="1">
      <c r="A10" s="265" t="s">
        <v>90</v>
      </c>
      <c r="B10" s="286" t="s">
        <v>22</v>
      </c>
      <c r="C10" s="286"/>
      <c r="E10" s="286" t="s">
        <v>91</v>
      </c>
      <c r="F10" s="286" t="s">
        <v>92</v>
      </c>
      <c r="G10" s="286" t="s">
        <v>75</v>
      </c>
      <c r="H10" s="285" t="s">
        <v>93</v>
      </c>
      <c r="I10" s="286" t="s">
        <v>91</v>
      </c>
      <c r="J10" s="286" t="s">
        <v>92</v>
      </c>
      <c r="K10" s="286"/>
    </row>
    <row r="11" spans="1:11" s="265" customFormat="1" ht="5.25" customHeight="1">
      <c r="B11" s="357"/>
      <c r="C11" s="357"/>
      <c r="E11" s="357"/>
      <c r="F11" s="357"/>
      <c r="G11" s="357"/>
      <c r="H11" s="285"/>
      <c r="I11" s="357"/>
      <c r="J11" s="357"/>
      <c r="K11" s="357"/>
    </row>
    <row r="12" spans="1:11" s="265" customFormat="1" ht="5.25" customHeight="1">
      <c r="B12" s="357"/>
      <c r="C12" s="357"/>
      <c r="E12" s="357"/>
      <c r="F12" s="357"/>
      <c r="G12" s="357"/>
      <c r="H12" s="285"/>
      <c r="I12" s="357"/>
      <c r="J12" s="357"/>
      <c r="K12" s="357"/>
    </row>
    <row r="13" spans="1:11">
      <c r="B13" s="267" t="s">
        <v>40</v>
      </c>
    </row>
    <row r="14" spans="1:11" s="271" customFormat="1">
      <c r="A14" s="274">
        <v>1</v>
      </c>
      <c r="B14" s="273" t="s">
        <v>41</v>
      </c>
      <c r="E14" s="279">
        <f>F14+G14</f>
        <v>546549</v>
      </c>
      <c r="F14" s="279">
        <f>SUM(F86:F89)+F91</f>
        <v>546549</v>
      </c>
      <c r="G14" s="279">
        <f>SUM(G86:G90)</f>
        <v>0</v>
      </c>
      <c r="H14" s="271" t="str">
        <f t="shared" ref="H14:H19" si="0">IF(E14=F14+G14," ","ERROR")</f>
        <v xml:space="preserve"> </v>
      </c>
      <c r="I14" s="279" t="e">
        <f>J14+K14</f>
        <v>#REF!</v>
      </c>
      <c r="J14" s="279" t="e">
        <f>#REF!</f>
        <v>#REF!</v>
      </c>
      <c r="K14" s="279"/>
    </row>
    <row r="15" spans="1:11">
      <c r="A15" s="265">
        <v>2</v>
      </c>
      <c r="B15" s="267" t="s">
        <v>42</v>
      </c>
      <c r="E15" s="276">
        <f>F15+G15</f>
        <v>1228</v>
      </c>
      <c r="F15" s="276">
        <f>SUM(F90)</f>
        <v>1228</v>
      </c>
      <c r="G15" s="276">
        <f>SUM(G91)</f>
        <v>0</v>
      </c>
      <c r="H15" s="271" t="str">
        <f t="shared" si="0"/>
        <v xml:space="preserve"> </v>
      </c>
      <c r="I15" s="276" t="e">
        <f>J15+K15</f>
        <v>#REF!</v>
      </c>
      <c r="J15" s="276" t="e">
        <f>#REF!</f>
        <v>#REF!</v>
      </c>
      <c r="K15" s="276"/>
    </row>
    <row r="16" spans="1:11">
      <c r="A16" s="265">
        <v>3</v>
      </c>
      <c r="B16" s="267" t="s">
        <v>94</v>
      </c>
      <c r="E16" s="276">
        <f>F16+G16</f>
        <v>53430</v>
      </c>
      <c r="F16" s="276">
        <f>SUM(F94)</f>
        <v>53430</v>
      </c>
      <c r="G16" s="276">
        <f>SUM(G94)</f>
        <v>0</v>
      </c>
      <c r="H16" s="271" t="str">
        <f t="shared" si="0"/>
        <v xml:space="preserve"> </v>
      </c>
      <c r="I16" s="276" t="e">
        <f>J16+K16</f>
        <v>#REF!</v>
      </c>
      <c r="J16" s="276" t="e">
        <f>#REF!</f>
        <v>#REF!</v>
      </c>
      <c r="K16" s="276"/>
    </row>
    <row r="17" spans="1:11">
      <c r="A17" s="265">
        <v>4</v>
      </c>
      <c r="B17" s="267" t="s">
        <v>95</v>
      </c>
      <c r="E17" s="283">
        <f>E14+E15+E16</f>
        <v>601207</v>
      </c>
      <c r="F17" s="283">
        <f>F14+F15+F16</f>
        <v>601207</v>
      </c>
      <c r="G17" s="283">
        <f>G14+G15+G16</f>
        <v>0</v>
      </c>
      <c r="H17" s="271" t="str">
        <f t="shared" si="0"/>
        <v xml:space="preserve"> </v>
      </c>
      <c r="I17" s="283" t="e">
        <f>I14+I15+I16</f>
        <v>#REF!</v>
      </c>
      <c r="J17" s="283" t="e">
        <f>J14+J15+J16</f>
        <v>#REF!</v>
      </c>
      <c r="K17" s="283"/>
    </row>
    <row r="18" spans="1:11">
      <c r="A18" s="265">
        <v>5</v>
      </c>
      <c r="B18" s="267" t="s">
        <v>45</v>
      </c>
      <c r="E18" s="284">
        <f>F18+G18</f>
        <v>60250</v>
      </c>
      <c r="F18" s="276">
        <f>SUM(F98:F104)</f>
        <v>60250</v>
      </c>
      <c r="G18" s="276">
        <f>SUM(G100:G104)</f>
        <v>0</v>
      </c>
      <c r="H18" s="271" t="str">
        <f t="shared" si="0"/>
        <v xml:space="preserve"> </v>
      </c>
      <c r="I18" s="284" t="e">
        <f>J18+K18</f>
        <v>#REF!</v>
      </c>
      <c r="J18" s="276" t="e">
        <f>#REF!</f>
        <v>#REF!</v>
      </c>
      <c r="K18" s="276"/>
    </row>
    <row r="19" spans="1:11">
      <c r="A19" s="265">
        <v>6</v>
      </c>
      <c r="B19" s="267" t="s">
        <v>96</v>
      </c>
      <c r="E19" s="283">
        <f>E17+E18</f>
        <v>661457</v>
      </c>
      <c r="F19" s="283">
        <f>F17+F18</f>
        <v>661457</v>
      </c>
      <c r="G19" s="283">
        <f>G17+G18</f>
        <v>0</v>
      </c>
      <c r="H19" s="271" t="str">
        <f t="shared" si="0"/>
        <v xml:space="preserve"> </v>
      </c>
      <c r="I19" s="283" t="e">
        <f>I17+I18</f>
        <v>#REF!</v>
      </c>
      <c r="J19" s="283" t="e">
        <f>J17+J18</f>
        <v>#REF!</v>
      </c>
      <c r="K19" s="283"/>
    </row>
    <row r="20" spans="1:11">
      <c r="E20" s="278"/>
      <c r="F20" s="278"/>
      <c r="G20" s="278"/>
      <c r="H20" s="271"/>
      <c r="I20" s="278"/>
      <c r="J20" s="278"/>
      <c r="K20" s="278"/>
    </row>
    <row r="21" spans="1:11">
      <c r="B21" s="267" t="s">
        <v>47</v>
      </c>
      <c r="E21" s="278"/>
      <c r="F21" s="278"/>
      <c r="G21" s="278"/>
      <c r="H21" s="271"/>
      <c r="I21" s="278"/>
      <c r="J21" s="278"/>
      <c r="K21" s="278"/>
    </row>
    <row r="22" spans="1:11">
      <c r="B22" s="267" t="s">
        <v>48</v>
      </c>
      <c r="E22" s="278"/>
      <c r="F22" s="278"/>
      <c r="G22" s="278"/>
      <c r="H22" s="271"/>
      <c r="I22" s="278"/>
      <c r="J22" s="278"/>
      <c r="K22" s="278"/>
    </row>
    <row r="23" spans="1:11">
      <c r="A23" s="265">
        <v>7</v>
      </c>
      <c r="B23" s="267" t="s">
        <v>97</v>
      </c>
      <c r="E23" s="276">
        <f>F23+G23</f>
        <v>170553</v>
      </c>
      <c r="F23" s="276">
        <f>SUM(F164-F160+F185)</f>
        <v>170553</v>
      </c>
      <c r="G23" s="276">
        <f>SUM(G164-G160+G185)</f>
        <v>0</v>
      </c>
      <c r="H23" s="271" t="str">
        <f>IF(E23=F23+G23," ","ERROR")</f>
        <v xml:space="preserve"> </v>
      </c>
      <c r="I23" s="276" t="e">
        <f>J23+K23</f>
        <v>#REF!</v>
      </c>
      <c r="J23" s="276" t="e">
        <f>#REF!+#REF!+#REF!+#REF!+#REF!</f>
        <v>#REF!</v>
      </c>
      <c r="K23" s="276"/>
    </row>
    <row r="24" spans="1:11">
      <c r="A24" s="265">
        <v>8</v>
      </c>
      <c r="B24" s="267" t="s">
        <v>98</v>
      </c>
      <c r="E24" s="276">
        <f>F24+G24</f>
        <v>89083</v>
      </c>
      <c r="F24" s="276">
        <f>SUM(F160)</f>
        <v>89083</v>
      </c>
      <c r="G24" s="276">
        <f>SUM(G160)</f>
        <v>0</v>
      </c>
      <c r="H24" s="271" t="str">
        <f>IF(E24=F24+G24," ","ERROR")</f>
        <v xml:space="preserve"> </v>
      </c>
      <c r="I24" s="276" t="e">
        <f>J24+K24</f>
        <v>#REF!</v>
      </c>
      <c r="J24" s="276" t="e">
        <f>#REF!</f>
        <v>#REF!</v>
      </c>
      <c r="K24" s="276"/>
    </row>
    <row r="25" spans="1:11">
      <c r="A25" s="265">
        <v>9</v>
      </c>
      <c r="B25" s="267" t="s">
        <v>547</v>
      </c>
      <c r="E25" s="276">
        <f>F25+G25</f>
        <v>32447</v>
      </c>
      <c r="F25" s="276">
        <f>SUM(F187:F190)</f>
        <v>32447</v>
      </c>
      <c r="G25" s="276">
        <f>SUM(G187:G189)</f>
        <v>0</v>
      </c>
      <c r="H25" s="271" t="str">
        <f>IF(E25=F25+G25," ","ERROR")</f>
        <v xml:space="preserve"> </v>
      </c>
      <c r="I25" s="276" t="e">
        <f>J25+K25</f>
        <v>#REF!</v>
      </c>
      <c r="J25" s="276" t="e">
        <f>#REF!</f>
        <v>#REF!</v>
      </c>
      <c r="K25" s="276"/>
    </row>
    <row r="26" spans="1:11">
      <c r="A26" s="265">
        <v>10</v>
      </c>
      <c r="B26" s="267" t="s">
        <v>696</v>
      </c>
      <c r="E26" s="276">
        <f>F26+G26</f>
        <v>-712</v>
      </c>
      <c r="F26" s="276">
        <f>SUM(F192:F225)</f>
        <v>-712</v>
      </c>
      <c r="G26" s="276">
        <f>SUM(G192:G224)</f>
        <v>0</v>
      </c>
      <c r="H26" s="271"/>
      <c r="I26" s="276"/>
      <c r="J26" s="276"/>
      <c r="K26" s="276"/>
    </row>
    <row r="27" spans="1:11">
      <c r="A27" s="265">
        <v>11</v>
      </c>
      <c r="B27" s="267" t="s">
        <v>99</v>
      </c>
      <c r="E27" s="275">
        <f>F27+G27</f>
        <v>16489</v>
      </c>
      <c r="F27" s="276">
        <f>SUM(F226)</f>
        <v>16489</v>
      </c>
      <c r="G27" s="276">
        <f>SUM(G226)</f>
        <v>0</v>
      </c>
      <c r="H27" s="271" t="str">
        <f>IF(E27=F27+G27," ","ERROR")</f>
        <v xml:space="preserve"> </v>
      </c>
      <c r="I27" s="275" t="e">
        <f>J27+K27</f>
        <v>#REF!</v>
      </c>
      <c r="J27" s="276" t="e">
        <f>#REF!</f>
        <v>#REF!</v>
      </c>
      <c r="K27" s="276"/>
    </row>
    <row r="28" spans="1:11">
      <c r="A28" s="265">
        <v>12</v>
      </c>
      <c r="B28" s="267" t="s">
        <v>100</v>
      </c>
      <c r="E28" s="283">
        <f>SUM(E23:E27)</f>
        <v>307860</v>
      </c>
      <c r="F28" s="283">
        <f>SUM(F23:F27)</f>
        <v>307860</v>
      </c>
      <c r="G28" s="283">
        <f>SUM(G23:G27)</f>
        <v>0</v>
      </c>
      <c r="H28" s="271" t="str">
        <f>IF(E28=F28+G28," ","ERROR")</f>
        <v xml:space="preserve"> </v>
      </c>
      <c r="I28" s="276" t="e">
        <f>I23+I24+I25+I27</f>
        <v>#REF!</v>
      </c>
      <c r="J28" s="283" t="e">
        <f>J23+J24+J25+J27</f>
        <v>#REF!</v>
      </c>
      <c r="K28" s="283"/>
    </row>
    <row r="29" spans="1:11">
      <c r="E29" s="276"/>
      <c r="F29" s="278"/>
      <c r="G29" s="278"/>
      <c r="H29" s="271"/>
      <c r="I29" s="276"/>
      <c r="J29" s="278"/>
      <c r="K29" s="278"/>
    </row>
    <row r="30" spans="1:11">
      <c r="B30" s="267" t="s">
        <v>52</v>
      </c>
      <c r="E30" s="276"/>
      <c r="F30" s="278"/>
      <c r="G30" s="278"/>
      <c r="H30" s="271"/>
      <c r="I30" s="276"/>
      <c r="J30" s="278"/>
      <c r="K30" s="278"/>
    </row>
    <row r="31" spans="1:11">
      <c r="A31" s="265">
        <v>13</v>
      </c>
      <c r="B31" s="267" t="s">
        <v>97</v>
      </c>
      <c r="E31" s="276">
        <f>F31+G31</f>
        <v>26747</v>
      </c>
      <c r="F31" s="276">
        <f>SUM(F255)</f>
        <v>26747</v>
      </c>
      <c r="G31" s="276">
        <f>SUM(G255)</f>
        <v>0</v>
      </c>
      <c r="H31" s="271" t="str">
        <f>IF(E31=F31+G31," ","ERROR")</f>
        <v xml:space="preserve"> </v>
      </c>
      <c r="I31" s="276" t="e">
        <f>J31+K31</f>
        <v>#REF!</v>
      </c>
      <c r="J31" s="276" t="e">
        <f>#REF!</f>
        <v>#REF!</v>
      </c>
      <c r="K31" s="276"/>
    </row>
    <row r="32" spans="1:11">
      <c r="A32" s="265">
        <v>14</v>
      </c>
      <c r="B32" s="267" t="s">
        <v>547</v>
      </c>
      <c r="E32" s="276">
        <f>F32+G32</f>
        <v>31132</v>
      </c>
      <c r="F32" s="276">
        <f>SUM(F257:F258)</f>
        <v>31132</v>
      </c>
      <c r="G32" s="276">
        <f>SUM(G257:G258)</f>
        <v>0</v>
      </c>
      <c r="H32" s="271" t="str">
        <f>IF(E32=F32+G32," ","ERROR")</f>
        <v xml:space="preserve"> </v>
      </c>
      <c r="I32" s="276" t="e">
        <f>J32+K32</f>
        <v>#REF!</v>
      </c>
      <c r="J32" s="276" t="e">
        <f>#REF!</f>
        <v>#REF!</v>
      </c>
      <c r="K32" s="276"/>
    </row>
    <row r="33" spans="1:11">
      <c r="B33" s="267" t="s">
        <v>720</v>
      </c>
      <c r="E33" s="276"/>
      <c r="F33" s="276"/>
      <c r="G33" s="276"/>
      <c r="H33" s="271"/>
      <c r="I33" s="276"/>
      <c r="J33" s="276"/>
      <c r="K33" s="276"/>
    </row>
    <row r="34" spans="1:11">
      <c r="A34" s="265">
        <v>15</v>
      </c>
      <c r="B34" s="267" t="s">
        <v>99</v>
      </c>
      <c r="E34" s="275">
        <f>F34+G34</f>
        <v>47422</v>
      </c>
      <c r="F34" s="276">
        <f>SUM(F259)</f>
        <v>47422</v>
      </c>
      <c r="G34" s="276">
        <f>SUM(G259)</f>
        <v>0</v>
      </c>
      <c r="H34" s="271" t="str">
        <f>IF(E34=F34+G34," ","ERROR")</f>
        <v xml:space="preserve"> </v>
      </c>
      <c r="I34" s="275" t="e">
        <f>J34+K34</f>
        <v>#REF!</v>
      </c>
      <c r="J34" s="276" t="e">
        <f>#REF!</f>
        <v>#REF!</v>
      </c>
      <c r="K34" s="276"/>
    </row>
    <row r="35" spans="1:11">
      <c r="A35" s="265">
        <v>16</v>
      </c>
      <c r="B35" s="267" t="s">
        <v>101</v>
      </c>
      <c r="E35" s="276">
        <f>E31+E32+E34</f>
        <v>105301</v>
      </c>
      <c r="F35" s="283">
        <f>F31+F32+F34</f>
        <v>105301</v>
      </c>
      <c r="G35" s="283">
        <f>G31+G32+G34</f>
        <v>0</v>
      </c>
      <c r="H35" s="271" t="str">
        <f>IF(E35=F35+G35," ","ERROR")</f>
        <v xml:space="preserve"> </v>
      </c>
      <c r="I35" s="276" t="e">
        <f>I31+I32+I34</f>
        <v>#REF!</v>
      </c>
      <c r="J35" s="283" t="e">
        <f>J31+J32+J34</f>
        <v>#REF!</v>
      </c>
      <c r="K35" s="283"/>
    </row>
    <row r="36" spans="1:11">
      <c r="E36" s="278"/>
      <c r="F36" s="278"/>
      <c r="G36" s="278"/>
      <c r="H36" s="271"/>
      <c r="I36" s="278"/>
      <c r="J36" s="278"/>
      <c r="K36" s="278"/>
    </row>
    <row r="37" spans="1:11">
      <c r="A37" s="265">
        <v>17</v>
      </c>
      <c r="B37" s="267" t="s">
        <v>54</v>
      </c>
      <c r="E37" s="276">
        <f>F37+G37</f>
        <v>9916</v>
      </c>
      <c r="F37" s="276">
        <f>SUM(F270)</f>
        <v>9916</v>
      </c>
      <c r="G37" s="276">
        <f>SUM(G270)</f>
        <v>0</v>
      </c>
      <c r="H37" s="271" t="str">
        <f>IF(E37=F37+G37," ","ERROR")</f>
        <v xml:space="preserve"> </v>
      </c>
      <c r="I37" s="276" t="e">
        <f>J37+K37</f>
        <v>#REF!</v>
      </c>
      <c r="J37" s="276" t="e">
        <f>#REF!</f>
        <v>#REF!</v>
      </c>
      <c r="K37" s="276"/>
    </row>
    <row r="38" spans="1:11">
      <c r="A38" s="265">
        <v>18</v>
      </c>
      <c r="B38" s="267" t="s">
        <v>55</v>
      </c>
      <c r="E38" s="276">
        <f>F38+G38</f>
        <v>28425</v>
      </c>
      <c r="F38" s="276">
        <f>SUM(F276)</f>
        <v>28425</v>
      </c>
      <c r="G38" s="276">
        <f>SUM(G276)</f>
        <v>0</v>
      </c>
      <c r="H38" s="271" t="str">
        <f>IF(E38=F38+G38," ","ERROR")</f>
        <v xml:space="preserve"> </v>
      </c>
      <c r="I38" s="276" t="e">
        <f>J38+K38</f>
        <v>#REF!</v>
      </c>
      <c r="J38" s="276" t="e">
        <f>#REF!</f>
        <v>#REF!</v>
      </c>
      <c r="K38" s="276"/>
    </row>
    <row r="39" spans="1:11">
      <c r="A39" s="265">
        <v>19</v>
      </c>
      <c r="B39" s="267" t="s">
        <v>56</v>
      </c>
      <c r="E39" s="276">
        <f>F39+G39</f>
        <v>0</v>
      </c>
      <c r="F39" s="276">
        <f>SUM(F282)</f>
        <v>0</v>
      </c>
      <c r="G39" s="276">
        <f>SUM(G282)</f>
        <v>0</v>
      </c>
      <c r="H39" s="271" t="str">
        <f>IF(E39=F39+G39," ","ERROR")</f>
        <v xml:space="preserve"> </v>
      </c>
      <c r="I39" s="276" t="e">
        <f>J39+K39</f>
        <v>#REF!</v>
      </c>
      <c r="J39" s="276" t="e">
        <f>#REF!</f>
        <v>#REF!</v>
      </c>
      <c r="K39" s="276"/>
    </row>
    <row r="40" spans="1:11">
      <c r="E40" s="278"/>
      <c r="F40" s="278"/>
      <c r="G40" s="278"/>
      <c r="H40" s="271"/>
      <c r="I40" s="278"/>
      <c r="J40" s="278"/>
      <c r="K40" s="278"/>
    </row>
    <row r="41" spans="1:11">
      <c r="B41" s="267" t="s">
        <v>57</v>
      </c>
      <c r="E41" s="278"/>
      <c r="F41" s="278"/>
      <c r="G41" s="278"/>
      <c r="H41" s="271"/>
      <c r="I41" s="278"/>
      <c r="J41" s="278"/>
      <c r="K41" s="278"/>
    </row>
    <row r="42" spans="1:11">
      <c r="A42" s="265">
        <v>20</v>
      </c>
      <c r="B42" s="267" t="s">
        <v>97</v>
      </c>
      <c r="E42" s="276">
        <f>F42+G42</f>
        <v>55880</v>
      </c>
      <c r="F42" s="276">
        <f>SUM(F297)</f>
        <v>55880</v>
      </c>
      <c r="G42" s="276">
        <f>SUM(G297)</f>
        <v>0</v>
      </c>
      <c r="H42" s="271" t="str">
        <f>IF(E42=F42+G42," ","ERROR")</f>
        <v xml:space="preserve"> </v>
      </c>
      <c r="I42" s="276" t="e">
        <f>J42+K42</f>
        <v>#REF!</v>
      </c>
      <c r="J42" s="276" t="e">
        <f>#REF!</f>
        <v>#REF!</v>
      </c>
      <c r="K42" s="276"/>
    </row>
    <row r="43" spans="1:11">
      <c r="A43" s="265">
        <v>21</v>
      </c>
      <c r="B43" s="267" t="s">
        <v>547</v>
      </c>
      <c r="E43" s="276">
        <f>F43+G43</f>
        <v>35595</v>
      </c>
      <c r="F43" s="276">
        <f>SUM(F299:F302)</f>
        <v>35595</v>
      </c>
      <c r="G43" s="276">
        <f>SUM(G311)</f>
        <v>0</v>
      </c>
      <c r="H43" s="271" t="str">
        <f>IF(E43=F43+G43," ","ERROR")</f>
        <v xml:space="preserve"> </v>
      </c>
      <c r="I43" s="276" t="e">
        <f>J43+K43</f>
        <v>#REF!</v>
      </c>
      <c r="J43" s="276" t="e">
        <f>#REF!</f>
        <v>#REF!</v>
      </c>
      <c r="K43" s="276"/>
    </row>
    <row r="44" spans="1:11">
      <c r="A44" s="265">
        <v>22</v>
      </c>
      <c r="B44" s="267" t="s">
        <v>696</v>
      </c>
      <c r="E44" s="276">
        <f>F44+G44</f>
        <v>-9018</v>
      </c>
      <c r="F44" s="276">
        <f>F303+F304+F305+F306+F307+F308+F309+F310</f>
        <v>-9018</v>
      </c>
      <c r="G44" s="276">
        <f>G303+G304+G305+G306+G307+G308+G309+G310</f>
        <v>0</v>
      </c>
      <c r="H44" s="271"/>
      <c r="I44" s="276"/>
      <c r="J44" s="276"/>
      <c r="K44" s="276"/>
    </row>
    <row r="45" spans="1:11">
      <c r="A45" s="265">
        <v>23</v>
      </c>
      <c r="B45" s="267" t="s">
        <v>99</v>
      </c>
      <c r="E45" s="276">
        <f>F45+G45</f>
        <v>0</v>
      </c>
      <c r="F45" s="276">
        <v>0</v>
      </c>
      <c r="G45" s="276">
        <v>0</v>
      </c>
      <c r="H45" s="271" t="str">
        <f>IF(E45=F45+G45," ","ERROR")</f>
        <v xml:space="preserve"> </v>
      </c>
      <c r="I45" s="276" t="e">
        <f>J45+K45</f>
        <v>#REF!</v>
      </c>
      <c r="J45" s="276" t="e">
        <f>#REF!</f>
        <v>#REF!</v>
      </c>
      <c r="K45" s="276"/>
    </row>
    <row r="46" spans="1:11" ht="18.75" customHeight="1">
      <c r="A46" s="265">
        <v>24</v>
      </c>
      <c r="B46" s="267" t="s">
        <v>102</v>
      </c>
      <c r="E46" s="282">
        <f>E42+E43+E44+E45</f>
        <v>82457</v>
      </c>
      <c r="F46" s="282">
        <f>F42+F43+F44+F45</f>
        <v>82457</v>
      </c>
      <c r="G46" s="282">
        <f>G42+G43+G44+G45</f>
        <v>0</v>
      </c>
      <c r="H46" s="271" t="str">
        <f>IF(E46=F46+G46," ","ERROR")</f>
        <v xml:space="preserve"> </v>
      </c>
      <c r="I46" s="282" t="e">
        <f>I42+I43+I45</f>
        <v>#REF!</v>
      </c>
      <c r="J46" s="282" t="e">
        <f>J42+J43+J45</f>
        <v>#REF!</v>
      </c>
      <c r="K46" s="282"/>
    </row>
    <row r="47" spans="1:11">
      <c r="A47" s="265">
        <v>25</v>
      </c>
      <c r="B47" s="267" t="s">
        <v>59</v>
      </c>
      <c r="E47" s="281">
        <f>E28+E35+E37+E38+E39+E46</f>
        <v>533959</v>
      </c>
      <c r="F47" s="281">
        <f>F28+F35+F37+F38+F39+F46</f>
        <v>533959</v>
      </c>
      <c r="G47" s="281">
        <f>G28+G35+G37+G38+G39+G46</f>
        <v>0</v>
      </c>
      <c r="H47" s="271" t="str">
        <f>IF(E47=F47+G47," ","ERROR")</f>
        <v xml:space="preserve"> </v>
      </c>
      <c r="I47" s="281" t="e">
        <f>I28+I35+I37+I38+I39+I46</f>
        <v>#REF!</v>
      </c>
      <c r="J47" s="281" t="e">
        <f>J28+J35+J37+J38+J39+J46</f>
        <v>#REF!</v>
      </c>
      <c r="K47" s="281"/>
    </row>
    <row r="48" spans="1:11">
      <c r="E48" s="278"/>
      <c r="F48" s="278"/>
      <c r="G48" s="278"/>
      <c r="H48" s="271"/>
      <c r="I48" s="278"/>
      <c r="J48" s="278"/>
      <c r="K48" s="278"/>
    </row>
    <row r="49" spans="1:16">
      <c r="A49" s="318">
        <v>26</v>
      </c>
      <c r="B49" s="267" t="s">
        <v>103</v>
      </c>
      <c r="E49" s="278">
        <f>E19-E47</f>
        <v>127498</v>
      </c>
      <c r="F49" s="278">
        <f>F19-F47</f>
        <v>127498</v>
      </c>
      <c r="G49" s="278">
        <f>G19-G47</f>
        <v>0</v>
      </c>
      <c r="H49" s="271" t="str">
        <f>IF(E49=F49+G49," ","ERROR")</f>
        <v xml:space="preserve"> </v>
      </c>
      <c r="I49" s="278" t="e">
        <f>I19-I47</f>
        <v>#REF!</v>
      </c>
      <c r="J49" s="278" t="e">
        <f>J19-J47</f>
        <v>#REF!</v>
      </c>
      <c r="K49" s="278"/>
    </row>
    <row r="50" spans="1:16">
      <c r="B50" s="267"/>
      <c r="E50" s="278"/>
      <c r="F50" s="278"/>
      <c r="G50" s="278"/>
      <c r="H50" s="271"/>
      <c r="I50" s="278"/>
      <c r="J50" s="278"/>
      <c r="K50" s="278"/>
    </row>
    <row r="51" spans="1:16">
      <c r="B51" s="267" t="s">
        <v>104</v>
      </c>
      <c r="E51" s="278"/>
      <c r="F51" s="278"/>
      <c r="G51" s="278"/>
      <c r="H51" s="271"/>
      <c r="I51" s="278"/>
      <c r="J51" s="278"/>
      <c r="K51" s="278"/>
    </row>
    <row r="52" spans="1:16">
      <c r="A52" s="265">
        <v>27</v>
      </c>
      <c r="B52" s="267" t="s">
        <v>105</v>
      </c>
      <c r="D52" s="280">
        <v>0.21</v>
      </c>
      <c r="E52" s="276">
        <f>F52+G52</f>
        <v>4963</v>
      </c>
      <c r="F52" s="276">
        <f>SUM(F319)</f>
        <v>4963</v>
      </c>
      <c r="G52" s="276">
        <f>SUM(G319)</f>
        <v>0</v>
      </c>
      <c r="H52" s="271" t="str">
        <f>IF(E52=F52+G52," ","ERROR")</f>
        <v xml:space="preserve"> </v>
      </c>
      <c r="I52" s="276" t="e">
        <f>J52+K52</f>
        <v>#REF!</v>
      </c>
      <c r="J52" s="276" t="e">
        <f>#REF!</f>
        <v>#REF!</v>
      </c>
      <c r="K52" s="276"/>
    </row>
    <row r="53" spans="1:16">
      <c r="A53" s="265">
        <v>28</v>
      </c>
      <c r="B53" s="267" t="s">
        <v>556</v>
      </c>
      <c r="D53" s="280"/>
      <c r="E53" s="276"/>
      <c r="F53" s="276"/>
      <c r="G53" s="276"/>
      <c r="H53" s="271"/>
      <c r="I53" s="276"/>
      <c r="J53" s="276"/>
      <c r="K53" s="276"/>
    </row>
    <row r="54" spans="1:16">
      <c r="A54" s="265">
        <v>29</v>
      </c>
      <c r="B54" s="267" t="s">
        <v>106</v>
      </c>
      <c r="E54" s="276">
        <f>F54+G54</f>
        <v>7830</v>
      </c>
      <c r="F54" s="276">
        <f t="shared" ref="F54:G55" si="1">SUM(F320)</f>
        <v>7830</v>
      </c>
      <c r="G54" s="276">
        <f t="shared" si="1"/>
        <v>0</v>
      </c>
      <c r="H54" s="271" t="str">
        <f>IF(E54=F54+G54," ","ERROR")</f>
        <v xml:space="preserve"> </v>
      </c>
      <c r="I54" s="276" t="e">
        <f>J54+K54</f>
        <v>#REF!</v>
      </c>
      <c r="J54" s="276" t="e">
        <f>#REF!</f>
        <v>#REF!</v>
      </c>
      <c r="K54" s="276"/>
    </row>
    <row r="55" spans="1:16">
      <c r="A55" s="265">
        <v>30</v>
      </c>
      <c r="B55" s="267" t="s">
        <v>107</v>
      </c>
      <c r="E55" s="275">
        <f>F55+G55</f>
        <v>-318</v>
      </c>
      <c r="F55" s="275">
        <f t="shared" si="1"/>
        <v>-318</v>
      </c>
      <c r="G55" s="275">
        <f t="shared" si="1"/>
        <v>0</v>
      </c>
      <c r="H55" s="271" t="str">
        <f>IF(E55=F55+G55," ","ERROR")</f>
        <v xml:space="preserve"> </v>
      </c>
      <c r="I55" s="276" t="e">
        <f>J55+K55</f>
        <v>#REF!</v>
      </c>
      <c r="J55" s="276" t="e">
        <f>#REF!</f>
        <v>#REF!</v>
      </c>
      <c r="K55" s="276"/>
    </row>
    <row r="56" spans="1:16" s="271" customFormat="1">
      <c r="A56" s="265"/>
      <c r="B56" s="267"/>
      <c r="C56" s="264"/>
      <c r="D56" s="264"/>
      <c r="E56" s="277"/>
      <c r="F56" s="277"/>
      <c r="G56" s="277"/>
      <c r="I56" s="276"/>
      <c r="J56" s="276"/>
      <c r="K56" s="276"/>
      <c r="L56" s="264"/>
      <c r="M56" s="264"/>
      <c r="N56" s="264"/>
      <c r="O56" s="264"/>
      <c r="P56" s="264"/>
    </row>
    <row r="57" spans="1:16" ht="12.75" thickBot="1">
      <c r="A57" s="274">
        <v>31</v>
      </c>
      <c r="B57" s="273" t="s">
        <v>65</v>
      </c>
      <c r="C57" s="271"/>
      <c r="D57" s="271"/>
      <c r="E57" s="272">
        <f>E49-(E51+E52+E54+E55)</f>
        <v>115023</v>
      </c>
      <c r="F57" s="272">
        <f>F49-(F51+F52+F54+F55)</f>
        <v>115023</v>
      </c>
      <c r="G57" s="272">
        <f>G49-(G51+G52+G54+G55)</f>
        <v>0</v>
      </c>
      <c r="H57" s="271" t="str">
        <f>IF(E57=F57+G57," ","ERROR")</f>
        <v xml:space="preserve"> </v>
      </c>
      <c r="I57" s="272" t="e">
        <f>I49-(I51+I52+I54+I55+#REF!)</f>
        <v>#REF!</v>
      </c>
      <c r="J57" s="272" t="e">
        <f>J49-(J51+J52+J54+J55+#REF!)</f>
        <v>#REF!</v>
      </c>
      <c r="K57" s="272"/>
      <c r="L57" s="271"/>
      <c r="M57" s="271"/>
      <c r="N57" s="271"/>
      <c r="O57" s="271"/>
      <c r="P57" s="271"/>
    </row>
    <row r="58" spans="1:16" ht="12.75" thickTop="1">
      <c r="H58" s="271"/>
    </row>
    <row r="59" spans="1:16">
      <c r="B59" s="267" t="s">
        <v>66</v>
      </c>
      <c r="H59" s="271"/>
    </row>
    <row r="60" spans="1:16" s="271" customFormat="1">
      <c r="A60" s="265"/>
      <c r="B60" s="267" t="s">
        <v>67</v>
      </c>
      <c r="C60" s="264"/>
      <c r="D60" s="264"/>
      <c r="E60" s="264"/>
      <c r="F60" s="264"/>
      <c r="G60" s="264"/>
      <c r="I60" s="264"/>
      <c r="J60" s="264"/>
      <c r="K60" s="264"/>
      <c r="L60" s="264"/>
      <c r="M60" s="264"/>
      <c r="N60" s="264"/>
      <c r="O60" s="264"/>
      <c r="P60" s="264"/>
    </row>
    <row r="61" spans="1:16">
      <c r="A61" s="274">
        <v>32</v>
      </c>
      <c r="B61" s="273" t="s">
        <v>108</v>
      </c>
      <c r="C61" s="271"/>
      <c r="D61" s="271"/>
      <c r="E61" s="279">
        <f>F61+G61</f>
        <v>211035</v>
      </c>
      <c r="F61" s="279">
        <f>SUM(F337)</f>
        <v>211035</v>
      </c>
      <c r="G61" s="279">
        <f>SUM(G337)</f>
        <v>0</v>
      </c>
      <c r="H61" s="271" t="str">
        <f t="shared" ref="H61:H67" si="2">IF(E61=F61+G61," ","ERROR")</f>
        <v xml:space="preserve"> </v>
      </c>
      <c r="I61" s="279" t="e">
        <f>J61+K61</f>
        <v>#REF!</v>
      </c>
      <c r="J61" s="279" t="e">
        <f>#REF!</f>
        <v>#REF!</v>
      </c>
      <c r="K61" s="279"/>
      <c r="L61" s="271"/>
      <c r="M61" s="271"/>
      <c r="N61" s="271"/>
      <c r="O61" s="271"/>
      <c r="P61" s="271"/>
    </row>
    <row r="62" spans="1:16">
      <c r="A62" s="265">
        <v>33</v>
      </c>
      <c r="B62" s="267" t="s">
        <v>109</v>
      </c>
      <c r="E62" s="276">
        <f>F62+G62</f>
        <v>930160</v>
      </c>
      <c r="F62" s="276">
        <f>SUM(F370)</f>
        <v>930160</v>
      </c>
      <c r="G62" s="276">
        <f>SUM(G370)</f>
        <v>0</v>
      </c>
      <c r="H62" s="271" t="str">
        <f t="shared" si="2"/>
        <v xml:space="preserve"> </v>
      </c>
      <c r="I62" s="276" t="e">
        <f>J62+K62</f>
        <v>#REF!</v>
      </c>
      <c r="J62" s="276" t="e">
        <f>#REF!</f>
        <v>#REF!</v>
      </c>
      <c r="K62" s="276"/>
    </row>
    <row r="63" spans="1:16">
      <c r="A63" s="265">
        <v>34</v>
      </c>
      <c r="B63" s="267" t="s">
        <v>110</v>
      </c>
      <c r="E63" s="276">
        <f>F63+G63</f>
        <v>509897</v>
      </c>
      <c r="F63" s="276">
        <f>SUM(F383)</f>
        <v>509897</v>
      </c>
      <c r="G63" s="276">
        <f>SUM(G383)</f>
        <v>0</v>
      </c>
      <c r="H63" s="271" t="str">
        <f t="shared" si="2"/>
        <v xml:space="preserve"> </v>
      </c>
      <c r="I63" s="276" t="e">
        <f>J63+K63</f>
        <v>#REF!</v>
      </c>
      <c r="J63" s="276" t="e">
        <f>#REF!</f>
        <v>#REF!</v>
      </c>
      <c r="K63" s="276"/>
    </row>
    <row r="64" spans="1:16">
      <c r="A64" s="265">
        <v>35</v>
      </c>
      <c r="B64" s="267" t="s">
        <v>111</v>
      </c>
      <c r="E64" s="276">
        <f>F64+G64</f>
        <v>1194477</v>
      </c>
      <c r="F64" s="276">
        <f>SUM(F401)+1</f>
        <v>1194477</v>
      </c>
      <c r="G64" s="276">
        <f>SUM(G401)</f>
        <v>0</v>
      </c>
      <c r="H64" s="271" t="str">
        <f t="shared" si="2"/>
        <v xml:space="preserve"> </v>
      </c>
      <c r="I64" s="276" t="e">
        <f>J64+K64</f>
        <v>#REF!</v>
      </c>
      <c r="J64" s="276" t="e">
        <f>#REF!</f>
        <v>#REF!</v>
      </c>
      <c r="K64" s="276"/>
    </row>
    <row r="65" spans="1:16">
      <c r="A65" s="265">
        <v>36</v>
      </c>
      <c r="B65" s="267" t="s">
        <v>112</v>
      </c>
      <c r="E65" s="275">
        <f>F65+G65</f>
        <v>279556</v>
      </c>
      <c r="F65" s="275">
        <f>SUM(F415)</f>
        <v>279556</v>
      </c>
      <c r="G65" s="275">
        <f>SUM(G416)</f>
        <v>0</v>
      </c>
      <c r="H65" s="271" t="str">
        <f t="shared" si="2"/>
        <v xml:space="preserve"> </v>
      </c>
      <c r="I65" s="275" t="e">
        <f>J65+K65</f>
        <v>#REF!</v>
      </c>
      <c r="J65" s="275" t="e">
        <f>#REF!</f>
        <v>#REF!</v>
      </c>
      <c r="K65" s="275"/>
    </row>
    <row r="66" spans="1:16" ht="19.5" customHeight="1">
      <c r="A66" s="265">
        <v>37</v>
      </c>
      <c r="B66" s="267" t="s">
        <v>113</v>
      </c>
      <c r="E66" s="278">
        <f>E61+E62+E63+E64+E65</f>
        <v>3125125</v>
      </c>
      <c r="F66" s="278">
        <f>F61+F62+F63+F64+F65</f>
        <v>3125125</v>
      </c>
      <c r="G66" s="278">
        <f>G61+G62+G63+G64+G65</f>
        <v>0</v>
      </c>
      <c r="H66" s="271" t="str">
        <f t="shared" si="2"/>
        <v xml:space="preserve"> </v>
      </c>
      <c r="I66" s="278" t="e">
        <f>I61+I62+I63+I64+I65</f>
        <v>#REF!</v>
      </c>
      <c r="J66" s="278" t="e">
        <f>J61+J62+J63+J64+J65</f>
        <v>#REF!</v>
      </c>
      <c r="K66" s="278"/>
    </row>
    <row r="67" spans="1:16">
      <c r="B67" s="267" t="s">
        <v>550</v>
      </c>
      <c r="E67" s="276"/>
      <c r="F67" s="276"/>
      <c r="G67" s="276"/>
      <c r="H67" s="271" t="str">
        <f t="shared" si="2"/>
        <v xml:space="preserve"> </v>
      </c>
      <c r="I67" s="276" t="e">
        <f>J67+K67</f>
        <v>#REF!</v>
      </c>
      <c r="J67" s="276" t="e">
        <f>#REF!</f>
        <v>#REF!</v>
      </c>
      <c r="K67" s="276"/>
    </row>
    <row r="68" spans="1:16">
      <c r="A68" s="265">
        <v>38</v>
      </c>
      <c r="B68" s="273" t="s">
        <v>108</v>
      </c>
      <c r="E68" s="276">
        <f>F68+G68</f>
        <v>-57078</v>
      </c>
      <c r="F68" s="276">
        <f>SUM(F430:F433)</f>
        <v>-57078</v>
      </c>
      <c r="G68" s="560">
        <f>SUM(G431:G432)</f>
        <v>0</v>
      </c>
      <c r="H68" s="271"/>
      <c r="I68" s="276"/>
      <c r="J68" s="276"/>
      <c r="K68" s="276"/>
    </row>
    <row r="69" spans="1:16">
      <c r="A69" s="265">
        <v>39</v>
      </c>
      <c r="B69" s="267" t="s">
        <v>109</v>
      </c>
      <c r="E69" s="276">
        <f>F69+G69</f>
        <v>-382437</v>
      </c>
      <c r="F69" s="276">
        <f>SUM(F421:F423)</f>
        <v>-382437</v>
      </c>
      <c r="G69" s="560">
        <f>SUM(G422:G424)</f>
        <v>0</v>
      </c>
      <c r="H69" s="271"/>
      <c r="I69" s="276"/>
      <c r="J69" s="276"/>
      <c r="K69" s="276"/>
    </row>
    <row r="70" spans="1:16">
      <c r="A70" s="265">
        <v>40</v>
      </c>
      <c r="B70" s="267" t="s">
        <v>110</v>
      </c>
      <c r="E70" s="276">
        <f>F70+G70</f>
        <v>-147016</v>
      </c>
      <c r="F70" s="276">
        <f>SUM(F424)</f>
        <v>-147016</v>
      </c>
      <c r="G70" s="560">
        <f>SUM(G425)</f>
        <v>0</v>
      </c>
      <c r="H70" s="271"/>
      <c r="I70" s="276"/>
      <c r="J70" s="276"/>
      <c r="K70" s="276"/>
    </row>
    <row r="71" spans="1:16">
      <c r="A71" s="265">
        <v>41</v>
      </c>
      <c r="B71" s="267" t="s">
        <v>111</v>
      </c>
      <c r="E71" s="276">
        <f>F71+G71</f>
        <v>-358989</v>
      </c>
      <c r="F71" s="276">
        <f>SUM(F425)</f>
        <v>-358989</v>
      </c>
      <c r="G71" s="560">
        <f>SUM(G426)</f>
        <v>0</v>
      </c>
      <c r="H71" s="271"/>
      <c r="I71" s="276"/>
      <c r="J71" s="276"/>
      <c r="K71" s="276"/>
    </row>
    <row r="72" spans="1:16">
      <c r="A72" s="265">
        <v>42</v>
      </c>
      <c r="B72" s="267" t="s">
        <v>112</v>
      </c>
      <c r="E72" s="275">
        <f>F72+G72</f>
        <v>-92865</v>
      </c>
      <c r="F72" s="275">
        <f>SUM(F426,F434)</f>
        <v>-92865</v>
      </c>
      <c r="G72" s="561">
        <f>SUM(G427,G433,G434,G435)</f>
        <v>0</v>
      </c>
    </row>
    <row r="73" spans="1:16">
      <c r="A73" s="265">
        <v>43</v>
      </c>
      <c r="B73" s="267" t="s">
        <v>271</v>
      </c>
      <c r="E73" s="387">
        <f>SUM(E68:E72)</f>
        <v>-1038385</v>
      </c>
      <c r="F73" s="387">
        <f>SUM(F68:F72)</f>
        <v>-1038385</v>
      </c>
      <c r="G73" s="264">
        <f>SUM(G68:G72)</f>
        <v>0</v>
      </c>
    </row>
    <row r="74" spans="1:16" ht="3.75" customHeight="1">
      <c r="A74" s="265">
        <v>44</v>
      </c>
      <c r="B74" s="264" t="s">
        <v>553</v>
      </c>
      <c r="E74" s="319">
        <f>E66+E73</f>
        <v>2086740</v>
      </c>
      <c r="F74" s="319">
        <f>F66+F73</f>
        <v>2086740</v>
      </c>
      <c r="G74" s="319">
        <f>G66+G73</f>
        <v>0</v>
      </c>
    </row>
    <row r="75" spans="1:16">
      <c r="B75" s="267"/>
      <c r="E75" s="278"/>
      <c r="F75" s="278"/>
      <c r="G75" s="278"/>
      <c r="H75" s="271"/>
      <c r="I75" s="278"/>
      <c r="J75" s="278"/>
      <c r="K75" s="278"/>
    </row>
    <row r="76" spans="1:16">
      <c r="A76" s="265">
        <v>45</v>
      </c>
      <c r="B76" s="267" t="s">
        <v>551</v>
      </c>
      <c r="E76" s="275">
        <f>F76+G76</f>
        <v>-418971</v>
      </c>
      <c r="F76" s="275">
        <f>SUM(F453)</f>
        <v>-418971</v>
      </c>
      <c r="G76" s="275">
        <f>SUM(G454)</f>
        <v>0</v>
      </c>
      <c r="H76" s="271" t="str">
        <f>IF(E76=F76+G76," ","ERROR")</f>
        <v xml:space="preserve"> </v>
      </c>
      <c r="I76" s="275" t="e">
        <f>J76+K76</f>
        <v>#REF!</v>
      </c>
      <c r="J76" s="275" t="e">
        <f>#REF!</f>
        <v>#REF!</v>
      </c>
      <c r="K76" s="275"/>
    </row>
    <row r="77" spans="1:16">
      <c r="A77" s="265">
        <v>46</v>
      </c>
      <c r="B77" s="267" t="s">
        <v>552</v>
      </c>
      <c r="E77" s="277">
        <f>SUM(E74:E76)</f>
        <v>1667769</v>
      </c>
      <c r="F77" s="277">
        <f>SUM(F74:F76)</f>
        <v>1667769</v>
      </c>
      <c r="G77" s="277">
        <f>SUM(G74-G76)</f>
        <v>0</v>
      </c>
      <c r="H77" s="271"/>
      <c r="I77" s="277"/>
      <c r="J77" s="277"/>
      <c r="K77" s="277"/>
    </row>
    <row r="78" spans="1:16">
      <c r="A78" s="265">
        <v>47</v>
      </c>
      <c r="B78" s="267" t="s">
        <v>270</v>
      </c>
      <c r="E78" s="276">
        <f t="shared" ref="E78:E79" si="3">F78+G78</f>
        <v>-2096</v>
      </c>
      <c r="F78" s="278">
        <f>SUM(F502)-F79</f>
        <v>-2096</v>
      </c>
      <c r="G78" s="278">
        <f>SUM(G459:G502)-G79</f>
        <v>0</v>
      </c>
      <c r="H78" s="271"/>
      <c r="I78" s="278"/>
      <c r="J78" s="278"/>
      <c r="K78" s="278"/>
    </row>
    <row r="79" spans="1:16">
      <c r="A79" s="265">
        <v>48</v>
      </c>
      <c r="B79" s="267" t="s">
        <v>256</v>
      </c>
      <c r="E79" s="275">
        <f t="shared" si="3"/>
        <v>44462</v>
      </c>
      <c r="F79" s="275">
        <f>F500</f>
        <v>44462</v>
      </c>
      <c r="G79" s="275">
        <f>G501</f>
        <v>0</v>
      </c>
      <c r="H79" s="271"/>
      <c r="I79" s="276"/>
      <c r="J79" s="276"/>
      <c r="K79" s="276"/>
    </row>
    <row r="80" spans="1:16" s="271" customFormat="1">
      <c r="A80" s="265"/>
      <c r="B80" s="264"/>
      <c r="C80" s="264"/>
      <c r="D80" s="264"/>
      <c r="E80" s="264"/>
      <c r="F80" s="264"/>
      <c r="G80" s="264"/>
      <c r="I80" s="264"/>
      <c r="J80" s="264"/>
      <c r="K80" s="264"/>
      <c r="L80" s="264"/>
      <c r="M80" s="264"/>
      <c r="N80" s="264"/>
      <c r="O80" s="264"/>
      <c r="P80" s="264"/>
    </row>
    <row r="81" spans="1:16" s="266" customFormat="1" ht="12.75" thickBot="1">
      <c r="A81" s="274">
        <v>49</v>
      </c>
      <c r="B81" s="273" t="s">
        <v>74</v>
      </c>
      <c r="C81" s="271"/>
      <c r="D81" s="271"/>
      <c r="E81" s="272">
        <f>SUM(E77:E79)</f>
        <v>1710135</v>
      </c>
      <c r="F81" s="272">
        <f>SUM(F77:F79)</f>
        <v>1710135</v>
      </c>
      <c r="G81" s="272">
        <f>SUM(G77:G79)</f>
        <v>0</v>
      </c>
      <c r="H81" s="271" t="str">
        <f>IF(E81=F81+G81," ","ERROR")</f>
        <v xml:space="preserve"> </v>
      </c>
      <c r="I81" s="272" t="e">
        <f>J81+K81</f>
        <v>#REF!</v>
      </c>
      <c r="J81" s="272" t="e">
        <f>J66-#REF!+#REF!+#REF!</f>
        <v>#REF!</v>
      </c>
      <c r="K81" s="272"/>
      <c r="L81" s="271"/>
      <c r="M81" s="271"/>
      <c r="N81" s="271"/>
      <c r="O81" s="271"/>
      <c r="P81" s="271"/>
    </row>
    <row r="82" spans="1:16" ht="12.75" thickTop="1">
      <c r="A82" s="266"/>
      <c r="B82" s="266"/>
      <c r="C82" s="266"/>
      <c r="D82" s="266"/>
      <c r="E82" s="261">
        <f>E57/E81</f>
        <v>6.7259602312098168E-2</v>
      </c>
      <c r="F82" s="261">
        <f>F57/F81</f>
        <v>6.7259602312098168E-2</v>
      </c>
      <c r="G82" s="261"/>
      <c r="H82" s="266"/>
      <c r="I82" s="261" t="e">
        <f>I57/I81</f>
        <v>#REF!</v>
      </c>
      <c r="J82" s="261" t="e">
        <f>J57/J81</f>
        <v>#REF!</v>
      </c>
      <c r="K82" s="261"/>
      <c r="L82" s="266"/>
      <c r="M82" s="266"/>
      <c r="N82" s="266"/>
      <c r="O82" s="266"/>
      <c r="P82" s="266"/>
    </row>
    <row r="83" spans="1:16">
      <c r="A83" s="264"/>
      <c r="B83" s="270" t="s">
        <v>114</v>
      </c>
      <c r="C83" s="269"/>
      <c r="D83" s="269"/>
      <c r="E83" s="269"/>
      <c r="F83" s="269"/>
      <c r="G83" s="268"/>
      <c r="I83" s="269"/>
      <c r="J83" s="269"/>
      <c r="K83" s="268"/>
    </row>
    <row r="84" spans="1:16" ht="15.75">
      <c r="A84" s="295"/>
      <c r="B84" s="296" t="s">
        <v>274</v>
      </c>
      <c r="C84" s="296"/>
      <c r="M84" s="397"/>
      <c r="N84" s="397"/>
    </row>
    <row r="85" spans="1:16" ht="15.75">
      <c r="A85" s="295"/>
      <c r="B85" s="297" t="s">
        <v>275</v>
      </c>
      <c r="C85" s="296"/>
      <c r="M85" s="393"/>
      <c r="N85" s="397"/>
    </row>
    <row r="86" spans="1:16" ht="15.75">
      <c r="A86" s="298">
        <v>440000</v>
      </c>
      <c r="B86" s="297" t="s">
        <v>276</v>
      </c>
      <c r="C86" s="296"/>
      <c r="F86" s="264">
        <f>ROUND(H86/1000,0)</f>
        <v>250058</v>
      </c>
      <c r="G86" s="264">
        <v>0</v>
      </c>
      <c r="H86" s="264">
        <v>250057929</v>
      </c>
      <c r="M86" s="393"/>
      <c r="N86" s="397"/>
    </row>
    <row r="87" spans="1:16" ht="15.75">
      <c r="A87" s="298">
        <v>442200</v>
      </c>
      <c r="B87" s="297" t="s">
        <v>277</v>
      </c>
      <c r="C87" s="296"/>
      <c r="F87" s="264">
        <f t="shared" ref="F87:F153" si="4">ROUND(H87/1000,0)</f>
        <v>227718</v>
      </c>
      <c r="G87" s="264">
        <v>0</v>
      </c>
      <c r="H87" s="264">
        <v>227718244</v>
      </c>
      <c r="M87" s="393"/>
      <c r="N87" s="397"/>
    </row>
    <row r="88" spans="1:16" ht="15.75">
      <c r="A88" s="298">
        <v>442300</v>
      </c>
      <c r="B88" s="297" t="s">
        <v>278</v>
      </c>
      <c r="C88" s="296"/>
      <c r="F88" s="264">
        <f t="shared" si="4"/>
        <v>64131</v>
      </c>
      <c r="G88" s="264">
        <v>0</v>
      </c>
      <c r="H88" s="264">
        <v>64131309</v>
      </c>
      <c r="M88" s="393"/>
      <c r="N88" s="397"/>
    </row>
    <row r="89" spans="1:16" ht="15.75">
      <c r="A89" s="298">
        <v>444000</v>
      </c>
      <c r="B89" s="297" t="s">
        <v>279</v>
      </c>
      <c r="C89" s="296"/>
      <c r="F89" s="264">
        <f t="shared" si="4"/>
        <v>4778</v>
      </c>
      <c r="G89" s="264">
        <v>0</v>
      </c>
      <c r="H89" s="264">
        <v>4777963</v>
      </c>
      <c r="M89" s="393"/>
      <c r="N89" s="397"/>
    </row>
    <row r="90" spans="1:16" ht="15.75">
      <c r="A90" s="298">
        <v>448000</v>
      </c>
      <c r="B90" s="297" t="s">
        <v>282</v>
      </c>
      <c r="E90" s="296"/>
      <c r="F90" s="264">
        <f t="shared" si="4"/>
        <v>1228</v>
      </c>
      <c r="G90" s="264">
        <v>0</v>
      </c>
      <c r="H90" s="264">
        <v>1227642</v>
      </c>
      <c r="M90" s="393"/>
      <c r="N90" s="397"/>
    </row>
    <row r="91" spans="1:16" ht="15.75">
      <c r="A91" s="295" t="s">
        <v>280</v>
      </c>
      <c r="B91" s="297" t="s">
        <v>281</v>
      </c>
      <c r="C91" s="296"/>
      <c r="F91" s="264">
        <f t="shared" si="4"/>
        <v>-136</v>
      </c>
      <c r="G91" s="264">
        <v>0</v>
      </c>
      <c r="H91" s="264">
        <v>-136201</v>
      </c>
      <c r="M91" s="393"/>
      <c r="N91" s="397"/>
    </row>
    <row r="92" spans="1:16" ht="15.75">
      <c r="A92" s="298"/>
      <c r="B92" s="297" t="s">
        <v>283</v>
      </c>
      <c r="C92" s="296"/>
      <c r="F92" s="264">
        <f t="shared" si="4"/>
        <v>547777</v>
      </c>
      <c r="G92" s="264">
        <v>0</v>
      </c>
      <c r="H92" s="264">
        <v>547776886</v>
      </c>
      <c r="M92" s="393"/>
      <c r="N92" s="397"/>
    </row>
    <row r="93" spans="1:16" ht="15.75">
      <c r="A93" s="298"/>
      <c r="B93" s="297"/>
      <c r="C93" s="296"/>
      <c r="F93" s="264">
        <f t="shared" si="4"/>
        <v>0</v>
      </c>
      <c r="G93" s="264">
        <v>0</v>
      </c>
      <c r="M93" s="393"/>
      <c r="N93" s="397"/>
    </row>
    <row r="94" spans="1:16" ht="15.75">
      <c r="A94" s="298" t="s">
        <v>284</v>
      </c>
      <c r="B94" s="297" t="s">
        <v>43</v>
      </c>
      <c r="C94" s="296"/>
      <c r="F94" s="264">
        <f t="shared" si="4"/>
        <v>53430</v>
      </c>
      <c r="G94" s="264">
        <v>0</v>
      </c>
      <c r="H94" s="264">
        <v>53429830</v>
      </c>
      <c r="M94" s="393"/>
      <c r="N94" s="397"/>
    </row>
    <row r="95" spans="1:16" ht="15.75">
      <c r="A95" s="298"/>
      <c r="B95" s="297" t="s">
        <v>285</v>
      </c>
      <c r="C95" s="296"/>
      <c r="F95" s="264">
        <f t="shared" si="4"/>
        <v>601207</v>
      </c>
      <c r="G95" s="264">
        <v>0</v>
      </c>
      <c r="H95" s="264">
        <v>601206716</v>
      </c>
      <c r="M95" s="393"/>
      <c r="N95" s="397"/>
    </row>
    <row r="96" spans="1:16" ht="15.75">
      <c r="A96" s="298"/>
      <c r="B96" s="297"/>
      <c r="C96" s="296"/>
      <c r="F96" s="264">
        <f t="shared" si="4"/>
        <v>0</v>
      </c>
      <c r="G96" s="264">
        <v>0</v>
      </c>
      <c r="M96" s="393"/>
      <c r="N96" s="397"/>
    </row>
    <row r="97" spans="1:14" ht="15.75">
      <c r="A97" s="298"/>
      <c r="B97" s="297" t="s">
        <v>286</v>
      </c>
      <c r="C97" s="296"/>
      <c r="F97" s="264">
        <f t="shared" si="4"/>
        <v>0</v>
      </c>
      <c r="G97" s="264">
        <v>0</v>
      </c>
      <c r="M97" s="393"/>
      <c r="N97" s="397"/>
    </row>
    <row r="98" spans="1:14" ht="15.75">
      <c r="A98" s="394">
        <v>449100</v>
      </c>
      <c r="B98" s="393" t="s">
        <v>632</v>
      </c>
      <c r="C98" s="296"/>
      <c r="F98" s="264">
        <f t="shared" si="4"/>
        <v>0</v>
      </c>
      <c r="G98" s="264">
        <v>0</v>
      </c>
      <c r="H98" s="264">
        <v>0</v>
      </c>
      <c r="M98" s="393"/>
      <c r="N98" s="397"/>
    </row>
    <row r="99" spans="1:14" ht="15.75">
      <c r="A99" s="394">
        <v>449110</v>
      </c>
      <c r="B99" s="393" t="s">
        <v>697</v>
      </c>
      <c r="C99" s="296"/>
      <c r="F99" s="264">
        <f t="shared" si="4"/>
        <v>-181</v>
      </c>
      <c r="G99" s="264">
        <v>0</v>
      </c>
      <c r="H99" s="264">
        <v>-180672</v>
      </c>
      <c r="M99" s="393"/>
      <c r="N99" s="397"/>
    </row>
    <row r="100" spans="1:14" ht="15.75">
      <c r="A100" s="298">
        <v>451000</v>
      </c>
      <c r="B100" s="297" t="s">
        <v>287</v>
      </c>
      <c r="C100" s="296"/>
      <c r="F100" s="264">
        <f t="shared" si="4"/>
        <v>214</v>
      </c>
      <c r="G100" s="264">
        <v>0</v>
      </c>
      <c r="H100" s="264">
        <v>214204</v>
      </c>
      <c r="M100" s="393"/>
      <c r="N100" s="397"/>
    </row>
    <row r="101" spans="1:14" ht="15.75">
      <c r="A101" s="298">
        <v>453000</v>
      </c>
      <c r="B101" s="297" t="s">
        <v>288</v>
      </c>
      <c r="C101" s="296"/>
      <c r="F101" s="264">
        <f t="shared" si="4"/>
        <v>226</v>
      </c>
      <c r="G101" s="264">
        <v>0</v>
      </c>
      <c r="H101" s="264">
        <v>226020</v>
      </c>
      <c r="M101" s="393"/>
      <c r="N101" s="397"/>
    </row>
    <row r="102" spans="1:14" ht="15.75">
      <c r="A102" s="298">
        <v>454000</v>
      </c>
      <c r="B102" s="297" t="s">
        <v>289</v>
      </c>
      <c r="C102" s="296"/>
      <c r="F102" s="264">
        <f t="shared" si="4"/>
        <v>1523</v>
      </c>
      <c r="G102" s="264">
        <v>0</v>
      </c>
      <c r="H102" s="264">
        <v>1523176</v>
      </c>
      <c r="M102" s="393"/>
      <c r="N102" s="397"/>
    </row>
    <row r="103" spans="1:14" ht="15.75">
      <c r="A103" s="394">
        <v>454100</v>
      </c>
      <c r="B103" s="393" t="s">
        <v>698</v>
      </c>
      <c r="C103" s="296"/>
      <c r="F103" s="264">
        <f t="shared" si="4"/>
        <v>5</v>
      </c>
      <c r="G103" s="264">
        <v>0</v>
      </c>
      <c r="H103" s="264">
        <v>5216</v>
      </c>
      <c r="M103" s="393"/>
      <c r="N103" s="397"/>
    </row>
    <row r="104" spans="1:14" ht="15.75">
      <c r="A104" s="295" t="s">
        <v>290</v>
      </c>
      <c r="B104" s="297" t="s">
        <v>291</v>
      </c>
      <c r="C104" s="296"/>
      <c r="F104" s="264">
        <f t="shared" si="4"/>
        <v>58463</v>
      </c>
      <c r="G104" s="264">
        <v>0</v>
      </c>
      <c r="H104" s="264">
        <v>58463320</v>
      </c>
      <c r="M104" s="393"/>
      <c r="N104" s="397"/>
    </row>
    <row r="105" spans="1:14" ht="15.75">
      <c r="A105" s="295"/>
      <c r="B105" s="297" t="s">
        <v>292</v>
      </c>
      <c r="C105" s="296"/>
      <c r="F105" s="264">
        <f t="shared" si="4"/>
        <v>60251</v>
      </c>
      <c r="G105" s="264">
        <v>0</v>
      </c>
      <c r="H105" s="264">
        <v>60251264</v>
      </c>
      <c r="M105" s="393"/>
      <c r="N105" s="397"/>
    </row>
    <row r="106" spans="1:14" ht="15.75">
      <c r="A106" s="295"/>
      <c r="B106" s="297" t="s">
        <v>293</v>
      </c>
      <c r="C106" s="296"/>
      <c r="F106" s="264">
        <f t="shared" si="4"/>
        <v>661458</v>
      </c>
      <c r="G106" s="264">
        <v>0</v>
      </c>
      <c r="H106" s="264">
        <v>661457980</v>
      </c>
      <c r="M106" s="393"/>
      <c r="N106" s="397"/>
    </row>
    <row r="107" spans="1:14" ht="15.75">
      <c r="A107" s="295"/>
      <c r="B107" s="297"/>
      <c r="C107" s="296"/>
      <c r="F107" s="264">
        <f t="shared" si="4"/>
        <v>0</v>
      </c>
      <c r="G107" s="264">
        <v>0</v>
      </c>
      <c r="M107" s="393"/>
      <c r="N107" s="397"/>
    </row>
    <row r="108" spans="1:14" ht="15.75">
      <c r="A108" s="295"/>
      <c r="B108" s="297" t="s">
        <v>294</v>
      </c>
      <c r="C108" s="296"/>
      <c r="F108" s="264">
        <f t="shared" si="4"/>
        <v>0</v>
      </c>
      <c r="G108" s="264">
        <v>0</v>
      </c>
      <c r="M108" s="393"/>
      <c r="N108" s="397"/>
    </row>
    <row r="109" spans="1:14" ht="15.75">
      <c r="A109" s="295"/>
      <c r="B109" s="297" t="s">
        <v>295</v>
      </c>
      <c r="C109" s="296"/>
      <c r="F109" s="264">
        <f t="shared" si="4"/>
        <v>0</v>
      </c>
      <c r="G109" s="264">
        <v>0</v>
      </c>
      <c r="M109" s="393"/>
      <c r="N109" s="397"/>
    </row>
    <row r="110" spans="1:14" ht="15.75">
      <c r="A110" s="295"/>
      <c r="B110" s="297" t="s">
        <v>296</v>
      </c>
      <c r="C110" s="296"/>
      <c r="F110" s="264">
        <f t="shared" si="4"/>
        <v>0</v>
      </c>
      <c r="G110" s="264">
        <v>0</v>
      </c>
      <c r="M110" s="393"/>
      <c r="N110" s="397"/>
    </row>
    <row r="111" spans="1:14" ht="15.75">
      <c r="A111" s="298">
        <v>500000</v>
      </c>
      <c r="B111" s="297" t="s">
        <v>297</v>
      </c>
      <c r="C111" s="296"/>
      <c r="F111" s="264">
        <f t="shared" si="4"/>
        <v>298</v>
      </c>
      <c r="G111" s="264">
        <v>0</v>
      </c>
      <c r="H111" s="264">
        <v>297973</v>
      </c>
      <c r="M111" s="393"/>
      <c r="N111" s="397"/>
    </row>
    <row r="112" spans="1:14" ht="15.75">
      <c r="A112" s="298">
        <v>501000</v>
      </c>
      <c r="B112" s="297" t="s">
        <v>298</v>
      </c>
      <c r="C112" s="296"/>
      <c r="F112" s="264">
        <f t="shared" si="4"/>
        <v>20251</v>
      </c>
      <c r="G112" s="264">
        <v>0</v>
      </c>
      <c r="H112" s="264">
        <v>20250836</v>
      </c>
      <c r="M112" s="393"/>
      <c r="N112" s="397"/>
    </row>
    <row r="113" spans="1:14" ht="15.75">
      <c r="A113" s="298">
        <v>502000</v>
      </c>
      <c r="B113" s="297" t="s">
        <v>299</v>
      </c>
      <c r="C113" s="296"/>
      <c r="F113" s="264">
        <f t="shared" si="4"/>
        <v>2575</v>
      </c>
      <c r="G113" s="264">
        <v>0</v>
      </c>
      <c r="H113" s="264">
        <v>2574532</v>
      </c>
      <c r="M113" s="393"/>
      <c r="N113" s="397"/>
    </row>
    <row r="114" spans="1:14" ht="15.75">
      <c r="A114" s="298">
        <v>505000</v>
      </c>
      <c r="B114" s="297" t="s">
        <v>300</v>
      </c>
      <c r="C114" s="296"/>
      <c r="F114" s="264">
        <f t="shared" si="4"/>
        <v>699</v>
      </c>
      <c r="G114" s="264">
        <v>0</v>
      </c>
      <c r="H114" s="264">
        <v>698805</v>
      </c>
      <c r="M114" s="393"/>
      <c r="N114" s="397"/>
    </row>
    <row r="115" spans="1:14" ht="15.75">
      <c r="A115" s="298">
        <v>506000</v>
      </c>
      <c r="B115" s="297" t="s">
        <v>301</v>
      </c>
      <c r="C115" s="296"/>
      <c r="F115" s="264">
        <f t="shared" si="4"/>
        <v>2098</v>
      </c>
      <c r="G115" s="264">
        <v>0</v>
      </c>
      <c r="H115" s="264">
        <v>2097717</v>
      </c>
      <c r="M115" s="393"/>
      <c r="N115" s="397"/>
    </row>
    <row r="116" spans="1:14" ht="15.75">
      <c r="A116" s="298">
        <v>507000</v>
      </c>
      <c r="B116" s="297" t="s">
        <v>302</v>
      </c>
      <c r="C116" s="296"/>
      <c r="F116" s="264">
        <f t="shared" si="4"/>
        <v>10</v>
      </c>
      <c r="G116" s="264">
        <v>0</v>
      </c>
      <c r="H116" s="264">
        <v>9898</v>
      </c>
      <c r="M116" s="393"/>
      <c r="N116" s="397"/>
    </row>
    <row r="117" spans="1:14" ht="15.75">
      <c r="A117" s="298"/>
      <c r="B117" s="297"/>
      <c r="C117" s="296"/>
      <c r="F117" s="264">
        <f t="shared" si="4"/>
        <v>0</v>
      </c>
      <c r="G117" s="264">
        <v>0</v>
      </c>
      <c r="M117" s="393"/>
      <c r="N117" s="397"/>
    </row>
    <row r="118" spans="1:14" ht="15.75">
      <c r="A118" s="298"/>
      <c r="B118" s="297" t="s">
        <v>303</v>
      </c>
      <c r="C118" s="296"/>
      <c r="F118" s="264">
        <f t="shared" si="4"/>
        <v>0</v>
      </c>
      <c r="G118" s="264">
        <v>0</v>
      </c>
      <c r="M118" s="393"/>
      <c r="N118" s="397"/>
    </row>
    <row r="119" spans="1:14" ht="15.75">
      <c r="A119" s="298">
        <v>510000</v>
      </c>
      <c r="B119" s="297" t="s">
        <v>297</v>
      </c>
      <c r="C119" s="296"/>
      <c r="F119" s="264">
        <f t="shared" si="4"/>
        <v>357</v>
      </c>
      <c r="G119" s="264">
        <v>0</v>
      </c>
      <c r="H119" s="264">
        <v>356549</v>
      </c>
      <c r="M119" s="393"/>
      <c r="N119" s="397"/>
    </row>
    <row r="120" spans="1:14" ht="15.75">
      <c r="A120" s="298">
        <v>511000</v>
      </c>
      <c r="B120" s="297" t="s">
        <v>304</v>
      </c>
      <c r="C120" s="296"/>
      <c r="F120" s="264">
        <f t="shared" si="4"/>
        <v>504</v>
      </c>
      <c r="G120" s="264">
        <v>0</v>
      </c>
      <c r="H120" s="264">
        <v>503766</v>
      </c>
      <c r="M120" s="393"/>
      <c r="N120" s="397"/>
    </row>
    <row r="121" spans="1:14" ht="15.75">
      <c r="A121" s="298">
        <v>512000</v>
      </c>
      <c r="B121" s="297" t="s">
        <v>305</v>
      </c>
      <c r="C121" s="296"/>
      <c r="F121" s="264">
        <f t="shared" si="4"/>
        <v>4002</v>
      </c>
      <c r="G121" s="264">
        <v>0</v>
      </c>
      <c r="H121" s="264">
        <v>4001813</v>
      </c>
      <c r="M121" s="393"/>
      <c r="N121" s="397"/>
    </row>
    <row r="122" spans="1:14" ht="15.75">
      <c r="A122" s="298">
        <v>513000</v>
      </c>
      <c r="B122" s="297" t="s">
        <v>306</v>
      </c>
      <c r="C122" s="296"/>
      <c r="F122" s="264">
        <f t="shared" si="4"/>
        <v>452</v>
      </c>
      <c r="G122" s="264">
        <v>0</v>
      </c>
      <c r="H122" s="264">
        <v>452131</v>
      </c>
      <c r="M122" s="393"/>
      <c r="N122" s="397"/>
    </row>
    <row r="123" spans="1:14" ht="15.75">
      <c r="A123" s="298" t="s">
        <v>699</v>
      </c>
      <c r="B123" s="297" t="s">
        <v>307</v>
      </c>
      <c r="C123" s="296"/>
      <c r="F123" s="264">
        <f t="shared" si="4"/>
        <v>825</v>
      </c>
      <c r="G123" s="264">
        <v>0</v>
      </c>
      <c r="H123" s="264">
        <v>825475</v>
      </c>
      <c r="M123" s="393"/>
      <c r="N123" s="397"/>
    </row>
    <row r="124" spans="1:14" ht="15.75">
      <c r="A124" s="295"/>
      <c r="B124" s="297" t="s">
        <v>308</v>
      </c>
      <c r="C124" s="296"/>
      <c r="F124" s="264">
        <f t="shared" si="4"/>
        <v>32069</v>
      </c>
      <c r="G124" s="264">
        <v>0</v>
      </c>
      <c r="H124" s="264">
        <v>32069495</v>
      </c>
      <c r="M124" s="393"/>
      <c r="N124" s="397"/>
    </row>
    <row r="125" spans="1:14" ht="15.75">
      <c r="A125" s="295"/>
      <c r="B125" s="297"/>
      <c r="C125" s="296"/>
      <c r="F125" s="264">
        <f t="shared" si="4"/>
        <v>0</v>
      </c>
      <c r="G125" s="264">
        <v>0</v>
      </c>
      <c r="M125" s="393"/>
      <c r="N125" s="397"/>
    </row>
    <row r="126" spans="1:14" ht="15.75">
      <c r="A126" s="295"/>
      <c r="B126" s="297" t="s">
        <v>309</v>
      </c>
      <c r="C126" s="296"/>
      <c r="F126" s="264">
        <f t="shared" si="4"/>
        <v>0</v>
      </c>
      <c r="G126" s="264">
        <v>0</v>
      </c>
      <c r="M126" s="393"/>
      <c r="N126" s="397"/>
    </row>
    <row r="127" spans="1:14" ht="15.75">
      <c r="A127" s="295"/>
      <c r="B127" s="297" t="s">
        <v>296</v>
      </c>
      <c r="C127" s="296"/>
      <c r="F127" s="264">
        <f t="shared" si="4"/>
        <v>0</v>
      </c>
      <c r="G127" s="264">
        <v>0</v>
      </c>
      <c r="M127" s="393"/>
      <c r="N127" s="397"/>
    </row>
    <row r="128" spans="1:14" ht="15.75">
      <c r="A128" s="298">
        <v>535000</v>
      </c>
      <c r="B128" s="297" t="s">
        <v>297</v>
      </c>
      <c r="C128" s="296"/>
      <c r="F128" s="264">
        <f t="shared" si="4"/>
        <v>2247</v>
      </c>
      <c r="G128" s="264">
        <v>0</v>
      </c>
      <c r="H128" s="264">
        <v>2246828</v>
      </c>
      <c r="M128" s="393"/>
      <c r="N128" s="397"/>
    </row>
    <row r="129" spans="1:14" ht="15.75">
      <c r="A129" s="298">
        <v>536000</v>
      </c>
      <c r="B129" s="297" t="s">
        <v>310</v>
      </c>
      <c r="C129" s="296"/>
      <c r="F129" s="264">
        <f t="shared" si="4"/>
        <v>614</v>
      </c>
      <c r="G129" s="264">
        <v>0</v>
      </c>
      <c r="H129" s="264">
        <v>613940</v>
      </c>
      <c r="M129" s="393"/>
      <c r="N129" s="397"/>
    </row>
    <row r="130" spans="1:14" ht="15.75">
      <c r="A130" s="298">
        <v>537000</v>
      </c>
      <c r="B130" s="297" t="s">
        <v>311</v>
      </c>
      <c r="C130" s="296"/>
      <c r="F130" s="264">
        <f t="shared" si="4"/>
        <v>6448</v>
      </c>
      <c r="G130" s="264">
        <v>0</v>
      </c>
      <c r="H130" s="264">
        <v>6448040</v>
      </c>
      <c r="M130" s="393"/>
      <c r="N130" s="397"/>
    </row>
    <row r="131" spans="1:14" ht="15.75">
      <c r="A131" s="298">
        <v>538000</v>
      </c>
      <c r="B131" s="297" t="s">
        <v>300</v>
      </c>
      <c r="C131" s="296"/>
      <c r="F131" s="264">
        <f t="shared" si="4"/>
        <v>5046</v>
      </c>
      <c r="G131" s="264">
        <v>0</v>
      </c>
      <c r="H131" s="264">
        <v>5045825</v>
      </c>
      <c r="M131" s="393"/>
      <c r="N131" s="397"/>
    </row>
    <row r="132" spans="1:14" ht="15.75">
      <c r="A132" s="298">
        <v>539000</v>
      </c>
      <c r="B132" s="297" t="s">
        <v>312</v>
      </c>
      <c r="C132" s="296"/>
      <c r="F132" s="264">
        <f t="shared" si="4"/>
        <v>738</v>
      </c>
      <c r="G132" s="264">
        <v>0</v>
      </c>
      <c r="H132" s="264">
        <v>738149</v>
      </c>
      <c r="M132" s="393"/>
      <c r="N132" s="397"/>
    </row>
    <row r="133" spans="1:14" ht="15.75">
      <c r="A133" s="298">
        <v>540000</v>
      </c>
      <c r="B133" s="297" t="s">
        <v>302</v>
      </c>
      <c r="C133" s="296"/>
      <c r="F133" s="264">
        <f t="shared" si="4"/>
        <v>948</v>
      </c>
      <c r="G133" s="264">
        <v>0</v>
      </c>
      <c r="H133" s="264">
        <v>948347</v>
      </c>
      <c r="M133" s="393"/>
      <c r="N133" s="397"/>
    </row>
    <row r="134" spans="1:14" ht="15.75">
      <c r="A134" s="299">
        <v>540100</v>
      </c>
      <c r="B134" s="300" t="s">
        <v>313</v>
      </c>
      <c r="C134" s="301"/>
      <c r="F134" s="264">
        <f t="shared" si="4"/>
        <v>3259</v>
      </c>
      <c r="G134" s="264">
        <v>0</v>
      </c>
      <c r="H134" s="264">
        <v>3258748</v>
      </c>
      <c r="M134" s="396"/>
      <c r="N134" s="399"/>
    </row>
    <row r="135" spans="1:14" ht="15.75">
      <c r="A135" s="295"/>
      <c r="B135" s="297"/>
      <c r="C135" s="296"/>
      <c r="F135" s="264">
        <f t="shared" si="4"/>
        <v>0</v>
      </c>
      <c r="G135" s="264">
        <v>0</v>
      </c>
      <c r="M135" s="393"/>
      <c r="N135" s="397"/>
    </row>
    <row r="136" spans="1:14" ht="15.75">
      <c r="A136" s="295"/>
      <c r="B136" s="297" t="s">
        <v>303</v>
      </c>
      <c r="C136" s="296"/>
      <c r="F136" s="264">
        <f t="shared" si="4"/>
        <v>0</v>
      </c>
      <c r="G136" s="264">
        <v>0</v>
      </c>
      <c r="M136" s="393"/>
      <c r="N136" s="397"/>
    </row>
    <row r="137" spans="1:14" ht="15.75">
      <c r="A137" s="298">
        <v>541000</v>
      </c>
      <c r="B137" s="297" t="s">
        <v>297</v>
      </c>
      <c r="C137" s="296"/>
      <c r="F137" s="264">
        <f t="shared" si="4"/>
        <v>662</v>
      </c>
      <c r="G137" s="264">
        <v>0</v>
      </c>
      <c r="H137" s="264">
        <v>662096</v>
      </c>
      <c r="M137" s="393"/>
      <c r="N137" s="397"/>
    </row>
    <row r="138" spans="1:14" ht="15.75">
      <c r="A138" s="298">
        <v>542000</v>
      </c>
      <c r="B138" s="297" t="s">
        <v>304</v>
      </c>
      <c r="C138" s="296"/>
      <c r="F138" s="264">
        <f t="shared" si="4"/>
        <v>486</v>
      </c>
      <c r="G138" s="264">
        <v>0</v>
      </c>
      <c r="H138" s="264">
        <v>485568</v>
      </c>
      <c r="M138" s="393"/>
      <c r="N138" s="397"/>
    </row>
    <row r="139" spans="1:14" ht="15.75">
      <c r="A139" s="298">
        <v>543000</v>
      </c>
      <c r="B139" s="297" t="s">
        <v>314</v>
      </c>
      <c r="C139" s="296"/>
      <c r="F139" s="264">
        <f t="shared" si="4"/>
        <v>1208</v>
      </c>
      <c r="G139" s="264">
        <v>0</v>
      </c>
      <c r="H139" s="264">
        <v>1207958</v>
      </c>
      <c r="M139" s="393"/>
      <c r="N139" s="397"/>
    </row>
    <row r="140" spans="1:14" ht="15.75">
      <c r="A140" s="298">
        <v>544000</v>
      </c>
      <c r="B140" s="297" t="s">
        <v>306</v>
      </c>
      <c r="C140" s="296"/>
      <c r="F140" s="264">
        <f t="shared" si="4"/>
        <v>2324</v>
      </c>
      <c r="G140" s="264">
        <v>0</v>
      </c>
      <c r="H140" s="264">
        <v>2323613</v>
      </c>
      <c r="M140" s="393"/>
      <c r="N140" s="397"/>
    </row>
    <row r="141" spans="1:14" ht="15.75">
      <c r="A141" s="298">
        <v>545000</v>
      </c>
      <c r="B141" s="297" t="s">
        <v>315</v>
      </c>
      <c r="C141" s="296"/>
      <c r="F141" s="264">
        <f t="shared" si="4"/>
        <v>749</v>
      </c>
      <c r="G141" s="264">
        <v>0</v>
      </c>
      <c r="H141" s="264">
        <v>749400</v>
      </c>
      <c r="M141" s="393"/>
      <c r="N141" s="397"/>
    </row>
    <row r="142" spans="1:14" ht="15.75">
      <c r="A142" s="295"/>
      <c r="B142" s="297" t="s">
        <v>316</v>
      </c>
      <c r="C142" s="296"/>
      <c r="F142" s="264">
        <f t="shared" si="4"/>
        <v>24729</v>
      </c>
      <c r="G142" s="264">
        <v>0</v>
      </c>
      <c r="H142" s="264">
        <v>24728512</v>
      </c>
      <c r="M142" s="393"/>
      <c r="N142" s="397"/>
    </row>
    <row r="143" spans="1:14" ht="15.75">
      <c r="A143" s="295"/>
      <c r="B143" s="297"/>
      <c r="C143" s="296"/>
      <c r="F143" s="264">
        <f t="shared" si="4"/>
        <v>0</v>
      </c>
      <c r="G143" s="264">
        <v>0</v>
      </c>
      <c r="M143" s="393"/>
      <c r="N143" s="397"/>
    </row>
    <row r="144" spans="1:14" ht="15.75">
      <c r="A144" s="295"/>
      <c r="B144" s="297" t="s">
        <v>317</v>
      </c>
      <c r="C144" s="296"/>
      <c r="F144" s="264">
        <f t="shared" si="4"/>
        <v>0</v>
      </c>
      <c r="G144" s="264">
        <v>0</v>
      </c>
      <c r="M144" s="393"/>
      <c r="N144" s="397"/>
    </row>
    <row r="145" spans="1:14" ht="15.75">
      <c r="A145" s="295"/>
      <c r="B145" s="297" t="s">
        <v>296</v>
      </c>
      <c r="C145" s="296"/>
      <c r="F145" s="264">
        <f t="shared" si="4"/>
        <v>0</v>
      </c>
      <c r="G145" s="264">
        <v>0</v>
      </c>
      <c r="M145" s="393"/>
      <c r="N145" s="397"/>
    </row>
    <row r="146" spans="1:14" ht="15.75">
      <c r="A146" s="298">
        <v>546000</v>
      </c>
      <c r="B146" s="297" t="s">
        <v>297</v>
      </c>
      <c r="C146" s="296"/>
      <c r="F146" s="264">
        <f t="shared" si="4"/>
        <v>182</v>
      </c>
      <c r="G146" s="264">
        <v>0</v>
      </c>
      <c r="H146" s="264">
        <v>182264</v>
      </c>
      <c r="M146" s="393"/>
      <c r="N146" s="397"/>
    </row>
    <row r="147" spans="1:14" ht="15.75">
      <c r="A147" s="298">
        <v>547000</v>
      </c>
      <c r="B147" s="297" t="s">
        <v>298</v>
      </c>
      <c r="C147" s="296"/>
      <c r="F147" s="264">
        <f t="shared" si="4"/>
        <v>46933</v>
      </c>
      <c r="G147" s="264">
        <v>0</v>
      </c>
      <c r="H147" s="264">
        <v>46933227</v>
      </c>
      <c r="M147" s="393"/>
      <c r="N147" s="397"/>
    </row>
    <row r="148" spans="1:14" ht="15.75">
      <c r="A148" s="298">
        <v>548000</v>
      </c>
      <c r="B148" s="297" t="s">
        <v>318</v>
      </c>
      <c r="C148" s="296"/>
      <c r="F148" s="264">
        <f t="shared" si="4"/>
        <v>1556</v>
      </c>
      <c r="G148" s="264">
        <v>0</v>
      </c>
      <c r="H148" s="264">
        <v>1555904</v>
      </c>
      <c r="M148" s="393"/>
      <c r="N148" s="397"/>
    </row>
    <row r="149" spans="1:14" ht="15.75">
      <c r="A149" s="298">
        <v>549000</v>
      </c>
      <c r="B149" s="297" t="s">
        <v>319</v>
      </c>
      <c r="C149" s="296"/>
      <c r="F149" s="264">
        <f t="shared" si="4"/>
        <v>883</v>
      </c>
      <c r="G149" s="264">
        <v>0</v>
      </c>
      <c r="H149" s="264">
        <v>883484</v>
      </c>
      <c r="M149" s="393"/>
      <c r="N149" s="397"/>
    </row>
    <row r="150" spans="1:14" ht="15.75">
      <c r="A150" s="298">
        <v>550000</v>
      </c>
      <c r="B150" s="297" t="s">
        <v>302</v>
      </c>
      <c r="C150" s="296"/>
      <c r="F150" s="264">
        <f t="shared" si="4"/>
        <v>31</v>
      </c>
      <c r="G150" s="264">
        <v>0</v>
      </c>
      <c r="H150" s="264">
        <v>30880</v>
      </c>
      <c r="M150" s="393"/>
      <c r="N150" s="397"/>
    </row>
    <row r="151" spans="1:14" ht="15.75">
      <c r="A151" s="295"/>
      <c r="B151" s="297"/>
      <c r="C151" s="296"/>
      <c r="F151" s="264">
        <f t="shared" si="4"/>
        <v>0</v>
      </c>
      <c r="G151" s="264">
        <v>0</v>
      </c>
      <c r="M151" s="393"/>
      <c r="N151" s="397"/>
    </row>
    <row r="152" spans="1:14" ht="15.75">
      <c r="A152" s="295"/>
      <c r="B152" s="297" t="s">
        <v>303</v>
      </c>
      <c r="C152" s="296"/>
      <c r="F152" s="264">
        <f t="shared" si="4"/>
        <v>0</v>
      </c>
      <c r="G152" s="264">
        <v>0</v>
      </c>
      <c r="M152" s="393"/>
      <c r="N152" s="397"/>
    </row>
    <row r="153" spans="1:14" ht="15.75">
      <c r="A153" s="298">
        <v>551000</v>
      </c>
      <c r="B153" s="297" t="s">
        <v>297</v>
      </c>
      <c r="C153" s="296"/>
      <c r="F153" s="264">
        <f t="shared" si="4"/>
        <v>523</v>
      </c>
      <c r="G153" s="264">
        <v>0</v>
      </c>
      <c r="H153" s="264">
        <v>523040</v>
      </c>
      <c r="M153" s="393"/>
      <c r="N153" s="397"/>
    </row>
    <row r="154" spans="1:14" ht="15.75">
      <c r="A154" s="298">
        <v>552000</v>
      </c>
      <c r="B154" s="297" t="s">
        <v>304</v>
      </c>
      <c r="C154" s="296"/>
      <c r="F154" s="264">
        <f t="shared" ref="F154:F234" si="5">ROUND(H154/1000,0)</f>
        <v>88</v>
      </c>
      <c r="G154" s="264">
        <v>0</v>
      </c>
      <c r="H154" s="264">
        <v>88315</v>
      </c>
      <c r="M154" s="393"/>
      <c r="N154" s="397"/>
    </row>
    <row r="155" spans="1:14" ht="15.75">
      <c r="A155" s="298">
        <v>553000</v>
      </c>
      <c r="B155" s="297" t="s">
        <v>320</v>
      </c>
      <c r="C155" s="296"/>
      <c r="F155" s="264">
        <f t="shared" si="5"/>
        <v>4746</v>
      </c>
      <c r="G155" s="264">
        <v>0</v>
      </c>
      <c r="H155" s="264">
        <v>4746469</v>
      </c>
      <c r="M155" s="393"/>
      <c r="N155" s="397"/>
    </row>
    <row r="156" spans="1:14" ht="15.75">
      <c r="A156" s="298">
        <v>554000</v>
      </c>
      <c r="B156" s="297" t="s">
        <v>321</v>
      </c>
      <c r="C156" s="296"/>
      <c r="F156" s="264">
        <f t="shared" si="5"/>
        <v>312</v>
      </c>
      <c r="G156" s="264">
        <v>0</v>
      </c>
      <c r="H156" s="264">
        <v>311609</v>
      </c>
      <c r="M156" s="393"/>
      <c r="N156" s="397"/>
    </row>
    <row r="157" spans="1:14" ht="15.75">
      <c r="A157" s="295"/>
      <c r="B157" s="297" t="s">
        <v>322</v>
      </c>
      <c r="C157" s="296"/>
      <c r="F157" s="264">
        <f t="shared" si="5"/>
        <v>55255</v>
      </c>
      <c r="G157" s="264">
        <v>0</v>
      </c>
      <c r="H157" s="264">
        <v>55255192</v>
      </c>
      <c r="M157" s="393"/>
      <c r="N157" s="397"/>
    </row>
    <row r="158" spans="1:14" ht="15.75">
      <c r="A158" s="295"/>
      <c r="B158" s="297"/>
      <c r="C158" s="296"/>
      <c r="F158" s="264">
        <f t="shared" si="5"/>
        <v>0</v>
      </c>
      <c r="G158" s="264">
        <v>0</v>
      </c>
      <c r="M158" s="393"/>
      <c r="N158" s="397"/>
    </row>
    <row r="159" spans="1:14" ht="15.75">
      <c r="A159" s="295"/>
      <c r="B159" s="297" t="s">
        <v>323</v>
      </c>
      <c r="C159" s="296"/>
      <c r="F159" s="264">
        <f t="shared" si="5"/>
        <v>0</v>
      </c>
      <c r="G159" s="264">
        <v>0</v>
      </c>
      <c r="M159" s="393"/>
      <c r="N159" s="397"/>
    </row>
    <row r="160" spans="1:14" ht="15.75">
      <c r="A160" s="295" t="s">
        <v>324</v>
      </c>
      <c r="B160" s="297" t="s">
        <v>50</v>
      </c>
      <c r="C160" s="296"/>
      <c r="F160" s="264">
        <f t="shared" si="5"/>
        <v>89083</v>
      </c>
      <c r="G160" s="264">
        <v>0</v>
      </c>
      <c r="H160" s="264">
        <v>89082886</v>
      </c>
      <c r="M160" s="393"/>
      <c r="N160" s="397"/>
    </row>
    <row r="161" spans="1:14" ht="15.75">
      <c r="A161" s="298">
        <v>556000</v>
      </c>
      <c r="B161" s="297" t="s">
        <v>325</v>
      </c>
      <c r="C161" s="296"/>
      <c r="F161" s="264">
        <f t="shared" si="5"/>
        <v>505</v>
      </c>
      <c r="G161" s="264">
        <v>0</v>
      </c>
      <c r="H161" s="264">
        <v>504846</v>
      </c>
      <c r="M161" s="393"/>
      <c r="N161" s="397"/>
    </row>
    <row r="162" spans="1:14" ht="15.75">
      <c r="A162" s="298" t="s">
        <v>326</v>
      </c>
      <c r="B162" s="297" t="s">
        <v>327</v>
      </c>
      <c r="C162" s="296"/>
      <c r="F162" s="264">
        <f t="shared" si="5"/>
        <v>37440</v>
      </c>
      <c r="G162" s="264">
        <v>0</v>
      </c>
      <c r="H162" s="264">
        <v>37440069</v>
      </c>
      <c r="M162" s="393"/>
      <c r="N162" s="397"/>
    </row>
    <row r="163" spans="1:14" ht="15.75">
      <c r="A163" s="298"/>
      <c r="B163" s="297" t="s">
        <v>328</v>
      </c>
      <c r="C163" s="296"/>
      <c r="F163" s="264">
        <f t="shared" si="5"/>
        <v>127028</v>
      </c>
      <c r="G163" s="264">
        <v>0</v>
      </c>
      <c r="H163" s="264">
        <v>127027801</v>
      </c>
      <c r="M163" s="393"/>
      <c r="N163" s="397"/>
    </row>
    <row r="164" spans="1:14" ht="15.75">
      <c r="A164" s="298"/>
      <c r="B164" s="297" t="s">
        <v>329</v>
      </c>
      <c r="C164" s="296"/>
      <c r="F164" s="264">
        <f t="shared" si="5"/>
        <v>239081</v>
      </c>
      <c r="G164" s="264">
        <v>0</v>
      </c>
      <c r="H164" s="264">
        <v>239081000</v>
      </c>
      <c r="M164" s="393"/>
      <c r="N164" s="397"/>
    </row>
    <row r="165" spans="1:14" ht="15.75">
      <c r="A165" s="298"/>
      <c r="B165" s="297"/>
      <c r="C165" s="296"/>
      <c r="F165" s="264">
        <f t="shared" si="5"/>
        <v>0</v>
      </c>
      <c r="G165" s="264">
        <v>0</v>
      </c>
      <c r="M165" s="393"/>
      <c r="N165" s="397"/>
    </row>
    <row r="166" spans="1:14" ht="15.75">
      <c r="A166" s="298"/>
      <c r="B166" s="297" t="s">
        <v>330</v>
      </c>
      <c r="C166" s="296"/>
      <c r="F166" s="264">
        <f t="shared" si="5"/>
        <v>0</v>
      </c>
      <c r="G166" s="264">
        <v>0</v>
      </c>
      <c r="M166" s="393"/>
      <c r="N166" s="397"/>
    </row>
    <row r="167" spans="1:14" ht="15.75">
      <c r="A167" s="298"/>
      <c r="B167" s="297" t="s">
        <v>296</v>
      </c>
      <c r="C167" s="296"/>
      <c r="F167" s="264">
        <f t="shared" si="5"/>
        <v>0</v>
      </c>
      <c r="G167" s="264">
        <v>0</v>
      </c>
      <c r="M167" s="393"/>
      <c r="N167" s="397"/>
    </row>
    <row r="168" spans="1:14" ht="15.75">
      <c r="A168" s="298">
        <v>560000</v>
      </c>
      <c r="B168" s="297" t="s">
        <v>297</v>
      </c>
      <c r="C168" s="296"/>
      <c r="F168" s="264">
        <f t="shared" si="5"/>
        <v>1651</v>
      </c>
      <c r="G168" s="264">
        <v>0</v>
      </c>
      <c r="H168" s="264">
        <v>1651025</v>
      </c>
      <c r="M168" s="393"/>
      <c r="N168" s="397"/>
    </row>
    <row r="169" spans="1:14" ht="15.75">
      <c r="A169" s="298">
        <v>561000</v>
      </c>
      <c r="B169" s="297" t="s">
        <v>331</v>
      </c>
      <c r="C169" s="296"/>
      <c r="F169" s="264">
        <f t="shared" si="5"/>
        <v>2482</v>
      </c>
      <c r="G169" s="264">
        <v>0</v>
      </c>
      <c r="H169" s="264">
        <v>2482185</v>
      </c>
      <c r="M169" s="393"/>
      <c r="N169" s="397"/>
    </row>
    <row r="170" spans="1:14" ht="15.75">
      <c r="A170" s="298">
        <v>562000</v>
      </c>
      <c r="B170" s="297" t="s">
        <v>332</v>
      </c>
      <c r="C170" s="296"/>
      <c r="F170" s="264">
        <f t="shared" si="5"/>
        <v>379</v>
      </c>
      <c r="G170" s="264">
        <v>0</v>
      </c>
      <c r="H170" s="264">
        <v>379015</v>
      </c>
      <c r="M170" s="393"/>
      <c r="N170" s="397"/>
    </row>
    <row r="171" spans="1:14" ht="15.75">
      <c r="A171" s="394">
        <v>562100</v>
      </c>
      <c r="B171" s="393" t="s">
        <v>633</v>
      </c>
      <c r="C171" s="296"/>
      <c r="F171" s="264">
        <f t="shared" si="5"/>
        <v>0</v>
      </c>
      <c r="G171" s="264">
        <v>0</v>
      </c>
      <c r="H171" s="264">
        <v>0</v>
      </c>
      <c r="M171" s="393"/>
      <c r="N171" s="397"/>
    </row>
    <row r="172" spans="1:14" ht="15.75">
      <c r="A172" s="298">
        <v>563000</v>
      </c>
      <c r="B172" s="297" t="s">
        <v>333</v>
      </c>
      <c r="C172" s="296"/>
      <c r="F172" s="264">
        <f t="shared" si="5"/>
        <v>253</v>
      </c>
      <c r="G172" s="264">
        <v>0</v>
      </c>
      <c r="H172" s="264">
        <v>252932</v>
      </c>
      <c r="M172" s="393"/>
      <c r="N172" s="397"/>
    </row>
    <row r="173" spans="1:14" ht="15.75">
      <c r="A173" s="298">
        <v>565000</v>
      </c>
      <c r="B173" s="297" t="s">
        <v>334</v>
      </c>
      <c r="C173" s="296"/>
      <c r="F173" s="264">
        <f t="shared" si="5"/>
        <v>11325</v>
      </c>
      <c r="G173" s="264">
        <v>0</v>
      </c>
      <c r="H173" s="264">
        <v>11324751</v>
      </c>
      <c r="M173" s="393"/>
      <c r="N173" s="397"/>
    </row>
    <row r="174" spans="1:14" ht="15.75">
      <c r="A174" s="298">
        <v>566000</v>
      </c>
      <c r="B174" s="297" t="s">
        <v>335</v>
      </c>
      <c r="C174" s="296"/>
      <c r="F174" s="264">
        <f t="shared" si="5"/>
        <v>2106</v>
      </c>
      <c r="G174" s="264">
        <v>0</v>
      </c>
      <c r="H174" s="264">
        <v>2105805</v>
      </c>
      <c r="M174" s="393"/>
      <c r="N174" s="397"/>
    </row>
    <row r="175" spans="1:14" ht="15.75">
      <c r="A175" s="298">
        <v>567000</v>
      </c>
      <c r="B175" s="297" t="s">
        <v>302</v>
      </c>
      <c r="C175" s="296"/>
      <c r="F175" s="264">
        <f t="shared" si="5"/>
        <v>117</v>
      </c>
      <c r="G175" s="264">
        <v>0</v>
      </c>
      <c r="H175" s="264">
        <v>116687</v>
      </c>
      <c r="M175" s="393"/>
      <c r="N175" s="397"/>
    </row>
    <row r="176" spans="1:14" ht="15.75">
      <c r="A176" s="295"/>
      <c r="B176" s="297"/>
      <c r="C176" s="296"/>
      <c r="F176" s="264">
        <f t="shared" si="5"/>
        <v>0</v>
      </c>
      <c r="G176" s="264">
        <v>0</v>
      </c>
      <c r="M176" s="393"/>
      <c r="N176" s="397"/>
    </row>
    <row r="177" spans="1:14" ht="15.75">
      <c r="A177" s="295"/>
      <c r="B177" s="297" t="s">
        <v>303</v>
      </c>
      <c r="C177" s="296"/>
      <c r="F177" s="264">
        <f t="shared" si="5"/>
        <v>0</v>
      </c>
      <c r="G177" s="264">
        <v>0</v>
      </c>
      <c r="M177" s="393"/>
      <c r="N177" s="397"/>
    </row>
    <row r="178" spans="1:14" ht="15.75">
      <c r="A178" s="298">
        <v>568000</v>
      </c>
      <c r="B178" s="297" t="s">
        <v>297</v>
      </c>
      <c r="C178" s="296"/>
      <c r="F178" s="264">
        <f t="shared" si="5"/>
        <v>429</v>
      </c>
      <c r="G178" s="264">
        <v>0</v>
      </c>
      <c r="H178" s="264">
        <v>429478</v>
      </c>
      <c r="M178" s="393"/>
      <c r="N178" s="397"/>
    </row>
    <row r="179" spans="1:14" ht="15.75">
      <c r="A179" s="298">
        <v>569000</v>
      </c>
      <c r="B179" s="297" t="s">
        <v>304</v>
      </c>
      <c r="C179" s="296"/>
      <c r="F179" s="264">
        <f t="shared" si="5"/>
        <v>458</v>
      </c>
      <c r="G179" s="264">
        <v>0</v>
      </c>
      <c r="H179" s="264">
        <v>458351</v>
      </c>
      <c r="M179" s="393"/>
      <c r="N179" s="397"/>
    </row>
    <row r="180" spans="1:14" ht="15.75">
      <c r="A180" s="298">
        <v>570000</v>
      </c>
      <c r="B180" s="297" t="s">
        <v>336</v>
      </c>
      <c r="C180" s="296"/>
      <c r="F180" s="264">
        <f t="shared" si="5"/>
        <v>649</v>
      </c>
      <c r="G180" s="264">
        <v>0</v>
      </c>
      <c r="H180" s="264">
        <v>649261</v>
      </c>
      <c r="M180" s="393"/>
      <c r="N180" s="397"/>
    </row>
    <row r="181" spans="1:14" ht="15.75">
      <c r="A181" s="394">
        <v>570100</v>
      </c>
      <c r="B181" s="393" t="s">
        <v>633</v>
      </c>
      <c r="C181" s="296"/>
      <c r="F181" s="264">
        <f t="shared" si="5"/>
        <v>0</v>
      </c>
      <c r="G181" s="264">
        <v>0</v>
      </c>
      <c r="H181" s="264">
        <v>0</v>
      </c>
      <c r="M181" s="393"/>
      <c r="N181" s="397"/>
    </row>
    <row r="182" spans="1:14" ht="15.75">
      <c r="A182" s="298">
        <v>571000</v>
      </c>
      <c r="B182" s="297" t="s">
        <v>337</v>
      </c>
      <c r="C182" s="296"/>
      <c r="F182" s="264">
        <f t="shared" si="5"/>
        <v>654</v>
      </c>
      <c r="G182" s="264">
        <v>0</v>
      </c>
      <c r="H182" s="264">
        <v>653735</v>
      </c>
      <c r="M182" s="393"/>
      <c r="N182" s="397"/>
    </row>
    <row r="183" spans="1:14" ht="15.75">
      <c r="A183" s="298">
        <v>572000</v>
      </c>
      <c r="B183" s="297" t="s">
        <v>338</v>
      </c>
      <c r="C183" s="296"/>
      <c r="F183" s="264">
        <f t="shared" si="5"/>
        <v>0</v>
      </c>
      <c r="G183" s="264">
        <v>0</v>
      </c>
      <c r="H183" s="264">
        <v>46</v>
      </c>
      <c r="M183" s="393"/>
      <c r="N183" s="397"/>
    </row>
    <row r="184" spans="1:14" ht="15.75">
      <c r="A184" s="298">
        <v>573000</v>
      </c>
      <c r="B184" s="297" t="s">
        <v>339</v>
      </c>
      <c r="C184" s="296"/>
      <c r="F184" s="264">
        <f t="shared" si="5"/>
        <v>52</v>
      </c>
      <c r="G184" s="264">
        <v>0</v>
      </c>
      <c r="H184" s="264">
        <v>51550</v>
      </c>
      <c r="M184" s="393"/>
      <c r="N184" s="397"/>
    </row>
    <row r="185" spans="1:14" ht="15.75">
      <c r="A185" s="295"/>
      <c r="B185" s="297" t="s">
        <v>340</v>
      </c>
      <c r="C185" s="296"/>
      <c r="F185" s="264">
        <f t="shared" si="5"/>
        <v>20555</v>
      </c>
      <c r="G185" s="264">
        <v>0</v>
      </c>
      <c r="H185" s="264">
        <v>20554821</v>
      </c>
      <c r="M185" s="393"/>
      <c r="N185" s="397"/>
    </row>
    <row r="186" spans="1:14" ht="15.75">
      <c r="A186" s="295"/>
      <c r="B186" s="297"/>
      <c r="C186" s="296"/>
      <c r="F186" s="264">
        <f t="shared" si="5"/>
        <v>0</v>
      </c>
      <c r="G186" s="264">
        <v>0</v>
      </c>
      <c r="M186" s="393"/>
    </row>
    <row r="187" spans="1:14" ht="15.75">
      <c r="A187" s="295"/>
      <c r="B187" s="297" t="s">
        <v>341</v>
      </c>
      <c r="C187" s="296"/>
      <c r="F187" s="264">
        <f>ROUND(H187/1000,0)</f>
        <v>21925</v>
      </c>
      <c r="G187" s="264">
        <v>0</v>
      </c>
      <c r="H187" s="692">
        <v>21925315</v>
      </c>
      <c r="M187" s="393"/>
    </row>
    <row r="188" spans="1:14" ht="15.75">
      <c r="A188" s="295"/>
      <c r="B188" s="297" t="s">
        <v>342</v>
      </c>
      <c r="C188" s="296"/>
      <c r="F188" s="264">
        <f t="shared" ref="F188:F229" si="6">ROUND(H188/1000,0)</f>
        <v>9925</v>
      </c>
      <c r="G188" s="264">
        <v>0</v>
      </c>
      <c r="H188" s="692">
        <v>9924612</v>
      </c>
      <c r="M188" s="393"/>
    </row>
    <row r="189" spans="1:14" ht="15.75">
      <c r="A189" s="302"/>
      <c r="B189" s="300" t="s">
        <v>343</v>
      </c>
      <c r="C189" s="301"/>
      <c r="F189" s="264">
        <f t="shared" si="6"/>
        <v>749</v>
      </c>
      <c r="G189" s="264">
        <v>0</v>
      </c>
      <c r="H189" s="692">
        <v>749272</v>
      </c>
      <c r="M189" s="396"/>
    </row>
    <row r="190" spans="1:14" ht="15.75">
      <c r="A190" s="302"/>
      <c r="B190" s="297" t="s">
        <v>598</v>
      </c>
      <c r="C190" s="301"/>
      <c r="F190" s="264">
        <f t="shared" si="6"/>
        <v>-152</v>
      </c>
      <c r="G190" s="264">
        <v>0</v>
      </c>
      <c r="H190" s="692">
        <v>-152192</v>
      </c>
      <c r="M190" s="393"/>
    </row>
    <row r="191" spans="1:14" ht="15.75">
      <c r="A191" s="298">
        <v>403027</v>
      </c>
      <c r="B191" s="393" t="s">
        <v>721</v>
      </c>
      <c r="C191" s="301"/>
      <c r="F191" s="264">
        <f t="shared" si="6"/>
        <v>0</v>
      </c>
      <c r="G191" s="264">
        <v>0</v>
      </c>
      <c r="H191" s="692">
        <v>0</v>
      </c>
      <c r="M191" s="393"/>
    </row>
    <row r="192" spans="1:14" ht="15.75">
      <c r="A192" s="298">
        <v>405930</v>
      </c>
      <c r="B192" s="297" t="s">
        <v>344</v>
      </c>
      <c r="C192" s="296"/>
      <c r="F192" s="264">
        <f t="shared" si="6"/>
        <v>1633</v>
      </c>
      <c r="G192" s="264">
        <v>0</v>
      </c>
      <c r="H192" s="692">
        <v>1632961</v>
      </c>
      <c r="M192" s="393"/>
    </row>
    <row r="193" spans="1:13" ht="15.75">
      <c r="A193" s="298">
        <v>406100</v>
      </c>
      <c r="B193" s="297" t="s">
        <v>345</v>
      </c>
      <c r="C193" s="296"/>
      <c r="F193" s="264">
        <f t="shared" si="6"/>
        <v>32</v>
      </c>
      <c r="G193" s="264">
        <v>0</v>
      </c>
      <c r="H193" s="692">
        <v>31743</v>
      </c>
      <c r="M193" s="393"/>
    </row>
    <row r="194" spans="1:13" ht="15.75">
      <c r="A194" s="298">
        <v>407312</v>
      </c>
      <c r="B194" s="297" t="s">
        <v>346</v>
      </c>
      <c r="C194" s="296"/>
      <c r="F194" s="264">
        <f t="shared" si="6"/>
        <v>0</v>
      </c>
      <c r="G194" s="264">
        <v>0</v>
      </c>
      <c r="H194" s="692">
        <v>0</v>
      </c>
      <c r="M194" s="393"/>
    </row>
    <row r="195" spans="1:13" ht="15.75">
      <c r="A195" s="395">
        <v>407320</v>
      </c>
      <c r="B195" s="396" t="s">
        <v>636</v>
      </c>
      <c r="C195" s="296"/>
      <c r="F195" s="264">
        <f t="shared" si="6"/>
        <v>0</v>
      </c>
      <c r="G195" s="264">
        <v>0</v>
      </c>
      <c r="H195" s="692">
        <v>0</v>
      </c>
      <c r="M195" s="396"/>
    </row>
    <row r="196" spans="1:13" ht="15.75">
      <c r="A196" s="299">
        <v>407322</v>
      </c>
      <c r="B196" s="300" t="s">
        <v>347</v>
      </c>
      <c r="C196" s="301"/>
      <c r="F196" s="264">
        <f t="shared" si="6"/>
        <v>73</v>
      </c>
      <c r="G196" s="264">
        <v>0</v>
      </c>
      <c r="H196" s="692">
        <v>72939</v>
      </c>
      <c r="M196" s="396"/>
    </row>
    <row r="197" spans="1:13" ht="15.75">
      <c r="A197" s="299">
        <v>407324</v>
      </c>
      <c r="B197" s="300" t="s">
        <v>348</v>
      </c>
      <c r="C197" s="301"/>
      <c r="F197" s="264">
        <f t="shared" si="6"/>
        <v>142</v>
      </c>
      <c r="G197" s="264">
        <v>0</v>
      </c>
      <c r="H197" s="692">
        <v>142345</v>
      </c>
      <c r="M197" s="396"/>
    </row>
    <row r="198" spans="1:13" ht="15.75">
      <c r="A198" s="299">
        <v>407326</v>
      </c>
      <c r="B198" s="300" t="s">
        <v>640</v>
      </c>
      <c r="C198" s="301"/>
      <c r="F198" s="264">
        <f t="shared" si="6"/>
        <v>0</v>
      </c>
      <c r="G198" s="264">
        <v>0</v>
      </c>
      <c r="H198" s="692">
        <v>0</v>
      </c>
      <c r="M198" s="396"/>
    </row>
    <row r="199" spans="1:13" ht="15.75">
      <c r="A199" s="299">
        <v>407327</v>
      </c>
      <c r="B199" s="396" t="s">
        <v>722</v>
      </c>
      <c r="C199" s="301"/>
      <c r="F199" s="264">
        <f t="shared" si="6"/>
        <v>0</v>
      </c>
      <c r="G199" s="264">
        <v>0</v>
      </c>
      <c r="H199" s="692">
        <v>0</v>
      </c>
      <c r="M199" s="396"/>
    </row>
    <row r="200" spans="1:13" ht="15.75">
      <c r="A200" s="299">
        <v>407331</v>
      </c>
      <c r="B200" s="300" t="s">
        <v>599</v>
      </c>
      <c r="C200" s="301"/>
      <c r="F200" s="264">
        <f t="shared" si="6"/>
        <v>0</v>
      </c>
      <c r="G200" s="264">
        <v>0</v>
      </c>
      <c r="H200" s="692">
        <v>0</v>
      </c>
      <c r="M200" s="396"/>
    </row>
    <row r="201" spans="1:13" ht="15.75">
      <c r="A201" s="299">
        <v>407333</v>
      </c>
      <c r="B201" s="300" t="s">
        <v>600</v>
      </c>
      <c r="C201" s="301"/>
      <c r="F201" s="264">
        <f t="shared" si="6"/>
        <v>21</v>
      </c>
      <c r="G201" s="264">
        <v>0</v>
      </c>
      <c r="H201" s="692">
        <v>21477</v>
      </c>
      <c r="M201" s="396"/>
    </row>
    <row r="202" spans="1:13" ht="15.75">
      <c r="A202" s="299">
        <v>407335</v>
      </c>
      <c r="B202" s="300" t="s">
        <v>349</v>
      </c>
      <c r="C202" s="296"/>
      <c r="F202" s="264">
        <f t="shared" si="6"/>
        <v>0</v>
      </c>
      <c r="G202" s="264">
        <v>0</v>
      </c>
      <c r="H202" s="692">
        <v>0</v>
      </c>
      <c r="M202" s="396"/>
    </row>
    <row r="203" spans="1:13" ht="15.75">
      <c r="A203" s="298">
        <v>407350</v>
      </c>
      <c r="B203" s="297" t="s">
        <v>601</v>
      </c>
      <c r="C203" s="296"/>
      <c r="F203" s="264">
        <f t="shared" si="6"/>
        <v>0</v>
      </c>
      <c r="G203" s="264">
        <v>0</v>
      </c>
      <c r="H203" s="692">
        <v>0</v>
      </c>
      <c r="M203" s="393"/>
    </row>
    <row r="204" spans="1:13" ht="15.75">
      <c r="A204" s="298">
        <v>407351</v>
      </c>
      <c r="B204" s="297" t="s">
        <v>350</v>
      </c>
      <c r="C204" s="301"/>
      <c r="F204" s="264">
        <f t="shared" si="6"/>
        <v>0</v>
      </c>
      <c r="G204" s="264">
        <v>0</v>
      </c>
      <c r="H204" s="692">
        <v>0</v>
      </c>
      <c r="M204" s="393"/>
    </row>
    <row r="205" spans="1:13" ht="15.75">
      <c r="A205" s="298">
        <v>407360</v>
      </c>
      <c r="B205" s="297" t="s">
        <v>602</v>
      </c>
      <c r="C205" s="301"/>
      <c r="F205" s="264">
        <f t="shared" si="6"/>
        <v>0</v>
      </c>
      <c r="G205" s="264">
        <v>0</v>
      </c>
      <c r="H205" s="692">
        <v>0</v>
      </c>
      <c r="M205" s="393"/>
    </row>
    <row r="206" spans="1:13" ht="15.75">
      <c r="A206" s="298">
        <v>407362</v>
      </c>
      <c r="B206" s="297" t="s">
        <v>603</v>
      </c>
      <c r="C206" s="301"/>
      <c r="F206" s="264">
        <f t="shared" si="6"/>
        <v>0</v>
      </c>
      <c r="G206" s="264">
        <v>0</v>
      </c>
      <c r="H206" s="692">
        <v>0</v>
      </c>
      <c r="M206" s="393"/>
    </row>
    <row r="207" spans="1:13" ht="15.75">
      <c r="A207" s="298">
        <v>407365</v>
      </c>
      <c r="B207" s="297" t="s">
        <v>604</v>
      </c>
      <c r="C207" s="301"/>
      <c r="F207" s="264">
        <f t="shared" si="6"/>
        <v>0</v>
      </c>
      <c r="G207" s="264">
        <v>0</v>
      </c>
      <c r="H207" s="692">
        <v>0</v>
      </c>
      <c r="M207" s="393"/>
    </row>
    <row r="208" spans="1:13" ht="15.75">
      <c r="A208" s="298">
        <v>407368</v>
      </c>
      <c r="B208" s="297" t="s">
        <v>662</v>
      </c>
      <c r="C208" s="301"/>
      <c r="F208" s="264">
        <f t="shared" si="6"/>
        <v>0</v>
      </c>
      <c r="H208" s="692">
        <v>0</v>
      </c>
      <c r="M208" s="393"/>
    </row>
    <row r="209" spans="1:13" ht="15.75">
      <c r="A209" s="298">
        <v>407380</v>
      </c>
      <c r="B209" s="297" t="s">
        <v>351</v>
      </c>
      <c r="C209" s="301"/>
      <c r="F209" s="264">
        <f t="shared" si="6"/>
        <v>0</v>
      </c>
      <c r="G209" s="264">
        <v>0</v>
      </c>
      <c r="H209" s="692">
        <v>0</v>
      </c>
      <c r="M209" s="393"/>
    </row>
    <row r="210" spans="1:13" ht="15.75">
      <c r="A210" s="299">
        <v>407382</v>
      </c>
      <c r="B210" s="300" t="s">
        <v>352</v>
      </c>
      <c r="C210" s="301"/>
      <c r="F210" s="264">
        <f t="shared" si="6"/>
        <v>580</v>
      </c>
      <c r="G210" s="264">
        <v>0</v>
      </c>
      <c r="H210" s="692">
        <v>580314</v>
      </c>
      <c r="M210" s="396"/>
    </row>
    <row r="211" spans="1:13" ht="15.75">
      <c r="A211" s="299">
        <v>407382</v>
      </c>
      <c r="B211" s="300" t="s">
        <v>353</v>
      </c>
      <c r="C211" s="301"/>
      <c r="F211" s="264">
        <f t="shared" si="6"/>
        <v>152</v>
      </c>
      <c r="G211" s="264">
        <v>0</v>
      </c>
      <c r="H211" s="692">
        <v>152118</v>
      </c>
      <c r="M211" s="396"/>
    </row>
    <row r="212" spans="1:13" ht="15.75">
      <c r="A212" s="395">
        <v>407391</v>
      </c>
      <c r="B212" s="396" t="s">
        <v>640</v>
      </c>
      <c r="C212" s="301"/>
      <c r="F212" s="264">
        <f t="shared" si="6"/>
        <v>0</v>
      </c>
      <c r="G212" s="264">
        <v>0</v>
      </c>
      <c r="H212" s="692">
        <v>0</v>
      </c>
      <c r="M212" s="396"/>
    </row>
    <row r="213" spans="1:13" ht="15.75">
      <c r="A213" s="299">
        <v>407395</v>
      </c>
      <c r="B213" s="300" t="s">
        <v>354</v>
      </c>
      <c r="C213" s="301"/>
      <c r="F213" s="264">
        <f t="shared" si="6"/>
        <v>156</v>
      </c>
      <c r="G213" s="264">
        <v>0</v>
      </c>
      <c r="H213" s="692">
        <v>156371</v>
      </c>
      <c r="M213" s="396"/>
    </row>
    <row r="214" spans="1:13" ht="15.75">
      <c r="A214" s="298">
        <v>407403</v>
      </c>
      <c r="B214" s="297" t="s">
        <v>355</v>
      </c>
      <c r="C214" s="301"/>
      <c r="F214" s="264">
        <f t="shared" si="6"/>
        <v>-6</v>
      </c>
      <c r="G214" s="264">
        <v>0</v>
      </c>
      <c r="H214" s="692">
        <v>-5609</v>
      </c>
      <c r="M214" s="393"/>
    </row>
    <row r="215" spans="1:13" ht="15.75">
      <c r="A215" s="298">
        <v>407405</v>
      </c>
      <c r="B215" s="297" t="s">
        <v>356</v>
      </c>
      <c r="C215" s="296"/>
      <c r="F215" s="264">
        <f t="shared" si="6"/>
        <v>0</v>
      </c>
      <c r="G215" s="264">
        <v>0</v>
      </c>
      <c r="H215" s="692">
        <v>0</v>
      </c>
      <c r="M215" s="393"/>
    </row>
    <row r="216" spans="1:13" ht="15.75">
      <c r="A216" s="298">
        <v>407420</v>
      </c>
      <c r="B216" s="297" t="s">
        <v>357</v>
      </c>
      <c r="C216" s="296"/>
      <c r="F216" s="264">
        <f t="shared" si="6"/>
        <v>0</v>
      </c>
      <c r="G216" s="264">
        <v>0</v>
      </c>
      <c r="H216" s="692">
        <v>0</v>
      </c>
      <c r="M216" s="393"/>
    </row>
    <row r="217" spans="1:13" ht="15.75">
      <c r="A217" s="298">
        <v>407427</v>
      </c>
      <c r="B217" s="393" t="s">
        <v>723</v>
      </c>
      <c r="C217" s="296"/>
      <c r="F217" s="264">
        <f t="shared" si="6"/>
        <v>0</v>
      </c>
      <c r="G217" s="264">
        <v>0</v>
      </c>
      <c r="H217" s="692">
        <v>0</v>
      </c>
      <c r="M217" s="393"/>
    </row>
    <row r="218" spans="1:13" ht="15.75">
      <c r="A218" s="295" t="s">
        <v>358</v>
      </c>
      <c r="B218" s="297" t="s">
        <v>359</v>
      </c>
      <c r="C218" s="296"/>
      <c r="F218" s="264">
        <f t="shared" si="6"/>
        <v>-3523</v>
      </c>
      <c r="G218" s="264">
        <v>0</v>
      </c>
      <c r="H218" s="692">
        <v>-3522792</v>
      </c>
      <c r="M218" s="393"/>
    </row>
    <row r="219" spans="1:13" ht="15.75">
      <c r="A219" s="395">
        <v>407455</v>
      </c>
      <c r="B219" s="396" t="s">
        <v>663</v>
      </c>
      <c r="C219" s="296"/>
      <c r="F219" s="264">
        <f t="shared" si="6"/>
        <v>0</v>
      </c>
      <c r="G219" s="264">
        <v>0</v>
      </c>
      <c r="H219" s="692">
        <v>0</v>
      </c>
      <c r="M219" s="396"/>
    </row>
    <row r="220" spans="1:13" ht="15.75">
      <c r="A220" s="299">
        <v>407460</v>
      </c>
      <c r="B220" s="300" t="s">
        <v>360</v>
      </c>
      <c r="C220" s="301"/>
      <c r="F220" s="264">
        <f t="shared" si="6"/>
        <v>0</v>
      </c>
      <c r="G220" s="264">
        <v>0</v>
      </c>
      <c r="H220" s="692">
        <v>0</v>
      </c>
      <c r="M220" s="396"/>
    </row>
    <row r="221" spans="1:13" ht="15.75">
      <c r="A221" s="299">
        <v>407462</v>
      </c>
      <c r="B221" s="300" t="s">
        <v>605</v>
      </c>
      <c r="C221" s="296"/>
      <c r="F221" s="264">
        <f t="shared" si="6"/>
        <v>0</v>
      </c>
      <c r="G221" s="264">
        <v>0</v>
      </c>
      <c r="H221" s="692">
        <v>0</v>
      </c>
      <c r="M221" s="396"/>
    </row>
    <row r="222" spans="1:13" ht="15.75">
      <c r="A222" s="395">
        <v>407494</v>
      </c>
      <c r="B222" s="396" t="s">
        <v>641</v>
      </c>
      <c r="C222" s="296"/>
      <c r="F222" s="264">
        <f t="shared" si="6"/>
        <v>34</v>
      </c>
      <c r="G222" s="264">
        <v>0</v>
      </c>
      <c r="H222" s="692">
        <v>34085</v>
      </c>
      <c r="M222" s="396"/>
    </row>
    <row r="223" spans="1:13" ht="15.75">
      <c r="A223" s="299">
        <v>407495</v>
      </c>
      <c r="B223" s="300" t="s">
        <v>606</v>
      </c>
      <c r="C223" s="301"/>
      <c r="F223" s="264">
        <f t="shared" si="6"/>
        <v>-6</v>
      </c>
      <c r="G223" s="264">
        <v>0</v>
      </c>
      <c r="H223" s="692">
        <v>-5524</v>
      </c>
      <c r="M223" s="396"/>
    </row>
    <row r="224" spans="1:13" ht="15.75">
      <c r="A224" s="299">
        <v>407496</v>
      </c>
      <c r="B224" s="300" t="s">
        <v>607</v>
      </c>
      <c r="C224" s="301"/>
      <c r="F224" s="264">
        <f t="shared" si="6"/>
        <v>0</v>
      </c>
      <c r="G224" s="264">
        <v>0</v>
      </c>
      <c r="H224" s="692">
        <v>0</v>
      </c>
      <c r="M224" s="396"/>
    </row>
    <row r="225" spans="1:13" ht="15.75">
      <c r="A225" s="395">
        <v>407497</v>
      </c>
      <c r="B225" s="396" t="s">
        <v>634</v>
      </c>
      <c r="C225" s="301"/>
      <c r="F225" s="264">
        <f t="shared" si="6"/>
        <v>0</v>
      </c>
      <c r="G225" s="264">
        <v>0</v>
      </c>
      <c r="H225" s="692">
        <v>0</v>
      </c>
      <c r="M225" s="396"/>
    </row>
    <row r="226" spans="1:13" ht="15.75">
      <c r="A226" s="295"/>
      <c r="B226" s="297" t="s">
        <v>361</v>
      </c>
      <c r="C226" s="296"/>
      <c r="F226" s="264">
        <f t="shared" si="6"/>
        <v>16489</v>
      </c>
      <c r="G226" s="264">
        <v>0</v>
      </c>
      <c r="H226" s="692">
        <v>16488877</v>
      </c>
      <c r="M226" s="393"/>
    </row>
    <row r="227" spans="1:13" ht="15.75">
      <c r="A227" s="295"/>
      <c r="B227" s="297" t="s">
        <v>362</v>
      </c>
      <c r="C227" s="296"/>
      <c r="F227" s="264">
        <f t="shared" si="6"/>
        <v>48226</v>
      </c>
      <c r="G227" s="264">
        <v>0</v>
      </c>
      <c r="H227" s="692">
        <v>48226312</v>
      </c>
      <c r="M227" s="393"/>
    </row>
    <row r="228" spans="1:13" ht="15.75">
      <c r="A228" s="295"/>
      <c r="B228" s="297"/>
      <c r="C228" s="296"/>
      <c r="F228" s="264">
        <f t="shared" si="6"/>
        <v>0</v>
      </c>
      <c r="G228" s="264">
        <v>0</v>
      </c>
      <c r="H228" s="692"/>
      <c r="M228" s="393"/>
    </row>
    <row r="229" spans="1:13" ht="15.75">
      <c r="A229" s="295"/>
      <c r="B229" s="297" t="s">
        <v>363</v>
      </c>
      <c r="C229" s="296"/>
      <c r="F229" s="264">
        <f t="shared" si="6"/>
        <v>307862</v>
      </c>
      <c r="G229" s="264">
        <v>0</v>
      </c>
      <c r="H229" s="692">
        <v>307862133</v>
      </c>
      <c r="M229" s="397"/>
    </row>
    <row r="230" spans="1:13" ht="15.75">
      <c r="A230" s="295"/>
      <c r="B230" s="297"/>
      <c r="C230" s="296"/>
      <c r="F230" s="264">
        <f t="shared" si="5"/>
        <v>0</v>
      </c>
      <c r="G230" s="264">
        <v>0</v>
      </c>
      <c r="H230" s="692"/>
      <c r="M230" s="393"/>
    </row>
    <row r="231" spans="1:13" ht="15.75">
      <c r="A231" s="295"/>
      <c r="B231" s="297" t="s">
        <v>364</v>
      </c>
      <c r="C231" s="296"/>
      <c r="F231" s="264">
        <f t="shared" si="5"/>
        <v>0</v>
      </c>
      <c r="G231" s="264">
        <v>0</v>
      </c>
      <c r="H231" s="692"/>
      <c r="M231" s="397"/>
    </row>
    <row r="232" spans="1:13" ht="15.75">
      <c r="A232" s="295"/>
      <c r="B232" s="296" t="s">
        <v>365</v>
      </c>
      <c r="C232" s="296"/>
      <c r="F232" s="264">
        <f t="shared" si="5"/>
        <v>0</v>
      </c>
      <c r="G232" s="264">
        <v>0</v>
      </c>
      <c r="H232" s="692"/>
      <c r="M232" s="393"/>
    </row>
    <row r="233" spans="1:13" ht="15.75">
      <c r="A233" s="298">
        <v>580000</v>
      </c>
      <c r="B233" s="297" t="s">
        <v>297</v>
      </c>
      <c r="C233" s="296"/>
      <c r="F233" s="264">
        <f>ROUND(H233/1000,0)</f>
        <v>3144</v>
      </c>
      <c r="G233" s="264">
        <v>0</v>
      </c>
      <c r="H233" s="692">
        <v>3143735</v>
      </c>
      <c r="M233" s="393"/>
    </row>
    <row r="234" spans="1:13" ht="15.75">
      <c r="A234" s="298">
        <v>582000</v>
      </c>
      <c r="B234" s="296" t="s">
        <v>332</v>
      </c>
      <c r="C234" s="296"/>
      <c r="F234" s="264">
        <f t="shared" si="5"/>
        <v>543</v>
      </c>
      <c r="G234" s="264">
        <v>0</v>
      </c>
      <c r="H234" s="692">
        <v>543467</v>
      </c>
      <c r="M234" s="393"/>
    </row>
    <row r="235" spans="1:13" ht="15.75">
      <c r="A235" s="298">
        <v>583000</v>
      </c>
      <c r="B235" s="297" t="s">
        <v>333</v>
      </c>
      <c r="C235" s="296"/>
      <c r="F235" s="264">
        <f t="shared" ref="F235:F300" si="7">ROUND(H235/1000,0)</f>
        <v>1606</v>
      </c>
      <c r="G235" s="264">
        <v>0</v>
      </c>
      <c r="H235" s="692">
        <v>1605630</v>
      </c>
      <c r="M235" s="393"/>
    </row>
    <row r="236" spans="1:13" ht="15.75">
      <c r="A236" s="298">
        <v>584000</v>
      </c>
      <c r="B236" s="297" t="s">
        <v>366</v>
      </c>
      <c r="C236" s="296"/>
      <c r="F236" s="264">
        <f t="shared" si="7"/>
        <v>1036</v>
      </c>
      <c r="G236" s="264">
        <v>0</v>
      </c>
      <c r="H236" s="692">
        <v>1036015</v>
      </c>
      <c r="M236" s="393"/>
    </row>
    <row r="237" spans="1:13" ht="15.75">
      <c r="A237" s="394">
        <v>584100</v>
      </c>
      <c r="B237" s="393" t="s">
        <v>633</v>
      </c>
      <c r="C237" s="296"/>
      <c r="F237" s="264">
        <f t="shared" si="7"/>
        <v>0</v>
      </c>
      <c r="G237" s="264">
        <v>0</v>
      </c>
      <c r="H237" s="692">
        <v>0</v>
      </c>
      <c r="M237" s="393"/>
    </row>
    <row r="238" spans="1:13" ht="15.75">
      <c r="A238" s="298">
        <v>585000</v>
      </c>
      <c r="B238" s="297" t="s">
        <v>367</v>
      </c>
      <c r="C238" s="296"/>
      <c r="F238" s="264">
        <f t="shared" si="7"/>
        <v>7</v>
      </c>
      <c r="G238" s="264">
        <v>0</v>
      </c>
      <c r="H238" s="692">
        <v>6884</v>
      </c>
      <c r="M238" s="393"/>
    </row>
    <row r="239" spans="1:13" ht="15.75">
      <c r="A239" s="298">
        <v>586000</v>
      </c>
      <c r="B239" s="297" t="s">
        <v>368</v>
      </c>
      <c r="C239" s="296"/>
      <c r="F239" s="264">
        <f t="shared" si="7"/>
        <v>1869</v>
      </c>
      <c r="G239" s="264">
        <v>0</v>
      </c>
      <c r="H239" s="692">
        <v>1869273</v>
      </c>
      <c r="M239" s="393"/>
    </row>
    <row r="240" spans="1:13" ht="15.75">
      <c r="A240" s="298">
        <v>587000</v>
      </c>
      <c r="B240" s="297" t="s">
        <v>369</v>
      </c>
      <c r="C240" s="296"/>
      <c r="F240" s="264">
        <f t="shared" si="7"/>
        <v>671</v>
      </c>
      <c r="G240" s="264">
        <v>0</v>
      </c>
      <c r="H240" s="692">
        <v>671049</v>
      </c>
      <c r="M240" s="393"/>
    </row>
    <row r="241" spans="1:13" ht="15.75">
      <c r="A241" s="298">
        <v>588000</v>
      </c>
      <c r="B241" s="297" t="s">
        <v>370</v>
      </c>
      <c r="C241" s="296"/>
      <c r="F241" s="264">
        <f t="shared" si="7"/>
        <v>6025</v>
      </c>
      <c r="G241" s="264">
        <v>0</v>
      </c>
      <c r="H241" s="692">
        <v>6024882</v>
      </c>
      <c r="M241" s="397"/>
    </row>
    <row r="242" spans="1:13" ht="15.75">
      <c r="A242" s="298">
        <v>589000</v>
      </c>
      <c r="B242" s="297" t="s">
        <v>302</v>
      </c>
      <c r="C242" s="296"/>
      <c r="F242" s="264">
        <f t="shared" si="7"/>
        <v>251</v>
      </c>
      <c r="G242" s="264">
        <v>0</v>
      </c>
      <c r="H242" s="692">
        <v>251264</v>
      </c>
      <c r="M242" s="393"/>
    </row>
    <row r="243" spans="1:13" ht="15.75">
      <c r="A243" s="303"/>
      <c r="B243" s="297"/>
      <c r="C243" s="296"/>
      <c r="F243" s="264">
        <f t="shared" si="7"/>
        <v>0</v>
      </c>
      <c r="G243" s="264">
        <v>0</v>
      </c>
      <c r="H243" s="692"/>
      <c r="M243" s="393"/>
    </row>
    <row r="244" spans="1:13" ht="15.75">
      <c r="A244" s="295"/>
      <c r="B244" s="296" t="s">
        <v>371</v>
      </c>
      <c r="C244" s="296"/>
      <c r="F244" s="264">
        <f t="shared" si="7"/>
        <v>0</v>
      </c>
      <c r="G244" s="264">
        <v>0</v>
      </c>
      <c r="H244" s="692"/>
      <c r="M244" s="397"/>
    </row>
    <row r="245" spans="1:13" ht="15.75">
      <c r="A245" s="298">
        <v>590000</v>
      </c>
      <c r="B245" s="297" t="s">
        <v>297</v>
      </c>
      <c r="C245" s="296"/>
      <c r="F245" s="264">
        <f t="shared" si="7"/>
        <v>1063</v>
      </c>
      <c r="G245" s="264">
        <v>0</v>
      </c>
      <c r="H245" s="692">
        <v>1062515</v>
      </c>
      <c r="M245" s="393"/>
    </row>
    <row r="246" spans="1:13" ht="15.75">
      <c r="A246" s="298">
        <v>591000</v>
      </c>
      <c r="B246" s="297" t="s">
        <v>304</v>
      </c>
      <c r="C246" s="296"/>
      <c r="F246" s="264">
        <f t="shared" si="7"/>
        <v>401</v>
      </c>
      <c r="G246" s="264">
        <v>0</v>
      </c>
      <c r="H246" s="692">
        <v>401277</v>
      </c>
      <c r="M246" s="393"/>
    </row>
    <row r="247" spans="1:13" ht="15.75">
      <c r="A247" s="298">
        <v>592000</v>
      </c>
      <c r="B247" s="296" t="s">
        <v>336</v>
      </c>
      <c r="C247" s="296"/>
      <c r="F247" s="264">
        <f t="shared" si="7"/>
        <v>685</v>
      </c>
      <c r="G247" s="264">
        <v>0</v>
      </c>
      <c r="H247" s="692">
        <v>685033</v>
      </c>
      <c r="M247" s="393"/>
    </row>
    <row r="248" spans="1:13" ht="15.75">
      <c r="A248" s="394">
        <v>592200</v>
      </c>
      <c r="B248" s="393" t="s">
        <v>633</v>
      </c>
      <c r="C248" s="296"/>
      <c r="F248" s="264">
        <f t="shared" si="7"/>
        <v>0</v>
      </c>
      <c r="G248" s="264">
        <v>0</v>
      </c>
      <c r="H248" s="692">
        <v>0</v>
      </c>
      <c r="M248" s="393"/>
    </row>
    <row r="249" spans="1:13" ht="15.75">
      <c r="A249" s="298">
        <v>593000</v>
      </c>
      <c r="B249" s="297" t="s">
        <v>337</v>
      </c>
      <c r="C249" s="296"/>
      <c r="F249" s="264">
        <f t="shared" si="7"/>
        <v>7914</v>
      </c>
      <c r="G249" s="264">
        <v>0</v>
      </c>
      <c r="H249" s="692">
        <v>7914136</v>
      </c>
      <c r="M249" s="393"/>
    </row>
    <row r="250" spans="1:13" ht="15.75">
      <c r="A250" s="298">
        <v>594000</v>
      </c>
      <c r="B250" s="297" t="s">
        <v>338</v>
      </c>
      <c r="C250" s="296"/>
      <c r="F250" s="264">
        <f t="shared" si="7"/>
        <v>603</v>
      </c>
      <c r="G250" s="264">
        <v>0</v>
      </c>
      <c r="H250" s="692">
        <v>602770</v>
      </c>
      <c r="M250" s="393"/>
    </row>
    <row r="251" spans="1:13" ht="15.75">
      <c r="A251" s="298">
        <v>595000</v>
      </c>
      <c r="B251" s="297" t="s">
        <v>372</v>
      </c>
      <c r="C251" s="296"/>
      <c r="F251" s="264">
        <f t="shared" si="7"/>
        <v>316</v>
      </c>
      <c r="G251" s="264">
        <v>0</v>
      </c>
      <c r="H251" s="692">
        <v>316235</v>
      </c>
      <c r="M251" s="393"/>
    </row>
    <row r="252" spans="1:13" ht="15.75">
      <c r="A252" s="298">
        <v>596000</v>
      </c>
      <c r="B252" s="297" t="s">
        <v>373</v>
      </c>
      <c r="C252" s="296"/>
      <c r="F252" s="264">
        <f t="shared" si="7"/>
        <v>167</v>
      </c>
      <c r="G252" s="264">
        <v>0</v>
      </c>
      <c r="H252" s="692">
        <v>167362</v>
      </c>
      <c r="M252" s="393"/>
    </row>
    <row r="253" spans="1:13" ht="15.75">
      <c r="A253" s="298">
        <v>597000</v>
      </c>
      <c r="B253" s="297" t="s">
        <v>374</v>
      </c>
      <c r="C253" s="296"/>
      <c r="F253" s="264">
        <f t="shared" si="7"/>
        <v>37</v>
      </c>
      <c r="G253" s="264">
        <v>0</v>
      </c>
      <c r="H253" s="692">
        <v>37495</v>
      </c>
      <c r="M253" s="393"/>
    </row>
    <row r="254" spans="1:13" ht="15.75">
      <c r="A254" s="298">
        <v>598000</v>
      </c>
      <c r="B254" s="297" t="s">
        <v>370</v>
      </c>
      <c r="C254" s="296"/>
      <c r="F254" s="264">
        <f t="shared" si="7"/>
        <v>408</v>
      </c>
      <c r="G254" s="264">
        <v>0</v>
      </c>
      <c r="H254" s="692">
        <v>407521</v>
      </c>
      <c r="M254" s="393"/>
    </row>
    <row r="255" spans="1:13" ht="15.75">
      <c r="A255" s="303"/>
      <c r="B255" s="297" t="s">
        <v>375</v>
      </c>
      <c r="C255" s="296"/>
      <c r="F255" s="264">
        <f t="shared" si="7"/>
        <v>26747</v>
      </c>
      <c r="G255" s="264">
        <v>0</v>
      </c>
      <c r="H255" s="692">
        <v>26746543</v>
      </c>
      <c r="M255" s="396"/>
    </row>
    <row r="256" spans="1:13" ht="15.75">
      <c r="A256" s="303"/>
      <c r="B256" s="297"/>
      <c r="C256" s="296"/>
      <c r="F256" s="264">
        <f t="shared" si="7"/>
        <v>0</v>
      </c>
      <c r="G256" s="264">
        <v>0</v>
      </c>
      <c r="H256" s="692"/>
      <c r="M256" s="393"/>
    </row>
    <row r="257" spans="1:13" ht="15.75">
      <c r="A257" s="295"/>
      <c r="B257" s="297" t="s">
        <v>376</v>
      </c>
      <c r="C257" s="296"/>
      <c r="F257" s="264">
        <f t="shared" si="7"/>
        <v>31102</v>
      </c>
      <c r="G257" s="264">
        <v>0</v>
      </c>
      <c r="H257" s="692">
        <v>31102442</v>
      </c>
      <c r="M257" s="393"/>
    </row>
    <row r="258" spans="1:13" ht="15.75">
      <c r="A258" s="302"/>
      <c r="B258" s="300" t="s">
        <v>343</v>
      </c>
      <c r="C258" s="301"/>
      <c r="F258" s="264">
        <f t="shared" si="7"/>
        <v>30</v>
      </c>
      <c r="G258" s="264">
        <v>0</v>
      </c>
      <c r="H258" s="692">
        <v>30019</v>
      </c>
      <c r="M258" s="393"/>
    </row>
    <row r="259" spans="1:13" ht="15.75">
      <c r="A259" s="295"/>
      <c r="B259" s="297" t="s">
        <v>377</v>
      </c>
      <c r="C259" s="296"/>
      <c r="F259" s="264">
        <f t="shared" si="7"/>
        <v>47422</v>
      </c>
      <c r="G259" s="264">
        <v>0</v>
      </c>
      <c r="H259" s="692">
        <v>47422214</v>
      </c>
      <c r="M259" s="393"/>
    </row>
    <row r="260" spans="1:13" ht="15.75">
      <c r="A260" s="295"/>
      <c r="B260" s="297" t="s">
        <v>378</v>
      </c>
      <c r="C260" s="296"/>
      <c r="F260" s="264">
        <f t="shared" si="7"/>
        <v>78555</v>
      </c>
      <c r="G260" s="264">
        <v>0</v>
      </c>
      <c r="H260" s="692">
        <v>78554675</v>
      </c>
      <c r="M260" s="397"/>
    </row>
    <row r="261" spans="1:13" ht="15.75">
      <c r="A261" s="295"/>
      <c r="B261" s="297"/>
      <c r="C261" s="296"/>
      <c r="F261" s="264">
        <f t="shared" si="7"/>
        <v>0</v>
      </c>
      <c r="G261" s="264">
        <v>0</v>
      </c>
      <c r="H261" s="692"/>
      <c r="M261" s="393"/>
    </row>
    <row r="262" spans="1:13" ht="15.75">
      <c r="A262" s="295"/>
      <c r="B262" s="297" t="s">
        <v>379</v>
      </c>
      <c r="C262" s="296"/>
      <c r="F262" s="264">
        <f t="shared" si="7"/>
        <v>105301</v>
      </c>
      <c r="G262" s="264">
        <v>0</v>
      </c>
      <c r="H262" s="692">
        <v>105301218</v>
      </c>
      <c r="M262" s="393"/>
    </row>
    <row r="263" spans="1:13" ht="15.75">
      <c r="A263" s="295"/>
      <c r="B263" s="296"/>
      <c r="C263" s="296"/>
      <c r="F263" s="264">
        <f t="shared" si="7"/>
        <v>0</v>
      </c>
      <c r="G263" s="264">
        <v>0</v>
      </c>
      <c r="H263" s="692"/>
      <c r="M263" s="393"/>
    </row>
    <row r="264" spans="1:13" ht="15.75">
      <c r="A264" s="295"/>
      <c r="B264" s="297" t="s">
        <v>380</v>
      </c>
      <c r="C264" s="296"/>
      <c r="F264" s="264">
        <f t="shared" si="7"/>
        <v>0</v>
      </c>
      <c r="G264" s="264">
        <v>0</v>
      </c>
      <c r="H264" s="692"/>
      <c r="M264" s="393"/>
    </row>
    <row r="265" spans="1:13" ht="15.75">
      <c r="A265" s="298">
        <v>901000</v>
      </c>
      <c r="B265" s="297" t="s">
        <v>381</v>
      </c>
      <c r="C265" s="296"/>
      <c r="F265" s="264">
        <f t="shared" si="7"/>
        <v>118</v>
      </c>
      <c r="G265" s="264">
        <v>0</v>
      </c>
      <c r="H265" s="692">
        <v>118193</v>
      </c>
      <c r="M265" s="393"/>
    </row>
    <row r="266" spans="1:13" ht="15.75">
      <c r="A266" s="298">
        <v>902000</v>
      </c>
      <c r="B266" s="297" t="s">
        <v>382</v>
      </c>
      <c r="C266" s="296"/>
      <c r="F266" s="264">
        <f t="shared" si="7"/>
        <v>2558</v>
      </c>
      <c r="G266" s="264">
        <v>0</v>
      </c>
      <c r="H266" s="692">
        <v>2557608</v>
      </c>
      <c r="M266" s="393"/>
    </row>
    <row r="267" spans="1:13" ht="15.75">
      <c r="A267" s="298" t="s">
        <v>383</v>
      </c>
      <c r="B267" s="297" t="s">
        <v>384</v>
      </c>
      <c r="C267" s="296"/>
      <c r="F267" s="264">
        <f t="shared" si="7"/>
        <v>6962</v>
      </c>
      <c r="G267" s="264">
        <v>0</v>
      </c>
      <c r="H267" s="692">
        <v>6961785</v>
      </c>
      <c r="M267" s="393"/>
    </row>
    <row r="268" spans="1:13" ht="15.75">
      <c r="A268" s="298">
        <v>904000</v>
      </c>
      <c r="B268" s="297" t="s">
        <v>385</v>
      </c>
      <c r="C268" s="296"/>
      <c r="F268" s="264">
        <f t="shared" si="7"/>
        <v>137</v>
      </c>
      <c r="G268" s="264">
        <v>0</v>
      </c>
      <c r="H268" s="692">
        <v>136838</v>
      </c>
      <c r="M268" s="393"/>
    </row>
    <row r="269" spans="1:13" ht="15.75">
      <c r="A269" s="298">
        <v>905000</v>
      </c>
      <c r="B269" s="297" t="s">
        <v>386</v>
      </c>
      <c r="C269" s="296"/>
      <c r="F269" s="264">
        <f t="shared" si="7"/>
        <v>141</v>
      </c>
      <c r="G269" s="264">
        <v>0</v>
      </c>
      <c r="H269" s="692">
        <v>141196</v>
      </c>
      <c r="M269" s="393"/>
    </row>
    <row r="270" spans="1:13" ht="15.75">
      <c r="A270" s="295"/>
      <c r="B270" s="297" t="s">
        <v>387</v>
      </c>
      <c r="C270" s="296"/>
      <c r="F270" s="264">
        <f t="shared" si="7"/>
        <v>9916</v>
      </c>
      <c r="G270" s="264">
        <v>0</v>
      </c>
      <c r="H270" s="692">
        <v>9915620</v>
      </c>
      <c r="M270" s="393"/>
    </row>
    <row r="271" spans="1:13" ht="15.75">
      <c r="A271" s="295"/>
      <c r="B271" s="297"/>
      <c r="C271" s="296"/>
      <c r="F271" s="264">
        <f t="shared" si="7"/>
        <v>0</v>
      </c>
      <c r="G271" s="264">
        <v>0</v>
      </c>
      <c r="H271" s="692"/>
      <c r="M271" s="393"/>
    </row>
    <row r="272" spans="1:13" ht="15.75">
      <c r="A272" s="295"/>
      <c r="B272" s="297" t="s">
        <v>388</v>
      </c>
      <c r="C272" s="296"/>
      <c r="F272" s="264">
        <f t="shared" si="7"/>
        <v>0</v>
      </c>
      <c r="G272" s="264">
        <v>0</v>
      </c>
      <c r="H272" s="692"/>
      <c r="M272" s="393"/>
    </row>
    <row r="273" spans="1:13" ht="15.75">
      <c r="A273" s="295" t="s">
        <v>389</v>
      </c>
      <c r="B273" s="297" t="s">
        <v>390</v>
      </c>
      <c r="C273" s="296"/>
      <c r="F273" s="264">
        <f t="shared" si="7"/>
        <v>0</v>
      </c>
      <c r="G273" s="264">
        <v>0</v>
      </c>
      <c r="H273" s="692">
        <v>0</v>
      </c>
      <c r="M273" s="393"/>
    </row>
    <row r="274" spans="1:13" ht="15.75">
      <c r="A274" s="298">
        <v>909000</v>
      </c>
      <c r="B274" s="297" t="s">
        <v>391</v>
      </c>
      <c r="C274" s="296"/>
      <c r="F274" s="264">
        <f t="shared" si="7"/>
        <v>847</v>
      </c>
      <c r="G274" s="264">
        <v>0</v>
      </c>
      <c r="H274" s="692">
        <v>846610</v>
      </c>
      <c r="M274" s="393"/>
    </row>
    <row r="275" spans="1:13" ht="15.75">
      <c r="A275" s="298">
        <v>910000</v>
      </c>
      <c r="B275" s="297" t="s">
        <v>392</v>
      </c>
      <c r="C275" s="296"/>
      <c r="F275" s="264">
        <f t="shared" si="7"/>
        <v>180</v>
      </c>
      <c r="G275" s="264">
        <v>0</v>
      </c>
      <c r="H275" s="692">
        <v>179962</v>
      </c>
      <c r="M275" s="393"/>
    </row>
    <row r="276" spans="1:13" ht="15.75">
      <c r="A276" s="298"/>
      <c r="B276" s="297" t="s">
        <v>393</v>
      </c>
      <c r="C276" s="296"/>
      <c r="F276" s="264">
        <f t="shared" si="7"/>
        <v>28425</v>
      </c>
      <c r="G276" s="264">
        <v>0</v>
      </c>
      <c r="H276" s="692">
        <v>28424538</v>
      </c>
      <c r="M276" s="393"/>
    </row>
    <row r="277" spans="1:13" ht="15.75">
      <c r="A277" s="298"/>
      <c r="B277" s="297"/>
      <c r="C277" s="296"/>
      <c r="F277" s="264">
        <f t="shared" si="7"/>
        <v>0</v>
      </c>
      <c r="G277" s="264">
        <v>0</v>
      </c>
      <c r="H277" s="692"/>
      <c r="M277" s="393"/>
    </row>
    <row r="278" spans="1:13" ht="15.75">
      <c r="A278" s="298"/>
      <c r="B278" s="297" t="s">
        <v>394</v>
      </c>
      <c r="C278" s="296"/>
      <c r="F278" s="264">
        <f t="shared" si="7"/>
        <v>0</v>
      </c>
      <c r="G278" s="264">
        <v>0</v>
      </c>
      <c r="H278" s="692"/>
      <c r="M278" s="393"/>
    </row>
    <row r="279" spans="1:13" ht="15.75">
      <c r="A279" s="298">
        <v>912000</v>
      </c>
      <c r="B279" s="297" t="s">
        <v>395</v>
      </c>
      <c r="C279" s="296"/>
      <c r="F279" s="264">
        <f t="shared" si="7"/>
        <v>0</v>
      </c>
      <c r="G279" s="264">
        <v>0</v>
      </c>
      <c r="H279" s="692">
        <v>0</v>
      </c>
      <c r="M279" s="393"/>
    </row>
    <row r="280" spans="1:13" ht="15.75">
      <c r="A280" s="298">
        <v>913000</v>
      </c>
      <c r="B280" s="297" t="s">
        <v>391</v>
      </c>
      <c r="C280" s="296"/>
      <c r="F280" s="264">
        <f t="shared" si="7"/>
        <v>0</v>
      </c>
      <c r="G280" s="264">
        <v>0</v>
      </c>
      <c r="H280" s="692">
        <v>0</v>
      </c>
      <c r="M280" s="393"/>
    </row>
    <row r="281" spans="1:13" ht="15.75">
      <c r="A281" s="298">
        <v>916000</v>
      </c>
      <c r="B281" s="297" t="s">
        <v>396</v>
      </c>
      <c r="C281" s="296"/>
      <c r="F281" s="264">
        <f t="shared" si="7"/>
        <v>0</v>
      </c>
      <c r="G281" s="264">
        <v>0</v>
      </c>
      <c r="H281" s="692">
        <v>0</v>
      </c>
      <c r="M281" s="393"/>
    </row>
    <row r="282" spans="1:13" ht="15.75">
      <c r="A282" s="298"/>
      <c r="B282" s="297" t="s">
        <v>397</v>
      </c>
      <c r="C282" s="296"/>
      <c r="F282" s="264">
        <f t="shared" si="7"/>
        <v>0</v>
      </c>
      <c r="G282" s="264">
        <v>0</v>
      </c>
      <c r="H282" s="692">
        <v>0</v>
      </c>
      <c r="M282" s="393"/>
    </row>
    <row r="283" spans="1:13" ht="15.75">
      <c r="A283" s="298"/>
      <c r="B283" s="297"/>
      <c r="C283" s="296"/>
      <c r="F283" s="264">
        <f t="shared" si="7"/>
        <v>0</v>
      </c>
      <c r="G283" s="264">
        <v>0</v>
      </c>
      <c r="H283" s="692"/>
      <c r="M283" s="393"/>
    </row>
    <row r="284" spans="1:13" ht="15.75">
      <c r="A284" s="298"/>
      <c r="B284" s="297" t="s">
        <v>398</v>
      </c>
      <c r="C284" s="296"/>
      <c r="F284" s="264">
        <f t="shared" si="7"/>
        <v>0</v>
      </c>
      <c r="G284" s="264">
        <v>0</v>
      </c>
      <c r="H284" s="692"/>
      <c r="M284" s="393"/>
    </row>
    <row r="285" spans="1:13" ht="15.75">
      <c r="A285" s="298">
        <v>920000</v>
      </c>
      <c r="B285" s="297" t="s">
        <v>399</v>
      </c>
      <c r="C285" s="296"/>
      <c r="F285" s="264">
        <f t="shared" si="7"/>
        <v>23838</v>
      </c>
      <c r="G285" s="264">
        <v>0</v>
      </c>
      <c r="H285" s="692">
        <v>23838413</v>
      </c>
      <c r="M285" s="393"/>
    </row>
    <row r="286" spans="1:13" ht="15.75">
      <c r="A286" s="298">
        <v>921000</v>
      </c>
      <c r="B286" s="297" t="s">
        <v>400</v>
      </c>
      <c r="C286" s="296"/>
      <c r="F286" s="264">
        <f t="shared" si="7"/>
        <v>3389</v>
      </c>
      <c r="G286" s="264">
        <v>0</v>
      </c>
      <c r="H286" s="692">
        <v>3388581</v>
      </c>
      <c r="M286" s="393"/>
    </row>
    <row r="287" spans="1:13" ht="15.75">
      <c r="A287" s="298">
        <v>922000</v>
      </c>
      <c r="B287" s="297" t="s">
        <v>401</v>
      </c>
      <c r="C287" s="296"/>
      <c r="F287" s="264">
        <f t="shared" si="7"/>
        <v>-71</v>
      </c>
      <c r="G287" s="264">
        <v>0</v>
      </c>
      <c r="H287" s="692">
        <v>-70811</v>
      </c>
      <c r="M287" s="393"/>
    </row>
    <row r="288" spans="1:13" ht="15.75">
      <c r="A288" s="298">
        <v>923000</v>
      </c>
      <c r="B288" s="297" t="s">
        <v>402</v>
      </c>
      <c r="C288" s="296"/>
      <c r="F288" s="264">
        <f t="shared" si="7"/>
        <v>7107</v>
      </c>
      <c r="G288" s="264">
        <v>0</v>
      </c>
      <c r="H288" s="692">
        <v>7106610</v>
      </c>
      <c r="M288" s="393"/>
    </row>
    <row r="289" spans="1:18" ht="15.75">
      <c r="A289" s="298">
        <v>924000</v>
      </c>
      <c r="B289" s="297" t="s">
        <v>403</v>
      </c>
      <c r="C289" s="296"/>
      <c r="F289" s="264">
        <f t="shared" si="7"/>
        <v>1005</v>
      </c>
      <c r="G289" s="264">
        <v>0</v>
      </c>
      <c r="H289" s="692">
        <v>1004544</v>
      </c>
      <c r="M289" s="393"/>
    </row>
    <row r="290" spans="1:18" ht="15.75">
      <c r="A290" s="295" t="s">
        <v>404</v>
      </c>
      <c r="B290" s="297" t="s">
        <v>405</v>
      </c>
      <c r="C290" s="296"/>
      <c r="F290" s="264">
        <f t="shared" si="7"/>
        <v>2206</v>
      </c>
      <c r="G290" s="264">
        <v>0</v>
      </c>
      <c r="H290" s="692">
        <v>2206305</v>
      </c>
      <c r="M290" s="393"/>
    </row>
    <row r="291" spans="1:18" ht="15.75">
      <c r="A291" s="295" t="s">
        <v>406</v>
      </c>
      <c r="B291" s="297" t="s">
        <v>407</v>
      </c>
      <c r="C291" s="296"/>
      <c r="F291" s="264">
        <f t="shared" si="7"/>
        <v>1189</v>
      </c>
      <c r="G291" s="264">
        <v>0</v>
      </c>
      <c r="H291" s="692">
        <v>1188548</v>
      </c>
      <c r="M291" s="393"/>
    </row>
    <row r="292" spans="1:18" ht="15.75">
      <c r="A292" s="298">
        <v>927000</v>
      </c>
      <c r="B292" s="297" t="s">
        <v>408</v>
      </c>
      <c r="C292" s="296"/>
      <c r="F292" s="264">
        <f t="shared" si="7"/>
        <v>0</v>
      </c>
      <c r="G292" s="264">
        <v>0</v>
      </c>
      <c r="H292" s="692">
        <v>0</v>
      </c>
      <c r="M292" s="393"/>
      <c r="Q292" s="264">
        <v>10137303</v>
      </c>
    </row>
    <row r="293" spans="1:18" ht="15.75">
      <c r="A293" s="298">
        <v>928000</v>
      </c>
      <c r="B293" s="297" t="s">
        <v>409</v>
      </c>
      <c r="C293" s="296"/>
      <c r="F293" s="264">
        <f t="shared" si="7"/>
        <v>4566</v>
      </c>
      <c r="G293" s="264">
        <v>0</v>
      </c>
      <c r="H293" s="692">
        <v>4566182</v>
      </c>
      <c r="M293" s="393"/>
      <c r="Q293" s="264">
        <v>192090</v>
      </c>
    </row>
    <row r="294" spans="1:18" ht="15.75">
      <c r="A294" s="298">
        <v>930000</v>
      </c>
      <c r="B294" s="297" t="s">
        <v>410</v>
      </c>
      <c r="C294" s="296"/>
      <c r="F294" s="264">
        <f t="shared" si="7"/>
        <v>3567</v>
      </c>
      <c r="G294" s="264">
        <v>0</v>
      </c>
      <c r="H294" s="692">
        <v>3567363</v>
      </c>
      <c r="M294" s="393"/>
      <c r="Q294" s="264">
        <v>5865595</v>
      </c>
      <c r="R294" s="264" t="s">
        <v>652</v>
      </c>
    </row>
    <row r="295" spans="1:18" ht="15.75">
      <c r="A295" s="298">
        <v>931000</v>
      </c>
      <c r="B295" s="297" t="s">
        <v>411</v>
      </c>
      <c r="C295" s="296"/>
      <c r="F295" s="264">
        <f t="shared" si="7"/>
        <v>213</v>
      </c>
      <c r="G295" s="264">
        <v>0</v>
      </c>
      <c r="H295" s="692">
        <v>213159</v>
      </c>
      <c r="M295" s="393"/>
      <c r="Q295" s="264">
        <v>20485</v>
      </c>
    </row>
    <row r="296" spans="1:18" ht="15.75">
      <c r="A296" s="298">
        <v>935000</v>
      </c>
      <c r="B296" s="297" t="s">
        <v>412</v>
      </c>
      <c r="C296" s="296"/>
      <c r="F296" s="264">
        <f t="shared" si="7"/>
        <v>8871</v>
      </c>
      <c r="G296" s="264">
        <v>0</v>
      </c>
      <c r="H296" s="692">
        <v>8871294</v>
      </c>
      <c r="M296" s="393"/>
    </row>
    <row r="297" spans="1:18" ht="15.75">
      <c r="A297" s="295"/>
      <c r="B297" s="297" t="s">
        <v>413</v>
      </c>
      <c r="C297" s="296"/>
      <c r="F297" s="264">
        <f t="shared" si="7"/>
        <v>55880</v>
      </c>
      <c r="G297" s="264">
        <v>0</v>
      </c>
      <c r="H297" s="692">
        <v>55880188</v>
      </c>
      <c r="M297" s="393"/>
    </row>
    <row r="298" spans="1:18" ht="15.75">
      <c r="A298" s="295"/>
      <c r="B298" s="297"/>
      <c r="C298" s="296"/>
      <c r="F298" s="264">
        <f t="shared" si="7"/>
        <v>0</v>
      </c>
      <c r="G298" s="264">
        <v>0</v>
      </c>
      <c r="M298" s="393"/>
      <c r="Q298" s="264">
        <f>SUM(Q292:Q297)</f>
        <v>16215473</v>
      </c>
    </row>
    <row r="299" spans="1:18" ht="15.75">
      <c r="A299" s="295"/>
      <c r="B299" s="297" t="s">
        <v>414</v>
      </c>
      <c r="C299" s="296"/>
      <c r="F299" s="264">
        <f t="shared" si="7"/>
        <v>15583</v>
      </c>
      <c r="G299" s="264">
        <v>0</v>
      </c>
      <c r="H299" s="264">
        <v>15582519</v>
      </c>
      <c r="M299" s="393"/>
    </row>
    <row r="300" spans="1:18" ht="15.75">
      <c r="A300" s="295"/>
      <c r="B300" s="297" t="s">
        <v>415</v>
      </c>
      <c r="C300" s="296"/>
      <c r="F300" s="264">
        <f t="shared" si="7"/>
        <v>326</v>
      </c>
      <c r="G300" s="264">
        <v>0</v>
      </c>
      <c r="H300" s="264">
        <v>326011</v>
      </c>
      <c r="M300" s="393"/>
    </row>
    <row r="301" spans="1:18" ht="15.75">
      <c r="A301" s="295"/>
      <c r="B301" s="297" t="s">
        <v>416</v>
      </c>
      <c r="C301" s="296"/>
      <c r="F301" s="264">
        <f t="shared" ref="F301:F364" si="8">ROUND(H301/1000,0)</f>
        <v>19653</v>
      </c>
      <c r="G301" s="264">
        <v>0</v>
      </c>
      <c r="H301" s="264">
        <v>19653025</v>
      </c>
      <c r="M301" s="393"/>
    </row>
    <row r="302" spans="1:18" ht="15.75">
      <c r="A302" s="295"/>
      <c r="B302" s="297" t="s">
        <v>417</v>
      </c>
      <c r="C302" s="296"/>
      <c r="F302" s="264">
        <f t="shared" si="8"/>
        <v>33</v>
      </c>
      <c r="G302" s="264">
        <v>0</v>
      </c>
      <c r="H302" s="264">
        <v>32822</v>
      </c>
      <c r="M302" s="393"/>
    </row>
    <row r="303" spans="1:18" ht="15.75">
      <c r="A303" s="394">
        <v>407229</v>
      </c>
      <c r="B303" s="393" t="s">
        <v>635</v>
      </c>
      <c r="C303" s="296"/>
      <c r="F303" s="264">
        <f t="shared" si="8"/>
        <v>0</v>
      </c>
      <c r="G303" s="264">
        <v>0</v>
      </c>
      <c r="H303" s="264">
        <v>0</v>
      </c>
      <c r="M303" s="393"/>
    </row>
    <row r="304" spans="1:18" ht="15.75">
      <c r="A304" s="394">
        <v>407230</v>
      </c>
      <c r="B304" s="393" t="s">
        <v>700</v>
      </c>
      <c r="C304" s="296"/>
      <c r="F304" s="264">
        <f t="shared" si="8"/>
        <v>-3914</v>
      </c>
      <c r="G304" s="264">
        <v>0</v>
      </c>
      <c r="H304" s="264">
        <v>-3914140</v>
      </c>
      <c r="M304" s="393"/>
    </row>
    <row r="305" spans="1:13" ht="15.75">
      <c r="A305" s="394">
        <v>407311</v>
      </c>
      <c r="B305" s="393" t="s">
        <v>701</v>
      </c>
      <c r="C305" s="296"/>
      <c r="F305" s="264">
        <f t="shared" si="8"/>
        <v>774</v>
      </c>
      <c r="G305" s="264">
        <v>0</v>
      </c>
      <c r="H305" s="264">
        <v>774191</v>
      </c>
      <c r="M305" s="393"/>
    </row>
    <row r="306" spans="1:13" ht="15.75">
      <c r="A306" s="394">
        <v>407319</v>
      </c>
      <c r="B306" s="393" t="s">
        <v>702</v>
      </c>
      <c r="C306" s="296"/>
      <c r="F306" s="264">
        <f t="shared" si="8"/>
        <v>779</v>
      </c>
      <c r="G306" s="264">
        <v>0</v>
      </c>
      <c r="H306" s="264">
        <v>778866</v>
      </c>
      <c r="M306" s="393"/>
    </row>
    <row r="307" spans="1:13" ht="15.75">
      <c r="A307" s="394">
        <v>407332</v>
      </c>
      <c r="B307" s="393" t="s">
        <v>703</v>
      </c>
      <c r="C307" s="296"/>
      <c r="F307" s="264">
        <f t="shared" si="8"/>
        <v>753</v>
      </c>
      <c r="G307" s="264">
        <v>0</v>
      </c>
      <c r="H307" s="264">
        <v>752825</v>
      </c>
      <c r="M307" s="393"/>
    </row>
    <row r="308" spans="1:13" ht="15.75">
      <c r="A308" s="394">
        <v>407414</v>
      </c>
      <c r="B308" s="393" t="s">
        <v>704</v>
      </c>
      <c r="C308" s="296"/>
      <c r="F308" s="264">
        <f t="shared" si="8"/>
        <v>-712</v>
      </c>
      <c r="G308" s="264">
        <v>0</v>
      </c>
      <c r="H308" s="264">
        <v>-711613</v>
      </c>
      <c r="M308" s="393"/>
    </row>
    <row r="309" spans="1:13" ht="15.75">
      <c r="A309" s="394">
        <v>407436</v>
      </c>
      <c r="B309" s="393" t="s">
        <v>724</v>
      </c>
      <c r="C309" s="296"/>
      <c r="F309" s="264">
        <f t="shared" si="8"/>
        <v>-6698</v>
      </c>
      <c r="G309" s="264">
        <v>0</v>
      </c>
      <c r="H309" s="264">
        <v>-6697703</v>
      </c>
      <c r="M309" s="393"/>
    </row>
    <row r="310" spans="1:13" ht="15.75">
      <c r="A310" s="394">
        <v>407468</v>
      </c>
      <c r="B310" s="393" t="s">
        <v>642</v>
      </c>
      <c r="C310" s="296"/>
      <c r="F310" s="264">
        <f t="shared" si="8"/>
        <v>0</v>
      </c>
      <c r="G310" s="264">
        <v>0</v>
      </c>
      <c r="H310" s="264">
        <v>0</v>
      </c>
      <c r="M310" s="393"/>
    </row>
    <row r="311" spans="1:13" ht="15.75">
      <c r="A311" s="295"/>
      <c r="B311" s="297" t="s">
        <v>418</v>
      </c>
      <c r="C311" s="296"/>
      <c r="F311" s="264">
        <f t="shared" si="8"/>
        <v>26577</v>
      </c>
      <c r="G311" s="264">
        <v>0</v>
      </c>
      <c r="H311" s="264">
        <v>26576803</v>
      </c>
      <c r="M311" s="393"/>
    </row>
    <row r="312" spans="1:13" ht="15.75">
      <c r="A312" s="295"/>
      <c r="B312" s="297"/>
      <c r="C312" s="296"/>
      <c r="F312" s="264">
        <f t="shared" si="8"/>
        <v>0</v>
      </c>
      <c r="G312" s="264">
        <v>0</v>
      </c>
      <c r="M312" s="393"/>
    </row>
    <row r="313" spans="1:13" ht="15.75">
      <c r="A313" s="298"/>
      <c r="B313" s="297" t="s">
        <v>419</v>
      </c>
      <c r="C313" s="296"/>
      <c r="F313" s="264">
        <f t="shared" si="8"/>
        <v>82457</v>
      </c>
      <c r="G313" s="264">
        <v>0</v>
      </c>
      <c r="H313" s="264">
        <v>82456991</v>
      </c>
      <c r="M313" s="393"/>
    </row>
    <row r="314" spans="1:13" ht="15.75">
      <c r="A314" s="298"/>
      <c r="B314" s="297"/>
      <c r="C314" s="296"/>
      <c r="F314" s="264">
        <f t="shared" si="8"/>
        <v>0</v>
      </c>
      <c r="G314" s="264">
        <v>0</v>
      </c>
      <c r="M314" s="393"/>
    </row>
    <row r="315" spans="1:13" ht="15.75">
      <c r="A315" s="298"/>
      <c r="B315" s="297" t="s">
        <v>420</v>
      </c>
      <c r="C315" s="296"/>
      <c r="F315" s="264">
        <f t="shared" si="8"/>
        <v>533961</v>
      </c>
      <c r="G315" s="264">
        <v>0</v>
      </c>
      <c r="H315" s="264">
        <v>533960500</v>
      </c>
      <c r="M315" s="393"/>
    </row>
    <row r="316" spans="1:13" ht="15.75">
      <c r="A316" s="298"/>
      <c r="B316" s="297"/>
      <c r="C316" s="296"/>
      <c r="F316" s="264">
        <f t="shared" si="8"/>
        <v>0</v>
      </c>
      <c r="G316" s="264">
        <v>0</v>
      </c>
      <c r="M316" s="393"/>
    </row>
    <row r="317" spans="1:13" ht="15.75">
      <c r="A317" s="298"/>
      <c r="B317" s="297" t="s">
        <v>421</v>
      </c>
      <c r="C317" s="296"/>
      <c r="F317" s="264">
        <f t="shared" si="8"/>
        <v>127497</v>
      </c>
      <c r="G317" s="264">
        <v>0</v>
      </c>
      <c r="H317" s="264">
        <v>127497480</v>
      </c>
      <c r="M317" s="393"/>
    </row>
    <row r="318" spans="1:13" ht="15.75">
      <c r="A318" s="298"/>
      <c r="B318" s="297"/>
      <c r="C318" s="296"/>
      <c r="F318" s="264">
        <f t="shared" si="8"/>
        <v>0</v>
      </c>
      <c r="G318" s="264">
        <v>0</v>
      </c>
      <c r="M318" s="393"/>
    </row>
    <row r="319" spans="1:13" ht="15.75">
      <c r="A319" s="298"/>
      <c r="B319" s="297" t="s">
        <v>422</v>
      </c>
      <c r="C319" s="296"/>
      <c r="F319" s="264">
        <f t="shared" si="8"/>
        <v>4963</v>
      </c>
      <c r="G319" s="264">
        <v>0</v>
      </c>
      <c r="H319" s="264">
        <v>4962740</v>
      </c>
      <c r="M319" s="393"/>
    </row>
    <row r="320" spans="1:13" ht="12.75">
      <c r="A320" s="298"/>
      <c r="B320" s="297" t="s">
        <v>423</v>
      </c>
      <c r="C320" s="296"/>
      <c r="F320" s="264">
        <f t="shared" si="8"/>
        <v>7830</v>
      </c>
      <c r="G320" s="264">
        <v>0</v>
      </c>
      <c r="H320" s="264">
        <v>7830166</v>
      </c>
    </row>
    <row r="321" spans="1:13" ht="15.75">
      <c r="A321" s="298"/>
      <c r="B321" s="297" t="s">
        <v>424</v>
      </c>
      <c r="C321" s="301"/>
      <c r="F321" s="264">
        <f t="shared" si="8"/>
        <v>-318</v>
      </c>
      <c r="G321" s="264">
        <v>0</v>
      </c>
      <c r="H321" s="264">
        <v>-318215</v>
      </c>
      <c r="M321" s="393"/>
    </row>
    <row r="322" spans="1:13" ht="15.75">
      <c r="A322" s="295"/>
      <c r="B322" s="297" t="s">
        <v>425</v>
      </c>
      <c r="C322" s="296"/>
      <c r="F322" s="264">
        <f t="shared" si="8"/>
        <v>115023</v>
      </c>
      <c r="G322" s="264">
        <v>0</v>
      </c>
      <c r="H322" s="264">
        <v>115022789</v>
      </c>
      <c r="M322" s="393"/>
    </row>
    <row r="323" spans="1:13" ht="15.75">
      <c r="F323" s="264">
        <f t="shared" si="8"/>
        <v>0</v>
      </c>
      <c r="G323" s="264">
        <v>0</v>
      </c>
      <c r="M323" s="396"/>
    </row>
    <row r="324" spans="1:13" ht="15.75">
      <c r="A324" s="304"/>
      <c r="B324" s="297" t="s">
        <v>67</v>
      </c>
      <c r="F324" s="264">
        <f t="shared" si="8"/>
        <v>0</v>
      </c>
      <c r="G324" s="264">
        <v>0</v>
      </c>
      <c r="M324" s="396"/>
    </row>
    <row r="325" spans="1:13" ht="15.75">
      <c r="A325" s="304"/>
      <c r="B325" s="297" t="s">
        <v>426</v>
      </c>
      <c r="F325" s="264">
        <f t="shared" si="8"/>
        <v>0</v>
      </c>
      <c r="G325" s="264">
        <v>0</v>
      </c>
      <c r="M325" s="396"/>
    </row>
    <row r="326" spans="1:13" ht="15.75">
      <c r="A326" s="305">
        <v>182324</v>
      </c>
      <c r="B326" s="300" t="s">
        <v>608</v>
      </c>
      <c r="F326" s="264">
        <f t="shared" si="8"/>
        <v>5284</v>
      </c>
      <c r="G326" s="264">
        <v>0</v>
      </c>
      <c r="H326" s="264">
        <v>5284020</v>
      </c>
      <c r="M326" s="396"/>
    </row>
    <row r="327" spans="1:13" ht="15.75">
      <c r="A327" s="305">
        <v>182325</v>
      </c>
      <c r="B327" s="300" t="s">
        <v>609</v>
      </c>
      <c r="F327" s="264">
        <f t="shared" si="8"/>
        <v>1313</v>
      </c>
      <c r="G327" s="264">
        <v>0</v>
      </c>
      <c r="H327" s="264">
        <v>1312800</v>
      </c>
      <c r="M327" s="393"/>
    </row>
    <row r="328" spans="1:13" ht="15.75">
      <c r="A328" s="305">
        <v>182333</v>
      </c>
      <c r="B328" s="300" t="s">
        <v>610</v>
      </c>
      <c r="F328" s="264">
        <f t="shared" si="8"/>
        <v>742</v>
      </c>
      <c r="G328" s="264">
        <v>0</v>
      </c>
      <c r="H328" s="264">
        <v>741853</v>
      </c>
      <c r="M328" s="396"/>
    </row>
    <row r="329" spans="1:13" ht="15.75">
      <c r="A329" s="305">
        <v>182381</v>
      </c>
      <c r="B329" s="300" t="s">
        <v>611</v>
      </c>
      <c r="F329" s="264">
        <f t="shared" si="8"/>
        <v>20045</v>
      </c>
      <c r="G329" s="264">
        <v>0</v>
      </c>
      <c r="H329" s="264">
        <v>20045006</v>
      </c>
      <c r="M329" s="393"/>
    </row>
    <row r="330" spans="1:13" ht="15.75">
      <c r="A330" s="306">
        <v>302000</v>
      </c>
      <c r="B330" s="297" t="s">
        <v>427</v>
      </c>
      <c r="F330" s="264">
        <f t="shared" si="8"/>
        <v>29505</v>
      </c>
      <c r="G330" s="264">
        <v>0</v>
      </c>
      <c r="H330" s="264">
        <v>29505025</v>
      </c>
      <c r="M330" s="393"/>
    </row>
    <row r="331" spans="1:13" ht="15.75">
      <c r="A331" s="306">
        <v>303000</v>
      </c>
      <c r="B331" s="300" t="s">
        <v>428</v>
      </c>
      <c r="F331" s="264">
        <f t="shared" si="8"/>
        <v>12285</v>
      </c>
      <c r="G331" s="264">
        <v>0</v>
      </c>
      <c r="H331" s="264">
        <v>12284944</v>
      </c>
      <c r="M331" s="393"/>
    </row>
    <row r="332" spans="1:13" ht="15.75">
      <c r="A332" s="306">
        <v>303100</v>
      </c>
      <c r="B332" s="297" t="s">
        <v>429</v>
      </c>
      <c r="F332" s="264">
        <f t="shared" si="8"/>
        <v>62178</v>
      </c>
      <c r="G332" s="264">
        <v>0</v>
      </c>
      <c r="H332" s="264">
        <v>62177877</v>
      </c>
      <c r="M332" s="393"/>
    </row>
    <row r="333" spans="1:13" ht="15.75">
      <c r="A333" s="306">
        <v>303110</v>
      </c>
      <c r="B333" s="297" t="s">
        <v>430</v>
      </c>
      <c r="F333" s="264">
        <f t="shared" si="8"/>
        <v>221</v>
      </c>
      <c r="G333" s="264">
        <v>0</v>
      </c>
      <c r="H333" s="264">
        <v>220888</v>
      </c>
      <c r="M333" s="393"/>
    </row>
    <row r="334" spans="1:13" ht="15.75">
      <c r="A334" s="398">
        <v>303115</v>
      </c>
      <c r="B334" s="393" t="s">
        <v>643</v>
      </c>
      <c r="F334" s="264">
        <f t="shared" si="8"/>
        <v>49238</v>
      </c>
      <c r="G334" s="264">
        <v>0</v>
      </c>
      <c r="H334" s="264">
        <v>49238107</v>
      </c>
      <c r="M334" s="393"/>
    </row>
    <row r="335" spans="1:13" ht="15.75">
      <c r="A335" s="398">
        <v>303120</v>
      </c>
      <c r="B335" s="393" t="s">
        <v>705</v>
      </c>
      <c r="F335" s="264">
        <f t="shared" si="8"/>
        <v>14785</v>
      </c>
      <c r="G335" s="264">
        <v>0</v>
      </c>
      <c r="H335" s="264">
        <v>14784796</v>
      </c>
      <c r="M335" s="393"/>
    </row>
    <row r="336" spans="1:13" ht="15.75">
      <c r="A336" s="398">
        <v>303121</v>
      </c>
      <c r="B336" s="393" t="s">
        <v>706</v>
      </c>
      <c r="F336" s="264">
        <f t="shared" si="8"/>
        <v>15440</v>
      </c>
      <c r="G336" s="264">
        <v>0</v>
      </c>
      <c r="H336" s="264">
        <v>15439973</v>
      </c>
      <c r="M336" s="393"/>
    </row>
    <row r="337" spans="1:13" ht="15.75">
      <c r="A337" s="307"/>
      <c r="B337" s="297" t="s">
        <v>431</v>
      </c>
      <c r="F337" s="264">
        <f t="shared" si="8"/>
        <v>211035</v>
      </c>
      <c r="G337" s="264">
        <v>0</v>
      </c>
      <c r="H337" s="264">
        <v>211035289</v>
      </c>
      <c r="M337" s="393"/>
    </row>
    <row r="338" spans="1:13" ht="15.75">
      <c r="A338" s="304"/>
      <c r="B338" s="297"/>
      <c r="F338" s="264">
        <f t="shared" si="8"/>
        <v>0</v>
      </c>
      <c r="G338" s="264">
        <v>0</v>
      </c>
      <c r="M338" s="393"/>
    </row>
    <row r="339" spans="1:13" ht="15.75">
      <c r="A339" s="304"/>
      <c r="B339" s="297" t="s">
        <v>432</v>
      </c>
      <c r="F339" s="264">
        <f t="shared" si="8"/>
        <v>0</v>
      </c>
      <c r="G339" s="264">
        <v>0</v>
      </c>
      <c r="M339" s="393"/>
    </row>
    <row r="340" spans="1:13" ht="15.75">
      <c r="A340" s="306" t="s">
        <v>433</v>
      </c>
      <c r="B340" s="297" t="s">
        <v>434</v>
      </c>
      <c r="F340" s="264">
        <f t="shared" si="8"/>
        <v>2349</v>
      </c>
      <c r="G340" s="264">
        <v>0</v>
      </c>
      <c r="H340" s="264">
        <v>2348909</v>
      </c>
      <c r="M340" s="393"/>
    </row>
    <row r="341" spans="1:13" ht="15.75">
      <c r="A341" s="306" t="s">
        <v>435</v>
      </c>
      <c r="B341" s="297" t="s">
        <v>436</v>
      </c>
      <c r="F341" s="264">
        <f t="shared" si="8"/>
        <v>91434</v>
      </c>
      <c r="G341" s="264">
        <v>0</v>
      </c>
      <c r="H341" s="264">
        <v>91434009</v>
      </c>
      <c r="M341" s="393"/>
    </row>
    <row r="342" spans="1:13" ht="15.75">
      <c r="A342" s="306">
        <v>312000</v>
      </c>
      <c r="B342" s="297" t="s">
        <v>305</v>
      </c>
      <c r="F342" s="264">
        <f t="shared" si="8"/>
        <v>125127</v>
      </c>
      <c r="G342" s="264">
        <v>0</v>
      </c>
      <c r="H342" s="264">
        <v>125127119</v>
      </c>
      <c r="M342" s="393"/>
    </row>
    <row r="343" spans="1:13" ht="15.75">
      <c r="A343" s="306">
        <v>313000</v>
      </c>
      <c r="B343" s="297" t="s">
        <v>437</v>
      </c>
      <c r="F343" s="264">
        <f t="shared" si="8"/>
        <v>5</v>
      </c>
      <c r="G343" s="264">
        <v>0</v>
      </c>
      <c r="H343" s="264">
        <v>4755</v>
      </c>
      <c r="M343" s="393"/>
    </row>
    <row r="344" spans="1:13" ht="15.75">
      <c r="A344" s="306">
        <v>314000</v>
      </c>
      <c r="B344" s="297" t="s">
        <v>438</v>
      </c>
      <c r="F344" s="264">
        <f t="shared" si="8"/>
        <v>37265</v>
      </c>
      <c r="G344" s="264">
        <v>0</v>
      </c>
      <c r="H344" s="264">
        <v>37264693</v>
      </c>
      <c r="M344" s="393"/>
    </row>
    <row r="345" spans="1:13" ht="15.75">
      <c r="A345" s="306">
        <v>315000</v>
      </c>
      <c r="B345" s="297" t="s">
        <v>439</v>
      </c>
      <c r="F345" s="264">
        <f t="shared" si="8"/>
        <v>19291</v>
      </c>
      <c r="G345" s="264">
        <v>0</v>
      </c>
      <c r="H345" s="264">
        <v>19290852</v>
      </c>
      <c r="M345" s="393"/>
    </row>
    <row r="346" spans="1:13" ht="15.75">
      <c r="A346" s="306">
        <v>316000</v>
      </c>
      <c r="B346" s="297" t="s">
        <v>440</v>
      </c>
      <c r="F346" s="264">
        <f t="shared" si="8"/>
        <v>11075</v>
      </c>
      <c r="G346" s="264">
        <v>0</v>
      </c>
      <c r="H346" s="264">
        <v>11074999</v>
      </c>
      <c r="M346" s="393"/>
    </row>
    <row r="347" spans="1:13" ht="15.75">
      <c r="A347" s="308"/>
      <c r="B347" s="297" t="s">
        <v>441</v>
      </c>
      <c r="F347" s="264">
        <f t="shared" si="8"/>
        <v>286545</v>
      </c>
      <c r="G347" s="264">
        <v>0</v>
      </c>
      <c r="H347" s="264">
        <v>286545336</v>
      </c>
      <c r="M347" s="393"/>
    </row>
    <row r="348" spans="1:13" ht="15.75">
      <c r="A348" s="309"/>
      <c r="B348" s="297"/>
      <c r="F348" s="264">
        <f t="shared" si="8"/>
        <v>0</v>
      </c>
      <c r="G348" s="264">
        <v>0</v>
      </c>
      <c r="M348" s="393"/>
    </row>
    <row r="349" spans="1:13" ht="15.75">
      <c r="A349" s="304"/>
      <c r="B349" s="297" t="s">
        <v>442</v>
      </c>
      <c r="F349" s="264">
        <f t="shared" si="8"/>
        <v>0</v>
      </c>
      <c r="G349" s="264">
        <v>0</v>
      </c>
      <c r="M349" s="393"/>
    </row>
    <row r="350" spans="1:13" ht="15.75">
      <c r="A350" s="306" t="s">
        <v>443</v>
      </c>
      <c r="B350" s="297" t="s">
        <v>434</v>
      </c>
      <c r="F350" s="264">
        <f t="shared" si="8"/>
        <v>41968</v>
      </c>
      <c r="G350" s="264">
        <v>0</v>
      </c>
      <c r="H350" s="264">
        <v>41968046</v>
      </c>
      <c r="M350" s="393"/>
    </row>
    <row r="351" spans="1:13" ht="15.75">
      <c r="A351" s="306" t="s">
        <v>444</v>
      </c>
      <c r="B351" s="297" t="s">
        <v>436</v>
      </c>
      <c r="F351" s="264">
        <f t="shared" si="8"/>
        <v>60117</v>
      </c>
      <c r="G351" s="264">
        <v>0</v>
      </c>
      <c r="H351" s="264">
        <v>60116564</v>
      </c>
      <c r="M351" s="393"/>
    </row>
    <row r="352" spans="1:13" ht="15.75">
      <c r="A352" s="306" t="s">
        <v>445</v>
      </c>
      <c r="B352" s="297" t="s">
        <v>314</v>
      </c>
      <c r="F352" s="264">
        <f t="shared" si="8"/>
        <v>127556</v>
      </c>
      <c r="G352" s="264">
        <v>0</v>
      </c>
      <c r="H352" s="264">
        <v>127555852</v>
      </c>
      <c r="M352" s="393"/>
    </row>
    <row r="353" spans="1:16384" ht="15.75">
      <c r="A353" s="306">
        <v>333000</v>
      </c>
      <c r="B353" s="297" t="s">
        <v>446</v>
      </c>
      <c r="F353" s="264">
        <f t="shared" si="8"/>
        <v>154417</v>
      </c>
      <c r="G353" s="264">
        <v>0</v>
      </c>
      <c r="H353" s="264">
        <v>154416812</v>
      </c>
      <c r="M353" s="393"/>
    </row>
    <row r="354" spans="1:16384" ht="15.75">
      <c r="A354" s="306">
        <v>334000</v>
      </c>
      <c r="B354" s="297" t="s">
        <v>439</v>
      </c>
      <c r="F354" s="264">
        <f t="shared" si="8"/>
        <v>45658</v>
      </c>
      <c r="G354" s="264">
        <v>0</v>
      </c>
      <c r="H354" s="264">
        <v>45658296</v>
      </c>
      <c r="M354" s="393"/>
    </row>
    <row r="355" spans="1:16384" ht="15.75">
      <c r="A355" s="306" t="s">
        <v>447</v>
      </c>
      <c r="B355" s="297" t="s">
        <v>440</v>
      </c>
      <c r="F355" s="264">
        <f t="shared" si="8"/>
        <v>9508</v>
      </c>
      <c r="G355" s="264">
        <v>0</v>
      </c>
      <c r="H355" s="264">
        <v>9508078</v>
      </c>
      <c r="M355" s="393"/>
    </row>
    <row r="356" spans="1:16384" ht="15.75">
      <c r="A356" s="306">
        <v>336000</v>
      </c>
      <c r="B356" s="297" t="s">
        <v>448</v>
      </c>
      <c r="F356" s="264">
        <f t="shared" si="8"/>
        <v>2832</v>
      </c>
      <c r="G356" s="264">
        <v>0</v>
      </c>
      <c r="H356" s="264">
        <v>2832212</v>
      </c>
      <c r="M356" s="393"/>
    </row>
    <row r="357" spans="1:16384" ht="15.75">
      <c r="A357" s="308"/>
      <c r="B357" s="297" t="s">
        <v>449</v>
      </c>
      <c r="F357" s="264">
        <f t="shared" si="8"/>
        <v>442056</v>
      </c>
      <c r="G357" s="264">
        <v>0</v>
      </c>
      <c r="H357" s="264">
        <v>442055860</v>
      </c>
      <c r="M357" s="393"/>
    </row>
    <row r="358" spans="1:16384" ht="15.75">
      <c r="A358" s="309"/>
      <c r="B358" s="297"/>
      <c r="F358" s="264">
        <f t="shared" si="8"/>
        <v>0</v>
      </c>
      <c r="G358" s="264">
        <v>0</v>
      </c>
      <c r="M358" s="393"/>
    </row>
    <row r="359" spans="1:16384" ht="15.75">
      <c r="A359" s="304"/>
      <c r="B359" s="297" t="s">
        <v>450</v>
      </c>
      <c r="F359" s="264">
        <f t="shared" si="8"/>
        <v>0</v>
      </c>
      <c r="G359" s="264">
        <v>0</v>
      </c>
      <c r="M359" s="393"/>
    </row>
    <row r="360" spans="1:16384" ht="15.75">
      <c r="A360" s="306">
        <v>340200</v>
      </c>
      <c r="B360" s="297" t="s">
        <v>434</v>
      </c>
      <c r="F360" s="264">
        <f t="shared" si="8"/>
        <v>594</v>
      </c>
      <c r="G360" s="264">
        <v>0</v>
      </c>
      <c r="H360" s="264">
        <v>594152</v>
      </c>
      <c r="M360" s="393"/>
    </row>
    <row r="361" spans="1:16384" ht="15.75">
      <c r="A361" s="306">
        <v>341000</v>
      </c>
      <c r="B361" s="297" t="s">
        <v>436</v>
      </c>
      <c r="F361" s="264">
        <f t="shared" si="8"/>
        <v>11249</v>
      </c>
      <c r="G361" s="264">
        <v>0</v>
      </c>
      <c r="H361" s="264">
        <v>11248979</v>
      </c>
      <c r="M361" s="393"/>
    </row>
    <row r="362" spans="1:16384" ht="15.75">
      <c r="A362" s="306">
        <v>342000</v>
      </c>
      <c r="B362" s="297" t="s">
        <v>451</v>
      </c>
      <c r="F362" s="264">
        <f t="shared" si="8"/>
        <v>14040</v>
      </c>
      <c r="G362" s="264">
        <v>0</v>
      </c>
      <c r="H362" s="264">
        <v>14039580</v>
      </c>
      <c r="M362" s="393"/>
    </row>
    <row r="363" spans="1:16384" ht="15.75">
      <c r="A363" s="306">
        <v>343000</v>
      </c>
      <c r="B363" s="297" t="s">
        <v>452</v>
      </c>
      <c r="F363" s="264">
        <f t="shared" si="8"/>
        <v>15431</v>
      </c>
      <c r="G363" s="264">
        <v>0</v>
      </c>
      <c r="H363" s="264">
        <v>15430672</v>
      </c>
      <c r="M363" s="393"/>
      <c r="Q363" s="398"/>
      <c r="R363" s="393"/>
      <c r="S363" s="398"/>
      <c r="T363" s="393"/>
      <c r="U363" s="398"/>
      <c r="V363" s="393"/>
      <c r="W363" s="398"/>
      <c r="X363" s="393"/>
      <c r="Y363" s="398"/>
      <c r="Z363" s="393"/>
      <c r="AA363" s="398"/>
      <c r="AB363" s="393"/>
      <c r="AC363" s="398"/>
      <c r="AD363" s="393"/>
      <c r="AE363" s="398"/>
      <c r="AF363" s="393"/>
      <c r="AG363" s="398"/>
      <c r="AH363" s="393"/>
      <c r="AI363" s="398"/>
      <c r="AJ363" s="393"/>
      <c r="AK363" s="398"/>
      <c r="AL363" s="393"/>
      <c r="AM363" s="398"/>
      <c r="AN363" s="393"/>
      <c r="AO363" s="398"/>
      <c r="AP363" s="393"/>
      <c r="AQ363" s="398"/>
      <c r="AR363" s="393"/>
      <c r="AS363" s="398"/>
      <c r="AT363" s="393"/>
      <c r="AU363" s="398"/>
      <c r="AV363" s="393"/>
      <c r="AW363" s="398"/>
      <c r="AX363" s="393"/>
      <c r="AY363" s="398"/>
      <c r="AZ363" s="393"/>
      <c r="BA363" s="398"/>
      <c r="BB363" s="393"/>
      <c r="BC363" s="398"/>
      <c r="BD363" s="393"/>
      <c r="BE363" s="398"/>
      <c r="BF363" s="393"/>
      <c r="BG363" s="398"/>
      <c r="BH363" s="393"/>
      <c r="BI363" s="398"/>
      <c r="BJ363" s="393"/>
      <c r="BK363" s="398"/>
      <c r="BL363" s="393"/>
      <c r="BM363" s="398"/>
      <c r="BN363" s="393"/>
      <c r="BO363" s="398"/>
      <c r="BP363" s="393"/>
      <c r="BQ363" s="398"/>
      <c r="BR363" s="393"/>
      <c r="BS363" s="398"/>
      <c r="BT363" s="393"/>
      <c r="BU363" s="398"/>
      <c r="BV363" s="393"/>
      <c r="BW363" s="398"/>
      <c r="BX363" s="393"/>
      <c r="BY363" s="398"/>
      <c r="BZ363" s="393"/>
      <c r="CA363" s="398"/>
      <c r="CB363" s="393"/>
      <c r="CC363" s="398"/>
      <c r="CD363" s="393"/>
      <c r="CE363" s="398"/>
      <c r="CF363" s="393"/>
      <c r="CG363" s="398"/>
      <c r="CH363" s="393"/>
      <c r="CI363" s="398"/>
      <c r="CJ363" s="393"/>
      <c r="CK363" s="398"/>
      <c r="CL363" s="393"/>
      <c r="CM363" s="398"/>
      <c r="CN363" s="393"/>
      <c r="CO363" s="398"/>
      <c r="CP363" s="393"/>
      <c r="CQ363" s="398"/>
      <c r="CR363" s="393"/>
      <c r="CS363" s="398"/>
      <c r="CT363" s="393"/>
      <c r="CU363" s="398"/>
      <c r="CV363" s="393"/>
      <c r="CW363" s="398"/>
      <c r="CX363" s="393"/>
      <c r="CY363" s="398"/>
      <c r="CZ363" s="393"/>
      <c r="DA363" s="398"/>
      <c r="DB363" s="393"/>
      <c r="DC363" s="398"/>
      <c r="DD363" s="393"/>
      <c r="DE363" s="398"/>
      <c r="DF363" s="393"/>
      <c r="DG363" s="398"/>
      <c r="DH363" s="393"/>
      <c r="DI363" s="398"/>
      <c r="DJ363" s="393"/>
      <c r="DK363" s="398"/>
      <c r="DL363" s="393"/>
      <c r="DM363" s="398"/>
      <c r="DN363" s="393"/>
      <c r="DO363" s="398"/>
      <c r="DP363" s="393"/>
      <c r="DQ363" s="398"/>
      <c r="DR363" s="393"/>
      <c r="DS363" s="398"/>
      <c r="DT363" s="393"/>
      <c r="DU363" s="398"/>
      <c r="DV363" s="393"/>
      <c r="DW363" s="398"/>
      <c r="DX363" s="393"/>
      <c r="DY363" s="398"/>
      <c r="DZ363" s="393"/>
      <c r="EA363" s="398"/>
      <c r="EB363" s="393"/>
      <c r="EC363" s="398"/>
      <c r="ED363" s="393"/>
      <c r="EE363" s="398"/>
      <c r="EF363" s="393"/>
      <c r="EG363" s="398"/>
      <c r="EH363" s="393"/>
      <c r="EI363" s="398"/>
      <c r="EJ363" s="393"/>
      <c r="EK363" s="398"/>
      <c r="EL363" s="393"/>
      <c r="EM363" s="398"/>
      <c r="EN363" s="393"/>
      <c r="EO363" s="398"/>
      <c r="EP363" s="393"/>
      <c r="EQ363" s="398"/>
      <c r="ER363" s="393"/>
      <c r="ES363" s="398"/>
      <c r="ET363" s="393"/>
      <c r="EU363" s="398"/>
      <c r="EV363" s="393"/>
      <c r="EW363" s="398"/>
      <c r="EX363" s="393"/>
      <c r="EY363" s="398"/>
      <c r="EZ363" s="393"/>
      <c r="FA363" s="398"/>
      <c r="FB363" s="393"/>
      <c r="FC363" s="398"/>
      <c r="FD363" s="393"/>
      <c r="FE363" s="398"/>
      <c r="FF363" s="393"/>
      <c r="FG363" s="398"/>
      <c r="FH363" s="393"/>
      <c r="FI363" s="398"/>
      <c r="FJ363" s="393"/>
      <c r="FK363" s="398"/>
      <c r="FL363" s="393"/>
      <c r="FM363" s="398"/>
      <c r="FN363" s="393"/>
      <c r="FO363" s="398"/>
      <c r="FP363" s="393"/>
      <c r="FQ363" s="398"/>
      <c r="FR363" s="393"/>
      <c r="FS363" s="398"/>
      <c r="FT363" s="393"/>
      <c r="FU363" s="398"/>
      <c r="FV363" s="393"/>
      <c r="FW363" s="398"/>
      <c r="FX363" s="393"/>
      <c r="FY363" s="398"/>
      <c r="FZ363" s="393"/>
      <c r="GA363" s="398"/>
      <c r="GB363" s="393"/>
      <c r="GC363" s="398"/>
      <c r="GD363" s="393"/>
      <c r="GE363" s="398"/>
      <c r="GF363" s="393"/>
      <c r="GG363" s="398"/>
      <c r="GH363" s="393"/>
      <c r="GI363" s="398"/>
      <c r="GJ363" s="393"/>
      <c r="GK363" s="398"/>
      <c r="GL363" s="393"/>
      <c r="GM363" s="398"/>
      <c r="GN363" s="393"/>
      <c r="GO363" s="398"/>
      <c r="GP363" s="393"/>
      <c r="GQ363" s="398"/>
      <c r="GR363" s="393"/>
      <c r="GS363" s="398"/>
      <c r="GT363" s="393"/>
      <c r="GU363" s="398"/>
      <c r="GV363" s="393"/>
      <c r="GW363" s="398"/>
      <c r="GX363" s="393"/>
      <c r="GY363" s="398"/>
      <c r="GZ363" s="393"/>
      <c r="HA363" s="398"/>
      <c r="HB363" s="393"/>
      <c r="HC363" s="398"/>
      <c r="HD363" s="393"/>
      <c r="HE363" s="398"/>
      <c r="HF363" s="393"/>
      <c r="HG363" s="398"/>
      <c r="HH363" s="393"/>
      <c r="HI363" s="398"/>
      <c r="HJ363" s="393"/>
      <c r="HK363" s="398"/>
      <c r="HL363" s="393"/>
      <c r="HM363" s="398"/>
      <c r="HN363" s="393"/>
      <c r="HO363" s="398"/>
      <c r="HP363" s="393"/>
      <c r="HQ363" s="398"/>
      <c r="HR363" s="393"/>
      <c r="HS363" s="398"/>
      <c r="HT363" s="393"/>
      <c r="HU363" s="398"/>
      <c r="HV363" s="393"/>
      <c r="HW363" s="398"/>
      <c r="HX363" s="393"/>
      <c r="HY363" s="398"/>
      <c r="HZ363" s="393"/>
      <c r="IA363" s="398"/>
      <c r="IB363" s="393"/>
      <c r="IC363" s="398"/>
      <c r="ID363" s="393"/>
      <c r="IE363" s="398"/>
      <c r="IF363" s="393"/>
      <c r="IG363" s="398"/>
      <c r="IH363" s="393"/>
      <c r="II363" s="398"/>
      <c r="IJ363" s="393"/>
      <c r="IK363" s="398"/>
      <c r="IL363" s="393"/>
      <c r="IM363" s="398"/>
      <c r="IN363" s="393"/>
      <c r="IO363" s="398"/>
      <c r="IP363" s="393"/>
      <c r="IQ363" s="398"/>
      <c r="IR363" s="393"/>
      <c r="IS363" s="398"/>
      <c r="IT363" s="393"/>
      <c r="IU363" s="398"/>
      <c r="IV363" s="393"/>
      <c r="IW363" s="398"/>
      <c r="IX363" s="393"/>
      <c r="IY363" s="398"/>
      <c r="IZ363" s="393"/>
      <c r="JA363" s="398"/>
      <c r="JB363" s="393"/>
      <c r="JC363" s="398"/>
      <c r="JD363" s="393"/>
      <c r="JE363" s="398"/>
      <c r="JF363" s="393"/>
      <c r="JG363" s="398"/>
      <c r="JH363" s="393"/>
      <c r="JI363" s="398"/>
      <c r="JJ363" s="393"/>
      <c r="JK363" s="398"/>
      <c r="JL363" s="393"/>
      <c r="JM363" s="398"/>
      <c r="JN363" s="393"/>
      <c r="JO363" s="398"/>
      <c r="JP363" s="393"/>
      <c r="JQ363" s="398"/>
      <c r="JR363" s="393"/>
      <c r="JS363" s="398"/>
      <c r="JT363" s="393"/>
      <c r="JU363" s="398"/>
      <c r="JV363" s="393"/>
      <c r="JW363" s="398"/>
      <c r="JX363" s="393"/>
      <c r="JY363" s="398"/>
      <c r="JZ363" s="393"/>
      <c r="KA363" s="398"/>
      <c r="KB363" s="393"/>
      <c r="KC363" s="398"/>
      <c r="KD363" s="393"/>
      <c r="KE363" s="398"/>
      <c r="KF363" s="393"/>
      <c r="KG363" s="398"/>
      <c r="KH363" s="393"/>
      <c r="KI363" s="398"/>
      <c r="KJ363" s="393"/>
      <c r="KK363" s="398"/>
      <c r="KL363" s="393"/>
      <c r="KM363" s="398"/>
      <c r="KN363" s="393"/>
      <c r="KO363" s="398"/>
      <c r="KP363" s="393"/>
      <c r="KQ363" s="398"/>
      <c r="KR363" s="393"/>
      <c r="KS363" s="398"/>
      <c r="KT363" s="393"/>
      <c r="KU363" s="398"/>
      <c r="KV363" s="393"/>
      <c r="KW363" s="398"/>
      <c r="KX363" s="393"/>
      <c r="KY363" s="398"/>
      <c r="KZ363" s="393"/>
      <c r="LA363" s="398"/>
      <c r="LB363" s="393"/>
      <c r="LC363" s="398"/>
      <c r="LD363" s="393"/>
      <c r="LE363" s="398"/>
      <c r="LF363" s="393"/>
      <c r="LG363" s="398"/>
      <c r="LH363" s="393"/>
      <c r="LI363" s="398"/>
      <c r="LJ363" s="393"/>
      <c r="LK363" s="398"/>
      <c r="LL363" s="393"/>
      <c r="LM363" s="398"/>
      <c r="LN363" s="393"/>
      <c r="LO363" s="398"/>
      <c r="LP363" s="393"/>
      <c r="LQ363" s="398"/>
      <c r="LR363" s="393"/>
      <c r="LS363" s="398"/>
      <c r="LT363" s="393"/>
      <c r="LU363" s="398"/>
      <c r="LV363" s="393"/>
      <c r="LW363" s="398"/>
      <c r="LX363" s="393"/>
      <c r="LY363" s="398"/>
      <c r="LZ363" s="393"/>
      <c r="MA363" s="398"/>
      <c r="MB363" s="393"/>
      <c r="MC363" s="398"/>
      <c r="MD363" s="393"/>
      <c r="ME363" s="398"/>
      <c r="MF363" s="393"/>
      <c r="MG363" s="398"/>
      <c r="MH363" s="393"/>
      <c r="MI363" s="398"/>
      <c r="MJ363" s="393"/>
      <c r="MK363" s="398"/>
      <c r="ML363" s="393"/>
      <c r="MM363" s="398"/>
      <c r="MN363" s="393"/>
      <c r="MO363" s="398"/>
      <c r="MP363" s="393"/>
      <c r="MQ363" s="398"/>
      <c r="MR363" s="393"/>
      <c r="MS363" s="398"/>
      <c r="MT363" s="393"/>
      <c r="MU363" s="398"/>
      <c r="MV363" s="393"/>
      <c r="MW363" s="398"/>
      <c r="MX363" s="393"/>
      <c r="MY363" s="398"/>
      <c r="MZ363" s="393"/>
      <c r="NA363" s="398"/>
      <c r="NB363" s="393"/>
      <c r="NC363" s="398"/>
      <c r="ND363" s="393"/>
      <c r="NE363" s="398"/>
      <c r="NF363" s="393"/>
      <c r="NG363" s="398"/>
      <c r="NH363" s="393"/>
      <c r="NI363" s="398"/>
      <c r="NJ363" s="393"/>
      <c r="NK363" s="398"/>
      <c r="NL363" s="393"/>
      <c r="NM363" s="398"/>
      <c r="NN363" s="393"/>
      <c r="NO363" s="398"/>
      <c r="NP363" s="393"/>
      <c r="NQ363" s="398"/>
      <c r="NR363" s="393"/>
      <c r="NS363" s="398"/>
      <c r="NT363" s="393"/>
      <c r="NU363" s="398"/>
      <c r="NV363" s="393"/>
      <c r="NW363" s="398"/>
      <c r="NX363" s="393"/>
      <c r="NY363" s="398"/>
      <c r="NZ363" s="393"/>
      <c r="OA363" s="398"/>
      <c r="OB363" s="393"/>
      <c r="OC363" s="398"/>
      <c r="OD363" s="393"/>
      <c r="OE363" s="398"/>
      <c r="OF363" s="393"/>
      <c r="OG363" s="398"/>
      <c r="OH363" s="393"/>
      <c r="OI363" s="398"/>
      <c r="OJ363" s="393"/>
      <c r="OK363" s="398"/>
      <c r="OL363" s="393"/>
      <c r="OM363" s="398"/>
      <c r="ON363" s="393"/>
      <c r="OO363" s="398"/>
      <c r="OP363" s="393"/>
      <c r="OQ363" s="398"/>
      <c r="OR363" s="393"/>
      <c r="OS363" s="398"/>
      <c r="OT363" s="393"/>
      <c r="OU363" s="398"/>
      <c r="OV363" s="393"/>
      <c r="OW363" s="398"/>
      <c r="OX363" s="393"/>
      <c r="OY363" s="398"/>
      <c r="OZ363" s="393"/>
      <c r="PA363" s="398"/>
      <c r="PB363" s="393"/>
      <c r="PC363" s="398"/>
      <c r="PD363" s="393"/>
      <c r="PE363" s="398"/>
      <c r="PF363" s="393"/>
      <c r="PG363" s="398"/>
      <c r="PH363" s="393"/>
      <c r="PI363" s="398"/>
      <c r="PJ363" s="393"/>
      <c r="PK363" s="398"/>
      <c r="PL363" s="393"/>
      <c r="PM363" s="398"/>
      <c r="PN363" s="393"/>
      <c r="PO363" s="398"/>
      <c r="PP363" s="393"/>
      <c r="PQ363" s="398"/>
      <c r="PR363" s="393"/>
      <c r="PS363" s="398"/>
      <c r="PT363" s="393"/>
      <c r="PU363" s="398"/>
      <c r="PV363" s="393"/>
      <c r="PW363" s="398"/>
      <c r="PX363" s="393"/>
      <c r="PY363" s="398"/>
      <c r="PZ363" s="393"/>
      <c r="QA363" s="398"/>
      <c r="QB363" s="393"/>
      <c r="QC363" s="398"/>
      <c r="QD363" s="393"/>
      <c r="QE363" s="398"/>
      <c r="QF363" s="393"/>
      <c r="QG363" s="398"/>
      <c r="QH363" s="393"/>
      <c r="QI363" s="398"/>
      <c r="QJ363" s="393"/>
      <c r="QK363" s="398"/>
      <c r="QL363" s="393"/>
      <c r="QM363" s="398"/>
      <c r="QN363" s="393"/>
      <c r="QO363" s="398"/>
      <c r="QP363" s="393"/>
      <c r="QQ363" s="398"/>
      <c r="QR363" s="393"/>
      <c r="QS363" s="398"/>
      <c r="QT363" s="393"/>
      <c r="QU363" s="398"/>
      <c r="QV363" s="393"/>
      <c r="QW363" s="398"/>
      <c r="QX363" s="393"/>
      <c r="QY363" s="398"/>
      <c r="QZ363" s="393"/>
      <c r="RA363" s="398"/>
      <c r="RB363" s="393"/>
      <c r="RC363" s="398"/>
      <c r="RD363" s="393"/>
      <c r="RE363" s="398"/>
      <c r="RF363" s="393"/>
      <c r="RG363" s="398"/>
      <c r="RH363" s="393"/>
      <c r="RI363" s="398"/>
      <c r="RJ363" s="393"/>
      <c r="RK363" s="398"/>
      <c r="RL363" s="393"/>
      <c r="RM363" s="398"/>
      <c r="RN363" s="393"/>
      <c r="RO363" s="398"/>
      <c r="RP363" s="393"/>
      <c r="RQ363" s="398"/>
      <c r="RR363" s="393"/>
      <c r="RS363" s="398"/>
      <c r="RT363" s="393"/>
      <c r="RU363" s="398"/>
      <c r="RV363" s="393"/>
      <c r="RW363" s="398"/>
      <c r="RX363" s="393"/>
      <c r="RY363" s="398"/>
      <c r="RZ363" s="393"/>
      <c r="SA363" s="398"/>
      <c r="SB363" s="393"/>
      <c r="SC363" s="398"/>
      <c r="SD363" s="393"/>
      <c r="SE363" s="398"/>
      <c r="SF363" s="393"/>
      <c r="SG363" s="398"/>
      <c r="SH363" s="393"/>
      <c r="SI363" s="398"/>
      <c r="SJ363" s="393"/>
      <c r="SK363" s="398"/>
      <c r="SL363" s="393"/>
      <c r="SM363" s="398"/>
      <c r="SN363" s="393"/>
      <c r="SO363" s="398"/>
      <c r="SP363" s="393"/>
      <c r="SQ363" s="398"/>
      <c r="SR363" s="393"/>
      <c r="SS363" s="398"/>
      <c r="ST363" s="393"/>
      <c r="SU363" s="398"/>
      <c r="SV363" s="393"/>
      <c r="SW363" s="398"/>
      <c r="SX363" s="393"/>
      <c r="SY363" s="398"/>
      <c r="SZ363" s="393"/>
      <c r="TA363" s="398"/>
      <c r="TB363" s="393"/>
      <c r="TC363" s="398"/>
      <c r="TD363" s="393"/>
      <c r="TE363" s="398"/>
      <c r="TF363" s="393"/>
      <c r="TG363" s="398"/>
      <c r="TH363" s="393"/>
      <c r="TI363" s="398"/>
      <c r="TJ363" s="393"/>
      <c r="TK363" s="398"/>
      <c r="TL363" s="393"/>
      <c r="TM363" s="398"/>
      <c r="TN363" s="393"/>
      <c r="TO363" s="398"/>
      <c r="TP363" s="393"/>
      <c r="TQ363" s="398"/>
      <c r="TR363" s="393"/>
      <c r="TS363" s="398"/>
      <c r="TT363" s="393"/>
      <c r="TU363" s="398"/>
      <c r="TV363" s="393"/>
      <c r="TW363" s="398"/>
      <c r="TX363" s="393"/>
      <c r="TY363" s="398"/>
      <c r="TZ363" s="393"/>
      <c r="UA363" s="398"/>
      <c r="UB363" s="393"/>
      <c r="UC363" s="398"/>
      <c r="UD363" s="393"/>
      <c r="UE363" s="398"/>
      <c r="UF363" s="393"/>
      <c r="UG363" s="398"/>
      <c r="UH363" s="393"/>
      <c r="UI363" s="398"/>
      <c r="UJ363" s="393"/>
      <c r="UK363" s="398"/>
      <c r="UL363" s="393"/>
      <c r="UM363" s="398"/>
      <c r="UN363" s="393"/>
      <c r="UO363" s="398"/>
      <c r="UP363" s="393"/>
      <c r="UQ363" s="398"/>
      <c r="UR363" s="393"/>
      <c r="US363" s="398"/>
      <c r="UT363" s="393"/>
      <c r="UU363" s="398"/>
      <c r="UV363" s="393"/>
      <c r="UW363" s="398"/>
      <c r="UX363" s="393"/>
      <c r="UY363" s="398"/>
      <c r="UZ363" s="393"/>
      <c r="VA363" s="398"/>
      <c r="VB363" s="393"/>
      <c r="VC363" s="398"/>
      <c r="VD363" s="393"/>
      <c r="VE363" s="398"/>
      <c r="VF363" s="393"/>
      <c r="VG363" s="398"/>
      <c r="VH363" s="393"/>
      <c r="VI363" s="398"/>
      <c r="VJ363" s="393"/>
      <c r="VK363" s="398"/>
      <c r="VL363" s="393"/>
      <c r="VM363" s="398"/>
      <c r="VN363" s="393"/>
      <c r="VO363" s="398"/>
      <c r="VP363" s="393"/>
      <c r="VQ363" s="398"/>
      <c r="VR363" s="393"/>
      <c r="VS363" s="398"/>
      <c r="VT363" s="393"/>
      <c r="VU363" s="398"/>
      <c r="VV363" s="393"/>
      <c r="VW363" s="398"/>
      <c r="VX363" s="393"/>
      <c r="VY363" s="398"/>
      <c r="VZ363" s="393"/>
      <c r="WA363" s="398"/>
      <c r="WB363" s="393"/>
      <c r="WC363" s="398"/>
      <c r="WD363" s="393"/>
      <c r="WE363" s="398"/>
      <c r="WF363" s="393"/>
      <c r="WG363" s="398"/>
      <c r="WH363" s="393"/>
      <c r="WI363" s="398"/>
      <c r="WJ363" s="393"/>
      <c r="WK363" s="398"/>
      <c r="WL363" s="393"/>
      <c r="WM363" s="398"/>
      <c r="WN363" s="393"/>
      <c r="WO363" s="398"/>
      <c r="WP363" s="393"/>
      <c r="WQ363" s="398"/>
      <c r="WR363" s="393"/>
      <c r="WS363" s="398"/>
      <c r="WT363" s="393"/>
      <c r="WU363" s="398"/>
      <c r="WV363" s="393"/>
      <c r="WW363" s="398"/>
      <c r="WX363" s="393"/>
      <c r="WY363" s="398"/>
      <c r="WZ363" s="393"/>
      <c r="XA363" s="398"/>
      <c r="XB363" s="393"/>
      <c r="XC363" s="398"/>
      <c r="XD363" s="393"/>
      <c r="XE363" s="398"/>
      <c r="XF363" s="393"/>
      <c r="XG363" s="398"/>
      <c r="XH363" s="393"/>
      <c r="XI363" s="398"/>
      <c r="XJ363" s="393"/>
      <c r="XK363" s="398"/>
      <c r="XL363" s="393"/>
      <c r="XM363" s="398"/>
      <c r="XN363" s="393"/>
      <c r="XO363" s="398"/>
      <c r="XP363" s="393"/>
      <c r="XQ363" s="398"/>
      <c r="XR363" s="393"/>
      <c r="XS363" s="398"/>
      <c r="XT363" s="393"/>
      <c r="XU363" s="398"/>
      <c r="XV363" s="393"/>
      <c r="XW363" s="398"/>
      <c r="XX363" s="393"/>
      <c r="XY363" s="398"/>
      <c r="XZ363" s="393"/>
      <c r="YA363" s="398"/>
      <c r="YB363" s="393"/>
      <c r="YC363" s="398"/>
      <c r="YD363" s="393"/>
      <c r="YE363" s="398"/>
      <c r="YF363" s="393"/>
      <c r="YG363" s="398"/>
      <c r="YH363" s="393"/>
      <c r="YI363" s="398"/>
      <c r="YJ363" s="393"/>
      <c r="YK363" s="398"/>
      <c r="YL363" s="393"/>
      <c r="YM363" s="398"/>
      <c r="YN363" s="393"/>
      <c r="YO363" s="398"/>
      <c r="YP363" s="393"/>
      <c r="YQ363" s="398"/>
      <c r="YR363" s="393"/>
      <c r="YS363" s="398"/>
      <c r="YT363" s="393"/>
      <c r="YU363" s="398"/>
      <c r="YV363" s="393"/>
      <c r="YW363" s="398"/>
      <c r="YX363" s="393"/>
      <c r="YY363" s="398"/>
      <c r="YZ363" s="393"/>
      <c r="ZA363" s="398"/>
      <c r="ZB363" s="393"/>
      <c r="ZC363" s="398"/>
      <c r="ZD363" s="393"/>
      <c r="ZE363" s="398"/>
      <c r="ZF363" s="393"/>
      <c r="ZG363" s="398"/>
      <c r="ZH363" s="393"/>
      <c r="ZI363" s="398"/>
      <c r="ZJ363" s="393"/>
      <c r="ZK363" s="398"/>
      <c r="ZL363" s="393"/>
      <c r="ZM363" s="398"/>
      <c r="ZN363" s="393"/>
      <c r="ZO363" s="398"/>
      <c r="ZP363" s="393"/>
      <c r="ZQ363" s="398"/>
      <c r="ZR363" s="393"/>
      <c r="ZS363" s="398"/>
      <c r="ZT363" s="393"/>
      <c r="ZU363" s="398"/>
      <c r="ZV363" s="393"/>
      <c r="ZW363" s="398"/>
      <c r="ZX363" s="393"/>
      <c r="ZY363" s="398"/>
      <c r="ZZ363" s="393"/>
      <c r="AAA363" s="398"/>
      <c r="AAB363" s="393"/>
      <c r="AAC363" s="398"/>
      <c r="AAD363" s="393"/>
      <c r="AAE363" s="398"/>
      <c r="AAF363" s="393"/>
      <c r="AAG363" s="398"/>
      <c r="AAH363" s="393"/>
      <c r="AAI363" s="398"/>
      <c r="AAJ363" s="393"/>
      <c r="AAK363" s="398"/>
      <c r="AAL363" s="393"/>
      <c r="AAM363" s="398"/>
      <c r="AAN363" s="393"/>
      <c r="AAO363" s="398"/>
      <c r="AAP363" s="393"/>
      <c r="AAQ363" s="398"/>
      <c r="AAR363" s="393"/>
      <c r="AAS363" s="398"/>
      <c r="AAT363" s="393"/>
      <c r="AAU363" s="398"/>
      <c r="AAV363" s="393"/>
      <c r="AAW363" s="398"/>
      <c r="AAX363" s="393"/>
      <c r="AAY363" s="398"/>
      <c r="AAZ363" s="393"/>
      <c r="ABA363" s="398"/>
      <c r="ABB363" s="393"/>
      <c r="ABC363" s="398"/>
      <c r="ABD363" s="393"/>
      <c r="ABE363" s="398"/>
      <c r="ABF363" s="393"/>
      <c r="ABG363" s="398"/>
      <c r="ABH363" s="393"/>
      <c r="ABI363" s="398"/>
      <c r="ABJ363" s="393"/>
      <c r="ABK363" s="398"/>
      <c r="ABL363" s="393"/>
      <c r="ABM363" s="398"/>
      <c r="ABN363" s="393"/>
      <c r="ABO363" s="398"/>
      <c r="ABP363" s="393"/>
      <c r="ABQ363" s="398"/>
      <c r="ABR363" s="393"/>
      <c r="ABS363" s="398"/>
      <c r="ABT363" s="393"/>
      <c r="ABU363" s="398"/>
      <c r="ABV363" s="393"/>
      <c r="ABW363" s="398"/>
      <c r="ABX363" s="393"/>
      <c r="ABY363" s="398"/>
      <c r="ABZ363" s="393"/>
      <c r="ACA363" s="398"/>
      <c r="ACB363" s="393"/>
      <c r="ACC363" s="398"/>
      <c r="ACD363" s="393"/>
      <c r="ACE363" s="398"/>
      <c r="ACF363" s="393"/>
      <c r="ACG363" s="398"/>
      <c r="ACH363" s="393"/>
      <c r="ACI363" s="398"/>
      <c r="ACJ363" s="393"/>
      <c r="ACK363" s="398"/>
      <c r="ACL363" s="393"/>
      <c r="ACM363" s="398"/>
      <c r="ACN363" s="393"/>
      <c r="ACO363" s="398"/>
      <c r="ACP363" s="393"/>
      <c r="ACQ363" s="398"/>
      <c r="ACR363" s="393"/>
      <c r="ACS363" s="398"/>
      <c r="ACT363" s="393"/>
      <c r="ACU363" s="398"/>
      <c r="ACV363" s="393"/>
      <c r="ACW363" s="398"/>
      <c r="ACX363" s="393"/>
      <c r="ACY363" s="398"/>
      <c r="ACZ363" s="393"/>
      <c r="ADA363" s="398"/>
      <c r="ADB363" s="393"/>
      <c r="ADC363" s="398"/>
      <c r="ADD363" s="393"/>
      <c r="ADE363" s="398"/>
      <c r="ADF363" s="393"/>
      <c r="ADG363" s="398"/>
      <c r="ADH363" s="393"/>
      <c r="ADI363" s="398"/>
      <c r="ADJ363" s="393"/>
      <c r="ADK363" s="398"/>
      <c r="ADL363" s="393"/>
      <c r="ADM363" s="398"/>
      <c r="ADN363" s="393"/>
      <c r="ADO363" s="398"/>
      <c r="ADP363" s="393"/>
      <c r="ADQ363" s="398"/>
      <c r="ADR363" s="393"/>
      <c r="ADS363" s="398"/>
      <c r="ADT363" s="393"/>
      <c r="ADU363" s="398"/>
      <c r="ADV363" s="393"/>
      <c r="ADW363" s="398"/>
      <c r="ADX363" s="393"/>
      <c r="ADY363" s="398"/>
      <c r="ADZ363" s="393"/>
      <c r="AEA363" s="398"/>
      <c r="AEB363" s="393"/>
      <c r="AEC363" s="398"/>
      <c r="AED363" s="393"/>
      <c r="AEE363" s="398"/>
      <c r="AEF363" s="393"/>
      <c r="AEG363" s="398"/>
      <c r="AEH363" s="393"/>
      <c r="AEI363" s="398"/>
      <c r="AEJ363" s="393"/>
      <c r="AEK363" s="398"/>
      <c r="AEL363" s="393"/>
      <c r="AEM363" s="398"/>
      <c r="AEN363" s="393"/>
      <c r="AEO363" s="398"/>
      <c r="AEP363" s="393"/>
      <c r="AEQ363" s="398"/>
      <c r="AER363" s="393"/>
      <c r="AES363" s="398"/>
      <c r="AET363" s="393"/>
      <c r="AEU363" s="398"/>
      <c r="AEV363" s="393"/>
      <c r="AEW363" s="398"/>
      <c r="AEX363" s="393"/>
      <c r="AEY363" s="398"/>
      <c r="AEZ363" s="393"/>
      <c r="AFA363" s="398"/>
      <c r="AFB363" s="393"/>
      <c r="AFC363" s="398"/>
      <c r="AFD363" s="393"/>
      <c r="AFE363" s="398"/>
      <c r="AFF363" s="393"/>
      <c r="AFG363" s="398"/>
      <c r="AFH363" s="393"/>
      <c r="AFI363" s="398"/>
      <c r="AFJ363" s="393"/>
      <c r="AFK363" s="398"/>
      <c r="AFL363" s="393"/>
      <c r="AFM363" s="398"/>
      <c r="AFN363" s="393"/>
      <c r="AFO363" s="398"/>
      <c r="AFP363" s="393"/>
      <c r="AFQ363" s="398"/>
      <c r="AFR363" s="393"/>
      <c r="AFS363" s="398"/>
      <c r="AFT363" s="393"/>
      <c r="AFU363" s="398"/>
      <c r="AFV363" s="393"/>
      <c r="AFW363" s="398"/>
      <c r="AFX363" s="393"/>
      <c r="AFY363" s="398"/>
      <c r="AFZ363" s="393"/>
      <c r="AGA363" s="398"/>
      <c r="AGB363" s="393"/>
      <c r="AGC363" s="398"/>
      <c r="AGD363" s="393"/>
      <c r="AGE363" s="398"/>
      <c r="AGF363" s="393"/>
      <c r="AGG363" s="398"/>
      <c r="AGH363" s="393"/>
      <c r="AGI363" s="398"/>
      <c r="AGJ363" s="393"/>
      <c r="AGK363" s="398"/>
      <c r="AGL363" s="393"/>
      <c r="AGM363" s="398"/>
      <c r="AGN363" s="393"/>
      <c r="AGO363" s="398"/>
      <c r="AGP363" s="393"/>
      <c r="AGQ363" s="398"/>
      <c r="AGR363" s="393"/>
      <c r="AGS363" s="398"/>
      <c r="AGT363" s="393"/>
      <c r="AGU363" s="398"/>
      <c r="AGV363" s="393"/>
      <c r="AGW363" s="398"/>
      <c r="AGX363" s="393"/>
      <c r="AGY363" s="398"/>
      <c r="AGZ363" s="393"/>
      <c r="AHA363" s="398"/>
      <c r="AHB363" s="393"/>
      <c r="AHC363" s="398"/>
      <c r="AHD363" s="393"/>
      <c r="AHE363" s="398"/>
      <c r="AHF363" s="393"/>
      <c r="AHG363" s="398"/>
      <c r="AHH363" s="393"/>
      <c r="AHI363" s="398"/>
      <c r="AHJ363" s="393"/>
      <c r="AHK363" s="398"/>
      <c r="AHL363" s="393"/>
      <c r="AHM363" s="398"/>
      <c r="AHN363" s="393"/>
      <c r="AHO363" s="398"/>
      <c r="AHP363" s="393"/>
      <c r="AHQ363" s="398"/>
      <c r="AHR363" s="393"/>
      <c r="AHS363" s="398"/>
      <c r="AHT363" s="393"/>
      <c r="AHU363" s="398"/>
      <c r="AHV363" s="393"/>
      <c r="AHW363" s="398"/>
      <c r="AHX363" s="393"/>
      <c r="AHY363" s="398"/>
      <c r="AHZ363" s="393"/>
      <c r="AIA363" s="398"/>
      <c r="AIB363" s="393"/>
      <c r="AIC363" s="398"/>
      <c r="AID363" s="393"/>
      <c r="AIE363" s="398"/>
      <c r="AIF363" s="393"/>
      <c r="AIG363" s="398"/>
      <c r="AIH363" s="393"/>
      <c r="AII363" s="398"/>
      <c r="AIJ363" s="393"/>
      <c r="AIK363" s="398"/>
      <c r="AIL363" s="393"/>
      <c r="AIM363" s="398"/>
      <c r="AIN363" s="393"/>
      <c r="AIO363" s="398"/>
      <c r="AIP363" s="393"/>
      <c r="AIQ363" s="398"/>
      <c r="AIR363" s="393"/>
      <c r="AIS363" s="398"/>
      <c r="AIT363" s="393"/>
      <c r="AIU363" s="398"/>
      <c r="AIV363" s="393"/>
      <c r="AIW363" s="398"/>
      <c r="AIX363" s="393"/>
      <c r="AIY363" s="398"/>
      <c r="AIZ363" s="393"/>
      <c r="AJA363" s="398"/>
      <c r="AJB363" s="393"/>
      <c r="AJC363" s="398"/>
      <c r="AJD363" s="393"/>
      <c r="AJE363" s="398"/>
      <c r="AJF363" s="393"/>
      <c r="AJG363" s="398"/>
      <c r="AJH363" s="393"/>
      <c r="AJI363" s="398"/>
      <c r="AJJ363" s="393"/>
      <c r="AJK363" s="398"/>
      <c r="AJL363" s="393"/>
      <c r="AJM363" s="398"/>
      <c r="AJN363" s="393"/>
      <c r="AJO363" s="398"/>
      <c r="AJP363" s="393"/>
      <c r="AJQ363" s="398"/>
      <c r="AJR363" s="393"/>
      <c r="AJS363" s="398"/>
      <c r="AJT363" s="393"/>
      <c r="AJU363" s="398"/>
      <c r="AJV363" s="393"/>
      <c r="AJW363" s="398"/>
      <c r="AJX363" s="393"/>
      <c r="AJY363" s="398"/>
      <c r="AJZ363" s="393"/>
      <c r="AKA363" s="398"/>
      <c r="AKB363" s="393"/>
      <c r="AKC363" s="398"/>
      <c r="AKD363" s="393"/>
      <c r="AKE363" s="398"/>
      <c r="AKF363" s="393"/>
      <c r="AKG363" s="398"/>
      <c r="AKH363" s="393"/>
      <c r="AKI363" s="398"/>
      <c r="AKJ363" s="393"/>
      <c r="AKK363" s="398"/>
      <c r="AKL363" s="393"/>
      <c r="AKM363" s="398"/>
      <c r="AKN363" s="393"/>
      <c r="AKO363" s="398"/>
      <c r="AKP363" s="393"/>
      <c r="AKQ363" s="398"/>
      <c r="AKR363" s="393"/>
      <c r="AKS363" s="398"/>
      <c r="AKT363" s="393"/>
      <c r="AKU363" s="398"/>
      <c r="AKV363" s="393"/>
      <c r="AKW363" s="398"/>
      <c r="AKX363" s="393"/>
      <c r="AKY363" s="398"/>
      <c r="AKZ363" s="393"/>
      <c r="ALA363" s="398"/>
      <c r="ALB363" s="393"/>
      <c r="ALC363" s="398"/>
      <c r="ALD363" s="393"/>
      <c r="ALE363" s="398"/>
      <c r="ALF363" s="393"/>
      <c r="ALG363" s="398"/>
      <c r="ALH363" s="393"/>
      <c r="ALI363" s="398"/>
      <c r="ALJ363" s="393"/>
      <c r="ALK363" s="398"/>
      <c r="ALL363" s="393"/>
      <c r="ALM363" s="398"/>
      <c r="ALN363" s="393"/>
      <c r="ALO363" s="398"/>
      <c r="ALP363" s="393"/>
      <c r="ALQ363" s="398"/>
      <c r="ALR363" s="393"/>
      <c r="ALS363" s="398"/>
      <c r="ALT363" s="393"/>
      <c r="ALU363" s="398"/>
      <c r="ALV363" s="393"/>
      <c r="ALW363" s="398"/>
      <c r="ALX363" s="393"/>
      <c r="ALY363" s="398"/>
      <c r="ALZ363" s="393"/>
      <c r="AMA363" s="398"/>
      <c r="AMB363" s="393"/>
      <c r="AMC363" s="398"/>
      <c r="AMD363" s="393"/>
      <c r="AME363" s="398"/>
      <c r="AMF363" s="393"/>
      <c r="AMG363" s="398"/>
      <c r="AMH363" s="393"/>
      <c r="AMI363" s="398"/>
      <c r="AMJ363" s="393"/>
      <c r="AMK363" s="398"/>
      <c r="AML363" s="393"/>
      <c r="AMM363" s="398"/>
      <c r="AMN363" s="393"/>
      <c r="AMO363" s="398"/>
      <c r="AMP363" s="393"/>
      <c r="AMQ363" s="398"/>
      <c r="AMR363" s="393"/>
      <c r="AMS363" s="398"/>
      <c r="AMT363" s="393"/>
      <c r="AMU363" s="398"/>
      <c r="AMV363" s="393"/>
      <c r="AMW363" s="398"/>
      <c r="AMX363" s="393"/>
      <c r="AMY363" s="398"/>
      <c r="AMZ363" s="393"/>
      <c r="ANA363" s="398"/>
      <c r="ANB363" s="393"/>
      <c r="ANC363" s="398"/>
      <c r="AND363" s="393"/>
      <c r="ANE363" s="398"/>
      <c r="ANF363" s="393"/>
      <c r="ANG363" s="398"/>
      <c r="ANH363" s="393"/>
      <c r="ANI363" s="398"/>
      <c r="ANJ363" s="393"/>
      <c r="ANK363" s="398"/>
      <c r="ANL363" s="393"/>
      <c r="ANM363" s="398"/>
      <c r="ANN363" s="393"/>
      <c r="ANO363" s="398"/>
      <c r="ANP363" s="393"/>
      <c r="ANQ363" s="398"/>
      <c r="ANR363" s="393"/>
      <c r="ANS363" s="398"/>
      <c r="ANT363" s="393"/>
      <c r="ANU363" s="398"/>
      <c r="ANV363" s="393"/>
      <c r="ANW363" s="398"/>
      <c r="ANX363" s="393"/>
      <c r="ANY363" s="398"/>
      <c r="ANZ363" s="393"/>
      <c r="AOA363" s="398"/>
      <c r="AOB363" s="393"/>
      <c r="AOC363" s="398"/>
      <c r="AOD363" s="393"/>
      <c r="AOE363" s="398"/>
      <c r="AOF363" s="393"/>
      <c r="AOG363" s="398"/>
      <c r="AOH363" s="393"/>
      <c r="AOI363" s="398"/>
      <c r="AOJ363" s="393"/>
      <c r="AOK363" s="398"/>
      <c r="AOL363" s="393"/>
      <c r="AOM363" s="398"/>
      <c r="AON363" s="393"/>
      <c r="AOO363" s="398"/>
      <c r="AOP363" s="393"/>
      <c r="AOQ363" s="398"/>
      <c r="AOR363" s="393"/>
      <c r="AOS363" s="398"/>
      <c r="AOT363" s="393"/>
      <c r="AOU363" s="398"/>
      <c r="AOV363" s="393"/>
      <c r="AOW363" s="398"/>
      <c r="AOX363" s="393"/>
      <c r="AOY363" s="398"/>
      <c r="AOZ363" s="393"/>
      <c r="APA363" s="398"/>
      <c r="APB363" s="393"/>
      <c r="APC363" s="398"/>
      <c r="APD363" s="393"/>
      <c r="APE363" s="398"/>
      <c r="APF363" s="393"/>
      <c r="APG363" s="398"/>
      <c r="APH363" s="393"/>
      <c r="API363" s="398"/>
      <c r="APJ363" s="393"/>
      <c r="APK363" s="398"/>
      <c r="APL363" s="393"/>
      <c r="APM363" s="398"/>
      <c r="APN363" s="393"/>
      <c r="APO363" s="398"/>
      <c r="APP363" s="393"/>
      <c r="APQ363" s="398"/>
      <c r="APR363" s="393"/>
      <c r="APS363" s="398"/>
      <c r="APT363" s="393"/>
      <c r="APU363" s="398"/>
      <c r="APV363" s="393"/>
      <c r="APW363" s="398"/>
      <c r="APX363" s="393"/>
      <c r="APY363" s="398"/>
      <c r="APZ363" s="393"/>
      <c r="AQA363" s="398"/>
      <c r="AQB363" s="393"/>
      <c r="AQC363" s="398"/>
      <c r="AQD363" s="393"/>
      <c r="AQE363" s="398"/>
      <c r="AQF363" s="393"/>
      <c r="AQG363" s="398"/>
      <c r="AQH363" s="393"/>
      <c r="AQI363" s="398"/>
      <c r="AQJ363" s="393"/>
      <c r="AQK363" s="398"/>
      <c r="AQL363" s="393"/>
      <c r="AQM363" s="398"/>
      <c r="AQN363" s="393"/>
      <c r="AQO363" s="398"/>
      <c r="AQP363" s="393"/>
      <c r="AQQ363" s="398"/>
      <c r="AQR363" s="393"/>
      <c r="AQS363" s="398"/>
      <c r="AQT363" s="393"/>
      <c r="AQU363" s="398"/>
      <c r="AQV363" s="393"/>
      <c r="AQW363" s="398"/>
      <c r="AQX363" s="393"/>
      <c r="AQY363" s="398"/>
      <c r="AQZ363" s="393"/>
      <c r="ARA363" s="398"/>
      <c r="ARB363" s="393"/>
      <c r="ARC363" s="398"/>
      <c r="ARD363" s="393"/>
      <c r="ARE363" s="398"/>
      <c r="ARF363" s="393"/>
      <c r="ARG363" s="398"/>
      <c r="ARH363" s="393"/>
      <c r="ARI363" s="398"/>
      <c r="ARJ363" s="393"/>
      <c r="ARK363" s="398"/>
      <c r="ARL363" s="393"/>
      <c r="ARM363" s="398"/>
      <c r="ARN363" s="393"/>
      <c r="ARO363" s="398"/>
      <c r="ARP363" s="393"/>
      <c r="ARQ363" s="398"/>
      <c r="ARR363" s="393"/>
      <c r="ARS363" s="398"/>
      <c r="ART363" s="393"/>
      <c r="ARU363" s="398"/>
      <c r="ARV363" s="393"/>
      <c r="ARW363" s="398"/>
      <c r="ARX363" s="393"/>
      <c r="ARY363" s="398"/>
      <c r="ARZ363" s="393"/>
      <c r="ASA363" s="398"/>
      <c r="ASB363" s="393"/>
      <c r="ASC363" s="398"/>
      <c r="ASD363" s="393"/>
      <c r="ASE363" s="398"/>
      <c r="ASF363" s="393"/>
      <c r="ASG363" s="398"/>
      <c r="ASH363" s="393"/>
      <c r="ASI363" s="398"/>
      <c r="ASJ363" s="393"/>
      <c r="ASK363" s="398"/>
      <c r="ASL363" s="393"/>
      <c r="ASM363" s="398"/>
      <c r="ASN363" s="393"/>
      <c r="ASO363" s="398"/>
      <c r="ASP363" s="393"/>
      <c r="ASQ363" s="398"/>
      <c r="ASR363" s="393"/>
      <c r="ASS363" s="398"/>
      <c r="AST363" s="393"/>
      <c r="ASU363" s="398"/>
      <c r="ASV363" s="393"/>
      <c r="ASW363" s="398"/>
      <c r="ASX363" s="393"/>
      <c r="ASY363" s="398"/>
      <c r="ASZ363" s="393"/>
      <c r="ATA363" s="398"/>
      <c r="ATB363" s="393"/>
      <c r="ATC363" s="398"/>
      <c r="ATD363" s="393"/>
      <c r="ATE363" s="398"/>
      <c r="ATF363" s="393"/>
      <c r="ATG363" s="398"/>
      <c r="ATH363" s="393"/>
      <c r="ATI363" s="398"/>
      <c r="ATJ363" s="393"/>
      <c r="ATK363" s="398"/>
      <c r="ATL363" s="393"/>
      <c r="ATM363" s="398"/>
      <c r="ATN363" s="393"/>
      <c r="ATO363" s="398"/>
      <c r="ATP363" s="393"/>
      <c r="ATQ363" s="398"/>
      <c r="ATR363" s="393"/>
      <c r="ATS363" s="398"/>
      <c r="ATT363" s="393"/>
      <c r="ATU363" s="398"/>
      <c r="ATV363" s="393"/>
      <c r="ATW363" s="398"/>
      <c r="ATX363" s="393"/>
      <c r="ATY363" s="398"/>
      <c r="ATZ363" s="393"/>
      <c r="AUA363" s="398"/>
      <c r="AUB363" s="393"/>
      <c r="AUC363" s="398"/>
      <c r="AUD363" s="393"/>
      <c r="AUE363" s="398"/>
      <c r="AUF363" s="393"/>
      <c r="AUG363" s="398"/>
      <c r="AUH363" s="393"/>
      <c r="AUI363" s="398"/>
      <c r="AUJ363" s="393"/>
      <c r="AUK363" s="398"/>
      <c r="AUL363" s="393"/>
      <c r="AUM363" s="398"/>
      <c r="AUN363" s="393"/>
      <c r="AUO363" s="398"/>
      <c r="AUP363" s="393"/>
      <c r="AUQ363" s="398"/>
      <c r="AUR363" s="393"/>
      <c r="AUS363" s="398"/>
      <c r="AUT363" s="393"/>
      <c r="AUU363" s="398"/>
      <c r="AUV363" s="393"/>
      <c r="AUW363" s="398"/>
      <c r="AUX363" s="393"/>
      <c r="AUY363" s="398"/>
      <c r="AUZ363" s="393"/>
      <c r="AVA363" s="398"/>
      <c r="AVB363" s="393"/>
      <c r="AVC363" s="398"/>
      <c r="AVD363" s="393"/>
      <c r="AVE363" s="398"/>
      <c r="AVF363" s="393"/>
      <c r="AVG363" s="398"/>
      <c r="AVH363" s="393"/>
      <c r="AVI363" s="398"/>
      <c r="AVJ363" s="393"/>
      <c r="AVK363" s="398"/>
      <c r="AVL363" s="393"/>
      <c r="AVM363" s="398"/>
      <c r="AVN363" s="393"/>
      <c r="AVO363" s="398"/>
      <c r="AVP363" s="393"/>
      <c r="AVQ363" s="398"/>
      <c r="AVR363" s="393"/>
      <c r="AVS363" s="398"/>
      <c r="AVT363" s="393"/>
      <c r="AVU363" s="398"/>
      <c r="AVV363" s="393"/>
      <c r="AVW363" s="398"/>
      <c r="AVX363" s="393"/>
      <c r="AVY363" s="398"/>
      <c r="AVZ363" s="393"/>
      <c r="AWA363" s="398"/>
      <c r="AWB363" s="393"/>
      <c r="AWC363" s="398"/>
      <c r="AWD363" s="393"/>
      <c r="AWE363" s="398"/>
      <c r="AWF363" s="393"/>
      <c r="AWG363" s="398"/>
      <c r="AWH363" s="393"/>
      <c r="AWI363" s="398"/>
      <c r="AWJ363" s="393"/>
      <c r="AWK363" s="398"/>
      <c r="AWL363" s="393"/>
      <c r="AWM363" s="398"/>
      <c r="AWN363" s="393"/>
      <c r="AWO363" s="398"/>
      <c r="AWP363" s="393"/>
      <c r="AWQ363" s="398"/>
      <c r="AWR363" s="393"/>
      <c r="AWS363" s="398"/>
      <c r="AWT363" s="393"/>
      <c r="AWU363" s="398"/>
      <c r="AWV363" s="393"/>
      <c r="AWW363" s="398"/>
      <c r="AWX363" s="393"/>
      <c r="AWY363" s="398"/>
      <c r="AWZ363" s="393"/>
      <c r="AXA363" s="398"/>
      <c r="AXB363" s="393"/>
      <c r="AXC363" s="398"/>
      <c r="AXD363" s="393"/>
      <c r="AXE363" s="398"/>
      <c r="AXF363" s="393"/>
      <c r="AXG363" s="398"/>
      <c r="AXH363" s="393"/>
      <c r="AXI363" s="398"/>
      <c r="AXJ363" s="393"/>
      <c r="AXK363" s="398"/>
      <c r="AXL363" s="393"/>
      <c r="AXM363" s="398"/>
      <c r="AXN363" s="393"/>
      <c r="AXO363" s="398"/>
      <c r="AXP363" s="393"/>
      <c r="AXQ363" s="398"/>
      <c r="AXR363" s="393"/>
      <c r="AXS363" s="398"/>
      <c r="AXT363" s="393"/>
      <c r="AXU363" s="398"/>
      <c r="AXV363" s="393"/>
      <c r="AXW363" s="398"/>
      <c r="AXX363" s="393"/>
      <c r="AXY363" s="398"/>
      <c r="AXZ363" s="393"/>
      <c r="AYA363" s="398"/>
      <c r="AYB363" s="393"/>
      <c r="AYC363" s="398"/>
      <c r="AYD363" s="393"/>
      <c r="AYE363" s="398"/>
      <c r="AYF363" s="393"/>
      <c r="AYG363" s="398"/>
      <c r="AYH363" s="393"/>
      <c r="AYI363" s="398"/>
      <c r="AYJ363" s="393"/>
      <c r="AYK363" s="398"/>
      <c r="AYL363" s="393"/>
      <c r="AYM363" s="398"/>
      <c r="AYN363" s="393"/>
      <c r="AYO363" s="398"/>
      <c r="AYP363" s="393"/>
      <c r="AYQ363" s="398"/>
      <c r="AYR363" s="393"/>
      <c r="AYS363" s="398"/>
      <c r="AYT363" s="393"/>
      <c r="AYU363" s="398"/>
      <c r="AYV363" s="393"/>
      <c r="AYW363" s="398"/>
      <c r="AYX363" s="393"/>
      <c r="AYY363" s="398"/>
      <c r="AYZ363" s="393"/>
      <c r="AZA363" s="398"/>
      <c r="AZB363" s="393"/>
      <c r="AZC363" s="398"/>
      <c r="AZD363" s="393"/>
      <c r="AZE363" s="398"/>
      <c r="AZF363" s="393"/>
      <c r="AZG363" s="398"/>
      <c r="AZH363" s="393"/>
      <c r="AZI363" s="398"/>
      <c r="AZJ363" s="393"/>
      <c r="AZK363" s="398"/>
      <c r="AZL363" s="393"/>
      <c r="AZM363" s="398"/>
      <c r="AZN363" s="393"/>
      <c r="AZO363" s="398"/>
      <c r="AZP363" s="393"/>
      <c r="AZQ363" s="398"/>
      <c r="AZR363" s="393"/>
      <c r="AZS363" s="398"/>
      <c r="AZT363" s="393"/>
      <c r="AZU363" s="398"/>
      <c r="AZV363" s="393"/>
      <c r="AZW363" s="398"/>
      <c r="AZX363" s="393"/>
      <c r="AZY363" s="398"/>
      <c r="AZZ363" s="393"/>
      <c r="BAA363" s="398"/>
      <c r="BAB363" s="393"/>
      <c r="BAC363" s="398"/>
      <c r="BAD363" s="393"/>
      <c r="BAE363" s="398"/>
      <c r="BAF363" s="393"/>
      <c r="BAG363" s="398"/>
      <c r="BAH363" s="393"/>
      <c r="BAI363" s="398"/>
      <c r="BAJ363" s="393"/>
      <c r="BAK363" s="398"/>
      <c r="BAL363" s="393"/>
      <c r="BAM363" s="398"/>
      <c r="BAN363" s="393"/>
      <c r="BAO363" s="398"/>
      <c r="BAP363" s="393"/>
      <c r="BAQ363" s="398"/>
      <c r="BAR363" s="393"/>
      <c r="BAS363" s="398"/>
      <c r="BAT363" s="393"/>
      <c r="BAU363" s="398"/>
      <c r="BAV363" s="393"/>
      <c r="BAW363" s="398"/>
      <c r="BAX363" s="393"/>
      <c r="BAY363" s="398"/>
      <c r="BAZ363" s="393"/>
      <c r="BBA363" s="398"/>
      <c r="BBB363" s="393"/>
      <c r="BBC363" s="398"/>
      <c r="BBD363" s="393"/>
      <c r="BBE363" s="398"/>
      <c r="BBF363" s="393"/>
      <c r="BBG363" s="398"/>
      <c r="BBH363" s="393"/>
      <c r="BBI363" s="398"/>
      <c r="BBJ363" s="393"/>
      <c r="BBK363" s="398"/>
      <c r="BBL363" s="393"/>
      <c r="BBM363" s="398"/>
      <c r="BBN363" s="393"/>
      <c r="BBO363" s="398"/>
      <c r="BBP363" s="393"/>
      <c r="BBQ363" s="398"/>
      <c r="BBR363" s="393"/>
      <c r="BBS363" s="398"/>
      <c r="BBT363" s="393"/>
      <c r="BBU363" s="398"/>
      <c r="BBV363" s="393"/>
      <c r="BBW363" s="398"/>
      <c r="BBX363" s="393"/>
      <c r="BBY363" s="398"/>
      <c r="BBZ363" s="393"/>
      <c r="BCA363" s="398"/>
      <c r="BCB363" s="393"/>
      <c r="BCC363" s="398"/>
      <c r="BCD363" s="393"/>
      <c r="BCE363" s="398"/>
      <c r="BCF363" s="393"/>
      <c r="BCG363" s="398"/>
      <c r="BCH363" s="393"/>
      <c r="BCI363" s="398"/>
      <c r="BCJ363" s="393"/>
      <c r="BCK363" s="398"/>
      <c r="BCL363" s="393"/>
      <c r="BCM363" s="398"/>
      <c r="BCN363" s="393"/>
      <c r="BCO363" s="398"/>
      <c r="BCP363" s="393"/>
      <c r="BCQ363" s="398"/>
      <c r="BCR363" s="393"/>
      <c r="BCS363" s="398"/>
      <c r="BCT363" s="393"/>
      <c r="BCU363" s="398"/>
      <c r="BCV363" s="393"/>
      <c r="BCW363" s="398"/>
      <c r="BCX363" s="393"/>
      <c r="BCY363" s="398"/>
      <c r="BCZ363" s="393"/>
      <c r="BDA363" s="398"/>
      <c r="BDB363" s="393"/>
      <c r="BDC363" s="398"/>
      <c r="BDD363" s="393"/>
      <c r="BDE363" s="398"/>
      <c r="BDF363" s="393"/>
      <c r="BDG363" s="398"/>
      <c r="BDH363" s="393"/>
      <c r="BDI363" s="398"/>
      <c r="BDJ363" s="393"/>
      <c r="BDK363" s="398"/>
      <c r="BDL363" s="393"/>
      <c r="BDM363" s="398"/>
      <c r="BDN363" s="393"/>
      <c r="BDO363" s="398"/>
      <c r="BDP363" s="393"/>
      <c r="BDQ363" s="398"/>
      <c r="BDR363" s="393"/>
      <c r="BDS363" s="398"/>
      <c r="BDT363" s="393"/>
      <c r="BDU363" s="398"/>
      <c r="BDV363" s="393"/>
      <c r="BDW363" s="398"/>
      <c r="BDX363" s="393"/>
      <c r="BDY363" s="398"/>
      <c r="BDZ363" s="393"/>
      <c r="BEA363" s="398"/>
      <c r="BEB363" s="393"/>
      <c r="BEC363" s="398"/>
      <c r="BED363" s="393"/>
      <c r="BEE363" s="398"/>
      <c r="BEF363" s="393"/>
      <c r="BEG363" s="398"/>
      <c r="BEH363" s="393"/>
      <c r="BEI363" s="398"/>
      <c r="BEJ363" s="393"/>
      <c r="BEK363" s="398"/>
      <c r="BEL363" s="393"/>
      <c r="BEM363" s="398"/>
      <c r="BEN363" s="393"/>
      <c r="BEO363" s="398"/>
      <c r="BEP363" s="393"/>
      <c r="BEQ363" s="398"/>
      <c r="BER363" s="393"/>
      <c r="BES363" s="398"/>
      <c r="BET363" s="393"/>
      <c r="BEU363" s="398"/>
      <c r="BEV363" s="393"/>
      <c r="BEW363" s="398"/>
      <c r="BEX363" s="393"/>
      <c r="BEY363" s="398"/>
      <c r="BEZ363" s="393"/>
      <c r="BFA363" s="398"/>
      <c r="BFB363" s="393"/>
      <c r="BFC363" s="398"/>
      <c r="BFD363" s="393"/>
      <c r="BFE363" s="398"/>
      <c r="BFF363" s="393"/>
      <c r="BFG363" s="398"/>
      <c r="BFH363" s="393"/>
      <c r="BFI363" s="398"/>
      <c r="BFJ363" s="393"/>
      <c r="BFK363" s="398"/>
      <c r="BFL363" s="393"/>
      <c r="BFM363" s="398"/>
      <c r="BFN363" s="393"/>
      <c r="BFO363" s="398"/>
      <c r="BFP363" s="393"/>
      <c r="BFQ363" s="398"/>
      <c r="BFR363" s="393"/>
      <c r="BFS363" s="398"/>
      <c r="BFT363" s="393"/>
      <c r="BFU363" s="398"/>
      <c r="BFV363" s="393"/>
      <c r="BFW363" s="398"/>
      <c r="BFX363" s="393"/>
      <c r="BFY363" s="398"/>
      <c r="BFZ363" s="393"/>
      <c r="BGA363" s="398"/>
      <c r="BGB363" s="393"/>
      <c r="BGC363" s="398"/>
      <c r="BGD363" s="393"/>
      <c r="BGE363" s="398"/>
      <c r="BGF363" s="393"/>
      <c r="BGG363" s="398"/>
      <c r="BGH363" s="393"/>
      <c r="BGI363" s="398"/>
      <c r="BGJ363" s="393"/>
      <c r="BGK363" s="398"/>
      <c r="BGL363" s="393"/>
      <c r="BGM363" s="398"/>
      <c r="BGN363" s="393"/>
      <c r="BGO363" s="398"/>
      <c r="BGP363" s="393"/>
      <c r="BGQ363" s="398"/>
      <c r="BGR363" s="393"/>
      <c r="BGS363" s="398"/>
      <c r="BGT363" s="393"/>
      <c r="BGU363" s="398"/>
      <c r="BGV363" s="393"/>
      <c r="BGW363" s="398"/>
      <c r="BGX363" s="393"/>
      <c r="BGY363" s="398"/>
      <c r="BGZ363" s="393"/>
      <c r="BHA363" s="398"/>
      <c r="BHB363" s="393"/>
      <c r="BHC363" s="398"/>
      <c r="BHD363" s="393"/>
      <c r="BHE363" s="398"/>
      <c r="BHF363" s="393"/>
      <c r="BHG363" s="398"/>
      <c r="BHH363" s="393"/>
      <c r="BHI363" s="398"/>
      <c r="BHJ363" s="393"/>
      <c r="BHK363" s="398"/>
      <c r="BHL363" s="393"/>
      <c r="BHM363" s="398"/>
      <c r="BHN363" s="393"/>
      <c r="BHO363" s="398"/>
      <c r="BHP363" s="393"/>
      <c r="BHQ363" s="398"/>
      <c r="BHR363" s="393"/>
      <c r="BHS363" s="398"/>
      <c r="BHT363" s="393"/>
      <c r="BHU363" s="398"/>
      <c r="BHV363" s="393"/>
      <c r="BHW363" s="398"/>
      <c r="BHX363" s="393"/>
      <c r="BHY363" s="398"/>
      <c r="BHZ363" s="393"/>
      <c r="BIA363" s="398"/>
      <c r="BIB363" s="393"/>
      <c r="BIC363" s="398"/>
      <c r="BID363" s="393"/>
      <c r="BIE363" s="398"/>
      <c r="BIF363" s="393"/>
      <c r="BIG363" s="398"/>
      <c r="BIH363" s="393"/>
      <c r="BII363" s="398"/>
      <c r="BIJ363" s="393"/>
      <c r="BIK363" s="398"/>
      <c r="BIL363" s="393"/>
      <c r="BIM363" s="398"/>
      <c r="BIN363" s="393"/>
      <c r="BIO363" s="398"/>
      <c r="BIP363" s="393"/>
      <c r="BIQ363" s="398"/>
      <c r="BIR363" s="393"/>
      <c r="BIS363" s="398"/>
      <c r="BIT363" s="393"/>
      <c r="BIU363" s="398"/>
      <c r="BIV363" s="393"/>
      <c r="BIW363" s="398"/>
      <c r="BIX363" s="393"/>
      <c r="BIY363" s="398"/>
      <c r="BIZ363" s="393"/>
      <c r="BJA363" s="398"/>
      <c r="BJB363" s="393"/>
      <c r="BJC363" s="398"/>
      <c r="BJD363" s="393"/>
      <c r="BJE363" s="398"/>
      <c r="BJF363" s="393"/>
      <c r="BJG363" s="398"/>
      <c r="BJH363" s="393"/>
      <c r="BJI363" s="398"/>
      <c r="BJJ363" s="393"/>
      <c r="BJK363" s="398"/>
      <c r="BJL363" s="393"/>
      <c r="BJM363" s="398"/>
      <c r="BJN363" s="393"/>
      <c r="BJO363" s="398"/>
      <c r="BJP363" s="393"/>
      <c r="BJQ363" s="398"/>
      <c r="BJR363" s="393"/>
      <c r="BJS363" s="398"/>
      <c r="BJT363" s="393"/>
      <c r="BJU363" s="398"/>
      <c r="BJV363" s="393"/>
      <c r="BJW363" s="398"/>
      <c r="BJX363" s="393"/>
      <c r="BJY363" s="398"/>
      <c r="BJZ363" s="393"/>
      <c r="BKA363" s="398"/>
      <c r="BKB363" s="393"/>
      <c r="BKC363" s="398"/>
      <c r="BKD363" s="393"/>
      <c r="BKE363" s="398"/>
      <c r="BKF363" s="393"/>
      <c r="BKG363" s="398"/>
      <c r="BKH363" s="393"/>
      <c r="BKI363" s="398"/>
      <c r="BKJ363" s="393"/>
      <c r="BKK363" s="398"/>
      <c r="BKL363" s="393"/>
      <c r="BKM363" s="398"/>
      <c r="BKN363" s="393"/>
      <c r="BKO363" s="398"/>
      <c r="BKP363" s="393"/>
      <c r="BKQ363" s="398"/>
      <c r="BKR363" s="393"/>
      <c r="BKS363" s="398"/>
      <c r="BKT363" s="393"/>
      <c r="BKU363" s="398"/>
      <c r="BKV363" s="393"/>
      <c r="BKW363" s="398"/>
      <c r="BKX363" s="393"/>
      <c r="BKY363" s="398"/>
      <c r="BKZ363" s="393"/>
      <c r="BLA363" s="398"/>
      <c r="BLB363" s="393"/>
      <c r="BLC363" s="398"/>
      <c r="BLD363" s="393"/>
      <c r="BLE363" s="398"/>
      <c r="BLF363" s="393"/>
      <c r="BLG363" s="398"/>
      <c r="BLH363" s="393"/>
      <c r="BLI363" s="398"/>
      <c r="BLJ363" s="393"/>
      <c r="BLK363" s="398"/>
      <c r="BLL363" s="393"/>
      <c r="BLM363" s="398"/>
      <c r="BLN363" s="393"/>
      <c r="BLO363" s="398"/>
      <c r="BLP363" s="393"/>
      <c r="BLQ363" s="398"/>
      <c r="BLR363" s="393"/>
      <c r="BLS363" s="398"/>
      <c r="BLT363" s="393"/>
      <c r="BLU363" s="398"/>
      <c r="BLV363" s="393"/>
      <c r="BLW363" s="398"/>
      <c r="BLX363" s="393"/>
      <c r="BLY363" s="398"/>
      <c r="BLZ363" s="393"/>
      <c r="BMA363" s="398"/>
      <c r="BMB363" s="393"/>
      <c r="BMC363" s="398"/>
      <c r="BMD363" s="393"/>
      <c r="BME363" s="398"/>
      <c r="BMF363" s="393"/>
      <c r="BMG363" s="398"/>
      <c r="BMH363" s="393"/>
      <c r="BMI363" s="398"/>
      <c r="BMJ363" s="393"/>
      <c r="BMK363" s="398"/>
      <c r="BML363" s="393"/>
      <c r="BMM363" s="398"/>
      <c r="BMN363" s="393"/>
      <c r="BMO363" s="398"/>
      <c r="BMP363" s="393"/>
      <c r="BMQ363" s="398"/>
      <c r="BMR363" s="393"/>
      <c r="BMS363" s="398"/>
      <c r="BMT363" s="393"/>
      <c r="BMU363" s="398"/>
      <c r="BMV363" s="393"/>
      <c r="BMW363" s="398"/>
      <c r="BMX363" s="393"/>
      <c r="BMY363" s="398"/>
      <c r="BMZ363" s="393"/>
      <c r="BNA363" s="398"/>
      <c r="BNB363" s="393"/>
      <c r="BNC363" s="398"/>
      <c r="BND363" s="393"/>
      <c r="BNE363" s="398"/>
      <c r="BNF363" s="393"/>
      <c r="BNG363" s="398"/>
      <c r="BNH363" s="393"/>
      <c r="BNI363" s="398"/>
      <c r="BNJ363" s="393"/>
      <c r="BNK363" s="398"/>
      <c r="BNL363" s="393"/>
      <c r="BNM363" s="398"/>
      <c r="BNN363" s="393"/>
      <c r="BNO363" s="398"/>
      <c r="BNP363" s="393"/>
      <c r="BNQ363" s="398"/>
      <c r="BNR363" s="393"/>
      <c r="BNS363" s="398"/>
      <c r="BNT363" s="393"/>
      <c r="BNU363" s="398"/>
      <c r="BNV363" s="393"/>
      <c r="BNW363" s="398"/>
      <c r="BNX363" s="393"/>
      <c r="BNY363" s="398"/>
      <c r="BNZ363" s="393"/>
      <c r="BOA363" s="398"/>
      <c r="BOB363" s="393"/>
      <c r="BOC363" s="398"/>
      <c r="BOD363" s="393"/>
      <c r="BOE363" s="398"/>
      <c r="BOF363" s="393"/>
      <c r="BOG363" s="398"/>
      <c r="BOH363" s="393"/>
      <c r="BOI363" s="398"/>
      <c r="BOJ363" s="393"/>
      <c r="BOK363" s="398"/>
      <c r="BOL363" s="393"/>
      <c r="BOM363" s="398"/>
      <c r="BON363" s="393"/>
      <c r="BOO363" s="398"/>
      <c r="BOP363" s="393"/>
      <c r="BOQ363" s="398"/>
      <c r="BOR363" s="393"/>
      <c r="BOS363" s="398"/>
      <c r="BOT363" s="393"/>
      <c r="BOU363" s="398"/>
      <c r="BOV363" s="393"/>
      <c r="BOW363" s="398"/>
      <c r="BOX363" s="393"/>
      <c r="BOY363" s="398"/>
      <c r="BOZ363" s="393"/>
      <c r="BPA363" s="398"/>
      <c r="BPB363" s="393"/>
      <c r="BPC363" s="398"/>
      <c r="BPD363" s="393"/>
      <c r="BPE363" s="398"/>
      <c r="BPF363" s="393"/>
      <c r="BPG363" s="398"/>
      <c r="BPH363" s="393"/>
      <c r="BPI363" s="398"/>
      <c r="BPJ363" s="393"/>
      <c r="BPK363" s="398"/>
      <c r="BPL363" s="393"/>
      <c r="BPM363" s="398"/>
      <c r="BPN363" s="393"/>
      <c r="BPO363" s="398"/>
      <c r="BPP363" s="393"/>
      <c r="BPQ363" s="398"/>
      <c r="BPR363" s="393"/>
      <c r="BPS363" s="398"/>
      <c r="BPT363" s="393"/>
      <c r="BPU363" s="398"/>
      <c r="BPV363" s="393"/>
      <c r="BPW363" s="398"/>
      <c r="BPX363" s="393"/>
      <c r="BPY363" s="398"/>
      <c r="BPZ363" s="393"/>
      <c r="BQA363" s="398"/>
      <c r="BQB363" s="393"/>
      <c r="BQC363" s="398"/>
      <c r="BQD363" s="393"/>
      <c r="BQE363" s="398"/>
      <c r="BQF363" s="393"/>
      <c r="BQG363" s="398"/>
      <c r="BQH363" s="393"/>
      <c r="BQI363" s="398"/>
      <c r="BQJ363" s="393"/>
      <c r="BQK363" s="398"/>
      <c r="BQL363" s="393"/>
      <c r="BQM363" s="398"/>
      <c r="BQN363" s="393"/>
      <c r="BQO363" s="398"/>
      <c r="BQP363" s="393"/>
      <c r="BQQ363" s="398"/>
      <c r="BQR363" s="393"/>
      <c r="BQS363" s="398"/>
      <c r="BQT363" s="393"/>
      <c r="BQU363" s="398"/>
      <c r="BQV363" s="393"/>
      <c r="BQW363" s="398"/>
      <c r="BQX363" s="393"/>
      <c r="BQY363" s="398"/>
      <c r="BQZ363" s="393"/>
      <c r="BRA363" s="398"/>
      <c r="BRB363" s="393"/>
      <c r="BRC363" s="398"/>
      <c r="BRD363" s="393"/>
      <c r="BRE363" s="398"/>
      <c r="BRF363" s="393"/>
      <c r="BRG363" s="398"/>
      <c r="BRH363" s="393"/>
      <c r="BRI363" s="398"/>
      <c r="BRJ363" s="393"/>
      <c r="BRK363" s="398"/>
      <c r="BRL363" s="393"/>
      <c r="BRM363" s="398"/>
      <c r="BRN363" s="393"/>
      <c r="BRO363" s="398"/>
      <c r="BRP363" s="393"/>
      <c r="BRQ363" s="398"/>
      <c r="BRR363" s="393"/>
      <c r="BRS363" s="398"/>
      <c r="BRT363" s="393"/>
      <c r="BRU363" s="398"/>
      <c r="BRV363" s="393"/>
      <c r="BRW363" s="398"/>
      <c r="BRX363" s="393"/>
      <c r="BRY363" s="398"/>
      <c r="BRZ363" s="393"/>
      <c r="BSA363" s="398"/>
      <c r="BSB363" s="393"/>
      <c r="BSC363" s="398"/>
      <c r="BSD363" s="393"/>
      <c r="BSE363" s="398"/>
      <c r="BSF363" s="393"/>
      <c r="BSG363" s="398"/>
      <c r="BSH363" s="393"/>
      <c r="BSI363" s="398"/>
      <c r="BSJ363" s="393"/>
      <c r="BSK363" s="398"/>
      <c r="BSL363" s="393"/>
      <c r="BSM363" s="398"/>
      <c r="BSN363" s="393"/>
      <c r="BSO363" s="398"/>
      <c r="BSP363" s="393"/>
      <c r="BSQ363" s="398"/>
      <c r="BSR363" s="393"/>
      <c r="BSS363" s="398"/>
      <c r="BST363" s="393"/>
      <c r="BSU363" s="398"/>
      <c r="BSV363" s="393"/>
      <c r="BSW363" s="398"/>
      <c r="BSX363" s="393"/>
      <c r="BSY363" s="398"/>
      <c r="BSZ363" s="393"/>
      <c r="BTA363" s="398"/>
      <c r="BTB363" s="393"/>
      <c r="BTC363" s="398"/>
      <c r="BTD363" s="393"/>
      <c r="BTE363" s="398"/>
      <c r="BTF363" s="393"/>
      <c r="BTG363" s="398"/>
      <c r="BTH363" s="393"/>
      <c r="BTI363" s="398"/>
      <c r="BTJ363" s="393"/>
      <c r="BTK363" s="398"/>
      <c r="BTL363" s="393"/>
      <c r="BTM363" s="398"/>
      <c r="BTN363" s="393"/>
      <c r="BTO363" s="398"/>
      <c r="BTP363" s="393"/>
      <c r="BTQ363" s="398"/>
      <c r="BTR363" s="393"/>
      <c r="BTS363" s="398"/>
      <c r="BTT363" s="393"/>
      <c r="BTU363" s="398"/>
      <c r="BTV363" s="393"/>
      <c r="BTW363" s="398"/>
      <c r="BTX363" s="393"/>
      <c r="BTY363" s="398"/>
      <c r="BTZ363" s="393"/>
      <c r="BUA363" s="398"/>
      <c r="BUB363" s="393"/>
      <c r="BUC363" s="398"/>
      <c r="BUD363" s="393"/>
      <c r="BUE363" s="398"/>
      <c r="BUF363" s="393"/>
      <c r="BUG363" s="398"/>
      <c r="BUH363" s="393"/>
      <c r="BUI363" s="398"/>
      <c r="BUJ363" s="393"/>
      <c r="BUK363" s="398"/>
      <c r="BUL363" s="393"/>
      <c r="BUM363" s="398"/>
      <c r="BUN363" s="393"/>
      <c r="BUO363" s="398"/>
      <c r="BUP363" s="393"/>
      <c r="BUQ363" s="398"/>
      <c r="BUR363" s="393"/>
      <c r="BUS363" s="398"/>
      <c r="BUT363" s="393"/>
      <c r="BUU363" s="398"/>
      <c r="BUV363" s="393"/>
      <c r="BUW363" s="398"/>
      <c r="BUX363" s="393"/>
      <c r="BUY363" s="398"/>
      <c r="BUZ363" s="393"/>
      <c r="BVA363" s="398"/>
      <c r="BVB363" s="393"/>
      <c r="BVC363" s="398"/>
      <c r="BVD363" s="393"/>
      <c r="BVE363" s="398"/>
      <c r="BVF363" s="393"/>
      <c r="BVG363" s="398"/>
      <c r="BVH363" s="393"/>
      <c r="BVI363" s="398"/>
      <c r="BVJ363" s="393"/>
      <c r="BVK363" s="398"/>
      <c r="BVL363" s="393"/>
      <c r="BVM363" s="398"/>
      <c r="BVN363" s="393"/>
      <c r="BVO363" s="398"/>
      <c r="BVP363" s="393"/>
      <c r="BVQ363" s="398"/>
      <c r="BVR363" s="393"/>
      <c r="BVS363" s="398"/>
      <c r="BVT363" s="393"/>
      <c r="BVU363" s="398"/>
      <c r="BVV363" s="393"/>
      <c r="BVW363" s="398"/>
      <c r="BVX363" s="393"/>
      <c r="BVY363" s="398"/>
      <c r="BVZ363" s="393"/>
      <c r="BWA363" s="398"/>
      <c r="BWB363" s="393"/>
      <c r="BWC363" s="398"/>
      <c r="BWD363" s="393"/>
      <c r="BWE363" s="398"/>
      <c r="BWF363" s="393"/>
      <c r="BWG363" s="398"/>
      <c r="BWH363" s="393"/>
      <c r="BWI363" s="398"/>
      <c r="BWJ363" s="393"/>
      <c r="BWK363" s="398"/>
      <c r="BWL363" s="393"/>
      <c r="BWM363" s="398"/>
      <c r="BWN363" s="393"/>
      <c r="BWO363" s="398"/>
      <c r="BWP363" s="393"/>
      <c r="BWQ363" s="398"/>
      <c r="BWR363" s="393"/>
      <c r="BWS363" s="398"/>
      <c r="BWT363" s="393"/>
      <c r="BWU363" s="398"/>
      <c r="BWV363" s="393"/>
      <c r="BWW363" s="398"/>
      <c r="BWX363" s="393"/>
      <c r="BWY363" s="398"/>
      <c r="BWZ363" s="393"/>
      <c r="BXA363" s="398"/>
      <c r="BXB363" s="393"/>
      <c r="BXC363" s="398"/>
      <c r="BXD363" s="393"/>
      <c r="BXE363" s="398"/>
      <c r="BXF363" s="393"/>
      <c r="BXG363" s="398"/>
      <c r="BXH363" s="393"/>
      <c r="BXI363" s="398"/>
      <c r="BXJ363" s="393"/>
      <c r="BXK363" s="398"/>
      <c r="BXL363" s="393"/>
      <c r="BXM363" s="398"/>
      <c r="BXN363" s="393"/>
      <c r="BXO363" s="398"/>
      <c r="BXP363" s="393"/>
      <c r="BXQ363" s="398"/>
      <c r="BXR363" s="393"/>
      <c r="BXS363" s="398"/>
      <c r="BXT363" s="393"/>
      <c r="BXU363" s="398"/>
      <c r="BXV363" s="393"/>
      <c r="BXW363" s="398"/>
      <c r="BXX363" s="393"/>
      <c r="BXY363" s="398"/>
      <c r="BXZ363" s="393"/>
      <c r="BYA363" s="398"/>
      <c r="BYB363" s="393"/>
      <c r="BYC363" s="398"/>
      <c r="BYD363" s="393"/>
      <c r="BYE363" s="398"/>
      <c r="BYF363" s="393"/>
      <c r="BYG363" s="398"/>
      <c r="BYH363" s="393"/>
      <c r="BYI363" s="398"/>
      <c r="BYJ363" s="393"/>
      <c r="BYK363" s="398"/>
      <c r="BYL363" s="393"/>
      <c r="BYM363" s="398"/>
      <c r="BYN363" s="393"/>
      <c r="BYO363" s="398"/>
      <c r="BYP363" s="393"/>
      <c r="BYQ363" s="398"/>
      <c r="BYR363" s="393"/>
      <c r="BYS363" s="398"/>
      <c r="BYT363" s="393"/>
      <c r="BYU363" s="398"/>
      <c r="BYV363" s="393"/>
      <c r="BYW363" s="398"/>
      <c r="BYX363" s="393"/>
      <c r="BYY363" s="398"/>
      <c r="BYZ363" s="393"/>
      <c r="BZA363" s="398"/>
      <c r="BZB363" s="393"/>
      <c r="BZC363" s="398"/>
      <c r="BZD363" s="393"/>
      <c r="BZE363" s="398"/>
      <c r="BZF363" s="393"/>
      <c r="BZG363" s="398"/>
      <c r="BZH363" s="393"/>
      <c r="BZI363" s="398"/>
      <c r="BZJ363" s="393"/>
      <c r="BZK363" s="398"/>
      <c r="BZL363" s="393"/>
      <c r="BZM363" s="398"/>
      <c r="BZN363" s="393"/>
      <c r="BZO363" s="398"/>
      <c r="BZP363" s="393"/>
      <c r="BZQ363" s="398"/>
      <c r="BZR363" s="393"/>
      <c r="BZS363" s="398"/>
      <c r="BZT363" s="393"/>
      <c r="BZU363" s="398"/>
      <c r="BZV363" s="393"/>
      <c r="BZW363" s="398"/>
      <c r="BZX363" s="393"/>
      <c r="BZY363" s="398"/>
      <c r="BZZ363" s="393"/>
      <c r="CAA363" s="398"/>
      <c r="CAB363" s="393"/>
      <c r="CAC363" s="398"/>
      <c r="CAD363" s="393"/>
      <c r="CAE363" s="398"/>
      <c r="CAF363" s="393"/>
      <c r="CAG363" s="398"/>
      <c r="CAH363" s="393"/>
      <c r="CAI363" s="398"/>
      <c r="CAJ363" s="393"/>
      <c r="CAK363" s="398"/>
      <c r="CAL363" s="393"/>
      <c r="CAM363" s="398"/>
      <c r="CAN363" s="393"/>
      <c r="CAO363" s="398"/>
      <c r="CAP363" s="393"/>
      <c r="CAQ363" s="398"/>
      <c r="CAR363" s="393"/>
      <c r="CAS363" s="398"/>
      <c r="CAT363" s="393"/>
      <c r="CAU363" s="398"/>
      <c r="CAV363" s="393"/>
      <c r="CAW363" s="398"/>
      <c r="CAX363" s="393"/>
      <c r="CAY363" s="398"/>
      <c r="CAZ363" s="393"/>
      <c r="CBA363" s="398"/>
      <c r="CBB363" s="393"/>
      <c r="CBC363" s="398"/>
      <c r="CBD363" s="393"/>
      <c r="CBE363" s="398"/>
      <c r="CBF363" s="393"/>
      <c r="CBG363" s="398"/>
      <c r="CBH363" s="393"/>
      <c r="CBI363" s="398"/>
      <c r="CBJ363" s="393"/>
      <c r="CBK363" s="398"/>
      <c r="CBL363" s="393"/>
      <c r="CBM363" s="398"/>
      <c r="CBN363" s="393"/>
      <c r="CBO363" s="398"/>
      <c r="CBP363" s="393"/>
      <c r="CBQ363" s="398"/>
      <c r="CBR363" s="393"/>
      <c r="CBS363" s="398"/>
      <c r="CBT363" s="393"/>
      <c r="CBU363" s="398"/>
      <c r="CBV363" s="393"/>
      <c r="CBW363" s="398"/>
      <c r="CBX363" s="393"/>
      <c r="CBY363" s="398"/>
      <c r="CBZ363" s="393"/>
      <c r="CCA363" s="398"/>
      <c r="CCB363" s="393"/>
      <c r="CCC363" s="398"/>
      <c r="CCD363" s="393"/>
      <c r="CCE363" s="398"/>
      <c r="CCF363" s="393"/>
      <c r="CCG363" s="398"/>
      <c r="CCH363" s="393"/>
      <c r="CCI363" s="398"/>
      <c r="CCJ363" s="393"/>
      <c r="CCK363" s="398"/>
      <c r="CCL363" s="393"/>
      <c r="CCM363" s="398"/>
      <c r="CCN363" s="393"/>
      <c r="CCO363" s="398"/>
      <c r="CCP363" s="393"/>
      <c r="CCQ363" s="398"/>
      <c r="CCR363" s="393"/>
      <c r="CCS363" s="398"/>
      <c r="CCT363" s="393"/>
      <c r="CCU363" s="398"/>
      <c r="CCV363" s="393"/>
      <c r="CCW363" s="398"/>
      <c r="CCX363" s="393"/>
      <c r="CCY363" s="398"/>
      <c r="CCZ363" s="393"/>
      <c r="CDA363" s="398"/>
      <c r="CDB363" s="393"/>
      <c r="CDC363" s="398"/>
      <c r="CDD363" s="393"/>
      <c r="CDE363" s="398"/>
      <c r="CDF363" s="393"/>
      <c r="CDG363" s="398"/>
      <c r="CDH363" s="393"/>
      <c r="CDI363" s="398"/>
      <c r="CDJ363" s="393"/>
      <c r="CDK363" s="398"/>
      <c r="CDL363" s="393"/>
      <c r="CDM363" s="398"/>
      <c r="CDN363" s="393"/>
      <c r="CDO363" s="398"/>
      <c r="CDP363" s="393"/>
      <c r="CDQ363" s="398"/>
      <c r="CDR363" s="393"/>
      <c r="CDS363" s="398"/>
      <c r="CDT363" s="393"/>
      <c r="CDU363" s="398"/>
      <c r="CDV363" s="393"/>
      <c r="CDW363" s="398"/>
      <c r="CDX363" s="393"/>
      <c r="CDY363" s="398"/>
      <c r="CDZ363" s="393"/>
      <c r="CEA363" s="398"/>
      <c r="CEB363" s="393"/>
      <c r="CEC363" s="398"/>
      <c r="CED363" s="393"/>
      <c r="CEE363" s="398"/>
      <c r="CEF363" s="393"/>
      <c r="CEG363" s="398"/>
      <c r="CEH363" s="393"/>
      <c r="CEI363" s="398"/>
      <c r="CEJ363" s="393"/>
      <c r="CEK363" s="398"/>
      <c r="CEL363" s="393"/>
      <c r="CEM363" s="398"/>
      <c r="CEN363" s="393"/>
      <c r="CEO363" s="398"/>
      <c r="CEP363" s="393"/>
      <c r="CEQ363" s="398"/>
      <c r="CER363" s="393"/>
      <c r="CES363" s="398"/>
      <c r="CET363" s="393"/>
      <c r="CEU363" s="398"/>
      <c r="CEV363" s="393"/>
      <c r="CEW363" s="398"/>
      <c r="CEX363" s="393"/>
      <c r="CEY363" s="398"/>
      <c r="CEZ363" s="393"/>
      <c r="CFA363" s="398"/>
      <c r="CFB363" s="393"/>
      <c r="CFC363" s="398"/>
      <c r="CFD363" s="393"/>
      <c r="CFE363" s="398"/>
      <c r="CFF363" s="393"/>
      <c r="CFG363" s="398"/>
      <c r="CFH363" s="393"/>
      <c r="CFI363" s="398"/>
      <c r="CFJ363" s="393"/>
      <c r="CFK363" s="398"/>
      <c r="CFL363" s="393"/>
      <c r="CFM363" s="398"/>
      <c r="CFN363" s="393"/>
      <c r="CFO363" s="398"/>
      <c r="CFP363" s="393"/>
      <c r="CFQ363" s="398"/>
      <c r="CFR363" s="393"/>
      <c r="CFS363" s="398"/>
      <c r="CFT363" s="393"/>
      <c r="CFU363" s="398"/>
      <c r="CFV363" s="393"/>
      <c r="CFW363" s="398"/>
      <c r="CFX363" s="393"/>
      <c r="CFY363" s="398"/>
      <c r="CFZ363" s="393"/>
      <c r="CGA363" s="398"/>
      <c r="CGB363" s="393"/>
      <c r="CGC363" s="398"/>
      <c r="CGD363" s="393"/>
      <c r="CGE363" s="398"/>
      <c r="CGF363" s="393"/>
      <c r="CGG363" s="398"/>
      <c r="CGH363" s="393"/>
      <c r="CGI363" s="398"/>
      <c r="CGJ363" s="393"/>
      <c r="CGK363" s="398"/>
      <c r="CGL363" s="393"/>
      <c r="CGM363" s="398"/>
      <c r="CGN363" s="393"/>
      <c r="CGO363" s="398"/>
      <c r="CGP363" s="393"/>
      <c r="CGQ363" s="398"/>
      <c r="CGR363" s="393"/>
      <c r="CGS363" s="398"/>
      <c r="CGT363" s="393"/>
      <c r="CGU363" s="398"/>
      <c r="CGV363" s="393"/>
      <c r="CGW363" s="398"/>
      <c r="CGX363" s="393"/>
      <c r="CGY363" s="398"/>
      <c r="CGZ363" s="393"/>
      <c r="CHA363" s="398"/>
      <c r="CHB363" s="393"/>
      <c r="CHC363" s="398"/>
      <c r="CHD363" s="393"/>
      <c r="CHE363" s="398"/>
      <c r="CHF363" s="393"/>
      <c r="CHG363" s="398"/>
      <c r="CHH363" s="393"/>
      <c r="CHI363" s="398"/>
      <c r="CHJ363" s="393"/>
      <c r="CHK363" s="398"/>
      <c r="CHL363" s="393"/>
      <c r="CHM363" s="398"/>
      <c r="CHN363" s="393"/>
      <c r="CHO363" s="398"/>
      <c r="CHP363" s="393"/>
      <c r="CHQ363" s="398"/>
      <c r="CHR363" s="393"/>
      <c r="CHS363" s="398"/>
      <c r="CHT363" s="393"/>
      <c r="CHU363" s="398"/>
      <c r="CHV363" s="393"/>
      <c r="CHW363" s="398"/>
      <c r="CHX363" s="393"/>
      <c r="CHY363" s="398"/>
      <c r="CHZ363" s="393"/>
      <c r="CIA363" s="398"/>
      <c r="CIB363" s="393"/>
      <c r="CIC363" s="398"/>
      <c r="CID363" s="393"/>
      <c r="CIE363" s="398"/>
      <c r="CIF363" s="393"/>
      <c r="CIG363" s="398"/>
      <c r="CIH363" s="393"/>
      <c r="CII363" s="398"/>
      <c r="CIJ363" s="393"/>
      <c r="CIK363" s="398"/>
      <c r="CIL363" s="393"/>
      <c r="CIM363" s="398"/>
      <c r="CIN363" s="393"/>
      <c r="CIO363" s="398"/>
      <c r="CIP363" s="393"/>
      <c r="CIQ363" s="398"/>
      <c r="CIR363" s="393"/>
      <c r="CIS363" s="398"/>
      <c r="CIT363" s="393"/>
      <c r="CIU363" s="398"/>
      <c r="CIV363" s="393"/>
      <c r="CIW363" s="398"/>
      <c r="CIX363" s="393"/>
      <c r="CIY363" s="398"/>
      <c r="CIZ363" s="393"/>
      <c r="CJA363" s="398"/>
      <c r="CJB363" s="393"/>
      <c r="CJC363" s="398"/>
      <c r="CJD363" s="393"/>
      <c r="CJE363" s="398"/>
      <c r="CJF363" s="393"/>
      <c r="CJG363" s="398"/>
      <c r="CJH363" s="393"/>
      <c r="CJI363" s="398"/>
      <c r="CJJ363" s="393"/>
      <c r="CJK363" s="398"/>
      <c r="CJL363" s="393"/>
      <c r="CJM363" s="398"/>
      <c r="CJN363" s="393"/>
      <c r="CJO363" s="398"/>
      <c r="CJP363" s="393"/>
      <c r="CJQ363" s="398"/>
      <c r="CJR363" s="393"/>
      <c r="CJS363" s="398"/>
      <c r="CJT363" s="393"/>
      <c r="CJU363" s="398"/>
      <c r="CJV363" s="393"/>
      <c r="CJW363" s="398"/>
      <c r="CJX363" s="393"/>
      <c r="CJY363" s="398"/>
      <c r="CJZ363" s="393"/>
      <c r="CKA363" s="398"/>
      <c r="CKB363" s="393"/>
      <c r="CKC363" s="398"/>
      <c r="CKD363" s="393"/>
      <c r="CKE363" s="398"/>
      <c r="CKF363" s="393"/>
      <c r="CKG363" s="398"/>
      <c r="CKH363" s="393"/>
      <c r="CKI363" s="398"/>
      <c r="CKJ363" s="393"/>
      <c r="CKK363" s="398"/>
      <c r="CKL363" s="393"/>
      <c r="CKM363" s="398"/>
      <c r="CKN363" s="393"/>
      <c r="CKO363" s="398"/>
      <c r="CKP363" s="393"/>
      <c r="CKQ363" s="398"/>
      <c r="CKR363" s="393"/>
      <c r="CKS363" s="398"/>
      <c r="CKT363" s="393"/>
      <c r="CKU363" s="398"/>
      <c r="CKV363" s="393"/>
      <c r="CKW363" s="398"/>
      <c r="CKX363" s="393"/>
      <c r="CKY363" s="398"/>
      <c r="CKZ363" s="393"/>
      <c r="CLA363" s="398"/>
      <c r="CLB363" s="393"/>
      <c r="CLC363" s="398"/>
      <c r="CLD363" s="393"/>
      <c r="CLE363" s="398"/>
      <c r="CLF363" s="393"/>
      <c r="CLG363" s="398"/>
      <c r="CLH363" s="393"/>
      <c r="CLI363" s="398"/>
      <c r="CLJ363" s="393"/>
      <c r="CLK363" s="398"/>
      <c r="CLL363" s="393"/>
      <c r="CLM363" s="398"/>
      <c r="CLN363" s="393"/>
      <c r="CLO363" s="398"/>
      <c r="CLP363" s="393"/>
      <c r="CLQ363" s="398"/>
      <c r="CLR363" s="393"/>
      <c r="CLS363" s="398"/>
      <c r="CLT363" s="393"/>
      <c r="CLU363" s="398"/>
      <c r="CLV363" s="393"/>
      <c r="CLW363" s="398"/>
      <c r="CLX363" s="393"/>
      <c r="CLY363" s="398"/>
      <c r="CLZ363" s="393"/>
      <c r="CMA363" s="398"/>
      <c r="CMB363" s="393"/>
      <c r="CMC363" s="398"/>
      <c r="CMD363" s="393"/>
      <c r="CME363" s="398"/>
      <c r="CMF363" s="393"/>
      <c r="CMG363" s="398"/>
      <c r="CMH363" s="393"/>
      <c r="CMI363" s="398"/>
      <c r="CMJ363" s="393"/>
      <c r="CMK363" s="398"/>
      <c r="CML363" s="393"/>
      <c r="CMM363" s="398"/>
      <c r="CMN363" s="393"/>
      <c r="CMO363" s="398"/>
      <c r="CMP363" s="393"/>
      <c r="CMQ363" s="398"/>
      <c r="CMR363" s="393"/>
      <c r="CMS363" s="398"/>
      <c r="CMT363" s="393"/>
      <c r="CMU363" s="398"/>
      <c r="CMV363" s="393"/>
      <c r="CMW363" s="398"/>
      <c r="CMX363" s="393"/>
      <c r="CMY363" s="398"/>
      <c r="CMZ363" s="393"/>
      <c r="CNA363" s="398"/>
      <c r="CNB363" s="393"/>
      <c r="CNC363" s="398"/>
      <c r="CND363" s="393"/>
      <c r="CNE363" s="398"/>
      <c r="CNF363" s="393"/>
      <c r="CNG363" s="398"/>
      <c r="CNH363" s="393"/>
      <c r="CNI363" s="398"/>
      <c r="CNJ363" s="393"/>
      <c r="CNK363" s="398"/>
      <c r="CNL363" s="393"/>
      <c r="CNM363" s="398"/>
      <c r="CNN363" s="393"/>
      <c r="CNO363" s="398"/>
      <c r="CNP363" s="393"/>
      <c r="CNQ363" s="398"/>
      <c r="CNR363" s="393"/>
      <c r="CNS363" s="398"/>
      <c r="CNT363" s="393"/>
      <c r="CNU363" s="398"/>
      <c r="CNV363" s="393"/>
      <c r="CNW363" s="398"/>
      <c r="CNX363" s="393"/>
      <c r="CNY363" s="398"/>
      <c r="CNZ363" s="393"/>
      <c r="COA363" s="398"/>
      <c r="COB363" s="393"/>
      <c r="COC363" s="398"/>
      <c r="COD363" s="393"/>
      <c r="COE363" s="398"/>
      <c r="COF363" s="393"/>
      <c r="COG363" s="398"/>
      <c r="COH363" s="393"/>
      <c r="COI363" s="398"/>
      <c r="COJ363" s="393"/>
      <c r="COK363" s="398"/>
      <c r="COL363" s="393"/>
      <c r="COM363" s="398"/>
      <c r="CON363" s="393"/>
      <c r="COO363" s="398"/>
      <c r="COP363" s="393"/>
      <c r="COQ363" s="398"/>
      <c r="COR363" s="393"/>
      <c r="COS363" s="398"/>
      <c r="COT363" s="393"/>
      <c r="COU363" s="398"/>
      <c r="COV363" s="393"/>
      <c r="COW363" s="398"/>
      <c r="COX363" s="393"/>
      <c r="COY363" s="398"/>
      <c r="COZ363" s="393"/>
      <c r="CPA363" s="398"/>
      <c r="CPB363" s="393"/>
      <c r="CPC363" s="398"/>
      <c r="CPD363" s="393"/>
      <c r="CPE363" s="398"/>
      <c r="CPF363" s="393"/>
      <c r="CPG363" s="398"/>
      <c r="CPH363" s="393"/>
      <c r="CPI363" s="398"/>
      <c r="CPJ363" s="393"/>
      <c r="CPK363" s="398"/>
      <c r="CPL363" s="393"/>
      <c r="CPM363" s="398"/>
      <c r="CPN363" s="393"/>
      <c r="CPO363" s="398"/>
      <c r="CPP363" s="393"/>
      <c r="CPQ363" s="398"/>
      <c r="CPR363" s="393"/>
      <c r="CPS363" s="398"/>
      <c r="CPT363" s="393"/>
      <c r="CPU363" s="398"/>
      <c r="CPV363" s="393"/>
      <c r="CPW363" s="398"/>
      <c r="CPX363" s="393"/>
      <c r="CPY363" s="398"/>
      <c r="CPZ363" s="393"/>
      <c r="CQA363" s="398"/>
      <c r="CQB363" s="393"/>
      <c r="CQC363" s="398"/>
      <c r="CQD363" s="393"/>
      <c r="CQE363" s="398"/>
      <c r="CQF363" s="393"/>
      <c r="CQG363" s="398"/>
      <c r="CQH363" s="393"/>
      <c r="CQI363" s="398"/>
      <c r="CQJ363" s="393"/>
      <c r="CQK363" s="398"/>
      <c r="CQL363" s="393"/>
      <c r="CQM363" s="398"/>
      <c r="CQN363" s="393"/>
      <c r="CQO363" s="398"/>
      <c r="CQP363" s="393"/>
      <c r="CQQ363" s="398"/>
      <c r="CQR363" s="393"/>
      <c r="CQS363" s="398"/>
      <c r="CQT363" s="393"/>
      <c r="CQU363" s="398"/>
      <c r="CQV363" s="393"/>
      <c r="CQW363" s="398"/>
      <c r="CQX363" s="393"/>
      <c r="CQY363" s="398"/>
      <c r="CQZ363" s="393"/>
      <c r="CRA363" s="398"/>
      <c r="CRB363" s="393"/>
      <c r="CRC363" s="398"/>
      <c r="CRD363" s="393"/>
      <c r="CRE363" s="398"/>
      <c r="CRF363" s="393"/>
      <c r="CRG363" s="398"/>
      <c r="CRH363" s="393"/>
      <c r="CRI363" s="398"/>
      <c r="CRJ363" s="393"/>
      <c r="CRK363" s="398"/>
      <c r="CRL363" s="393"/>
      <c r="CRM363" s="398"/>
      <c r="CRN363" s="393"/>
      <c r="CRO363" s="398"/>
      <c r="CRP363" s="393"/>
      <c r="CRQ363" s="398"/>
      <c r="CRR363" s="393"/>
      <c r="CRS363" s="398"/>
      <c r="CRT363" s="393"/>
      <c r="CRU363" s="398"/>
      <c r="CRV363" s="393"/>
      <c r="CRW363" s="398"/>
      <c r="CRX363" s="393"/>
      <c r="CRY363" s="398"/>
      <c r="CRZ363" s="393"/>
      <c r="CSA363" s="398"/>
      <c r="CSB363" s="393"/>
      <c r="CSC363" s="398"/>
      <c r="CSD363" s="393"/>
      <c r="CSE363" s="398"/>
      <c r="CSF363" s="393"/>
      <c r="CSG363" s="398"/>
      <c r="CSH363" s="393"/>
      <c r="CSI363" s="398"/>
      <c r="CSJ363" s="393"/>
      <c r="CSK363" s="398"/>
      <c r="CSL363" s="393"/>
      <c r="CSM363" s="398"/>
      <c r="CSN363" s="393"/>
      <c r="CSO363" s="398"/>
      <c r="CSP363" s="393"/>
      <c r="CSQ363" s="398"/>
      <c r="CSR363" s="393"/>
      <c r="CSS363" s="398"/>
      <c r="CST363" s="393"/>
      <c r="CSU363" s="398"/>
      <c r="CSV363" s="393"/>
      <c r="CSW363" s="398"/>
      <c r="CSX363" s="393"/>
      <c r="CSY363" s="398"/>
      <c r="CSZ363" s="393"/>
      <c r="CTA363" s="398"/>
      <c r="CTB363" s="393"/>
      <c r="CTC363" s="398"/>
      <c r="CTD363" s="393"/>
      <c r="CTE363" s="398"/>
      <c r="CTF363" s="393"/>
      <c r="CTG363" s="398"/>
      <c r="CTH363" s="393"/>
      <c r="CTI363" s="398"/>
      <c r="CTJ363" s="393"/>
      <c r="CTK363" s="398"/>
      <c r="CTL363" s="393"/>
      <c r="CTM363" s="398"/>
      <c r="CTN363" s="393"/>
      <c r="CTO363" s="398"/>
      <c r="CTP363" s="393"/>
      <c r="CTQ363" s="398"/>
      <c r="CTR363" s="393"/>
      <c r="CTS363" s="398"/>
      <c r="CTT363" s="393"/>
      <c r="CTU363" s="398"/>
      <c r="CTV363" s="393"/>
      <c r="CTW363" s="398"/>
      <c r="CTX363" s="393"/>
      <c r="CTY363" s="398"/>
      <c r="CTZ363" s="393"/>
      <c r="CUA363" s="398"/>
      <c r="CUB363" s="393"/>
      <c r="CUC363" s="398"/>
      <c r="CUD363" s="393"/>
      <c r="CUE363" s="398"/>
      <c r="CUF363" s="393"/>
      <c r="CUG363" s="398"/>
      <c r="CUH363" s="393"/>
      <c r="CUI363" s="398"/>
      <c r="CUJ363" s="393"/>
      <c r="CUK363" s="398"/>
      <c r="CUL363" s="393"/>
      <c r="CUM363" s="398"/>
      <c r="CUN363" s="393"/>
      <c r="CUO363" s="398"/>
      <c r="CUP363" s="393"/>
      <c r="CUQ363" s="398"/>
      <c r="CUR363" s="393"/>
      <c r="CUS363" s="398"/>
      <c r="CUT363" s="393"/>
      <c r="CUU363" s="398"/>
      <c r="CUV363" s="393"/>
      <c r="CUW363" s="398"/>
      <c r="CUX363" s="393"/>
      <c r="CUY363" s="398"/>
      <c r="CUZ363" s="393"/>
      <c r="CVA363" s="398"/>
      <c r="CVB363" s="393"/>
      <c r="CVC363" s="398"/>
      <c r="CVD363" s="393"/>
      <c r="CVE363" s="398"/>
      <c r="CVF363" s="393"/>
      <c r="CVG363" s="398"/>
      <c r="CVH363" s="393"/>
      <c r="CVI363" s="398"/>
      <c r="CVJ363" s="393"/>
      <c r="CVK363" s="398"/>
      <c r="CVL363" s="393"/>
      <c r="CVM363" s="398"/>
      <c r="CVN363" s="393"/>
      <c r="CVO363" s="398"/>
      <c r="CVP363" s="393"/>
      <c r="CVQ363" s="398"/>
      <c r="CVR363" s="393"/>
      <c r="CVS363" s="398"/>
      <c r="CVT363" s="393"/>
      <c r="CVU363" s="398"/>
      <c r="CVV363" s="393"/>
      <c r="CVW363" s="398"/>
      <c r="CVX363" s="393"/>
      <c r="CVY363" s="398"/>
      <c r="CVZ363" s="393"/>
      <c r="CWA363" s="398"/>
      <c r="CWB363" s="393"/>
      <c r="CWC363" s="398"/>
      <c r="CWD363" s="393"/>
      <c r="CWE363" s="398"/>
      <c r="CWF363" s="393"/>
      <c r="CWG363" s="398"/>
      <c r="CWH363" s="393"/>
      <c r="CWI363" s="398"/>
      <c r="CWJ363" s="393"/>
      <c r="CWK363" s="398"/>
      <c r="CWL363" s="393"/>
      <c r="CWM363" s="398"/>
      <c r="CWN363" s="393"/>
      <c r="CWO363" s="398"/>
      <c r="CWP363" s="393"/>
      <c r="CWQ363" s="398"/>
      <c r="CWR363" s="393"/>
      <c r="CWS363" s="398"/>
      <c r="CWT363" s="393"/>
      <c r="CWU363" s="398"/>
      <c r="CWV363" s="393"/>
      <c r="CWW363" s="398"/>
      <c r="CWX363" s="393"/>
      <c r="CWY363" s="398"/>
      <c r="CWZ363" s="393"/>
      <c r="CXA363" s="398"/>
      <c r="CXB363" s="393"/>
      <c r="CXC363" s="398"/>
      <c r="CXD363" s="393"/>
      <c r="CXE363" s="398"/>
      <c r="CXF363" s="393"/>
      <c r="CXG363" s="398"/>
      <c r="CXH363" s="393"/>
      <c r="CXI363" s="398"/>
      <c r="CXJ363" s="393"/>
      <c r="CXK363" s="398"/>
      <c r="CXL363" s="393"/>
      <c r="CXM363" s="398"/>
      <c r="CXN363" s="393"/>
      <c r="CXO363" s="398"/>
      <c r="CXP363" s="393"/>
      <c r="CXQ363" s="398"/>
      <c r="CXR363" s="393"/>
      <c r="CXS363" s="398"/>
      <c r="CXT363" s="393"/>
      <c r="CXU363" s="398"/>
      <c r="CXV363" s="393"/>
      <c r="CXW363" s="398"/>
      <c r="CXX363" s="393"/>
      <c r="CXY363" s="398"/>
      <c r="CXZ363" s="393"/>
      <c r="CYA363" s="398"/>
      <c r="CYB363" s="393"/>
      <c r="CYC363" s="398"/>
      <c r="CYD363" s="393"/>
      <c r="CYE363" s="398"/>
      <c r="CYF363" s="393"/>
      <c r="CYG363" s="398"/>
      <c r="CYH363" s="393"/>
      <c r="CYI363" s="398"/>
      <c r="CYJ363" s="393"/>
      <c r="CYK363" s="398"/>
      <c r="CYL363" s="393"/>
      <c r="CYM363" s="398"/>
      <c r="CYN363" s="393"/>
      <c r="CYO363" s="398"/>
      <c r="CYP363" s="393"/>
      <c r="CYQ363" s="398"/>
      <c r="CYR363" s="393"/>
      <c r="CYS363" s="398"/>
      <c r="CYT363" s="393"/>
      <c r="CYU363" s="398"/>
      <c r="CYV363" s="393"/>
      <c r="CYW363" s="398"/>
      <c r="CYX363" s="393"/>
      <c r="CYY363" s="398"/>
      <c r="CYZ363" s="393"/>
      <c r="CZA363" s="398"/>
      <c r="CZB363" s="393"/>
      <c r="CZC363" s="398"/>
      <c r="CZD363" s="393"/>
      <c r="CZE363" s="398"/>
      <c r="CZF363" s="393"/>
      <c r="CZG363" s="398"/>
      <c r="CZH363" s="393"/>
      <c r="CZI363" s="398"/>
      <c r="CZJ363" s="393"/>
      <c r="CZK363" s="398"/>
      <c r="CZL363" s="393"/>
      <c r="CZM363" s="398"/>
      <c r="CZN363" s="393"/>
      <c r="CZO363" s="398"/>
      <c r="CZP363" s="393"/>
      <c r="CZQ363" s="398"/>
      <c r="CZR363" s="393"/>
      <c r="CZS363" s="398"/>
      <c r="CZT363" s="393"/>
      <c r="CZU363" s="398"/>
      <c r="CZV363" s="393"/>
      <c r="CZW363" s="398"/>
      <c r="CZX363" s="393"/>
      <c r="CZY363" s="398"/>
      <c r="CZZ363" s="393"/>
      <c r="DAA363" s="398"/>
      <c r="DAB363" s="393"/>
      <c r="DAC363" s="398"/>
      <c r="DAD363" s="393"/>
      <c r="DAE363" s="398"/>
      <c r="DAF363" s="393"/>
      <c r="DAG363" s="398"/>
      <c r="DAH363" s="393"/>
      <c r="DAI363" s="398"/>
      <c r="DAJ363" s="393"/>
      <c r="DAK363" s="398"/>
      <c r="DAL363" s="393"/>
      <c r="DAM363" s="398"/>
      <c r="DAN363" s="393"/>
      <c r="DAO363" s="398"/>
      <c r="DAP363" s="393"/>
      <c r="DAQ363" s="398"/>
      <c r="DAR363" s="393"/>
      <c r="DAS363" s="398"/>
      <c r="DAT363" s="393"/>
      <c r="DAU363" s="398"/>
      <c r="DAV363" s="393"/>
      <c r="DAW363" s="398"/>
      <c r="DAX363" s="393"/>
      <c r="DAY363" s="398"/>
      <c r="DAZ363" s="393"/>
      <c r="DBA363" s="398"/>
      <c r="DBB363" s="393"/>
      <c r="DBC363" s="398"/>
      <c r="DBD363" s="393"/>
      <c r="DBE363" s="398"/>
      <c r="DBF363" s="393"/>
      <c r="DBG363" s="398"/>
      <c r="DBH363" s="393"/>
      <c r="DBI363" s="398"/>
      <c r="DBJ363" s="393"/>
      <c r="DBK363" s="398"/>
      <c r="DBL363" s="393"/>
      <c r="DBM363" s="398"/>
      <c r="DBN363" s="393"/>
      <c r="DBO363" s="398"/>
      <c r="DBP363" s="393"/>
      <c r="DBQ363" s="398"/>
      <c r="DBR363" s="393"/>
      <c r="DBS363" s="398"/>
      <c r="DBT363" s="393"/>
      <c r="DBU363" s="398"/>
      <c r="DBV363" s="393"/>
      <c r="DBW363" s="398"/>
      <c r="DBX363" s="393"/>
      <c r="DBY363" s="398"/>
      <c r="DBZ363" s="393"/>
      <c r="DCA363" s="398"/>
      <c r="DCB363" s="393"/>
      <c r="DCC363" s="398"/>
      <c r="DCD363" s="393"/>
      <c r="DCE363" s="398"/>
      <c r="DCF363" s="393"/>
      <c r="DCG363" s="398"/>
      <c r="DCH363" s="393"/>
      <c r="DCI363" s="398"/>
      <c r="DCJ363" s="393"/>
      <c r="DCK363" s="398"/>
      <c r="DCL363" s="393"/>
      <c r="DCM363" s="398"/>
      <c r="DCN363" s="393"/>
      <c r="DCO363" s="398"/>
      <c r="DCP363" s="393"/>
      <c r="DCQ363" s="398"/>
      <c r="DCR363" s="393"/>
      <c r="DCS363" s="398"/>
      <c r="DCT363" s="393"/>
      <c r="DCU363" s="398"/>
      <c r="DCV363" s="393"/>
      <c r="DCW363" s="398"/>
      <c r="DCX363" s="393"/>
      <c r="DCY363" s="398"/>
      <c r="DCZ363" s="393"/>
      <c r="DDA363" s="398"/>
      <c r="DDB363" s="393"/>
      <c r="DDC363" s="398"/>
      <c r="DDD363" s="393"/>
      <c r="DDE363" s="398"/>
      <c r="DDF363" s="393"/>
      <c r="DDG363" s="398"/>
      <c r="DDH363" s="393"/>
      <c r="DDI363" s="398"/>
      <c r="DDJ363" s="393"/>
      <c r="DDK363" s="398"/>
      <c r="DDL363" s="393"/>
      <c r="DDM363" s="398"/>
      <c r="DDN363" s="393"/>
      <c r="DDO363" s="398"/>
      <c r="DDP363" s="393"/>
      <c r="DDQ363" s="398"/>
      <c r="DDR363" s="393"/>
      <c r="DDS363" s="398"/>
      <c r="DDT363" s="393"/>
      <c r="DDU363" s="398"/>
      <c r="DDV363" s="393"/>
      <c r="DDW363" s="398"/>
      <c r="DDX363" s="393"/>
      <c r="DDY363" s="398"/>
      <c r="DDZ363" s="393"/>
      <c r="DEA363" s="398"/>
      <c r="DEB363" s="393"/>
      <c r="DEC363" s="398"/>
      <c r="DED363" s="393"/>
      <c r="DEE363" s="398"/>
      <c r="DEF363" s="393"/>
      <c r="DEG363" s="398"/>
      <c r="DEH363" s="393"/>
      <c r="DEI363" s="398"/>
      <c r="DEJ363" s="393"/>
      <c r="DEK363" s="398"/>
      <c r="DEL363" s="393"/>
      <c r="DEM363" s="398"/>
      <c r="DEN363" s="393"/>
      <c r="DEO363" s="398"/>
      <c r="DEP363" s="393"/>
      <c r="DEQ363" s="398"/>
      <c r="DER363" s="393"/>
      <c r="DES363" s="398"/>
      <c r="DET363" s="393"/>
      <c r="DEU363" s="398"/>
      <c r="DEV363" s="393"/>
      <c r="DEW363" s="398"/>
      <c r="DEX363" s="393"/>
      <c r="DEY363" s="398"/>
      <c r="DEZ363" s="393"/>
      <c r="DFA363" s="398"/>
      <c r="DFB363" s="393"/>
      <c r="DFC363" s="398"/>
      <c r="DFD363" s="393"/>
      <c r="DFE363" s="398"/>
      <c r="DFF363" s="393"/>
      <c r="DFG363" s="398"/>
      <c r="DFH363" s="393"/>
      <c r="DFI363" s="398"/>
      <c r="DFJ363" s="393"/>
      <c r="DFK363" s="398"/>
      <c r="DFL363" s="393"/>
      <c r="DFM363" s="398"/>
      <c r="DFN363" s="393"/>
      <c r="DFO363" s="398"/>
      <c r="DFP363" s="393"/>
      <c r="DFQ363" s="398"/>
      <c r="DFR363" s="393"/>
      <c r="DFS363" s="398"/>
      <c r="DFT363" s="393"/>
      <c r="DFU363" s="398"/>
      <c r="DFV363" s="393"/>
      <c r="DFW363" s="398"/>
      <c r="DFX363" s="393"/>
      <c r="DFY363" s="398"/>
      <c r="DFZ363" s="393"/>
      <c r="DGA363" s="398"/>
      <c r="DGB363" s="393"/>
      <c r="DGC363" s="398"/>
      <c r="DGD363" s="393"/>
      <c r="DGE363" s="398"/>
      <c r="DGF363" s="393"/>
      <c r="DGG363" s="398"/>
      <c r="DGH363" s="393"/>
      <c r="DGI363" s="398"/>
      <c r="DGJ363" s="393"/>
      <c r="DGK363" s="398"/>
      <c r="DGL363" s="393"/>
      <c r="DGM363" s="398"/>
      <c r="DGN363" s="393"/>
      <c r="DGO363" s="398"/>
      <c r="DGP363" s="393"/>
      <c r="DGQ363" s="398"/>
      <c r="DGR363" s="393"/>
      <c r="DGS363" s="398"/>
      <c r="DGT363" s="393"/>
      <c r="DGU363" s="398"/>
      <c r="DGV363" s="393"/>
      <c r="DGW363" s="398"/>
      <c r="DGX363" s="393"/>
      <c r="DGY363" s="398"/>
      <c r="DGZ363" s="393"/>
      <c r="DHA363" s="398"/>
      <c r="DHB363" s="393"/>
      <c r="DHC363" s="398"/>
      <c r="DHD363" s="393"/>
      <c r="DHE363" s="398"/>
      <c r="DHF363" s="393"/>
      <c r="DHG363" s="398"/>
      <c r="DHH363" s="393"/>
      <c r="DHI363" s="398"/>
      <c r="DHJ363" s="393"/>
      <c r="DHK363" s="398"/>
      <c r="DHL363" s="393"/>
      <c r="DHM363" s="398"/>
      <c r="DHN363" s="393"/>
      <c r="DHO363" s="398"/>
      <c r="DHP363" s="393"/>
      <c r="DHQ363" s="398"/>
      <c r="DHR363" s="393"/>
      <c r="DHS363" s="398"/>
      <c r="DHT363" s="393"/>
      <c r="DHU363" s="398"/>
      <c r="DHV363" s="393"/>
      <c r="DHW363" s="398"/>
      <c r="DHX363" s="393"/>
      <c r="DHY363" s="398"/>
      <c r="DHZ363" s="393"/>
      <c r="DIA363" s="398"/>
      <c r="DIB363" s="393"/>
      <c r="DIC363" s="398"/>
      <c r="DID363" s="393"/>
      <c r="DIE363" s="398"/>
      <c r="DIF363" s="393"/>
      <c r="DIG363" s="398"/>
      <c r="DIH363" s="393"/>
      <c r="DII363" s="398"/>
      <c r="DIJ363" s="393"/>
      <c r="DIK363" s="398"/>
      <c r="DIL363" s="393"/>
      <c r="DIM363" s="398"/>
      <c r="DIN363" s="393"/>
      <c r="DIO363" s="398"/>
      <c r="DIP363" s="393"/>
      <c r="DIQ363" s="398"/>
      <c r="DIR363" s="393"/>
      <c r="DIS363" s="398"/>
      <c r="DIT363" s="393"/>
      <c r="DIU363" s="398"/>
      <c r="DIV363" s="393"/>
      <c r="DIW363" s="398"/>
      <c r="DIX363" s="393"/>
      <c r="DIY363" s="398"/>
      <c r="DIZ363" s="393"/>
      <c r="DJA363" s="398"/>
      <c r="DJB363" s="393"/>
      <c r="DJC363" s="398"/>
      <c r="DJD363" s="393"/>
      <c r="DJE363" s="398"/>
      <c r="DJF363" s="393"/>
      <c r="DJG363" s="398"/>
      <c r="DJH363" s="393"/>
      <c r="DJI363" s="398"/>
      <c r="DJJ363" s="393"/>
      <c r="DJK363" s="398"/>
      <c r="DJL363" s="393"/>
      <c r="DJM363" s="398"/>
      <c r="DJN363" s="393"/>
      <c r="DJO363" s="398"/>
      <c r="DJP363" s="393"/>
      <c r="DJQ363" s="398"/>
      <c r="DJR363" s="393"/>
      <c r="DJS363" s="398"/>
      <c r="DJT363" s="393"/>
      <c r="DJU363" s="398"/>
      <c r="DJV363" s="393"/>
      <c r="DJW363" s="398"/>
      <c r="DJX363" s="393"/>
      <c r="DJY363" s="398"/>
      <c r="DJZ363" s="393"/>
      <c r="DKA363" s="398"/>
      <c r="DKB363" s="393"/>
      <c r="DKC363" s="398"/>
      <c r="DKD363" s="393"/>
      <c r="DKE363" s="398"/>
      <c r="DKF363" s="393"/>
      <c r="DKG363" s="398"/>
      <c r="DKH363" s="393"/>
      <c r="DKI363" s="398"/>
      <c r="DKJ363" s="393"/>
      <c r="DKK363" s="398"/>
      <c r="DKL363" s="393"/>
      <c r="DKM363" s="398"/>
      <c r="DKN363" s="393"/>
      <c r="DKO363" s="398"/>
      <c r="DKP363" s="393"/>
      <c r="DKQ363" s="398"/>
      <c r="DKR363" s="393"/>
      <c r="DKS363" s="398"/>
      <c r="DKT363" s="393"/>
      <c r="DKU363" s="398"/>
      <c r="DKV363" s="393"/>
      <c r="DKW363" s="398"/>
      <c r="DKX363" s="393"/>
      <c r="DKY363" s="398"/>
      <c r="DKZ363" s="393"/>
      <c r="DLA363" s="398"/>
      <c r="DLB363" s="393"/>
      <c r="DLC363" s="398"/>
      <c r="DLD363" s="393"/>
      <c r="DLE363" s="398"/>
      <c r="DLF363" s="393"/>
      <c r="DLG363" s="398"/>
      <c r="DLH363" s="393"/>
      <c r="DLI363" s="398"/>
      <c r="DLJ363" s="393"/>
      <c r="DLK363" s="398"/>
      <c r="DLL363" s="393"/>
      <c r="DLM363" s="398"/>
      <c r="DLN363" s="393"/>
      <c r="DLO363" s="398"/>
      <c r="DLP363" s="393"/>
      <c r="DLQ363" s="398"/>
      <c r="DLR363" s="393"/>
      <c r="DLS363" s="398"/>
      <c r="DLT363" s="393"/>
      <c r="DLU363" s="398"/>
      <c r="DLV363" s="393"/>
      <c r="DLW363" s="398"/>
      <c r="DLX363" s="393"/>
      <c r="DLY363" s="398"/>
      <c r="DLZ363" s="393"/>
      <c r="DMA363" s="398"/>
      <c r="DMB363" s="393"/>
      <c r="DMC363" s="398"/>
      <c r="DMD363" s="393"/>
      <c r="DME363" s="398"/>
      <c r="DMF363" s="393"/>
      <c r="DMG363" s="398"/>
      <c r="DMH363" s="393"/>
      <c r="DMI363" s="398"/>
      <c r="DMJ363" s="393"/>
      <c r="DMK363" s="398"/>
      <c r="DML363" s="393"/>
      <c r="DMM363" s="398"/>
      <c r="DMN363" s="393"/>
      <c r="DMO363" s="398"/>
      <c r="DMP363" s="393"/>
      <c r="DMQ363" s="398"/>
      <c r="DMR363" s="393"/>
      <c r="DMS363" s="398"/>
      <c r="DMT363" s="393"/>
      <c r="DMU363" s="398"/>
      <c r="DMV363" s="393"/>
      <c r="DMW363" s="398"/>
      <c r="DMX363" s="393"/>
      <c r="DMY363" s="398"/>
      <c r="DMZ363" s="393"/>
      <c r="DNA363" s="398"/>
      <c r="DNB363" s="393"/>
      <c r="DNC363" s="398"/>
      <c r="DND363" s="393"/>
      <c r="DNE363" s="398"/>
      <c r="DNF363" s="393"/>
      <c r="DNG363" s="398"/>
      <c r="DNH363" s="393"/>
      <c r="DNI363" s="398"/>
      <c r="DNJ363" s="393"/>
      <c r="DNK363" s="398"/>
      <c r="DNL363" s="393"/>
      <c r="DNM363" s="398"/>
      <c r="DNN363" s="393"/>
      <c r="DNO363" s="398"/>
      <c r="DNP363" s="393"/>
      <c r="DNQ363" s="398"/>
      <c r="DNR363" s="393"/>
      <c r="DNS363" s="398"/>
      <c r="DNT363" s="393"/>
      <c r="DNU363" s="398"/>
      <c r="DNV363" s="393"/>
      <c r="DNW363" s="398"/>
      <c r="DNX363" s="393"/>
      <c r="DNY363" s="398"/>
      <c r="DNZ363" s="393"/>
      <c r="DOA363" s="398"/>
      <c r="DOB363" s="393"/>
      <c r="DOC363" s="398"/>
      <c r="DOD363" s="393"/>
      <c r="DOE363" s="398"/>
      <c r="DOF363" s="393"/>
      <c r="DOG363" s="398"/>
      <c r="DOH363" s="393"/>
      <c r="DOI363" s="398"/>
      <c r="DOJ363" s="393"/>
      <c r="DOK363" s="398"/>
      <c r="DOL363" s="393"/>
      <c r="DOM363" s="398"/>
      <c r="DON363" s="393"/>
      <c r="DOO363" s="398"/>
      <c r="DOP363" s="393"/>
      <c r="DOQ363" s="398"/>
      <c r="DOR363" s="393"/>
      <c r="DOS363" s="398"/>
      <c r="DOT363" s="393"/>
      <c r="DOU363" s="398"/>
      <c r="DOV363" s="393"/>
      <c r="DOW363" s="398"/>
      <c r="DOX363" s="393"/>
      <c r="DOY363" s="398"/>
      <c r="DOZ363" s="393"/>
      <c r="DPA363" s="398"/>
      <c r="DPB363" s="393"/>
      <c r="DPC363" s="398"/>
      <c r="DPD363" s="393"/>
      <c r="DPE363" s="398"/>
      <c r="DPF363" s="393"/>
      <c r="DPG363" s="398"/>
      <c r="DPH363" s="393"/>
      <c r="DPI363" s="398"/>
      <c r="DPJ363" s="393"/>
      <c r="DPK363" s="398"/>
      <c r="DPL363" s="393"/>
      <c r="DPM363" s="398"/>
      <c r="DPN363" s="393"/>
      <c r="DPO363" s="398"/>
      <c r="DPP363" s="393"/>
      <c r="DPQ363" s="398"/>
      <c r="DPR363" s="393"/>
      <c r="DPS363" s="398"/>
      <c r="DPT363" s="393"/>
      <c r="DPU363" s="398"/>
      <c r="DPV363" s="393"/>
      <c r="DPW363" s="398"/>
      <c r="DPX363" s="393"/>
      <c r="DPY363" s="398"/>
      <c r="DPZ363" s="393"/>
      <c r="DQA363" s="398"/>
      <c r="DQB363" s="393"/>
      <c r="DQC363" s="398"/>
      <c r="DQD363" s="393"/>
      <c r="DQE363" s="398"/>
      <c r="DQF363" s="393"/>
      <c r="DQG363" s="398"/>
      <c r="DQH363" s="393"/>
      <c r="DQI363" s="398"/>
      <c r="DQJ363" s="393"/>
      <c r="DQK363" s="398"/>
      <c r="DQL363" s="393"/>
      <c r="DQM363" s="398"/>
      <c r="DQN363" s="393"/>
      <c r="DQO363" s="398"/>
      <c r="DQP363" s="393"/>
      <c r="DQQ363" s="398"/>
      <c r="DQR363" s="393"/>
      <c r="DQS363" s="398"/>
      <c r="DQT363" s="393"/>
      <c r="DQU363" s="398"/>
      <c r="DQV363" s="393"/>
      <c r="DQW363" s="398"/>
      <c r="DQX363" s="393"/>
      <c r="DQY363" s="398"/>
      <c r="DQZ363" s="393"/>
      <c r="DRA363" s="398"/>
      <c r="DRB363" s="393"/>
      <c r="DRC363" s="398"/>
      <c r="DRD363" s="393"/>
      <c r="DRE363" s="398"/>
      <c r="DRF363" s="393"/>
      <c r="DRG363" s="398"/>
      <c r="DRH363" s="393"/>
      <c r="DRI363" s="398"/>
      <c r="DRJ363" s="393"/>
      <c r="DRK363" s="398"/>
      <c r="DRL363" s="393"/>
      <c r="DRM363" s="398"/>
      <c r="DRN363" s="393"/>
      <c r="DRO363" s="398"/>
      <c r="DRP363" s="393"/>
      <c r="DRQ363" s="398"/>
      <c r="DRR363" s="393"/>
      <c r="DRS363" s="398"/>
      <c r="DRT363" s="393"/>
      <c r="DRU363" s="398"/>
      <c r="DRV363" s="393"/>
      <c r="DRW363" s="398"/>
      <c r="DRX363" s="393"/>
      <c r="DRY363" s="398"/>
      <c r="DRZ363" s="393"/>
      <c r="DSA363" s="398"/>
      <c r="DSB363" s="393"/>
      <c r="DSC363" s="398"/>
      <c r="DSD363" s="393"/>
      <c r="DSE363" s="398"/>
      <c r="DSF363" s="393"/>
      <c r="DSG363" s="398"/>
      <c r="DSH363" s="393"/>
      <c r="DSI363" s="398"/>
      <c r="DSJ363" s="393"/>
      <c r="DSK363" s="398"/>
      <c r="DSL363" s="393"/>
      <c r="DSM363" s="398"/>
      <c r="DSN363" s="393"/>
      <c r="DSO363" s="398"/>
      <c r="DSP363" s="393"/>
      <c r="DSQ363" s="398"/>
      <c r="DSR363" s="393"/>
      <c r="DSS363" s="398"/>
      <c r="DST363" s="393"/>
      <c r="DSU363" s="398"/>
      <c r="DSV363" s="393"/>
      <c r="DSW363" s="398"/>
      <c r="DSX363" s="393"/>
      <c r="DSY363" s="398"/>
      <c r="DSZ363" s="393"/>
      <c r="DTA363" s="398"/>
      <c r="DTB363" s="393"/>
      <c r="DTC363" s="398"/>
      <c r="DTD363" s="393"/>
      <c r="DTE363" s="398"/>
      <c r="DTF363" s="393"/>
      <c r="DTG363" s="398"/>
      <c r="DTH363" s="393"/>
      <c r="DTI363" s="398"/>
      <c r="DTJ363" s="393"/>
      <c r="DTK363" s="398"/>
      <c r="DTL363" s="393"/>
      <c r="DTM363" s="398"/>
      <c r="DTN363" s="393"/>
      <c r="DTO363" s="398"/>
      <c r="DTP363" s="393"/>
      <c r="DTQ363" s="398"/>
      <c r="DTR363" s="393"/>
      <c r="DTS363" s="398"/>
      <c r="DTT363" s="393"/>
      <c r="DTU363" s="398"/>
      <c r="DTV363" s="393"/>
      <c r="DTW363" s="398"/>
      <c r="DTX363" s="393"/>
      <c r="DTY363" s="398"/>
      <c r="DTZ363" s="393"/>
      <c r="DUA363" s="398"/>
      <c r="DUB363" s="393"/>
      <c r="DUC363" s="398"/>
      <c r="DUD363" s="393"/>
      <c r="DUE363" s="398"/>
      <c r="DUF363" s="393"/>
      <c r="DUG363" s="398"/>
      <c r="DUH363" s="393"/>
      <c r="DUI363" s="398"/>
      <c r="DUJ363" s="393"/>
      <c r="DUK363" s="398"/>
      <c r="DUL363" s="393"/>
      <c r="DUM363" s="398"/>
      <c r="DUN363" s="393"/>
      <c r="DUO363" s="398"/>
      <c r="DUP363" s="393"/>
      <c r="DUQ363" s="398"/>
      <c r="DUR363" s="393"/>
      <c r="DUS363" s="398"/>
      <c r="DUT363" s="393"/>
      <c r="DUU363" s="398"/>
      <c r="DUV363" s="393"/>
      <c r="DUW363" s="398"/>
      <c r="DUX363" s="393"/>
      <c r="DUY363" s="398"/>
      <c r="DUZ363" s="393"/>
      <c r="DVA363" s="398"/>
      <c r="DVB363" s="393"/>
      <c r="DVC363" s="398"/>
      <c r="DVD363" s="393"/>
      <c r="DVE363" s="398"/>
      <c r="DVF363" s="393"/>
      <c r="DVG363" s="398"/>
      <c r="DVH363" s="393"/>
      <c r="DVI363" s="398"/>
      <c r="DVJ363" s="393"/>
      <c r="DVK363" s="398"/>
      <c r="DVL363" s="393"/>
      <c r="DVM363" s="398"/>
      <c r="DVN363" s="393"/>
      <c r="DVO363" s="398"/>
      <c r="DVP363" s="393"/>
      <c r="DVQ363" s="398"/>
      <c r="DVR363" s="393"/>
      <c r="DVS363" s="398"/>
      <c r="DVT363" s="393"/>
      <c r="DVU363" s="398"/>
      <c r="DVV363" s="393"/>
      <c r="DVW363" s="398"/>
      <c r="DVX363" s="393"/>
      <c r="DVY363" s="398"/>
      <c r="DVZ363" s="393"/>
      <c r="DWA363" s="398"/>
      <c r="DWB363" s="393"/>
      <c r="DWC363" s="398"/>
      <c r="DWD363" s="393"/>
      <c r="DWE363" s="398"/>
      <c r="DWF363" s="393"/>
      <c r="DWG363" s="398"/>
      <c r="DWH363" s="393"/>
      <c r="DWI363" s="398"/>
      <c r="DWJ363" s="393"/>
      <c r="DWK363" s="398"/>
      <c r="DWL363" s="393"/>
      <c r="DWM363" s="398"/>
      <c r="DWN363" s="393"/>
      <c r="DWO363" s="398"/>
      <c r="DWP363" s="393"/>
      <c r="DWQ363" s="398"/>
      <c r="DWR363" s="393"/>
      <c r="DWS363" s="398"/>
      <c r="DWT363" s="393"/>
      <c r="DWU363" s="398"/>
      <c r="DWV363" s="393"/>
      <c r="DWW363" s="398"/>
      <c r="DWX363" s="393"/>
      <c r="DWY363" s="398"/>
      <c r="DWZ363" s="393"/>
      <c r="DXA363" s="398"/>
      <c r="DXB363" s="393"/>
      <c r="DXC363" s="398"/>
      <c r="DXD363" s="393"/>
      <c r="DXE363" s="398"/>
      <c r="DXF363" s="393"/>
      <c r="DXG363" s="398"/>
      <c r="DXH363" s="393"/>
      <c r="DXI363" s="398"/>
      <c r="DXJ363" s="393"/>
      <c r="DXK363" s="398"/>
      <c r="DXL363" s="393"/>
      <c r="DXM363" s="398"/>
      <c r="DXN363" s="393"/>
      <c r="DXO363" s="398"/>
      <c r="DXP363" s="393"/>
      <c r="DXQ363" s="398"/>
      <c r="DXR363" s="393"/>
      <c r="DXS363" s="398"/>
      <c r="DXT363" s="393"/>
      <c r="DXU363" s="398"/>
      <c r="DXV363" s="393"/>
      <c r="DXW363" s="398"/>
      <c r="DXX363" s="393"/>
      <c r="DXY363" s="398"/>
      <c r="DXZ363" s="393"/>
      <c r="DYA363" s="398"/>
      <c r="DYB363" s="393"/>
      <c r="DYC363" s="398"/>
      <c r="DYD363" s="393"/>
      <c r="DYE363" s="398"/>
      <c r="DYF363" s="393"/>
      <c r="DYG363" s="398"/>
      <c r="DYH363" s="393"/>
      <c r="DYI363" s="398"/>
      <c r="DYJ363" s="393"/>
      <c r="DYK363" s="398"/>
      <c r="DYL363" s="393"/>
      <c r="DYM363" s="398"/>
      <c r="DYN363" s="393"/>
      <c r="DYO363" s="398"/>
      <c r="DYP363" s="393"/>
      <c r="DYQ363" s="398"/>
      <c r="DYR363" s="393"/>
      <c r="DYS363" s="398"/>
      <c r="DYT363" s="393"/>
      <c r="DYU363" s="398"/>
      <c r="DYV363" s="393"/>
      <c r="DYW363" s="398"/>
      <c r="DYX363" s="393"/>
      <c r="DYY363" s="398"/>
      <c r="DYZ363" s="393"/>
      <c r="DZA363" s="398"/>
      <c r="DZB363" s="393"/>
      <c r="DZC363" s="398"/>
      <c r="DZD363" s="393"/>
      <c r="DZE363" s="398"/>
      <c r="DZF363" s="393"/>
      <c r="DZG363" s="398"/>
      <c r="DZH363" s="393"/>
      <c r="DZI363" s="398"/>
      <c r="DZJ363" s="393"/>
      <c r="DZK363" s="398"/>
      <c r="DZL363" s="393"/>
      <c r="DZM363" s="398"/>
      <c r="DZN363" s="393"/>
      <c r="DZO363" s="398"/>
      <c r="DZP363" s="393"/>
      <c r="DZQ363" s="398"/>
      <c r="DZR363" s="393"/>
      <c r="DZS363" s="398"/>
      <c r="DZT363" s="393"/>
      <c r="DZU363" s="398"/>
      <c r="DZV363" s="393"/>
      <c r="DZW363" s="398"/>
      <c r="DZX363" s="393"/>
      <c r="DZY363" s="398"/>
      <c r="DZZ363" s="393"/>
      <c r="EAA363" s="398"/>
      <c r="EAB363" s="393"/>
      <c r="EAC363" s="398"/>
      <c r="EAD363" s="393"/>
      <c r="EAE363" s="398"/>
      <c r="EAF363" s="393"/>
      <c r="EAG363" s="398"/>
      <c r="EAH363" s="393"/>
      <c r="EAI363" s="398"/>
      <c r="EAJ363" s="393"/>
      <c r="EAK363" s="398"/>
      <c r="EAL363" s="393"/>
      <c r="EAM363" s="398"/>
      <c r="EAN363" s="393"/>
      <c r="EAO363" s="398"/>
      <c r="EAP363" s="393"/>
      <c r="EAQ363" s="398"/>
      <c r="EAR363" s="393"/>
      <c r="EAS363" s="398"/>
      <c r="EAT363" s="393"/>
      <c r="EAU363" s="398"/>
      <c r="EAV363" s="393"/>
      <c r="EAW363" s="398"/>
      <c r="EAX363" s="393"/>
      <c r="EAY363" s="398"/>
      <c r="EAZ363" s="393"/>
      <c r="EBA363" s="398"/>
      <c r="EBB363" s="393"/>
      <c r="EBC363" s="398"/>
      <c r="EBD363" s="393"/>
      <c r="EBE363" s="398"/>
      <c r="EBF363" s="393"/>
      <c r="EBG363" s="398"/>
      <c r="EBH363" s="393"/>
      <c r="EBI363" s="398"/>
      <c r="EBJ363" s="393"/>
      <c r="EBK363" s="398"/>
      <c r="EBL363" s="393"/>
      <c r="EBM363" s="398"/>
      <c r="EBN363" s="393"/>
      <c r="EBO363" s="398"/>
      <c r="EBP363" s="393"/>
      <c r="EBQ363" s="398"/>
      <c r="EBR363" s="393"/>
      <c r="EBS363" s="398"/>
      <c r="EBT363" s="393"/>
      <c r="EBU363" s="398"/>
      <c r="EBV363" s="393"/>
      <c r="EBW363" s="398"/>
      <c r="EBX363" s="393"/>
      <c r="EBY363" s="398"/>
      <c r="EBZ363" s="393"/>
      <c r="ECA363" s="398"/>
      <c r="ECB363" s="393"/>
      <c r="ECC363" s="398"/>
      <c r="ECD363" s="393"/>
      <c r="ECE363" s="398"/>
      <c r="ECF363" s="393"/>
      <c r="ECG363" s="398"/>
      <c r="ECH363" s="393"/>
      <c r="ECI363" s="398"/>
      <c r="ECJ363" s="393"/>
      <c r="ECK363" s="398"/>
      <c r="ECL363" s="393"/>
      <c r="ECM363" s="398"/>
      <c r="ECN363" s="393"/>
      <c r="ECO363" s="398"/>
      <c r="ECP363" s="393"/>
      <c r="ECQ363" s="398"/>
      <c r="ECR363" s="393"/>
      <c r="ECS363" s="398"/>
      <c r="ECT363" s="393"/>
      <c r="ECU363" s="398"/>
      <c r="ECV363" s="393"/>
      <c r="ECW363" s="398"/>
      <c r="ECX363" s="393"/>
      <c r="ECY363" s="398"/>
      <c r="ECZ363" s="393"/>
      <c r="EDA363" s="398"/>
      <c r="EDB363" s="393"/>
      <c r="EDC363" s="398"/>
      <c r="EDD363" s="393"/>
      <c r="EDE363" s="398"/>
      <c r="EDF363" s="393"/>
      <c r="EDG363" s="398"/>
      <c r="EDH363" s="393"/>
      <c r="EDI363" s="398"/>
      <c r="EDJ363" s="393"/>
      <c r="EDK363" s="398"/>
      <c r="EDL363" s="393"/>
      <c r="EDM363" s="398"/>
      <c r="EDN363" s="393"/>
      <c r="EDO363" s="398"/>
      <c r="EDP363" s="393"/>
      <c r="EDQ363" s="398"/>
      <c r="EDR363" s="393"/>
      <c r="EDS363" s="398"/>
      <c r="EDT363" s="393"/>
      <c r="EDU363" s="398"/>
      <c r="EDV363" s="393"/>
      <c r="EDW363" s="398"/>
      <c r="EDX363" s="393"/>
      <c r="EDY363" s="398"/>
      <c r="EDZ363" s="393"/>
      <c r="EEA363" s="398"/>
      <c r="EEB363" s="393"/>
      <c r="EEC363" s="398"/>
      <c r="EED363" s="393"/>
      <c r="EEE363" s="398"/>
      <c r="EEF363" s="393"/>
      <c r="EEG363" s="398"/>
      <c r="EEH363" s="393"/>
      <c r="EEI363" s="398"/>
      <c r="EEJ363" s="393"/>
      <c r="EEK363" s="398"/>
      <c r="EEL363" s="393"/>
      <c r="EEM363" s="398"/>
      <c r="EEN363" s="393"/>
      <c r="EEO363" s="398"/>
      <c r="EEP363" s="393"/>
      <c r="EEQ363" s="398"/>
      <c r="EER363" s="393"/>
      <c r="EES363" s="398"/>
      <c r="EET363" s="393"/>
      <c r="EEU363" s="398"/>
      <c r="EEV363" s="393"/>
      <c r="EEW363" s="398"/>
      <c r="EEX363" s="393"/>
      <c r="EEY363" s="398"/>
      <c r="EEZ363" s="393"/>
      <c r="EFA363" s="398"/>
      <c r="EFB363" s="393"/>
      <c r="EFC363" s="398"/>
      <c r="EFD363" s="393"/>
      <c r="EFE363" s="398"/>
      <c r="EFF363" s="393"/>
      <c r="EFG363" s="398"/>
      <c r="EFH363" s="393"/>
      <c r="EFI363" s="398"/>
      <c r="EFJ363" s="393"/>
      <c r="EFK363" s="398"/>
      <c r="EFL363" s="393"/>
      <c r="EFM363" s="398"/>
      <c r="EFN363" s="393"/>
      <c r="EFO363" s="398"/>
      <c r="EFP363" s="393"/>
      <c r="EFQ363" s="398"/>
      <c r="EFR363" s="393"/>
      <c r="EFS363" s="398"/>
      <c r="EFT363" s="393"/>
      <c r="EFU363" s="398"/>
      <c r="EFV363" s="393"/>
      <c r="EFW363" s="398"/>
      <c r="EFX363" s="393"/>
      <c r="EFY363" s="398"/>
      <c r="EFZ363" s="393"/>
      <c r="EGA363" s="398"/>
      <c r="EGB363" s="393"/>
      <c r="EGC363" s="398"/>
      <c r="EGD363" s="393"/>
      <c r="EGE363" s="398"/>
      <c r="EGF363" s="393"/>
      <c r="EGG363" s="398"/>
      <c r="EGH363" s="393"/>
      <c r="EGI363" s="398"/>
      <c r="EGJ363" s="393"/>
      <c r="EGK363" s="398"/>
      <c r="EGL363" s="393"/>
      <c r="EGM363" s="398"/>
      <c r="EGN363" s="393"/>
      <c r="EGO363" s="398"/>
      <c r="EGP363" s="393"/>
      <c r="EGQ363" s="398"/>
      <c r="EGR363" s="393"/>
      <c r="EGS363" s="398"/>
      <c r="EGT363" s="393"/>
      <c r="EGU363" s="398"/>
      <c r="EGV363" s="393"/>
      <c r="EGW363" s="398"/>
      <c r="EGX363" s="393"/>
      <c r="EGY363" s="398"/>
      <c r="EGZ363" s="393"/>
      <c r="EHA363" s="398"/>
      <c r="EHB363" s="393"/>
      <c r="EHC363" s="398"/>
      <c r="EHD363" s="393"/>
      <c r="EHE363" s="398"/>
      <c r="EHF363" s="393"/>
      <c r="EHG363" s="398"/>
      <c r="EHH363" s="393"/>
      <c r="EHI363" s="398"/>
      <c r="EHJ363" s="393"/>
      <c r="EHK363" s="398"/>
      <c r="EHL363" s="393"/>
      <c r="EHM363" s="398"/>
      <c r="EHN363" s="393"/>
      <c r="EHO363" s="398"/>
      <c r="EHP363" s="393"/>
      <c r="EHQ363" s="398"/>
      <c r="EHR363" s="393"/>
      <c r="EHS363" s="398"/>
      <c r="EHT363" s="393"/>
      <c r="EHU363" s="398"/>
      <c r="EHV363" s="393"/>
      <c r="EHW363" s="398"/>
      <c r="EHX363" s="393"/>
      <c r="EHY363" s="398"/>
      <c r="EHZ363" s="393"/>
      <c r="EIA363" s="398"/>
      <c r="EIB363" s="393"/>
      <c r="EIC363" s="398"/>
      <c r="EID363" s="393"/>
      <c r="EIE363" s="398"/>
      <c r="EIF363" s="393"/>
      <c r="EIG363" s="398"/>
      <c r="EIH363" s="393"/>
      <c r="EII363" s="398"/>
      <c r="EIJ363" s="393"/>
      <c r="EIK363" s="398"/>
      <c r="EIL363" s="393"/>
      <c r="EIM363" s="398"/>
      <c r="EIN363" s="393"/>
      <c r="EIO363" s="398"/>
      <c r="EIP363" s="393"/>
      <c r="EIQ363" s="398"/>
      <c r="EIR363" s="393"/>
      <c r="EIS363" s="398"/>
      <c r="EIT363" s="393"/>
      <c r="EIU363" s="398"/>
      <c r="EIV363" s="393"/>
      <c r="EIW363" s="398"/>
      <c r="EIX363" s="393"/>
      <c r="EIY363" s="398"/>
      <c r="EIZ363" s="393"/>
      <c r="EJA363" s="398"/>
      <c r="EJB363" s="393"/>
      <c r="EJC363" s="398"/>
      <c r="EJD363" s="393"/>
      <c r="EJE363" s="398"/>
      <c r="EJF363" s="393"/>
      <c r="EJG363" s="398"/>
      <c r="EJH363" s="393"/>
      <c r="EJI363" s="398"/>
      <c r="EJJ363" s="393"/>
      <c r="EJK363" s="398"/>
      <c r="EJL363" s="393"/>
      <c r="EJM363" s="398"/>
      <c r="EJN363" s="393"/>
      <c r="EJO363" s="398"/>
      <c r="EJP363" s="393"/>
      <c r="EJQ363" s="398"/>
      <c r="EJR363" s="393"/>
      <c r="EJS363" s="398"/>
      <c r="EJT363" s="393"/>
      <c r="EJU363" s="398"/>
      <c r="EJV363" s="393"/>
      <c r="EJW363" s="398"/>
      <c r="EJX363" s="393"/>
      <c r="EJY363" s="398"/>
      <c r="EJZ363" s="393"/>
      <c r="EKA363" s="398"/>
      <c r="EKB363" s="393"/>
      <c r="EKC363" s="398"/>
      <c r="EKD363" s="393"/>
      <c r="EKE363" s="398"/>
      <c r="EKF363" s="393"/>
      <c r="EKG363" s="398"/>
      <c r="EKH363" s="393"/>
      <c r="EKI363" s="398"/>
      <c r="EKJ363" s="393"/>
      <c r="EKK363" s="398"/>
      <c r="EKL363" s="393"/>
      <c r="EKM363" s="398"/>
      <c r="EKN363" s="393"/>
      <c r="EKO363" s="398"/>
      <c r="EKP363" s="393"/>
      <c r="EKQ363" s="398"/>
      <c r="EKR363" s="393"/>
      <c r="EKS363" s="398"/>
      <c r="EKT363" s="393"/>
      <c r="EKU363" s="398"/>
      <c r="EKV363" s="393"/>
      <c r="EKW363" s="398"/>
      <c r="EKX363" s="393"/>
      <c r="EKY363" s="398"/>
      <c r="EKZ363" s="393"/>
      <c r="ELA363" s="398"/>
      <c r="ELB363" s="393"/>
      <c r="ELC363" s="398"/>
      <c r="ELD363" s="393"/>
      <c r="ELE363" s="398"/>
      <c r="ELF363" s="393"/>
      <c r="ELG363" s="398"/>
      <c r="ELH363" s="393"/>
      <c r="ELI363" s="398"/>
      <c r="ELJ363" s="393"/>
      <c r="ELK363" s="398"/>
      <c r="ELL363" s="393"/>
      <c r="ELM363" s="398"/>
      <c r="ELN363" s="393"/>
      <c r="ELO363" s="398"/>
      <c r="ELP363" s="393"/>
      <c r="ELQ363" s="398"/>
      <c r="ELR363" s="393"/>
      <c r="ELS363" s="398"/>
      <c r="ELT363" s="393"/>
      <c r="ELU363" s="398"/>
      <c r="ELV363" s="393"/>
      <c r="ELW363" s="398"/>
      <c r="ELX363" s="393"/>
      <c r="ELY363" s="398"/>
      <c r="ELZ363" s="393"/>
      <c r="EMA363" s="398"/>
      <c r="EMB363" s="393"/>
      <c r="EMC363" s="398"/>
      <c r="EMD363" s="393"/>
      <c r="EME363" s="398"/>
      <c r="EMF363" s="393"/>
      <c r="EMG363" s="398"/>
      <c r="EMH363" s="393"/>
      <c r="EMI363" s="398"/>
      <c r="EMJ363" s="393"/>
      <c r="EMK363" s="398"/>
      <c r="EML363" s="393"/>
      <c r="EMM363" s="398"/>
      <c r="EMN363" s="393"/>
      <c r="EMO363" s="398"/>
      <c r="EMP363" s="393"/>
      <c r="EMQ363" s="398"/>
      <c r="EMR363" s="393"/>
      <c r="EMS363" s="398"/>
      <c r="EMT363" s="393"/>
      <c r="EMU363" s="398"/>
      <c r="EMV363" s="393"/>
      <c r="EMW363" s="398"/>
      <c r="EMX363" s="393"/>
      <c r="EMY363" s="398"/>
      <c r="EMZ363" s="393"/>
      <c r="ENA363" s="398"/>
      <c r="ENB363" s="393"/>
      <c r="ENC363" s="398"/>
      <c r="END363" s="393"/>
      <c r="ENE363" s="398"/>
      <c r="ENF363" s="393"/>
      <c r="ENG363" s="398"/>
      <c r="ENH363" s="393"/>
      <c r="ENI363" s="398"/>
      <c r="ENJ363" s="393"/>
      <c r="ENK363" s="398"/>
      <c r="ENL363" s="393"/>
      <c r="ENM363" s="398"/>
      <c r="ENN363" s="393"/>
      <c r="ENO363" s="398"/>
      <c r="ENP363" s="393"/>
      <c r="ENQ363" s="398"/>
      <c r="ENR363" s="393"/>
      <c r="ENS363" s="398"/>
      <c r="ENT363" s="393"/>
      <c r="ENU363" s="398"/>
      <c r="ENV363" s="393"/>
      <c r="ENW363" s="398"/>
      <c r="ENX363" s="393"/>
      <c r="ENY363" s="398"/>
      <c r="ENZ363" s="393"/>
      <c r="EOA363" s="398"/>
      <c r="EOB363" s="393"/>
      <c r="EOC363" s="398"/>
      <c r="EOD363" s="393"/>
      <c r="EOE363" s="398"/>
      <c r="EOF363" s="393"/>
      <c r="EOG363" s="398"/>
      <c r="EOH363" s="393"/>
      <c r="EOI363" s="398"/>
      <c r="EOJ363" s="393"/>
      <c r="EOK363" s="398"/>
      <c r="EOL363" s="393"/>
      <c r="EOM363" s="398"/>
      <c r="EON363" s="393"/>
      <c r="EOO363" s="398"/>
      <c r="EOP363" s="393"/>
      <c r="EOQ363" s="398"/>
      <c r="EOR363" s="393"/>
      <c r="EOS363" s="398"/>
      <c r="EOT363" s="393"/>
      <c r="EOU363" s="398"/>
      <c r="EOV363" s="393"/>
      <c r="EOW363" s="398"/>
      <c r="EOX363" s="393"/>
      <c r="EOY363" s="398"/>
      <c r="EOZ363" s="393"/>
      <c r="EPA363" s="398"/>
      <c r="EPB363" s="393"/>
      <c r="EPC363" s="398"/>
      <c r="EPD363" s="393"/>
      <c r="EPE363" s="398"/>
      <c r="EPF363" s="393"/>
      <c r="EPG363" s="398"/>
      <c r="EPH363" s="393"/>
      <c r="EPI363" s="398"/>
      <c r="EPJ363" s="393"/>
      <c r="EPK363" s="398"/>
      <c r="EPL363" s="393"/>
      <c r="EPM363" s="398"/>
      <c r="EPN363" s="393"/>
      <c r="EPO363" s="398"/>
      <c r="EPP363" s="393"/>
      <c r="EPQ363" s="398"/>
      <c r="EPR363" s="393"/>
      <c r="EPS363" s="398"/>
      <c r="EPT363" s="393"/>
      <c r="EPU363" s="398"/>
      <c r="EPV363" s="393"/>
      <c r="EPW363" s="398"/>
      <c r="EPX363" s="393"/>
      <c r="EPY363" s="398"/>
      <c r="EPZ363" s="393"/>
      <c r="EQA363" s="398"/>
      <c r="EQB363" s="393"/>
      <c r="EQC363" s="398"/>
      <c r="EQD363" s="393"/>
      <c r="EQE363" s="398"/>
      <c r="EQF363" s="393"/>
      <c r="EQG363" s="398"/>
      <c r="EQH363" s="393"/>
      <c r="EQI363" s="398"/>
      <c r="EQJ363" s="393"/>
      <c r="EQK363" s="398"/>
      <c r="EQL363" s="393"/>
      <c r="EQM363" s="398"/>
      <c r="EQN363" s="393"/>
      <c r="EQO363" s="398"/>
      <c r="EQP363" s="393"/>
      <c r="EQQ363" s="398"/>
      <c r="EQR363" s="393"/>
      <c r="EQS363" s="398"/>
      <c r="EQT363" s="393"/>
      <c r="EQU363" s="398"/>
      <c r="EQV363" s="393"/>
      <c r="EQW363" s="398"/>
      <c r="EQX363" s="393"/>
      <c r="EQY363" s="398"/>
      <c r="EQZ363" s="393"/>
      <c r="ERA363" s="398"/>
      <c r="ERB363" s="393"/>
      <c r="ERC363" s="398"/>
      <c r="ERD363" s="393"/>
      <c r="ERE363" s="398"/>
      <c r="ERF363" s="393"/>
      <c r="ERG363" s="398"/>
      <c r="ERH363" s="393"/>
      <c r="ERI363" s="398"/>
      <c r="ERJ363" s="393"/>
      <c r="ERK363" s="398"/>
      <c r="ERL363" s="393"/>
      <c r="ERM363" s="398"/>
      <c r="ERN363" s="393"/>
      <c r="ERO363" s="398"/>
      <c r="ERP363" s="393"/>
      <c r="ERQ363" s="398"/>
      <c r="ERR363" s="393"/>
      <c r="ERS363" s="398"/>
      <c r="ERT363" s="393"/>
      <c r="ERU363" s="398"/>
      <c r="ERV363" s="393"/>
      <c r="ERW363" s="398"/>
      <c r="ERX363" s="393"/>
      <c r="ERY363" s="398"/>
      <c r="ERZ363" s="393"/>
      <c r="ESA363" s="398"/>
      <c r="ESB363" s="393"/>
      <c r="ESC363" s="398"/>
      <c r="ESD363" s="393"/>
      <c r="ESE363" s="398"/>
      <c r="ESF363" s="393"/>
      <c r="ESG363" s="398"/>
      <c r="ESH363" s="393"/>
      <c r="ESI363" s="398"/>
      <c r="ESJ363" s="393"/>
      <c r="ESK363" s="398"/>
      <c r="ESL363" s="393"/>
      <c r="ESM363" s="398"/>
      <c r="ESN363" s="393"/>
      <c r="ESO363" s="398"/>
      <c r="ESP363" s="393"/>
      <c r="ESQ363" s="398"/>
      <c r="ESR363" s="393"/>
      <c r="ESS363" s="398"/>
      <c r="EST363" s="393"/>
      <c r="ESU363" s="398"/>
      <c r="ESV363" s="393"/>
      <c r="ESW363" s="398"/>
      <c r="ESX363" s="393"/>
      <c r="ESY363" s="398"/>
      <c r="ESZ363" s="393"/>
      <c r="ETA363" s="398"/>
      <c r="ETB363" s="393"/>
      <c r="ETC363" s="398"/>
      <c r="ETD363" s="393"/>
      <c r="ETE363" s="398"/>
      <c r="ETF363" s="393"/>
      <c r="ETG363" s="398"/>
      <c r="ETH363" s="393"/>
      <c r="ETI363" s="398"/>
      <c r="ETJ363" s="393"/>
      <c r="ETK363" s="398"/>
      <c r="ETL363" s="393"/>
      <c r="ETM363" s="398"/>
      <c r="ETN363" s="393"/>
      <c r="ETO363" s="398"/>
      <c r="ETP363" s="393"/>
      <c r="ETQ363" s="398"/>
      <c r="ETR363" s="393"/>
      <c r="ETS363" s="398"/>
      <c r="ETT363" s="393"/>
      <c r="ETU363" s="398"/>
      <c r="ETV363" s="393"/>
      <c r="ETW363" s="398"/>
      <c r="ETX363" s="393"/>
      <c r="ETY363" s="398"/>
      <c r="ETZ363" s="393"/>
      <c r="EUA363" s="398"/>
      <c r="EUB363" s="393"/>
      <c r="EUC363" s="398"/>
      <c r="EUD363" s="393"/>
      <c r="EUE363" s="398"/>
      <c r="EUF363" s="393"/>
      <c r="EUG363" s="398"/>
      <c r="EUH363" s="393"/>
      <c r="EUI363" s="398"/>
      <c r="EUJ363" s="393"/>
      <c r="EUK363" s="398"/>
      <c r="EUL363" s="393"/>
      <c r="EUM363" s="398"/>
      <c r="EUN363" s="393"/>
      <c r="EUO363" s="398"/>
      <c r="EUP363" s="393"/>
      <c r="EUQ363" s="398"/>
      <c r="EUR363" s="393"/>
      <c r="EUS363" s="398"/>
      <c r="EUT363" s="393"/>
      <c r="EUU363" s="398"/>
      <c r="EUV363" s="393"/>
      <c r="EUW363" s="398"/>
      <c r="EUX363" s="393"/>
      <c r="EUY363" s="398"/>
      <c r="EUZ363" s="393"/>
      <c r="EVA363" s="398"/>
      <c r="EVB363" s="393"/>
      <c r="EVC363" s="398"/>
      <c r="EVD363" s="393"/>
      <c r="EVE363" s="398"/>
      <c r="EVF363" s="393"/>
      <c r="EVG363" s="398"/>
      <c r="EVH363" s="393"/>
      <c r="EVI363" s="398"/>
      <c r="EVJ363" s="393"/>
      <c r="EVK363" s="398"/>
      <c r="EVL363" s="393"/>
      <c r="EVM363" s="398"/>
      <c r="EVN363" s="393"/>
      <c r="EVO363" s="398"/>
      <c r="EVP363" s="393"/>
      <c r="EVQ363" s="398"/>
      <c r="EVR363" s="393"/>
      <c r="EVS363" s="398"/>
      <c r="EVT363" s="393"/>
      <c r="EVU363" s="398"/>
      <c r="EVV363" s="393"/>
      <c r="EVW363" s="398"/>
      <c r="EVX363" s="393"/>
      <c r="EVY363" s="398"/>
      <c r="EVZ363" s="393"/>
      <c r="EWA363" s="398"/>
      <c r="EWB363" s="393"/>
      <c r="EWC363" s="398"/>
      <c r="EWD363" s="393"/>
      <c r="EWE363" s="398"/>
      <c r="EWF363" s="393"/>
      <c r="EWG363" s="398"/>
      <c r="EWH363" s="393"/>
      <c r="EWI363" s="398"/>
      <c r="EWJ363" s="393"/>
      <c r="EWK363" s="398"/>
      <c r="EWL363" s="393"/>
      <c r="EWM363" s="398"/>
      <c r="EWN363" s="393"/>
      <c r="EWO363" s="398"/>
      <c r="EWP363" s="393"/>
      <c r="EWQ363" s="398"/>
      <c r="EWR363" s="393"/>
      <c r="EWS363" s="398"/>
      <c r="EWT363" s="393"/>
      <c r="EWU363" s="398"/>
      <c r="EWV363" s="393"/>
      <c r="EWW363" s="398"/>
      <c r="EWX363" s="393"/>
      <c r="EWY363" s="398"/>
      <c r="EWZ363" s="393"/>
      <c r="EXA363" s="398"/>
      <c r="EXB363" s="393"/>
      <c r="EXC363" s="398"/>
      <c r="EXD363" s="393"/>
      <c r="EXE363" s="398"/>
      <c r="EXF363" s="393"/>
      <c r="EXG363" s="398"/>
      <c r="EXH363" s="393"/>
      <c r="EXI363" s="398"/>
      <c r="EXJ363" s="393"/>
      <c r="EXK363" s="398"/>
      <c r="EXL363" s="393"/>
      <c r="EXM363" s="398"/>
      <c r="EXN363" s="393"/>
      <c r="EXO363" s="398"/>
      <c r="EXP363" s="393"/>
      <c r="EXQ363" s="398"/>
      <c r="EXR363" s="393"/>
      <c r="EXS363" s="398"/>
      <c r="EXT363" s="393"/>
      <c r="EXU363" s="398"/>
      <c r="EXV363" s="393"/>
      <c r="EXW363" s="398"/>
      <c r="EXX363" s="393"/>
      <c r="EXY363" s="398"/>
      <c r="EXZ363" s="393"/>
      <c r="EYA363" s="398"/>
      <c r="EYB363" s="393"/>
      <c r="EYC363" s="398"/>
      <c r="EYD363" s="393"/>
      <c r="EYE363" s="398"/>
      <c r="EYF363" s="393"/>
      <c r="EYG363" s="398"/>
      <c r="EYH363" s="393"/>
      <c r="EYI363" s="398"/>
      <c r="EYJ363" s="393"/>
      <c r="EYK363" s="398"/>
      <c r="EYL363" s="393"/>
      <c r="EYM363" s="398"/>
      <c r="EYN363" s="393"/>
      <c r="EYO363" s="398"/>
      <c r="EYP363" s="393"/>
      <c r="EYQ363" s="398"/>
      <c r="EYR363" s="393"/>
      <c r="EYS363" s="398"/>
      <c r="EYT363" s="393"/>
      <c r="EYU363" s="398"/>
      <c r="EYV363" s="393"/>
      <c r="EYW363" s="398"/>
      <c r="EYX363" s="393"/>
      <c r="EYY363" s="398"/>
      <c r="EYZ363" s="393"/>
      <c r="EZA363" s="398"/>
      <c r="EZB363" s="393"/>
      <c r="EZC363" s="398"/>
      <c r="EZD363" s="393"/>
      <c r="EZE363" s="398"/>
      <c r="EZF363" s="393"/>
      <c r="EZG363" s="398"/>
      <c r="EZH363" s="393"/>
      <c r="EZI363" s="398"/>
      <c r="EZJ363" s="393"/>
      <c r="EZK363" s="398"/>
      <c r="EZL363" s="393"/>
      <c r="EZM363" s="398"/>
      <c r="EZN363" s="393"/>
      <c r="EZO363" s="398"/>
      <c r="EZP363" s="393"/>
      <c r="EZQ363" s="398"/>
      <c r="EZR363" s="393"/>
      <c r="EZS363" s="398"/>
      <c r="EZT363" s="393"/>
      <c r="EZU363" s="398"/>
      <c r="EZV363" s="393"/>
      <c r="EZW363" s="398"/>
      <c r="EZX363" s="393"/>
      <c r="EZY363" s="398"/>
      <c r="EZZ363" s="393"/>
      <c r="FAA363" s="398"/>
      <c r="FAB363" s="393"/>
      <c r="FAC363" s="398"/>
      <c r="FAD363" s="393"/>
      <c r="FAE363" s="398"/>
      <c r="FAF363" s="393"/>
      <c r="FAG363" s="398"/>
      <c r="FAH363" s="393"/>
      <c r="FAI363" s="398"/>
      <c r="FAJ363" s="393"/>
      <c r="FAK363" s="398"/>
      <c r="FAL363" s="393"/>
      <c r="FAM363" s="398"/>
      <c r="FAN363" s="393"/>
      <c r="FAO363" s="398"/>
      <c r="FAP363" s="393"/>
      <c r="FAQ363" s="398"/>
      <c r="FAR363" s="393"/>
      <c r="FAS363" s="398"/>
      <c r="FAT363" s="393"/>
      <c r="FAU363" s="398"/>
      <c r="FAV363" s="393"/>
      <c r="FAW363" s="398"/>
      <c r="FAX363" s="393"/>
      <c r="FAY363" s="398"/>
      <c r="FAZ363" s="393"/>
      <c r="FBA363" s="398"/>
      <c r="FBB363" s="393"/>
      <c r="FBC363" s="398"/>
      <c r="FBD363" s="393"/>
      <c r="FBE363" s="398"/>
      <c r="FBF363" s="393"/>
      <c r="FBG363" s="398"/>
      <c r="FBH363" s="393"/>
      <c r="FBI363" s="398"/>
      <c r="FBJ363" s="393"/>
      <c r="FBK363" s="398"/>
      <c r="FBL363" s="393"/>
      <c r="FBM363" s="398"/>
      <c r="FBN363" s="393"/>
      <c r="FBO363" s="398"/>
      <c r="FBP363" s="393"/>
      <c r="FBQ363" s="398"/>
      <c r="FBR363" s="393"/>
      <c r="FBS363" s="398"/>
      <c r="FBT363" s="393"/>
      <c r="FBU363" s="398"/>
      <c r="FBV363" s="393"/>
      <c r="FBW363" s="398"/>
      <c r="FBX363" s="393"/>
      <c r="FBY363" s="398"/>
      <c r="FBZ363" s="393"/>
      <c r="FCA363" s="398"/>
      <c r="FCB363" s="393"/>
      <c r="FCC363" s="398"/>
      <c r="FCD363" s="393"/>
      <c r="FCE363" s="398"/>
      <c r="FCF363" s="393"/>
      <c r="FCG363" s="398"/>
      <c r="FCH363" s="393"/>
      <c r="FCI363" s="398"/>
      <c r="FCJ363" s="393"/>
      <c r="FCK363" s="398"/>
      <c r="FCL363" s="393"/>
      <c r="FCM363" s="398"/>
      <c r="FCN363" s="393"/>
      <c r="FCO363" s="398"/>
      <c r="FCP363" s="393"/>
      <c r="FCQ363" s="398"/>
      <c r="FCR363" s="393"/>
      <c r="FCS363" s="398"/>
      <c r="FCT363" s="393"/>
      <c r="FCU363" s="398"/>
      <c r="FCV363" s="393"/>
      <c r="FCW363" s="398"/>
      <c r="FCX363" s="393"/>
      <c r="FCY363" s="398"/>
      <c r="FCZ363" s="393"/>
      <c r="FDA363" s="398"/>
      <c r="FDB363" s="393"/>
      <c r="FDC363" s="398"/>
      <c r="FDD363" s="393"/>
      <c r="FDE363" s="398"/>
      <c r="FDF363" s="393"/>
      <c r="FDG363" s="398"/>
      <c r="FDH363" s="393"/>
      <c r="FDI363" s="398"/>
      <c r="FDJ363" s="393"/>
      <c r="FDK363" s="398"/>
      <c r="FDL363" s="393"/>
      <c r="FDM363" s="398"/>
      <c r="FDN363" s="393"/>
      <c r="FDO363" s="398"/>
      <c r="FDP363" s="393"/>
      <c r="FDQ363" s="398"/>
      <c r="FDR363" s="393"/>
      <c r="FDS363" s="398"/>
      <c r="FDT363" s="393"/>
      <c r="FDU363" s="398"/>
      <c r="FDV363" s="393"/>
      <c r="FDW363" s="398"/>
      <c r="FDX363" s="393"/>
      <c r="FDY363" s="398"/>
      <c r="FDZ363" s="393"/>
      <c r="FEA363" s="398"/>
      <c r="FEB363" s="393"/>
      <c r="FEC363" s="398"/>
      <c r="FED363" s="393"/>
      <c r="FEE363" s="398"/>
      <c r="FEF363" s="393"/>
      <c r="FEG363" s="398"/>
      <c r="FEH363" s="393"/>
      <c r="FEI363" s="398"/>
      <c r="FEJ363" s="393"/>
      <c r="FEK363" s="398"/>
      <c r="FEL363" s="393"/>
      <c r="FEM363" s="398"/>
      <c r="FEN363" s="393"/>
      <c r="FEO363" s="398"/>
      <c r="FEP363" s="393"/>
      <c r="FEQ363" s="398"/>
      <c r="FER363" s="393"/>
      <c r="FES363" s="398"/>
      <c r="FET363" s="393"/>
      <c r="FEU363" s="398"/>
      <c r="FEV363" s="393"/>
      <c r="FEW363" s="398"/>
      <c r="FEX363" s="393"/>
      <c r="FEY363" s="398"/>
      <c r="FEZ363" s="393"/>
      <c r="FFA363" s="398"/>
      <c r="FFB363" s="393"/>
      <c r="FFC363" s="398"/>
      <c r="FFD363" s="393"/>
      <c r="FFE363" s="398"/>
      <c r="FFF363" s="393"/>
      <c r="FFG363" s="398"/>
      <c r="FFH363" s="393"/>
      <c r="FFI363" s="398"/>
      <c r="FFJ363" s="393"/>
      <c r="FFK363" s="398"/>
      <c r="FFL363" s="393"/>
      <c r="FFM363" s="398"/>
      <c r="FFN363" s="393"/>
      <c r="FFO363" s="398"/>
      <c r="FFP363" s="393"/>
      <c r="FFQ363" s="398"/>
      <c r="FFR363" s="393"/>
      <c r="FFS363" s="398"/>
      <c r="FFT363" s="393"/>
      <c r="FFU363" s="398"/>
      <c r="FFV363" s="393"/>
      <c r="FFW363" s="398"/>
      <c r="FFX363" s="393"/>
      <c r="FFY363" s="398"/>
      <c r="FFZ363" s="393"/>
      <c r="FGA363" s="398"/>
      <c r="FGB363" s="393"/>
      <c r="FGC363" s="398"/>
      <c r="FGD363" s="393"/>
      <c r="FGE363" s="398"/>
      <c r="FGF363" s="393"/>
      <c r="FGG363" s="398"/>
      <c r="FGH363" s="393"/>
      <c r="FGI363" s="398"/>
      <c r="FGJ363" s="393"/>
      <c r="FGK363" s="398"/>
      <c r="FGL363" s="393"/>
      <c r="FGM363" s="398"/>
      <c r="FGN363" s="393"/>
      <c r="FGO363" s="398"/>
      <c r="FGP363" s="393"/>
      <c r="FGQ363" s="398"/>
      <c r="FGR363" s="393"/>
      <c r="FGS363" s="398"/>
      <c r="FGT363" s="393"/>
      <c r="FGU363" s="398"/>
      <c r="FGV363" s="393"/>
      <c r="FGW363" s="398"/>
      <c r="FGX363" s="393"/>
      <c r="FGY363" s="398"/>
      <c r="FGZ363" s="393"/>
      <c r="FHA363" s="398"/>
      <c r="FHB363" s="393"/>
      <c r="FHC363" s="398"/>
      <c r="FHD363" s="393"/>
      <c r="FHE363" s="398"/>
      <c r="FHF363" s="393"/>
      <c r="FHG363" s="398"/>
      <c r="FHH363" s="393"/>
      <c r="FHI363" s="398"/>
      <c r="FHJ363" s="393"/>
      <c r="FHK363" s="398"/>
      <c r="FHL363" s="393"/>
      <c r="FHM363" s="398"/>
      <c r="FHN363" s="393"/>
      <c r="FHO363" s="398"/>
      <c r="FHP363" s="393"/>
      <c r="FHQ363" s="398"/>
      <c r="FHR363" s="393"/>
      <c r="FHS363" s="398"/>
      <c r="FHT363" s="393"/>
      <c r="FHU363" s="398"/>
      <c r="FHV363" s="393"/>
      <c r="FHW363" s="398"/>
      <c r="FHX363" s="393"/>
      <c r="FHY363" s="398"/>
      <c r="FHZ363" s="393"/>
      <c r="FIA363" s="398"/>
      <c r="FIB363" s="393"/>
      <c r="FIC363" s="398"/>
      <c r="FID363" s="393"/>
      <c r="FIE363" s="398"/>
      <c r="FIF363" s="393"/>
      <c r="FIG363" s="398"/>
      <c r="FIH363" s="393"/>
      <c r="FII363" s="398"/>
      <c r="FIJ363" s="393"/>
      <c r="FIK363" s="398"/>
      <c r="FIL363" s="393"/>
      <c r="FIM363" s="398"/>
      <c r="FIN363" s="393"/>
      <c r="FIO363" s="398"/>
      <c r="FIP363" s="393"/>
      <c r="FIQ363" s="398"/>
      <c r="FIR363" s="393"/>
      <c r="FIS363" s="398"/>
      <c r="FIT363" s="393"/>
      <c r="FIU363" s="398"/>
      <c r="FIV363" s="393"/>
      <c r="FIW363" s="398"/>
      <c r="FIX363" s="393"/>
      <c r="FIY363" s="398"/>
      <c r="FIZ363" s="393"/>
      <c r="FJA363" s="398"/>
      <c r="FJB363" s="393"/>
      <c r="FJC363" s="398"/>
      <c r="FJD363" s="393"/>
      <c r="FJE363" s="398"/>
      <c r="FJF363" s="393"/>
      <c r="FJG363" s="398"/>
      <c r="FJH363" s="393"/>
      <c r="FJI363" s="398"/>
      <c r="FJJ363" s="393"/>
      <c r="FJK363" s="398"/>
      <c r="FJL363" s="393"/>
      <c r="FJM363" s="398"/>
      <c r="FJN363" s="393"/>
      <c r="FJO363" s="398"/>
      <c r="FJP363" s="393"/>
      <c r="FJQ363" s="398"/>
      <c r="FJR363" s="393"/>
      <c r="FJS363" s="398"/>
      <c r="FJT363" s="393"/>
      <c r="FJU363" s="398"/>
      <c r="FJV363" s="393"/>
      <c r="FJW363" s="398"/>
      <c r="FJX363" s="393"/>
      <c r="FJY363" s="398"/>
      <c r="FJZ363" s="393"/>
      <c r="FKA363" s="398"/>
      <c r="FKB363" s="393"/>
      <c r="FKC363" s="398"/>
      <c r="FKD363" s="393"/>
      <c r="FKE363" s="398"/>
      <c r="FKF363" s="393"/>
      <c r="FKG363" s="398"/>
      <c r="FKH363" s="393"/>
      <c r="FKI363" s="398"/>
      <c r="FKJ363" s="393"/>
      <c r="FKK363" s="398"/>
      <c r="FKL363" s="393"/>
      <c r="FKM363" s="398"/>
      <c r="FKN363" s="393"/>
      <c r="FKO363" s="398"/>
      <c r="FKP363" s="393"/>
      <c r="FKQ363" s="398"/>
      <c r="FKR363" s="393"/>
      <c r="FKS363" s="398"/>
      <c r="FKT363" s="393"/>
      <c r="FKU363" s="398"/>
      <c r="FKV363" s="393"/>
      <c r="FKW363" s="398"/>
      <c r="FKX363" s="393"/>
      <c r="FKY363" s="398"/>
      <c r="FKZ363" s="393"/>
      <c r="FLA363" s="398"/>
      <c r="FLB363" s="393"/>
      <c r="FLC363" s="398"/>
      <c r="FLD363" s="393"/>
      <c r="FLE363" s="398"/>
      <c r="FLF363" s="393"/>
      <c r="FLG363" s="398"/>
      <c r="FLH363" s="393"/>
      <c r="FLI363" s="398"/>
      <c r="FLJ363" s="393"/>
      <c r="FLK363" s="398"/>
      <c r="FLL363" s="393"/>
      <c r="FLM363" s="398"/>
      <c r="FLN363" s="393"/>
      <c r="FLO363" s="398"/>
      <c r="FLP363" s="393"/>
      <c r="FLQ363" s="398"/>
      <c r="FLR363" s="393"/>
      <c r="FLS363" s="398"/>
      <c r="FLT363" s="393"/>
      <c r="FLU363" s="398"/>
      <c r="FLV363" s="393"/>
      <c r="FLW363" s="398"/>
      <c r="FLX363" s="393"/>
      <c r="FLY363" s="398"/>
      <c r="FLZ363" s="393"/>
      <c r="FMA363" s="398"/>
      <c r="FMB363" s="393"/>
      <c r="FMC363" s="398"/>
      <c r="FMD363" s="393"/>
      <c r="FME363" s="398"/>
      <c r="FMF363" s="393"/>
      <c r="FMG363" s="398"/>
      <c r="FMH363" s="393"/>
      <c r="FMI363" s="398"/>
      <c r="FMJ363" s="393"/>
      <c r="FMK363" s="398"/>
      <c r="FML363" s="393"/>
      <c r="FMM363" s="398"/>
      <c r="FMN363" s="393"/>
      <c r="FMO363" s="398"/>
      <c r="FMP363" s="393"/>
      <c r="FMQ363" s="398"/>
      <c r="FMR363" s="393"/>
      <c r="FMS363" s="398"/>
      <c r="FMT363" s="393"/>
      <c r="FMU363" s="398"/>
      <c r="FMV363" s="393"/>
      <c r="FMW363" s="398"/>
      <c r="FMX363" s="393"/>
      <c r="FMY363" s="398"/>
      <c r="FMZ363" s="393"/>
      <c r="FNA363" s="398"/>
      <c r="FNB363" s="393"/>
      <c r="FNC363" s="398"/>
      <c r="FND363" s="393"/>
      <c r="FNE363" s="398"/>
      <c r="FNF363" s="393"/>
      <c r="FNG363" s="398"/>
      <c r="FNH363" s="393"/>
      <c r="FNI363" s="398"/>
      <c r="FNJ363" s="393"/>
      <c r="FNK363" s="398"/>
      <c r="FNL363" s="393"/>
      <c r="FNM363" s="398"/>
      <c r="FNN363" s="393"/>
      <c r="FNO363" s="398"/>
      <c r="FNP363" s="393"/>
      <c r="FNQ363" s="398"/>
      <c r="FNR363" s="393"/>
      <c r="FNS363" s="398"/>
      <c r="FNT363" s="393"/>
      <c r="FNU363" s="398"/>
      <c r="FNV363" s="393"/>
      <c r="FNW363" s="398"/>
      <c r="FNX363" s="393"/>
      <c r="FNY363" s="398"/>
      <c r="FNZ363" s="393"/>
      <c r="FOA363" s="398"/>
      <c r="FOB363" s="393"/>
      <c r="FOC363" s="398"/>
      <c r="FOD363" s="393"/>
      <c r="FOE363" s="398"/>
      <c r="FOF363" s="393"/>
      <c r="FOG363" s="398"/>
      <c r="FOH363" s="393"/>
      <c r="FOI363" s="398"/>
      <c r="FOJ363" s="393"/>
      <c r="FOK363" s="398"/>
      <c r="FOL363" s="393"/>
      <c r="FOM363" s="398"/>
      <c r="FON363" s="393"/>
      <c r="FOO363" s="398"/>
      <c r="FOP363" s="393"/>
      <c r="FOQ363" s="398"/>
      <c r="FOR363" s="393"/>
      <c r="FOS363" s="398"/>
      <c r="FOT363" s="393"/>
      <c r="FOU363" s="398"/>
      <c r="FOV363" s="393"/>
      <c r="FOW363" s="398"/>
      <c r="FOX363" s="393"/>
      <c r="FOY363" s="398"/>
      <c r="FOZ363" s="393"/>
      <c r="FPA363" s="398"/>
      <c r="FPB363" s="393"/>
      <c r="FPC363" s="398"/>
      <c r="FPD363" s="393"/>
      <c r="FPE363" s="398"/>
      <c r="FPF363" s="393"/>
      <c r="FPG363" s="398"/>
      <c r="FPH363" s="393"/>
      <c r="FPI363" s="398"/>
      <c r="FPJ363" s="393"/>
      <c r="FPK363" s="398"/>
      <c r="FPL363" s="393"/>
      <c r="FPM363" s="398"/>
      <c r="FPN363" s="393"/>
      <c r="FPO363" s="398"/>
      <c r="FPP363" s="393"/>
      <c r="FPQ363" s="398"/>
      <c r="FPR363" s="393"/>
      <c r="FPS363" s="398"/>
      <c r="FPT363" s="393"/>
      <c r="FPU363" s="398"/>
      <c r="FPV363" s="393"/>
      <c r="FPW363" s="398"/>
      <c r="FPX363" s="393"/>
      <c r="FPY363" s="398"/>
      <c r="FPZ363" s="393"/>
      <c r="FQA363" s="398"/>
      <c r="FQB363" s="393"/>
      <c r="FQC363" s="398"/>
      <c r="FQD363" s="393"/>
      <c r="FQE363" s="398"/>
      <c r="FQF363" s="393"/>
      <c r="FQG363" s="398"/>
      <c r="FQH363" s="393"/>
      <c r="FQI363" s="398"/>
      <c r="FQJ363" s="393"/>
      <c r="FQK363" s="398"/>
      <c r="FQL363" s="393"/>
      <c r="FQM363" s="398"/>
      <c r="FQN363" s="393"/>
      <c r="FQO363" s="398"/>
      <c r="FQP363" s="393"/>
      <c r="FQQ363" s="398"/>
      <c r="FQR363" s="393"/>
      <c r="FQS363" s="398"/>
      <c r="FQT363" s="393"/>
      <c r="FQU363" s="398"/>
      <c r="FQV363" s="393"/>
      <c r="FQW363" s="398"/>
      <c r="FQX363" s="393"/>
      <c r="FQY363" s="398"/>
      <c r="FQZ363" s="393"/>
      <c r="FRA363" s="398"/>
      <c r="FRB363" s="393"/>
      <c r="FRC363" s="398"/>
      <c r="FRD363" s="393"/>
      <c r="FRE363" s="398"/>
      <c r="FRF363" s="393"/>
      <c r="FRG363" s="398"/>
      <c r="FRH363" s="393"/>
      <c r="FRI363" s="398"/>
      <c r="FRJ363" s="393"/>
      <c r="FRK363" s="398"/>
      <c r="FRL363" s="393"/>
      <c r="FRM363" s="398"/>
      <c r="FRN363" s="393"/>
      <c r="FRO363" s="398"/>
      <c r="FRP363" s="393"/>
      <c r="FRQ363" s="398"/>
      <c r="FRR363" s="393"/>
      <c r="FRS363" s="398"/>
      <c r="FRT363" s="393"/>
      <c r="FRU363" s="398"/>
      <c r="FRV363" s="393"/>
      <c r="FRW363" s="398"/>
      <c r="FRX363" s="393"/>
      <c r="FRY363" s="398"/>
      <c r="FRZ363" s="393"/>
      <c r="FSA363" s="398"/>
      <c r="FSB363" s="393"/>
      <c r="FSC363" s="398"/>
      <c r="FSD363" s="393"/>
      <c r="FSE363" s="398"/>
      <c r="FSF363" s="393"/>
      <c r="FSG363" s="398"/>
      <c r="FSH363" s="393"/>
      <c r="FSI363" s="398"/>
      <c r="FSJ363" s="393"/>
      <c r="FSK363" s="398"/>
      <c r="FSL363" s="393"/>
      <c r="FSM363" s="398"/>
      <c r="FSN363" s="393"/>
      <c r="FSO363" s="398"/>
      <c r="FSP363" s="393"/>
      <c r="FSQ363" s="398"/>
      <c r="FSR363" s="393"/>
      <c r="FSS363" s="398"/>
      <c r="FST363" s="393"/>
      <c r="FSU363" s="398"/>
      <c r="FSV363" s="393"/>
      <c r="FSW363" s="398"/>
      <c r="FSX363" s="393"/>
      <c r="FSY363" s="398"/>
      <c r="FSZ363" s="393"/>
      <c r="FTA363" s="398"/>
      <c r="FTB363" s="393"/>
      <c r="FTC363" s="398"/>
      <c r="FTD363" s="393"/>
      <c r="FTE363" s="398"/>
      <c r="FTF363" s="393"/>
      <c r="FTG363" s="398"/>
      <c r="FTH363" s="393"/>
      <c r="FTI363" s="398"/>
      <c r="FTJ363" s="393"/>
      <c r="FTK363" s="398"/>
      <c r="FTL363" s="393"/>
      <c r="FTM363" s="398"/>
      <c r="FTN363" s="393"/>
      <c r="FTO363" s="398"/>
      <c r="FTP363" s="393"/>
      <c r="FTQ363" s="398"/>
      <c r="FTR363" s="393"/>
      <c r="FTS363" s="398"/>
      <c r="FTT363" s="393"/>
      <c r="FTU363" s="398"/>
      <c r="FTV363" s="393"/>
      <c r="FTW363" s="398"/>
      <c r="FTX363" s="393"/>
      <c r="FTY363" s="398"/>
      <c r="FTZ363" s="393"/>
      <c r="FUA363" s="398"/>
      <c r="FUB363" s="393"/>
      <c r="FUC363" s="398"/>
      <c r="FUD363" s="393"/>
      <c r="FUE363" s="398"/>
      <c r="FUF363" s="393"/>
      <c r="FUG363" s="398"/>
      <c r="FUH363" s="393"/>
      <c r="FUI363" s="398"/>
      <c r="FUJ363" s="393"/>
      <c r="FUK363" s="398"/>
      <c r="FUL363" s="393"/>
      <c r="FUM363" s="398"/>
      <c r="FUN363" s="393"/>
      <c r="FUO363" s="398"/>
      <c r="FUP363" s="393"/>
      <c r="FUQ363" s="398"/>
      <c r="FUR363" s="393"/>
      <c r="FUS363" s="398"/>
      <c r="FUT363" s="393"/>
      <c r="FUU363" s="398"/>
      <c r="FUV363" s="393"/>
      <c r="FUW363" s="398"/>
      <c r="FUX363" s="393"/>
      <c r="FUY363" s="398"/>
      <c r="FUZ363" s="393"/>
      <c r="FVA363" s="398"/>
      <c r="FVB363" s="393"/>
      <c r="FVC363" s="398"/>
      <c r="FVD363" s="393"/>
      <c r="FVE363" s="398"/>
      <c r="FVF363" s="393"/>
      <c r="FVG363" s="398"/>
      <c r="FVH363" s="393"/>
      <c r="FVI363" s="398"/>
      <c r="FVJ363" s="393"/>
      <c r="FVK363" s="398"/>
      <c r="FVL363" s="393"/>
      <c r="FVM363" s="398"/>
      <c r="FVN363" s="393"/>
      <c r="FVO363" s="398"/>
      <c r="FVP363" s="393"/>
      <c r="FVQ363" s="398"/>
      <c r="FVR363" s="393"/>
      <c r="FVS363" s="398"/>
      <c r="FVT363" s="393"/>
      <c r="FVU363" s="398"/>
      <c r="FVV363" s="393"/>
      <c r="FVW363" s="398"/>
      <c r="FVX363" s="393"/>
      <c r="FVY363" s="398"/>
      <c r="FVZ363" s="393"/>
      <c r="FWA363" s="398"/>
      <c r="FWB363" s="393"/>
      <c r="FWC363" s="398"/>
      <c r="FWD363" s="393"/>
      <c r="FWE363" s="398"/>
      <c r="FWF363" s="393"/>
      <c r="FWG363" s="398"/>
      <c r="FWH363" s="393"/>
      <c r="FWI363" s="398"/>
      <c r="FWJ363" s="393"/>
      <c r="FWK363" s="398"/>
      <c r="FWL363" s="393"/>
      <c r="FWM363" s="398"/>
      <c r="FWN363" s="393"/>
      <c r="FWO363" s="398"/>
      <c r="FWP363" s="393"/>
      <c r="FWQ363" s="398"/>
      <c r="FWR363" s="393"/>
      <c r="FWS363" s="398"/>
      <c r="FWT363" s="393"/>
      <c r="FWU363" s="398"/>
      <c r="FWV363" s="393"/>
      <c r="FWW363" s="398"/>
      <c r="FWX363" s="393"/>
      <c r="FWY363" s="398"/>
      <c r="FWZ363" s="393"/>
      <c r="FXA363" s="398"/>
      <c r="FXB363" s="393"/>
      <c r="FXC363" s="398"/>
      <c r="FXD363" s="393"/>
      <c r="FXE363" s="398"/>
      <c r="FXF363" s="393"/>
      <c r="FXG363" s="398"/>
      <c r="FXH363" s="393"/>
      <c r="FXI363" s="398"/>
      <c r="FXJ363" s="393"/>
      <c r="FXK363" s="398"/>
      <c r="FXL363" s="393"/>
      <c r="FXM363" s="398"/>
      <c r="FXN363" s="393"/>
      <c r="FXO363" s="398"/>
      <c r="FXP363" s="393"/>
      <c r="FXQ363" s="398"/>
      <c r="FXR363" s="393"/>
      <c r="FXS363" s="398"/>
      <c r="FXT363" s="393"/>
      <c r="FXU363" s="398"/>
      <c r="FXV363" s="393"/>
      <c r="FXW363" s="398"/>
      <c r="FXX363" s="393"/>
      <c r="FXY363" s="398"/>
      <c r="FXZ363" s="393"/>
      <c r="FYA363" s="398"/>
      <c r="FYB363" s="393"/>
      <c r="FYC363" s="398"/>
      <c r="FYD363" s="393"/>
      <c r="FYE363" s="398"/>
      <c r="FYF363" s="393"/>
      <c r="FYG363" s="398"/>
      <c r="FYH363" s="393"/>
      <c r="FYI363" s="398"/>
      <c r="FYJ363" s="393"/>
      <c r="FYK363" s="398"/>
      <c r="FYL363" s="393"/>
      <c r="FYM363" s="398"/>
      <c r="FYN363" s="393"/>
      <c r="FYO363" s="398"/>
      <c r="FYP363" s="393"/>
      <c r="FYQ363" s="398"/>
      <c r="FYR363" s="393"/>
      <c r="FYS363" s="398"/>
      <c r="FYT363" s="393"/>
      <c r="FYU363" s="398"/>
      <c r="FYV363" s="393"/>
      <c r="FYW363" s="398"/>
      <c r="FYX363" s="393"/>
      <c r="FYY363" s="398"/>
      <c r="FYZ363" s="393"/>
      <c r="FZA363" s="398"/>
      <c r="FZB363" s="393"/>
      <c r="FZC363" s="398"/>
      <c r="FZD363" s="393"/>
      <c r="FZE363" s="398"/>
      <c r="FZF363" s="393"/>
      <c r="FZG363" s="398"/>
      <c r="FZH363" s="393"/>
      <c r="FZI363" s="398"/>
      <c r="FZJ363" s="393"/>
      <c r="FZK363" s="398"/>
      <c r="FZL363" s="393"/>
      <c r="FZM363" s="398"/>
      <c r="FZN363" s="393"/>
      <c r="FZO363" s="398"/>
      <c r="FZP363" s="393"/>
      <c r="FZQ363" s="398"/>
      <c r="FZR363" s="393"/>
      <c r="FZS363" s="398"/>
      <c r="FZT363" s="393"/>
      <c r="FZU363" s="398"/>
      <c r="FZV363" s="393"/>
      <c r="FZW363" s="398"/>
      <c r="FZX363" s="393"/>
      <c r="FZY363" s="398"/>
      <c r="FZZ363" s="393"/>
      <c r="GAA363" s="398"/>
      <c r="GAB363" s="393"/>
      <c r="GAC363" s="398"/>
      <c r="GAD363" s="393"/>
      <c r="GAE363" s="398"/>
      <c r="GAF363" s="393"/>
      <c r="GAG363" s="398"/>
      <c r="GAH363" s="393"/>
      <c r="GAI363" s="398"/>
      <c r="GAJ363" s="393"/>
      <c r="GAK363" s="398"/>
      <c r="GAL363" s="393"/>
      <c r="GAM363" s="398"/>
      <c r="GAN363" s="393"/>
      <c r="GAO363" s="398"/>
      <c r="GAP363" s="393"/>
      <c r="GAQ363" s="398"/>
      <c r="GAR363" s="393"/>
      <c r="GAS363" s="398"/>
      <c r="GAT363" s="393"/>
      <c r="GAU363" s="398"/>
      <c r="GAV363" s="393"/>
      <c r="GAW363" s="398"/>
      <c r="GAX363" s="393"/>
      <c r="GAY363" s="398"/>
      <c r="GAZ363" s="393"/>
      <c r="GBA363" s="398"/>
      <c r="GBB363" s="393"/>
      <c r="GBC363" s="398"/>
      <c r="GBD363" s="393"/>
      <c r="GBE363" s="398"/>
      <c r="GBF363" s="393"/>
      <c r="GBG363" s="398"/>
      <c r="GBH363" s="393"/>
      <c r="GBI363" s="398"/>
      <c r="GBJ363" s="393"/>
      <c r="GBK363" s="398"/>
      <c r="GBL363" s="393"/>
      <c r="GBM363" s="398"/>
      <c r="GBN363" s="393"/>
      <c r="GBO363" s="398"/>
      <c r="GBP363" s="393"/>
      <c r="GBQ363" s="398"/>
      <c r="GBR363" s="393"/>
      <c r="GBS363" s="398"/>
      <c r="GBT363" s="393"/>
      <c r="GBU363" s="398"/>
      <c r="GBV363" s="393"/>
      <c r="GBW363" s="398"/>
      <c r="GBX363" s="393"/>
      <c r="GBY363" s="398"/>
      <c r="GBZ363" s="393"/>
      <c r="GCA363" s="398"/>
      <c r="GCB363" s="393"/>
      <c r="GCC363" s="398"/>
      <c r="GCD363" s="393"/>
      <c r="GCE363" s="398"/>
      <c r="GCF363" s="393"/>
      <c r="GCG363" s="398"/>
      <c r="GCH363" s="393"/>
      <c r="GCI363" s="398"/>
      <c r="GCJ363" s="393"/>
      <c r="GCK363" s="398"/>
      <c r="GCL363" s="393"/>
      <c r="GCM363" s="398"/>
      <c r="GCN363" s="393"/>
      <c r="GCO363" s="398"/>
      <c r="GCP363" s="393"/>
      <c r="GCQ363" s="398"/>
      <c r="GCR363" s="393"/>
      <c r="GCS363" s="398"/>
      <c r="GCT363" s="393"/>
      <c r="GCU363" s="398"/>
      <c r="GCV363" s="393"/>
      <c r="GCW363" s="398"/>
      <c r="GCX363" s="393"/>
      <c r="GCY363" s="398"/>
      <c r="GCZ363" s="393"/>
      <c r="GDA363" s="398"/>
      <c r="GDB363" s="393"/>
      <c r="GDC363" s="398"/>
      <c r="GDD363" s="393"/>
      <c r="GDE363" s="398"/>
      <c r="GDF363" s="393"/>
      <c r="GDG363" s="398"/>
      <c r="GDH363" s="393"/>
      <c r="GDI363" s="398"/>
      <c r="GDJ363" s="393"/>
      <c r="GDK363" s="398"/>
      <c r="GDL363" s="393"/>
      <c r="GDM363" s="398"/>
      <c r="GDN363" s="393"/>
      <c r="GDO363" s="398"/>
      <c r="GDP363" s="393"/>
      <c r="GDQ363" s="398"/>
      <c r="GDR363" s="393"/>
      <c r="GDS363" s="398"/>
      <c r="GDT363" s="393"/>
      <c r="GDU363" s="398"/>
      <c r="GDV363" s="393"/>
      <c r="GDW363" s="398"/>
      <c r="GDX363" s="393"/>
      <c r="GDY363" s="398"/>
      <c r="GDZ363" s="393"/>
      <c r="GEA363" s="398"/>
      <c r="GEB363" s="393"/>
      <c r="GEC363" s="398"/>
      <c r="GED363" s="393"/>
      <c r="GEE363" s="398"/>
      <c r="GEF363" s="393"/>
      <c r="GEG363" s="398"/>
      <c r="GEH363" s="393"/>
      <c r="GEI363" s="398"/>
      <c r="GEJ363" s="393"/>
      <c r="GEK363" s="398"/>
      <c r="GEL363" s="393"/>
      <c r="GEM363" s="398"/>
      <c r="GEN363" s="393"/>
      <c r="GEO363" s="398"/>
      <c r="GEP363" s="393"/>
      <c r="GEQ363" s="398"/>
      <c r="GER363" s="393"/>
      <c r="GES363" s="398"/>
      <c r="GET363" s="393"/>
      <c r="GEU363" s="398"/>
      <c r="GEV363" s="393"/>
      <c r="GEW363" s="398"/>
      <c r="GEX363" s="393"/>
      <c r="GEY363" s="398"/>
      <c r="GEZ363" s="393"/>
      <c r="GFA363" s="398"/>
      <c r="GFB363" s="393"/>
      <c r="GFC363" s="398"/>
      <c r="GFD363" s="393"/>
      <c r="GFE363" s="398"/>
      <c r="GFF363" s="393"/>
      <c r="GFG363" s="398"/>
      <c r="GFH363" s="393"/>
      <c r="GFI363" s="398"/>
      <c r="GFJ363" s="393"/>
      <c r="GFK363" s="398"/>
      <c r="GFL363" s="393"/>
      <c r="GFM363" s="398"/>
      <c r="GFN363" s="393"/>
      <c r="GFO363" s="398"/>
      <c r="GFP363" s="393"/>
      <c r="GFQ363" s="398"/>
      <c r="GFR363" s="393"/>
      <c r="GFS363" s="398"/>
      <c r="GFT363" s="393"/>
      <c r="GFU363" s="398"/>
      <c r="GFV363" s="393"/>
      <c r="GFW363" s="398"/>
      <c r="GFX363" s="393"/>
      <c r="GFY363" s="398"/>
      <c r="GFZ363" s="393"/>
      <c r="GGA363" s="398"/>
      <c r="GGB363" s="393"/>
      <c r="GGC363" s="398"/>
      <c r="GGD363" s="393"/>
      <c r="GGE363" s="398"/>
      <c r="GGF363" s="393"/>
      <c r="GGG363" s="398"/>
      <c r="GGH363" s="393"/>
      <c r="GGI363" s="398"/>
      <c r="GGJ363" s="393"/>
      <c r="GGK363" s="398"/>
      <c r="GGL363" s="393"/>
      <c r="GGM363" s="398"/>
      <c r="GGN363" s="393"/>
      <c r="GGO363" s="398"/>
      <c r="GGP363" s="393"/>
      <c r="GGQ363" s="398"/>
      <c r="GGR363" s="393"/>
      <c r="GGS363" s="398"/>
      <c r="GGT363" s="393"/>
      <c r="GGU363" s="398"/>
      <c r="GGV363" s="393"/>
      <c r="GGW363" s="398"/>
      <c r="GGX363" s="393"/>
      <c r="GGY363" s="398"/>
      <c r="GGZ363" s="393"/>
      <c r="GHA363" s="398"/>
      <c r="GHB363" s="393"/>
      <c r="GHC363" s="398"/>
      <c r="GHD363" s="393"/>
      <c r="GHE363" s="398"/>
      <c r="GHF363" s="393"/>
      <c r="GHG363" s="398"/>
      <c r="GHH363" s="393"/>
      <c r="GHI363" s="398"/>
      <c r="GHJ363" s="393"/>
      <c r="GHK363" s="398"/>
      <c r="GHL363" s="393"/>
      <c r="GHM363" s="398"/>
      <c r="GHN363" s="393"/>
      <c r="GHO363" s="398"/>
      <c r="GHP363" s="393"/>
      <c r="GHQ363" s="398"/>
      <c r="GHR363" s="393"/>
      <c r="GHS363" s="398"/>
      <c r="GHT363" s="393"/>
      <c r="GHU363" s="398"/>
      <c r="GHV363" s="393"/>
      <c r="GHW363" s="398"/>
      <c r="GHX363" s="393"/>
      <c r="GHY363" s="398"/>
      <c r="GHZ363" s="393"/>
      <c r="GIA363" s="398"/>
      <c r="GIB363" s="393"/>
      <c r="GIC363" s="398"/>
      <c r="GID363" s="393"/>
      <c r="GIE363" s="398"/>
      <c r="GIF363" s="393"/>
      <c r="GIG363" s="398"/>
      <c r="GIH363" s="393"/>
      <c r="GII363" s="398"/>
      <c r="GIJ363" s="393"/>
      <c r="GIK363" s="398"/>
      <c r="GIL363" s="393"/>
      <c r="GIM363" s="398"/>
      <c r="GIN363" s="393"/>
      <c r="GIO363" s="398"/>
      <c r="GIP363" s="393"/>
      <c r="GIQ363" s="398"/>
      <c r="GIR363" s="393"/>
      <c r="GIS363" s="398"/>
      <c r="GIT363" s="393"/>
      <c r="GIU363" s="398"/>
      <c r="GIV363" s="393"/>
      <c r="GIW363" s="398"/>
      <c r="GIX363" s="393"/>
      <c r="GIY363" s="398"/>
      <c r="GIZ363" s="393"/>
      <c r="GJA363" s="398"/>
      <c r="GJB363" s="393"/>
      <c r="GJC363" s="398"/>
      <c r="GJD363" s="393"/>
      <c r="GJE363" s="398"/>
      <c r="GJF363" s="393"/>
      <c r="GJG363" s="398"/>
      <c r="GJH363" s="393"/>
      <c r="GJI363" s="398"/>
      <c r="GJJ363" s="393"/>
      <c r="GJK363" s="398"/>
      <c r="GJL363" s="393"/>
      <c r="GJM363" s="398"/>
      <c r="GJN363" s="393"/>
      <c r="GJO363" s="398"/>
      <c r="GJP363" s="393"/>
      <c r="GJQ363" s="398"/>
      <c r="GJR363" s="393"/>
      <c r="GJS363" s="398"/>
      <c r="GJT363" s="393"/>
      <c r="GJU363" s="398"/>
      <c r="GJV363" s="393"/>
      <c r="GJW363" s="398"/>
      <c r="GJX363" s="393"/>
      <c r="GJY363" s="398"/>
      <c r="GJZ363" s="393"/>
      <c r="GKA363" s="398"/>
      <c r="GKB363" s="393"/>
      <c r="GKC363" s="398"/>
      <c r="GKD363" s="393"/>
      <c r="GKE363" s="398"/>
      <c r="GKF363" s="393"/>
      <c r="GKG363" s="398"/>
      <c r="GKH363" s="393"/>
      <c r="GKI363" s="398"/>
      <c r="GKJ363" s="393"/>
      <c r="GKK363" s="398"/>
      <c r="GKL363" s="393"/>
      <c r="GKM363" s="398"/>
      <c r="GKN363" s="393"/>
      <c r="GKO363" s="398"/>
      <c r="GKP363" s="393"/>
      <c r="GKQ363" s="398"/>
      <c r="GKR363" s="393"/>
      <c r="GKS363" s="398"/>
      <c r="GKT363" s="393"/>
      <c r="GKU363" s="398"/>
      <c r="GKV363" s="393"/>
      <c r="GKW363" s="398"/>
      <c r="GKX363" s="393"/>
      <c r="GKY363" s="398"/>
      <c r="GKZ363" s="393"/>
      <c r="GLA363" s="398"/>
      <c r="GLB363" s="393"/>
      <c r="GLC363" s="398"/>
      <c r="GLD363" s="393"/>
      <c r="GLE363" s="398"/>
      <c r="GLF363" s="393"/>
      <c r="GLG363" s="398"/>
      <c r="GLH363" s="393"/>
      <c r="GLI363" s="398"/>
      <c r="GLJ363" s="393"/>
      <c r="GLK363" s="398"/>
      <c r="GLL363" s="393"/>
      <c r="GLM363" s="398"/>
      <c r="GLN363" s="393"/>
      <c r="GLO363" s="398"/>
      <c r="GLP363" s="393"/>
      <c r="GLQ363" s="398"/>
      <c r="GLR363" s="393"/>
      <c r="GLS363" s="398"/>
      <c r="GLT363" s="393"/>
      <c r="GLU363" s="398"/>
      <c r="GLV363" s="393"/>
      <c r="GLW363" s="398"/>
      <c r="GLX363" s="393"/>
      <c r="GLY363" s="398"/>
      <c r="GLZ363" s="393"/>
      <c r="GMA363" s="398"/>
      <c r="GMB363" s="393"/>
      <c r="GMC363" s="398"/>
      <c r="GMD363" s="393"/>
      <c r="GME363" s="398"/>
      <c r="GMF363" s="393"/>
      <c r="GMG363" s="398"/>
      <c r="GMH363" s="393"/>
      <c r="GMI363" s="398"/>
      <c r="GMJ363" s="393"/>
      <c r="GMK363" s="398"/>
      <c r="GML363" s="393"/>
      <c r="GMM363" s="398"/>
      <c r="GMN363" s="393"/>
      <c r="GMO363" s="398"/>
      <c r="GMP363" s="393"/>
      <c r="GMQ363" s="398"/>
      <c r="GMR363" s="393"/>
      <c r="GMS363" s="398"/>
      <c r="GMT363" s="393"/>
      <c r="GMU363" s="398"/>
      <c r="GMV363" s="393"/>
      <c r="GMW363" s="398"/>
      <c r="GMX363" s="393"/>
      <c r="GMY363" s="398"/>
      <c r="GMZ363" s="393"/>
      <c r="GNA363" s="398"/>
      <c r="GNB363" s="393"/>
      <c r="GNC363" s="398"/>
      <c r="GND363" s="393"/>
      <c r="GNE363" s="398"/>
      <c r="GNF363" s="393"/>
      <c r="GNG363" s="398"/>
      <c r="GNH363" s="393"/>
      <c r="GNI363" s="398"/>
      <c r="GNJ363" s="393"/>
      <c r="GNK363" s="398"/>
      <c r="GNL363" s="393"/>
      <c r="GNM363" s="398"/>
      <c r="GNN363" s="393"/>
      <c r="GNO363" s="398"/>
      <c r="GNP363" s="393"/>
      <c r="GNQ363" s="398"/>
      <c r="GNR363" s="393"/>
      <c r="GNS363" s="398"/>
      <c r="GNT363" s="393"/>
      <c r="GNU363" s="398"/>
      <c r="GNV363" s="393"/>
      <c r="GNW363" s="398"/>
      <c r="GNX363" s="393"/>
      <c r="GNY363" s="398"/>
      <c r="GNZ363" s="393"/>
      <c r="GOA363" s="398"/>
      <c r="GOB363" s="393"/>
      <c r="GOC363" s="398"/>
      <c r="GOD363" s="393"/>
      <c r="GOE363" s="398"/>
      <c r="GOF363" s="393"/>
      <c r="GOG363" s="398"/>
      <c r="GOH363" s="393"/>
      <c r="GOI363" s="398"/>
      <c r="GOJ363" s="393"/>
      <c r="GOK363" s="398"/>
      <c r="GOL363" s="393"/>
      <c r="GOM363" s="398"/>
      <c r="GON363" s="393"/>
      <c r="GOO363" s="398"/>
      <c r="GOP363" s="393"/>
      <c r="GOQ363" s="398"/>
      <c r="GOR363" s="393"/>
      <c r="GOS363" s="398"/>
      <c r="GOT363" s="393"/>
      <c r="GOU363" s="398"/>
      <c r="GOV363" s="393"/>
      <c r="GOW363" s="398"/>
      <c r="GOX363" s="393"/>
      <c r="GOY363" s="398"/>
      <c r="GOZ363" s="393"/>
      <c r="GPA363" s="398"/>
      <c r="GPB363" s="393"/>
      <c r="GPC363" s="398"/>
      <c r="GPD363" s="393"/>
      <c r="GPE363" s="398"/>
      <c r="GPF363" s="393"/>
      <c r="GPG363" s="398"/>
      <c r="GPH363" s="393"/>
      <c r="GPI363" s="398"/>
      <c r="GPJ363" s="393"/>
      <c r="GPK363" s="398"/>
      <c r="GPL363" s="393"/>
      <c r="GPM363" s="398"/>
      <c r="GPN363" s="393"/>
      <c r="GPO363" s="398"/>
      <c r="GPP363" s="393"/>
      <c r="GPQ363" s="398"/>
      <c r="GPR363" s="393"/>
      <c r="GPS363" s="398"/>
      <c r="GPT363" s="393"/>
      <c r="GPU363" s="398"/>
      <c r="GPV363" s="393"/>
      <c r="GPW363" s="398"/>
      <c r="GPX363" s="393"/>
      <c r="GPY363" s="398"/>
      <c r="GPZ363" s="393"/>
      <c r="GQA363" s="398"/>
      <c r="GQB363" s="393"/>
      <c r="GQC363" s="398"/>
      <c r="GQD363" s="393"/>
      <c r="GQE363" s="398"/>
      <c r="GQF363" s="393"/>
      <c r="GQG363" s="398"/>
      <c r="GQH363" s="393"/>
      <c r="GQI363" s="398"/>
      <c r="GQJ363" s="393"/>
      <c r="GQK363" s="398"/>
      <c r="GQL363" s="393"/>
      <c r="GQM363" s="398"/>
      <c r="GQN363" s="393"/>
      <c r="GQO363" s="398"/>
      <c r="GQP363" s="393"/>
      <c r="GQQ363" s="398"/>
      <c r="GQR363" s="393"/>
      <c r="GQS363" s="398"/>
      <c r="GQT363" s="393"/>
      <c r="GQU363" s="398"/>
      <c r="GQV363" s="393"/>
      <c r="GQW363" s="398"/>
      <c r="GQX363" s="393"/>
      <c r="GQY363" s="398"/>
      <c r="GQZ363" s="393"/>
      <c r="GRA363" s="398"/>
      <c r="GRB363" s="393"/>
      <c r="GRC363" s="398"/>
      <c r="GRD363" s="393"/>
      <c r="GRE363" s="398"/>
      <c r="GRF363" s="393"/>
      <c r="GRG363" s="398"/>
      <c r="GRH363" s="393"/>
      <c r="GRI363" s="398"/>
      <c r="GRJ363" s="393"/>
      <c r="GRK363" s="398"/>
      <c r="GRL363" s="393"/>
      <c r="GRM363" s="398"/>
      <c r="GRN363" s="393"/>
      <c r="GRO363" s="398"/>
      <c r="GRP363" s="393"/>
      <c r="GRQ363" s="398"/>
      <c r="GRR363" s="393"/>
      <c r="GRS363" s="398"/>
      <c r="GRT363" s="393"/>
      <c r="GRU363" s="398"/>
      <c r="GRV363" s="393"/>
      <c r="GRW363" s="398"/>
      <c r="GRX363" s="393"/>
      <c r="GRY363" s="398"/>
      <c r="GRZ363" s="393"/>
      <c r="GSA363" s="398"/>
      <c r="GSB363" s="393"/>
      <c r="GSC363" s="398"/>
      <c r="GSD363" s="393"/>
      <c r="GSE363" s="398"/>
      <c r="GSF363" s="393"/>
      <c r="GSG363" s="398"/>
      <c r="GSH363" s="393"/>
      <c r="GSI363" s="398"/>
      <c r="GSJ363" s="393"/>
      <c r="GSK363" s="398"/>
      <c r="GSL363" s="393"/>
      <c r="GSM363" s="398"/>
      <c r="GSN363" s="393"/>
      <c r="GSO363" s="398"/>
      <c r="GSP363" s="393"/>
      <c r="GSQ363" s="398"/>
      <c r="GSR363" s="393"/>
      <c r="GSS363" s="398"/>
      <c r="GST363" s="393"/>
      <c r="GSU363" s="398"/>
      <c r="GSV363" s="393"/>
      <c r="GSW363" s="398"/>
      <c r="GSX363" s="393"/>
      <c r="GSY363" s="398"/>
      <c r="GSZ363" s="393"/>
      <c r="GTA363" s="398"/>
      <c r="GTB363" s="393"/>
      <c r="GTC363" s="398"/>
      <c r="GTD363" s="393"/>
      <c r="GTE363" s="398"/>
      <c r="GTF363" s="393"/>
      <c r="GTG363" s="398"/>
      <c r="GTH363" s="393"/>
      <c r="GTI363" s="398"/>
      <c r="GTJ363" s="393"/>
      <c r="GTK363" s="398"/>
      <c r="GTL363" s="393"/>
      <c r="GTM363" s="398"/>
      <c r="GTN363" s="393"/>
      <c r="GTO363" s="398"/>
      <c r="GTP363" s="393"/>
      <c r="GTQ363" s="398"/>
      <c r="GTR363" s="393"/>
      <c r="GTS363" s="398"/>
      <c r="GTT363" s="393"/>
      <c r="GTU363" s="398"/>
      <c r="GTV363" s="393"/>
      <c r="GTW363" s="398"/>
      <c r="GTX363" s="393"/>
      <c r="GTY363" s="398"/>
      <c r="GTZ363" s="393"/>
      <c r="GUA363" s="398"/>
      <c r="GUB363" s="393"/>
      <c r="GUC363" s="398"/>
      <c r="GUD363" s="393"/>
      <c r="GUE363" s="398"/>
      <c r="GUF363" s="393"/>
      <c r="GUG363" s="398"/>
      <c r="GUH363" s="393"/>
      <c r="GUI363" s="398"/>
      <c r="GUJ363" s="393"/>
      <c r="GUK363" s="398"/>
      <c r="GUL363" s="393"/>
      <c r="GUM363" s="398"/>
      <c r="GUN363" s="393"/>
      <c r="GUO363" s="398"/>
      <c r="GUP363" s="393"/>
      <c r="GUQ363" s="398"/>
      <c r="GUR363" s="393"/>
      <c r="GUS363" s="398"/>
      <c r="GUT363" s="393"/>
      <c r="GUU363" s="398"/>
      <c r="GUV363" s="393"/>
      <c r="GUW363" s="398"/>
      <c r="GUX363" s="393"/>
      <c r="GUY363" s="398"/>
      <c r="GUZ363" s="393"/>
      <c r="GVA363" s="398"/>
      <c r="GVB363" s="393"/>
      <c r="GVC363" s="398"/>
      <c r="GVD363" s="393"/>
      <c r="GVE363" s="398"/>
      <c r="GVF363" s="393"/>
      <c r="GVG363" s="398"/>
      <c r="GVH363" s="393"/>
      <c r="GVI363" s="398"/>
      <c r="GVJ363" s="393"/>
      <c r="GVK363" s="398"/>
      <c r="GVL363" s="393"/>
      <c r="GVM363" s="398"/>
      <c r="GVN363" s="393"/>
      <c r="GVO363" s="398"/>
      <c r="GVP363" s="393"/>
      <c r="GVQ363" s="398"/>
      <c r="GVR363" s="393"/>
      <c r="GVS363" s="398"/>
      <c r="GVT363" s="393"/>
      <c r="GVU363" s="398"/>
      <c r="GVV363" s="393"/>
      <c r="GVW363" s="398"/>
      <c r="GVX363" s="393"/>
      <c r="GVY363" s="398"/>
      <c r="GVZ363" s="393"/>
      <c r="GWA363" s="398"/>
      <c r="GWB363" s="393"/>
      <c r="GWC363" s="398"/>
      <c r="GWD363" s="393"/>
      <c r="GWE363" s="398"/>
      <c r="GWF363" s="393"/>
      <c r="GWG363" s="398"/>
      <c r="GWH363" s="393"/>
      <c r="GWI363" s="398"/>
      <c r="GWJ363" s="393"/>
      <c r="GWK363" s="398"/>
      <c r="GWL363" s="393"/>
      <c r="GWM363" s="398"/>
      <c r="GWN363" s="393"/>
      <c r="GWO363" s="398"/>
      <c r="GWP363" s="393"/>
      <c r="GWQ363" s="398"/>
      <c r="GWR363" s="393"/>
      <c r="GWS363" s="398"/>
      <c r="GWT363" s="393"/>
      <c r="GWU363" s="398"/>
      <c r="GWV363" s="393"/>
      <c r="GWW363" s="398"/>
      <c r="GWX363" s="393"/>
      <c r="GWY363" s="398"/>
      <c r="GWZ363" s="393"/>
      <c r="GXA363" s="398"/>
      <c r="GXB363" s="393"/>
      <c r="GXC363" s="398"/>
      <c r="GXD363" s="393"/>
      <c r="GXE363" s="398"/>
      <c r="GXF363" s="393"/>
      <c r="GXG363" s="398"/>
      <c r="GXH363" s="393"/>
      <c r="GXI363" s="398"/>
      <c r="GXJ363" s="393"/>
      <c r="GXK363" s="398"/>
      <c r="GXL363" s="393"/>
      <c r="GXM363" s="398"/>
      <c r="GXN363" s="393"/>
      <c r="GXO363" s="398"/>
      <c r="GXP363" s="393"/>
      <c r="GXQ363" s="398"/>
      <c r="GXR363" s="393"/>
      <c r="GXS363" s="398"/>
      <c r="GXT363" s="393"/>
      <c r="GXU363" s="398"/>
      <c r="GXV363" s="393"/>
      <c r="GXW363" s="398"/>
      <c r="GXX363" s="393"/>
      <c r="GXY363" s="398"/>
      <c r="GXZ363" s="393"/>
      <c r="GYA363" s="398"/>
      <c r="GYB363" s="393"/>
      <c r="GYC363" s="398"/>
      <c r="GYD363" s="393"/>
      <c r="GYE363" s="398"/>
      <c r="GYF363" s="393"/>
      <c r="GYG363" s="398"/>
      <c r="GYH363" s="393"/>
      <c r="GYI363" s="398"/>
      <c r="GYJ363" s="393"/>
      <c r="GYK363" s="398"/>
      <c r="GYL363" s="393"/>
      <c r="GYM363" s="398"/>
      <c r="GYN363" s="393"/>
      <c r="GYO363" s="398"/>
      <c r="GYP363" s="393"/>
      <c r="GYQ363" s="398"/>
      <c r="GYR363" s="393"/>
      <c r="GYS363" s="398"/>
      <c r="GYT363" s="393"/>
      <c r="GYU363" s="398"/>
      <c r="GYV363" s="393"/>
      <c r="GYW363" s="398"/>
      <c r="GYX363" s="393"/>
      <c r="GYY363" s="398"/>
      <c r="GYZ363" s="393"/>
      <c r="GZA363" s="398"/>
      <c r="GZB363" s="393"/>
      <c r="GZC363" s="398"/>
      <c r="GZD363" s="393"/>
      <c r="GZE363" s="398"/>
      <c r="GZF363" s="393"/>
      <c r="GZG363" s="398"/>
      <c r="GZH363" s="393"/>
      <c r="GZI363" s="398"/>
      <c r="GZJ363" s="393"/>
      <c r="GZK363" s="398"/>
      <c r="GZL363" s="393"/>
      <c r="GZM363" s="398"/>
      <c r="GZN363" s="393"/>
      <c r="GZO363" s="398"/>
      <c r="GZP363" s="393"/>
      <c r="GZQ363" s="398"/>
      <c r="GZR363" s="393"/>
      <c r="GZS363" s="398"/>
      <c r="GZT363" s="393"/>
      <c r="GZU363" s="398"/>
      <c r="GZV363" s="393"/>
      <c r="GZW363" s="398"/>
      <c r="GZX363" s="393"/>
      <c r="GZY363" s="398"/>
      <c r="GZZ363" s="393"/>
      <c r="HAA363" s="398"/>
      <c r="HAB363" s="393"/>
      <c r="HAC363" s="398"/>
      <c r="HAD363" s="393"/>
      <c r="HAE363" s="398"/>
      <c r="HAF363" s="393"/>
      <c r="HAG363" s="398"/>
      <c r="HAH363" s="393"/>
      <c r="HAI363" s="398"/>
      <c r="HAJ363" s="393"/>
      <c r="HAK363" s="398"/>
      <c r="HAL363" s="393"/>
      <c r="HAM363" s="398"/>
      <c r="HAN363" s="393"/>
      <c r="HAO363" s="398"/>
      <c r="HAP363" s="393"/>
      <c r="HAQ363" s="398"/>
      <c r="HAR363" s="393"/>
      <c r="HAS363" s="398"/>
      <c r="HAT363" s="393"/>
      <c r="HAU363" s="398"/>
      <c r="HAV363" s="393"/>
      <c r="HAW363" s="398"/>
      <c r="HAX363" s="393"/>
      <c r="HAY363" s="398"/>
      <c r="HAZ363" s="393"/>
      <c r="HBA363" s="398"/>
      <c r="HBB363" s="393"/>
      <c r="HBC363" s="398"/>
      <c r="HBD363" s="393"/>
      <c r="HBE363" s="398"/>
      <c r="HBF363" s="393"/>
      <c r="HBG363" s="398"/>
      <c r="HBH363" s="393"/>
      <c r="HBI363" s="398"/>
      <c r="HBJ363" s="393"/>
      <c r="HBK363" s="398"/>
      <c r="HBL363" s="393"/>
      <c r="HBM363" s="398"/>
      <c r="HBN363" s="393"/>
      <c r="HBO363" s="398"/>
      <c r="HBP363" s="393"/>
      <c r="HBQ363" s="398"/>
      <c r="HBR363" s="393"/>
      <c r="HBS363" s="398"/>
      <c r="HBT363" s="393"/>
      <c r="HBU363" s="398"/>
      <c r="HBV363" s="393"/>
      <c r="HBW363" s="398"/>
      <c r="HBX363" s="393"/>
      <c r="HBY363" s="398"/>
      <c r="HBZ363" s="393"/>
      <c r="HCA363" s="398"/>
      <c r="HCB363" s="393"/>
      <c r="HCC363" s="398"/>
      <c r="HCD363" s="393"/>
      <c r="HCE363" s="398"/>
      <c r="HCF363" s="393"/>
      <c r="HCG363" s="398"/>
      <c r="HCH363" s="393"/>
      <c r="HCI363" s="398"/>
      <c r="HCJ363" s="393"/>
      <c r="HCK363" s="398"/>
      <c r="HCL363" s="393"/>
      <c r="HCM363" s="398"/>
      <c r="HCN363" s="393"/>
      <c r="HCO363" s="398"/>
      <c r="HCP363" s="393"/>
      <c r="HCQ363" s="398"/>
      <c r="HCR363" s="393"/>
      <c r="HCS363" s="398"/>
      <c r="HCT363" s="393"/>
      <c r="HCU363" s="398"/>
      <c r="HCV363" s="393"/>
      <c r="HCW363" s="398"/>
      <c r="HCX363" s="393"/>
      <c r="HCY363" s="398"/>
      <c r="HCZ363" s="393"/>
      <c r="HDA363" s="398"/>
      <c r="HDB363" s="393"/>
      <c r="HDC363" s="398"/>
      <c r="HDD363" s="393"/>
      <c r="HDE363" s="398"/>
      <c r="HDF363" s="393"/>
      <c r="HDG363" s="398"/>
      <c r="HDH363" s="393"/>
      <c r="HDI363" s="398"/>
      <c r="HDJ363" s="393"/>
      <c r="HDK363" s="398"/>
      <c r="HDL363" s="393"/>
      <c r="HDM363" s="398"/>
      <c r="HDN363" s="393"/>
      <c r="HDO363" s="398"/>
      <c r="HDP363" s="393"/>
      <c r="HDQ363" s="398"/>
      <c r="HDR363" s="393"/>
      <c r="HDS363" s="398"/>
      <c r="HDT363" s="393"/>
      <c r="HDU363" s="398"/>
      <c r="HDV363" s="393"/>
      <c r="HDW363" s="398"/>
      <c r="HDX363" s="393"/>
      <c r="HDY363" s="398"/>
      <c r="HDZ363" s="393"/>
      <c r="HEA363" s="398"/>
      <c r="HEB363" s="393"/>
      <c r="HEC363" s="398"/>
      <c r="HED363" s="393"/>
      <c r="HEE363" s="398"/>
      <c r="HEF363" s="393"/>
      <c r="HEG363" s="398"/>
      <c r="HEH363" s="393"/>
      <c r="HEI363" s="398"/>
      <c r="HEJ363" s="393"/>
      <c r="HEK363" s="398"/>
      <c r="HEL363" s="393"/>
      <c r="HEM363" s="398"/>
      <c r="HEN363" s="393"/>
      <c r="HEO363" s="398"/>
      <c r="HEP363" s="393"/>
      <c r="HEQ363" s="398"/>
      <c r="HER363" s="393"/>
      <c r="HES363" s="398"/>
      <c r="HET363" s="393"/>
      <c r="HEU363" s="398"/>
      <c r="HEV363" s="393"/>
      <c r="HEW363" s="398"/>
      <c r="HEX363" s="393"/>
      <c r="HEY363" s="398"/>
      <c r="HEZ363" s="393"/>
      <c r="HFA363" s="398"/>
      <c r="HFB363" s="393"/>
      <c r="HFC363" s="398"/>
      <c r="HFD363" s="393"/>
      <c r="HFE363" s="398"/>
      <c r="HFF363" s="393"/>
      <c r="HFG363" s="398"/>
      <c r="HFH363" s="393"/>
      <c r="HFI363" s="398"/>
      <c r="HFJ363" s="393"/>
      <c r="HFK363" s="398"/>
      <c r="HFL363" s="393"/>
      <c r="HFM363" s="398"/>
      <c r="HFN363" s="393"/>
      <c r="HFO363" s="398"/>
      <c r="HFP363" s="393"/>
      <c r="HFQ363" s="398"/>
      <c r="HFR363" s="393"/>
      <c r="HFS363" s="398"/>
      <c r="HFT363" s="393"/>
      <c r="HFU363" s="398"/>
      <c r="HFV363" s="393"/>
      <c r="HFW363" s="398"/>
      <c r="HFX363" s="393"/>
      <c r="HFY363" s="398"/>
      <c r="HFZ363" s="393"/>
      <c r="HGA363" s="398"/>
      <c r="HGB363" s="393"/>
      <c r="HGC363" s="398"/>
      <c r="HGD363" s="393"/>
      <c r="HGE363" s="398"/>
      <c r="HGF363" s="393"/>
      <c r="HGG363" s="398"/>
      <c r="HGH363" s="393"/>
      <c r="HGI363" s="398"/>
      <c r="HGJ363" s="393"/>
      <c r="HGK363" s="398"/>
      <c r="HGL363" s="393"/>
      <c r="HGM363" s="398"/>
      <c r="HGN363" s="393"/>
      <c r="HGO363" s="398"/>
      <c r="HGP363" s="393"/>
      <c r="HGQ363" s="398"/>
      <c r="HGR363" s="393"/>
      <c r="HGS363" s="398"/>
      <c r="HGT363" s="393"/>
      <c r="HGU363" s="398"/>
      <c r="HGV363" s="393"/>
      <c r="HGW363" s="398"/>
      <c r="HGX363" s="393"/>
      <c r="HGY363" s="398"/>
      <c r="HGZ363" s="393"/>
      <c r="HHA363" s="398"/>
      <c r="HHB363" s="393"/>
      <c r="HHC363" s="398"/>
      <c r="HHD363" s="393"/>
      <c r="HHE363" s="398"/>
      <c r="HHF363" s="393"/>
      <c r="HHG363" s="398"/>
      <c r="HHH363" s="393"/>
      <c r="HHI363" s="398"/>
      <c r="HHJ363" s="393"/>
      <c r="HHK363" s="398"/>
      <c r="HHL363" s="393"/>
      <c r="HHM363" s="398"/>
      <c r="HHN363" s="393"/>
      <c r="HHO363" s="398"/>
      <c r="HHP363" s="393"/>
      <c r="HHQ363" s="398"/>
      <c r="HHR363" s="393"/>
      <c r="HHS363" s="398"/>
      <c r="HHT363" s="393"/>
      <c r="HHU363" s="398"/>
      <c r="HHV363" s="393"/>
      <c r="HHW363" s="398"/>
      <c r="HHX363" s="393"/>
      <c r="HHY363" s="398"/>
      <c r="HHZ363" s="393"/>
      <c r="HIA363" s="398"/>
      <c r="HIB363" s="393"/>
      <c r="HIC363" s="398"/>
      <c r="HID363" s="393"/>
      <c r="HIE363" s="398"/>
      <c r="HIF363" s="393"/>
      <c r="HIG363" s="398"/>
      <c r="HIH363" s="393"/>
      <c r="HII363" s="398"/>
      <c r="HIJ363" s="393"/>
      <c r="HIK363" s="398"/>
      <c r="HIL363" s="393"/>
      <c r="HIM363" s="398"/>
      <c r="HIN363" s="393"/>
      <c r="HIO363" s="398"/>
      <c r="HIP363" s="393"/>
      <c r="HIQ363" s="398"/>
      <c r="HIR363" s="393"/>
      <c r="HIS363" s="398"/>
      <c r="HIT363" s="393"/>
      <c r="HIU363" s="398"/>
      <c r="HIV363" s="393"/>
      <c r="HIW363" s="398"/>
      <c r="HIX363" s="393"/>
      <c r="HIY363" s="398"/>
      <c r="HIZ363" s="393"/>
      <c r="HJA363" s="398"/>
      <c r="HJB363" s="393"/>
      <c r="HJC363" s="398"/>
      <c r="HJD363" s="393"/>
      <c r="HJE363" s="398"/>
      <c r="HJF363" s="393"/>
      <c r="HJG363" s="398"/>
      <c r="HJH363" s="393"/>
      <c r="HJI363" s="398"/>
      <c r="HJJ363" s="393"/>
      <c r="HJK363" s="398"/>
      <c r="HJL363" s="393"/>
      <c r="HJM363" s="398"/>
      <c r="HJN363" s="393"/>
      <c r="HJO363" s="398"/>
      <c r="HJP363" s="393"/>
      <c r="HJQ363" s="398"/>
      <c r="HJR363" s="393"/>
      <c r="HJS363" s="398"/>
      <c r="HJT363" s="393"/>
      <c r="HJU363" s="398"/>
      <c r="HJV363" s="393"/>
      <c r="HJW363" s="398"/>
      <c r="HJX363" s="393"/>
      <c r="HJY363" s="398"/>
      <c r="HJZ363" s="393"/>
      <c r="HKA363" s="398"/>
      <c r="HKB363" s="393"/>
      <c r="HKC363" s="398"/>
      <c r="HKD363" s="393"/>
      <c r="HKE363" s="398"/>
      <c r="HKF363" s="393"/>
      <c r="HKG363" s="398"/>
      <c r="HKH363" s="393"/>
      <c r="HKI363" s="398"/>
      <c r="HKJ363" s="393"/>
      <c r="HKK363" s="398"/>
      <c r="HKL363" s="393"/>
      <c r="HKM363" s="398"/>
      <c r="HKN363" s="393"/>
      <c r="HKO363" s="398"/>
      <c r="HKP363" s="393"/>
      <c r="HKQ363" s="398"/>
      <c r="HKR363" s="393"/>
      <c r="HKS363" s="398"/>
      <c r="HKT363" s="393"/>
      <c r="HKU363" s="398"/>
      <c r="HKV363" s="393"/>
      <c r="HKW363" s="398"/>
      <c r="HKX363" s="393"/>
      <c r="HKY363" s="398"/>
      <c r="HKZ363" s="393"/>
      <c r="HLA363" s="398"/>
      <c r="HLB363" s="393"/>
      <c r="HLC363" s="398"/>
      <c r="HLD363" s="393"/>
      <c r="HLE363" s="398"/>
      <c r="HLF363" s="393"/>
      <c r="HLG363" s="398"/>
      <c r="HLH363" s="393"/>
      <c r="HLI363" s="398"/>
      <c r="HLJ363" s="393"/>
      <c r="HLK363" s="398"/>
      <c r="HLL363" s="393"/>
      <c r="HLM363" s="398"/>
      <c r="HLN363" s="393"/>
      <c r="HLO363" s="398"/>
      <c r="HLP363" s="393"/>
      <c r="HLQ363" s="398"/>
      <c r="HLR363" s="393"/>
      <c r="HLS363" s="398"/>
      <c r="HLT363" s="393"/>
      <c r="HLU363" s="398"/>
      <c r="HLV363" s="393"/>
      <c r="HLW363" s="398"/>
      <c r="HLX363" s="393"/>
      <c r="HLY363" s="398"/>
      <c r="HLZ363" s="393"/>
      <c r="HMA363" s="398"/>
      <c r="HMB363" s="393"/>
      <c r="HMC363" s="398"/>
      <c r="HMD363" s="393"/>
      <c r="HME363" s="398"/>
      <c r="HMF363" s="393"/>
      <c r="HMG363" s="398"/>
      <c r="HMH363" s="393"/>
      <c r="HMI363" s="398"/>
      <c r="HMJ363" s="393"/>
      <c r="HMK363" s="398"/>
      <c r="HML363" s="393"/>
      <c r="HMM363" s="398"/>
      <c r="HMN363" s="393"/>
      <c r="HMO363" s="398"/>
      <c r="HMP363" s="393"/>
      <c r="HMQ363" s="398"/>
      <c r="HMR363" s="393"/>
      <c r="HMS363" s="398"/>
      <c r="HMT363" s="393"/>
      <c r="HMU363" s="398"/>
      <c r="HMV363" s="393"/>
      <c r="HMW363" s="398"/>
      <c r="HMX363" s="393"/>
      <c r="HMY363" s="398"/>
      <c r="HMZ363" s="393"/>
      <c r="HNA363" s="398"/>
      <c r="HNB363" s="393"/>
      <c r="HNC363" s="398"/>
      <c r="HND363" s="393"/>
      <c r="HNE363" s="398"/>
      <c r="HNF363" s="393"/>
      <c r="HNG363" s="398"/>
      <c r="HNH363" s="393"/>
      <c r="HNI363" s="398"/>
      <c r="HNJ363" s="393"/>
      <c r="HNK363" s="398"/>
      <c r="HNL363" s="393"/>
      <c r="HNM363" s="398"/>
      <c r="HNN363" s="393"/>
      <c r="HNO363" s="398"/>
      <c r="HNP363" s="393"/>
      <c r="HNQ363" s="398"/>
      <c r="HNR363" s="393"/>
      <c r="HNS363" s="398"/>
      <c r="HNT363" s="393"/>
      <c r="HNU363" s="398"/>
      <c r="HNV363" s="393"/>
      <c r="HNW363" s="398"/>
      <c r="HNX363" s="393"/>
      <c r="HNY363" s="398"/>
      <c r="HNZ363" s="393"/>
      <c r="HOA363" s="398"/>
      <c r="HOB363" s="393"/>
      <c r="HOC363" s="398"/>
      <c r="HOD363" s="393"/>
      <c r="HOE363" s="398"/>
      <c r="HOF363" s="393"/>
      <c r="HOG363" s="398"/>
      <c r="HOH363" s="393"/>
      <c r="HOI363" s="398"/>
      <c r="HOJ363" s="393"/>
      <c r="HOK363" s="398"/>
      <c r="HOL363" s="393"/>
      <c r="HOM363" s="398"/>
      <c r="HON363" s="393"/>
      <c r="HOO363" s="398"/>
      <c r="HOP363" s="393"/>
      <c r="HOQ363" s="398"/>
      <c r="HOR363" s="393"/>
      <c r="HOS363" s="398"/>
      <c r="HOT363" s="393"/>
      <c r="HOU363" s="398"/>
      <c r="HOV363" s="393"/>
      <c r="HOW363" s="398"/>
      <c r="HOX363" s="393"/>
      <c r="HOY363" s="398"/>
      <c r="HOZ363" s="393"/>
      <c r="HPA363" s="398"/>
      <c r="HPB363" s="393"/>
      <c r="HPC363" s="398"/>
      <c r="HPD363" s="393"/>
      <c r="HPE363" s="398"/>
      <c r="HPF363" s="393"/>
      <c r="HPG363" s="398"/>
      <c r="HPH363" s="393"/>
      <c r="HPI363" s="398"/>
      <c r="HPJ363" s="393"/>
      <c r="HPK363" s="398"/>
      <c r="HPL363" s="393"/>
      <c r="HPM363" s="398"/>
      <c r="HPN363" s="393"/>
      <c r="HPO363" s="398"/>
      <c r="HPP363" s="393"/>
      <c r="HPQ363" s="398"/>
      <c r="HPR363" s="393"/>
      <c r="HPS363" s="398"/>
      <c r="HPT363" s="393"/>
      <c r="HPU363" s="398"/>
      <c r="HPV363" s="393"/>
      <c r="HPW363" s="398"/>
      <c r="HPX363" s="393"/>
      <c r="HPY363" s="398"/>
      <c r="HPZ363" s="393"/>
      <c r="HQA363" s="398"/>
      <c r="HQB363" s="393"/>
      <c r="HQC363" s="398"/>
      <c r="HQD363" s="393"/>
      <c r="HQE363" s="398"/>
      <c r="HQF363" s="393"/>
      <c r="HQG363" s="398"/>
      <c r="HQH363" s="393"/>
      <c r="HQI363" s="398"/>
      <c r="HQJ363" s="393"/>
      <c r="HQK363" s="398"/>
      <c r="HQL363" s="393"/>
      <c r="HQM363" s="398"/>
      <c r="HQN363" s="393"/>
      <c r="HQO363" s="398"/>
      <c r="HQP363" s="393"/>
      <c r="HQQ363" s="398"/>
      <c r="HQR363" s="393"/>
      <c r="HQS363" s="398"/>
      <c r="HQT363" s="393"/>
      <c r="HQU363" s="398"/>
      <c r="HQV363" s="393"/>
      <c r="HQW363" s="398"/>
      <c r="HQX363" s="393"/>
      <c r="HQY363" s="398"/>
      <c r="HQZ363" s="393"/>
      <c r="HRA363" s="398"/>
      <c r="HRB363" s="393"/>
      <c r="HRC363" s="398"/>
      <c r="HRD363" s="393"/>
      <c r="HRE363" s="398"/>
      <c r="HRF363" s="393"/>
      <c r="HRG363" s="398"/>
      <c r="HRH363" s="393"/>
      <c r="HRI363" s="398"/>
      <c r="HRJ363" s="393"/>
      <c r="HRK363" s="398"/>
      <c r="HRL363" s="393"/>
      <c r="HRM363" s="398"/>
      <c r="HRN363" s="393"/>
      <c r="HRO363" s="398"/>
      <c r="HRP363" s="393"/>
      <c r="HRQ363" s="398"/>
      <c r="HRR363" s="393"/>
      <c r="HRS363" s="398"/>
      <c r="HRT363" s="393"/>
      <c r="HRU363" s="398"/>
      <c r="HRV363" s="393"/>
      <c r="HRW363" s="398"/>
      <c r="HRX363" s="393"/>
      <c r="HRY363" s="398"/>
      <c r="HRZ363" s="393"/>
      <c r="HSA363" s="398"/>
      <c r="HSB363" s="393"/>
      <c r="HSC363" s="398"/>
      <c r="HSD363" s="393"/>
      <c r="HSE363" s="398"/>
      <c r="HSF363" s="393"/>
      <c r="HSG363" s="398"/>
      <c r="HSH363" s="393"/>
      <c r="HSI363" s="398"/>
      <c r="HSJ363" s="393"/>
      <c r="HSK363" s="398"/>
      <c r="HSL363" s="393"/>
      <c r="HSM363" s="398"/>
      <c r="HSN363" s="393"/>
      <c r="HSO363" s="398"/>
      <c r="HSP363" s="393"/>
      <c r="HSQ363" s="398"/>
      <c r="HSR363" s="393"/>
      <c r="HSS363" s="398"/>
      <c r="HST363" s="393"/>
      <c r="HSU363" s="398"/>
      <c r="HSV363" s="393"/>
      <c r="HSW363" s="398"/>
      <c r="HSX363" s="393"/>
      <c r="HSY363" s="398"/>
      <c r="HSZ363" s="393"/>
      <c r="HTA363" s="398"/>
      <c r="HTB363" s="393"/>
      <c r="HTC363" s="398"/>
      <c r="HTD363" s="393"/>
      <c r="HTE363" s="398"/>
      <c r="HTF363" s="393"/>
      <c r="HTG363" s="398"/>
      <c r="HTH363" s="393"/>
      <c r="HTI363" s="398"/>
      <c r="HTJ363" s="393"/>
      <c r="HTK363" s="398"/>
      <c r="HTL363" s="393"/>
      <c r="HTM363" s="398"/>
      <c r="HTN363" s="393"/>
      <c r="HTO363" s="398"/>
      <c r="HTP363" s="393"/>
      <c r="HTQ363" s="398"/>
      <c r="HTR363" s="393"/>
      <c r="HTS363" s="398"/>
      <c r="HTT363" s="393"/>
      <c r="HTU363" s="398"/>
      <c r="HTV363" s="393"/>
      <c r="HTW363" s="398"/>
      <c r="HTX363" s="393"/>
      <c r="HTY363" s="398"/>
      <c r="HTZ363" s="393"/>
      <c r="HUA363" s="398"/>
      <c r="HUB363" s="393"/>
      <c r="HUC363" s="398"/>
      <c r="HUD363" s="393"/>
      <c r="HUE363" s="398"/>
      <c r="HUF363" s="393"/>
      <c r="HUG363" s="398"/>
      <c r="HUH363" s="393"/>
      <c r="HUI363" s="398"/>
      <c r="HUJ363" s="393"/>
      <c r="HUK363" s="398"/>
      <c r="HUL363" s="393"/>
      <c r="HUM363" s="398"/>
      <c r="HUN363" s="393"/>
      <c r="HUO363" s="398"/>
      <c r="HUP363" s="393"/>
      <c r="HUQ363" s="398"/>
      <c r="HUR363" s="393"/>
      <c r="HUS363" s="398"/>
      <c r="HUT363" s="393"/>
      <c r="HUU363" s="398"/>
      <c r="HUV363" s="393"/>
      <c r="HUW363" s="398"/>
      <c r="HUX363" s="393"/>
      <c r="HUY363" s="398"/>
      <c r="HUZ363" s="393"/>
      <c r="HVA363" s="398"/>
      <c r="HVB363" s="393"/>
      <c r="HVC363" s="398"/>
      <c r="HVD363" s="393"/>
      <c r="HVE363" s="398"/>
      <c r="HVF363" s="393"/>
      <c r="HVG363" s="398"/>
      <c r="HVH363" s="393"/>
      <c r="HVI363" s="398"/>
      <c r="HVJ363" s="393"/>
      <c r="HVK363" s="398"/>
      <c r="HVL363" s="393"/>
      <c r="HVM363" s="398"/>
      <c r="HVN363" s="393"/>
      <c r="HVO363" s="398"/>
      <c r="HVP363" s="393"/>
      <c r="HVQ363" s="398"/>
      <c r="HVR363" s="393"/>
      <c r="HVS363" s="398"/>
      <c r="HVT363" s="393"/>
      <c r="HVU363" s="398"/>
      <c r="HVV363" s="393"/>
      <c r="HVW363" s="398"/>
      <c r="HVX363" s="393"/>
      <c r="HVY363" s="398"/>
      <c r="HVZ363" s="393"/>
      <c r="HWA363" s="398"/>
      <c r="HWB363" s="393"/>
      <c r="HWC363" s="398"/>
      <c r="HWD363" s="393"/>
      <c r="HWE363" s="398"/>
      <c r="HWF363" s="393"/>
      <c r="HWG363" s="398"/>
      <c r="HWH363" s="393"/>
      <c r="HWI363" s="398"/>
      <c r="HWJ363" s="393"/>
      <c r="HWK363" s="398"/>
      <c r="HWL363" s="393"/>
      <c r="HWM363" s="398"/>
      <c r="HWN363" s="393"/>
      <c r="HWO363" s="398"/>
      <c r="HWP363" s="393"/>
      <c r="HWQ363" s="398"/>
      <c r="HWR363" s="393"/>
      <c r="HWS363" s="398"/>
      <c r="HWT363" s="393"/>
      <c r="HWU363" s="398"/>
      <c r="HWV363" s="393"/>
      <c r="HWW363" s="398"/>
      <c r="HWX363" s="393"/>
      <c r="HWY363" s="398"/>
      <c r="HWZ363" s="393"/>
      <c r="HXA363" s="398"/>
      <c r="HXB363" s="393"/>
      <c r="HXC363" s="398"/>
      <c r="HXD363" s="393"/>
      <c r="HXE363" s="398"/>
      <c r="HXF363" s="393"/>
      <c r="HXG363" s="398"/>
      <c r="HXH363" s="393"/>
      <c r="HXI363" s="398"/>
      <c r="HXJ363" s="393"/>
      <c r="HXK363" s="398"/>
      <c r="HXL363" s="393"/>
      <c r="HXM363" s="398"/>
      <c r="HXN363" s="393"/>
      <c r="HXO363" s="398"/>
      <c r="HXP363" s="393"/>
      <c r="HXQ363" s="398"/>
      <c r="HXR363" s="393"/>
      <c r="HXS363" s="398"/>
      <c r="HXT363" s="393"/>
      <c r="HXU363" s="398"/>
      <c r="HXV363" s="393"/>
      <c r="HXW363" s="398"/>
      <c r="HXX363" s="393"/>
      <c r="HXY363" s="398"/>
      <c r="HXZ363" s="393"/>
      <c r="HYA363" s="398"/>
      <c r="HYB363" s="393"/>
      <c r="HYC363" s="398"/>
      <c r="HYD363" s="393"/>
      <c r="HYE363" s="398"/>
      <c r="HYF363" s="393"/>
      <c r="HYG363" s="398"/>
      <c r="HYH363" s="393"/>
      <c r="HYI363" s="398"/>
      <c r="HYJ363" s="393"/>
      <c r="HYK363" s="398"/>
      <c r="HYL363" s="393"/>
      <c r="HYM363" s="398"/>
      <c r="HYN363" s="393"/>
      <c r="HYO363" s="398"/>
      <c r="HYP363" s="393"/>
      <c r="HYQ363" s="398"/>
      <c r="HYR363" s="393"/>
      <c r="HYS363" s="398"/>
      <c r="HYT363" s="393"/>
      <c r="HYU363" s="398"/>
      <c r="HYV363" s="393"/>
      <c r="HYW363" s="398"/>
      <c r="HYX363" s="393"/>
      <c r="HYY363" s="398"/>
      <c r="HYZ363" s="393"/>
      <c r="HZA363" s="398"/>
      <c r="HZB363" s="393"/>
      <c r="HZC363" s="398"/>
      <c r="HZD363" s="393"/>
      <c r="HZE363" s="398"/>
      <c r="HZF363" s="393"/>
      <c r="HZG363" s="398"/>
      <c r="HZH363" s="393"/>
      <c r="HZI363" s="398"/>
      <c r="HZJ363" s="393"/>
      <c r="HZK363" s="398"/>
      <c r="HZL363" s="393"/>
      <c r="HZM363" s="398"/>
      <c r="HZN363" s="393"/>
      <c r="HZO363" s="398"/>
      <c r="HZP363" s="393"/>
      <c r="HZQ363" s="398"/>
      <c r="HZR363" s="393"/>
      <c r="HZS363" s="398"/>
      <c r="HZT363" s="393"/>
      <c r="HZU363" s="398"/>
      <c r="HZV363" s="393"/>
      <c r="HZW363" s="398"/>
      <c r="HZX363" s="393"/>
      <c r="HZY363" s="398"/>
      <c r="HZZ363" s="393"/>
      <c r="IAA363" s="398"/>
      <c r="IAB363" s="393"/>
      <c r="IAC363" s="398"/>
      <c r="IAD363" s="393"/>
      <c r="IAE363" s="398"/>
      <c r="IAF363" s="393"/>
      <c r="IAG363" s="398"/>
      <c r="IAH363" s="393"/>
      <c r="IAI363" s="398"/>
      <c r="IAJ363" s="393"/>
      <c r="IAK363" s="398"/>
      <c r="IAL363" s="393"/>
      <c r="IAM363" s="398"/>
      <c r="IAN363" s="393"/>
      <c r="IAO363" s="398"/>
      <c r="IAP363" s="393"/>
      <c r="IAQ363" s="398"/>
      <c r="IAR363" s="393"/>
      <c r="IAS363" s="398"/>
      <c r="IAT363" s="393"/>
      <c r="IAU363" s="398"/>
      <c r="IAV363" s="393"/>
      <c r="IAW363" s="398"/>
      <c r="IAX363" s="393"/>
      <c r="IAY363" s="398"/>
      <c r="IAZ363" s="393"/>
      <c r="IBA363" s="398"/>
      <c r="IBB363" s="393"/>
      <c r="IBC363" s="398"/>
      <c r="IBD363" s="393"/>
      <c r="IBE363" s="398"/>
      <c r="IBF363" s="393"/>
      <c r="IBG363" s="398"/>
      <c r="IBH363" s="393"/>
      <c r="IBI363" s="398"/>
      <c r="IBJ363" s="393"/>
      <c r="IBK363" s="398"/>
      <c r="IBL363" s="393"/>
      <c r="IBM363" s="398"/>
      <c r="IBN363" s="393"/>
      <c r="IBO363" s="398"/>
      <c r="IBP363" s="393"/>
      <c r="IBQ363" s="398"/>
      <c r="IBR363" s="393"/>
      <c r="IBS363" s="398"/>
      <c r="IBT363" s="393"/>
      <c r="IBU363" s="398"/>
      <c r="IBV363" s="393"/>
      <c r="IBW363" s="398"/>
      <c r="IBX363" s="393"/>
      <c r="IBY363" s="398"/>
      <c r="IBZ363" s="393"/>
      <c r="ICA363" s="398"/>
      <c r="ICB363" s="393"/>
      <c r="ICC363" s="398"/>
      <c r="ICD363" s="393"/>
      <c r="ICE363" s="398"/>
      <c r="ICF363" s="393"/>
      <c r="ICG363" s="398"/>
      <c r="ICH363" s="393"/>
      <c r="ICI363" s="398"/>
      <c r="ICJ363" s="393"/>
      <c r="ICK363" s="398"/>
      <c r="ICL363" s="393"/>
      <c r="ICM363" s="398"/>
      <c r="ICN363" s="393"/>
      <c r="ICO363" s="398"/>
      <c r="ICP363" s="393"/>
      <c r="ICQ363" s="398"/>
      <c r="ICR363" s="393"/>
      <c r="ICS363" s="398"/>
      <c r="ICT363" s="393"/>
      <c r="ICU363" s="398"/>
      <c r="ICV363" s="393"/>
      <c r="ICW363" s="398"/>
      <c r="ICX363" s="393"/>
      <c r="ICY363" s="398"/>
      <c r="ICZ363" s="393"/>
      <c r="IDA363" s="398"/>
      <c r="IDB363" s="393"/>
      <c r="IDC363" s="398"/>
      <c r="IDD363" s="393"/>
      <c r="IDE363" s="398"/>
      <c r="IDF363" s="393"/>
      <c r="IDG363" s="398"/>
      <c r="IDH363" s="393"/>
      <c r="IDI363" s="398"/>
      <c r="IDJ363" s="393"/>
      <c r="IDK363" s="398"/>
      <c r="IDL363" s="393"/>
      <c r="IDM363" s="398"/>
      <c r="IDN363" s="393"/>
      <c r="IDO363" s="398"/>
      <c r="IDP363" s="393"/>
      <c r="IDQ363" s="398"/>
      <c r="IDR363" s="393"/>
      <c r="IDS363" s="398"/>
      <c r="IDT363" s="393"/>
      <c r="IDU363" s="398"/>
      <c r="IDV363" s="393"/>
      <c r="IDW363" s="398"/>
      <c r="IDX363" s="393"/>
      <c r="IDY363" s="398"/>
      <c r="IDZ363" s="393"/>
      <c r="IEA363" s="398"/>
      <c r="IEB363" s="393"/>
      <c r="IEC363" s="398"/>
      <c r="IED363" s="393"/>
      <c r="IEE363" s="398"/>
      <c r="IEF363" s="393"/>
      <c r="IEG363" s="398"/>
      <c r="IEH363" s="393"/>
      <c r="IEI363" s="398"/>
      <c r="IEJ363" s="393"/>
      <c r="IEK363" s="398"/>
      <c r="IEL363" s="393"/>
      <c r="IEM363" s="398"/>
      <c r="IEN363" s="393"/>
      <c r="IEO363" s="398"/>
      <c r="IEP363" s="393"/>
      <c r="IEQ363" s="398"/>
      <c r="IER363" s="393"/>
      <c r="IES363" s="398"/>
      <c r="IET363" s="393"/>
      <c r="IEU363" s="398"/>
      <c r="IEV363" s="393"/>
      <c r="IEW363" s="398"/>
      <c r="IEX363" s="393"/>
      <c r="IEY363" s="398"/>
      <c r="IEZ363" s="393"/>
      <c r="IFA363" s="398"/>
      <c r="IFB363" s="393"/>
      <c r="IFC363" s="398"/>
      <c r="IFD363" s="393"/>
      <c r="IFE363" s="398"/>
      <c r="IFF363" s="393"/>
      <c r="IFG363" s="398"/>
      <c r="IFH363" s="393"/>
      <c r="IFI363" s="398"/>
      <c r="IFJ363" s="393"/>
      <c r="IFK363" s="398"/>
      <c r="IFL363" s="393"/>
      <c r="IFM363" s="398"/>
      <c r="IFN363" s="393"/>
      <c r="IFO363" s="398"/>
      <c r="IFP363" s="393"/>
      <c r="IFQ363" s="398"/>
      <c r="IFR363" s="393"/>
      <c r="IFS363" s="398"/>
      <c r="IFT363" s="393"/>
      <c r="IFU363" s="398"/>
      <c r="IFV363" s="393"/>
      <c r="IFW363" s="398"/>
      <c r="IFX363" s="393"/>
      <c r="IFY363" s="398"/>
      <c r="IFZ363" s="393"/>
      <c r="IGA363" s="398"/>
      <c r="IGB363" s="393"/>
      <c r="IGC363" s="398"/>
      <c r="IGD363" s="393"/>
      <c r="IGE363" s="398"/>
      <c r="IGF363" s="393"/>
      <c r="IGG363" s="398"/>
      <c r="IGH363" s="393"/>
      <c r="IGI363" s="398"/>
      <c r="IGJ363" s="393"/>
      <c r="IGK363" s="398"/>
      <c r="IGL363" s="393"/>
      <c r="IGM363" s="398"/>
      <c r="IGN363" s="393"/>
      <c r="IGO363" s="398"/>
      <c r="IGP363" s="393"/>
      <c r="IGQ363" s="398"/>
      <c r="IGR363" s="393"/>
      <c r="IGS363" s="398"/>
      <c r="IGT363" s="393"/>
      <c r="IGU363" s="398"/>
      <c r="IGV363" s="393"/>
      <c r="IGW363" s="398"/>
      <c r="IGX363" s="393"/>
      <c r="IGY363" s="398"/>
      <c r="IGZ363" s="393"/>
      <c r="IHA363" s="398"/>
      <c r="IHB363" s="393"/>
      <c r="IHC363" s="398"/>
      <c r="IHD363" s="393"/>
      <c r="IHE363" s="398"/>
      <c r="IHF363" s="393"/>
      <c r="IHG363" s="398"/>
      <c r="IHH363" s="393"/>
      <c r="IHI363" s="398"/>
      <c r="IHJ363" s="393"/>
      <c r="IHK363" s="398"/>
      <c r="IHL363" s="393"/>
      <c r="IHM363" s="398"/>
      <c r="IHN363" s="393"/>
      <c r="IHO363" s="398"/>
      <c r="IHP363" s="393"/>
      <c r="IHQ363" s="398"/>
      <c r="IHR363" s="393"/>
      <c r="IHS363" s="398"/>
      <c r="IHT363" s="393"/>
      <c r="IHU363" s="398"/>
      <c r="IHV363" s="393"/>
      <c r="IHW363" s="398"/>
      <c r="IHX363" s="393"/>
      <c r="IHY363" s="398"/>
      <c r="IHZ363" s="393"/>
      <c r="IIA363" s="398"/>
      <c r="IIB363" s="393"/>
      <c r="IIC363" s="398"/>
      <c r="IID363" s="393"/>
      <c r="IIE363" s="398"/>
      <c r="IIF363" s="393"/>
      <c r="IIG363" s="398"/>
      <c r="IIH363" s="393"/>
      <c r="III363" s="398"/>
      <c r="IIJ363" s="393"/>
      <c r="IIK363" s="398"/>
      <c r="IIL363" s="393"/>
      <c r="IIM363" s="398"/>
      <c r="IIN363" s="393"/>
      <c r="IIO363" s="398"/>
      <c r="IIP363" s="393"/>
      <c r="IIQ363" s="398"/>
      <c r="IIR363" s="393"/>
      <c r="IIS363" s="398"/>
      <c r="IIT363" s="393"/>
      <c r="IIU363" s="398"/>
      <c r="IIV363" s="393"/>
      <c r="IIW363" s="398"/>
      <c r="IIX363" s="393"/>
      <c r="IIY363" s="398"/>
      <c r="IIZ363" s="393"/>
      <c r="IJA363" s="398"/>
      <c r="IJB363" s="393"/>
      <c r="IJC363" s="398"/>
      <c r="IJD363" s="393"/>
      <c r="IJE363" s="398"/>
      <c r="IJF363" s="393"/>
      <c r="IJG363" s="398"/>
      <c r="IJH363" s="393"/>
      <c r="IJI363" s="398"/>
      <c r="IJJ363" s="393"/>
      <c r="IJK363" s="398"/>
      <c r="IJL363" s="393"/>
      <c r="IJM363" s="398"/>
      <c r="IJN363" s="393"/>
      <c r="IJO363" s="398"/>
      <c r="IJP363" s="393"/>
      <c r="IJQ363" s="398"/>
      <c r="IJR363" s="393"/>
      <c r="IJS363" s="398"/>
      <c r="IJT363" s="393"/>
      <c r="IJU363" s="398"/>
      <c r="IJV363" s="393"/>
      <c r="IJW363" s="398"/>
      <c r="IJX363" s="393"/>
      <c r="IJY363" s="398"/>
      <c r="IJZ363" s="393"/>
      <c r="IKA363" s="398"/>
      <c r="IKB363" s="393"/>
      <c r="IKC363" s="398"/>
      <c r="IKD363" s="393"/>
      <c r="IKE363" s="398"/>
      <c r="IKF363" s="393"/>
      <c r="IKG363" s="398"/>
      <c r="IKH363" s="393"/>
      <c r="IKI363" s="398"/>
      <c r="IKJ363" s="393"/>
      <c r="IKK363" s="398"/>
      <c r="IKL363" s="393"/>
      <c r="IKM363" s="398"/>
      <c r="IKN363" s="393"/>
      <c r="IKO363" s="398"/>
      <c r="IKP363" s="393"/>
      <c r="IKQ363" s="398"/>
      <c r="IKR363" s="393"/>
      <c r="IKS363" s="398"/>
      <c r="IKT363" s="393"/>
      <c r="IKU363" s="398"/>
      <c r="IKV363" s="393"/>
      <c r="IKW363" s="398"/>
      <c r="IKX363" s="393"/>
      <c r="IKY363" s="398"/>
      <c r="IKZ363" s="393"/>
      <c r="ILA363" s="398"/>
      <c r="ILB363" s="393"/>
      <c r="ILC363" s="398"/>
      <c r="ILD363" s="393"/>
      <c r="ILE363" s="398"/>
      <c r="ILF363" s="393"/>
      <c r="ILG363" s="398"/>
      <c r="ILH363" s="393"/>
      <c r="ILI363" s="398"/>
      <c r="ILJ363" s="393"/>
      <c r="ILK363" s="398"/>
      <c r="ILL363" s="393"/>
      <c r="ILM363" s="398"/>
      <c r="ILN363" s="393"/>
      <c r="ILO363" s="398"/>
      <c r="ILP363" s="393"/>
      <c r="ILQ363" s="398"/>
      <c r="ILR363" s="393"/>
      <c r="ILS363" s="398"/>
      <c r="ILT363" s="393"/>
      <c r="ILU363" s="398"/>
      <c r="ILV363" s="393"/>
      <c r="ILW363" s="398"/>
      <c r="ILX363" s="393"/>
      <c r="ILY363" s="398"/>
      <c r="ILZ363" s="393"/>
      <c r="IMA363" s="398"/>
      <c r="IMB363" s="393"/>
      <c r="IMC363" s="398"/>
      <c r="IMD363" s="393"/>
      <c r="IME363" s="398"/>
      <c r="IMF363" s="393"/>
      <c r="IMG363" s="398"/>
      <c r="IMH363" s="393"/>
      <c r="IMI363" s="398"/>
      <c r="IMJ363" s="393"/>
      <c r="IMK363" s="398"/>
      <c r="IML363" s="393"/>
      <c r="IMM363" s="398"/>
      <c r="IMN363" s="393"/>
      <c r="IMO363" s="398"/>
      <c r="IMP363" s="393"/>
      <c r="IMQ363" s="398"/>
      <c r="IMR363" s="393"/>
      <c r="IMS363" s="398"/>
      <c r="IMT363" s="393"/>
      <c r="IMU363" s="398"/>
      <c r="IMV363" s="393"/>
      <c r="IMW363" s="398"/>
      <c r="IMX363" s="393"/>
      <c r="IMY363" s="398"/>
      <c r="IMZ363" s="393"/>
      <c r="INA363" s="398"/>
      <c r="INB363" s="393"/>
      <c r="INC363" s="398"/>
      <c r="IND363" s="393"/>
      <c r="INE363" s="398"/>
      <c r="INF363" s="393"/>
      <c r="ING363" s="398"/>
      <c r="INH363" s="393"/>
      <c r="INI363" s="398"/>
      <c r="INJ363" s="393"/>
      <c r="INK363" s="398"/>
      <c r="INL363" s="393"/>
      <c r="INM363" s="398"/>
      <c r="INN363" s="393"/>
      <c r="INO363" s="398"/>
      <c r="INP363" s="393"/>
      <c r="INQ363" s="398"/>
      <c r="INR363" s="393"/>
      <c r="INS363" s="398"/>
      <c r="INT363" s="393"/>
      <c r="INU363" s="398"/>
      <c r="INV363" s="393"/>
      <c r="INW363" s="398"/>
      <c r="INX363" s="393"/>
      <c r="INY363" s="398"/>
      <c r="INZ363" s="393"/>
      <c r="IOA363" s="398"/>
      <c r="IOB363" s="393"/>
      <c r="IOC363" s="398"/>
      <c r="IOD363" s="393"/>
      <c r="IOE363" s="398"/>
      <c r="IOF363" s="393"/>
      <c r="IOG363" s="398"/>
      <c r="IOH363" s="393"/>
      <c r="IOI363" s="398"/>
      <c r="IOJ363" s="393"/>
      <c r="IOK363" s="398"/>
      <c r="IOL363" s="393"/>
      <c r="IOM363" s="398"/>
      <c r="ION363" s="393"/>
      <c r="IOO363" s="398"/>
      <c r="IOP363" s="393"/>
      <c r="IOQ363" s="398"/>
      <c r="IOR363" s="393"/>
      <c r="IOS363" s="398"/>
      <c r="IOT363" s="393"/>
      <c r="IOU363" s="398"/>
      <c r="IOV363" s="393"/>
      <c r="IOW363" s="398"/>
      <c r="IOX363" s="393"/>
      <c r="IOY363" s="398"/>
      <c r="IOZ363" s="393"/>
      <c r="IPA363" s="398"/>
      <c r="IPB363" s="393"/>
      <c r="IPC363" s="398"/>
      <c r="IPD363" s="393"/>
      <c r="IPE363" s="398"/>
      <c r="IPF363" s="393"/>
      <c r="IPG363" s="398"/>
      <c r="IPH363" s="393"/>
      <c r="IPI363" s="398"/>
      <c r="IPJ363" s="393"/>
      <c r="IPK363" s="398"/>
      <c r="IPL363" s="393"/>
      <c r="IPM363" s="398"/>
      <c r="IPN363" s="393"/>
      <c r="IPO363" s="398"/>
      <c r="IPP363" s="393"/>
      <c r="IPQ363" s="398"/>
      <c r="IPR363" s="393"/>
      <c r="IPS363" s="398"/>
      <c r="IPT363" s="393"/>
      <c r="IPU363" s="398"/>
      <c r="IPV363" s="393"/>
      <c r="IPW363" s="398"/>
      <c r="IPX363" s="393"/>
      <c r="IPY363" s="398"/>
      <c r="IPZ363" s="393"/>
      <c r="IQA363" s="398"/>
      <c r="IQB363" s="393"/>
      <c r="IQC363" s="398"/>
      <c r="IQD363" s="393"/>
      <c r="IQE363" s="398"/>
      <c r="IQF363" s="393"/>
      <c r="IQG363" s="398"/>
      <c r="IQH363" s="393"/>
      <c r="IQI363" s="398"/>
      <c r="IQJ363" s="393"/>
      <c r="IQK363" s="398"/>
      <c r="IQL363" s="393"/>
      <c r="IQM363" s="398"/>
      <c r="IQN363" s="393"/>
      <c r="IQO363" s="398"/>
      <c r="IQP363" s="393"/>
      <c r="IQQ363" s="398"/>
      <c r="IQR363" s="393"/>
      <c r="IQS363" s="398"/>
      <c r="IQT363" s="393"/>
      <c r="IQU363" s="398"/>
      <c r="IQV363" s="393"/>
      <c r="IQW363" s="398"/>
      <c r="IQX363" s="393"/>
      <c r="IQY363" s="398"/>
      <c r="IQZ363" s="393"/>
      <c r="IRA363" s="398"/>
      <c r="IRB363" s="393"/>
      <c r="IRC363" s="398"/>
      <c r="IRD363" s="393"/>
      <c r="IRE363" s="398"/>
      <c r="IRF363" s="393"/>
      <c r="IRG363" s="398"/>
      <c r="IRH363" s="393"/>
      <c r="IRI363" s="398"/>
      <c r="IRJ363" s="393"/>
      <c r="IRK363" s="398"/>
      <c r="IRL363" s="393"/>
      <c r="IRM363" s="398"/>
      <c r="IRN363" s="393"/>
      <c r="IRO363" s="398"/>
      <c r="IRP363" s="393"/>
      <c r="IRQ363" s="398"/>
      <c r="IRR363" s="393"/>
      <c r="IRS363" s="398"/>
      <c r="IRT363" s="393"/>
      <c r="IRU363" s="398"/>
      <c r="IRV363" s="393"/>
      <c r="IRW363" s="398"/>
      <c r="IRX363" s="393"/>
      <c r="IRY363" s="398"/>
      <c r="IRZ363" s="393"/>
      <c r="ISA363" s="398"/>
      <c r="ISB363" s="393"/>
      <c r="ISC363" s="398"/>
      <c r="ISD363" s="393"/>
      <c r="ISE363" s="398"/>
      <c r="ISF363" s="393"/>
      <c r="ISG363" s="398"/>
      <c r="ISH363" s="393"/>
      <c r="ISI363" s="398"/>
      <c r="ISJ363" s="393"/>
      <c r="ISK363" s="398"/>
      <c r="ISL363" s="393"/>
      <c r="ISM363" s="398"/>
      <c r="ISN363" s="393"/>
      <c r="ISO363" s="398"/>
      <c r="ISP363" s="393"/>
      <c r="ISQ363" s="398"/>
      <c r="ISR363" s="393"/>
      <c r="ISS363" s="398"/>
      <c r="IST363" s="393"/>
      <c r="ISU363" s="398"/>
      <c r="ISV363" s="393"/>
      <c r="ISW363" s="398"/>
      <c r="ISX363" s="393"/>
      <c r="ISY363" s="398"/>
      <c r="ISZ363" s="393"/>
      <c r="ITA363" s="398"/>
      <c r="ITB363" s="393"/>
      <c r="ITC363" s="398"/>
      <c r="ITD363" s="393"/>
      <c r="ITE363" s="398"/>
      <c r="ITF363" s="393"/>
      <c r="ITG363" s="398"/>
      <c r="ITH363" s="393"/>
      <c r="ITI363" s="398"/>
      <c r="ITJ363" s="393"/>
      <c r="ITK363" s="398"/>
      <c r="ITL363" s="393"/>
      <c r="ITM363" s="398"/>
      <c r="ITN363" s="393"/>
      <c r="ITO363" s="398"/>
      <c r="ITP363" s="393"/>
      <c r="ITQ363" s="398"/>
      <c r="ITR363" s="393"/>
      <c r="ITS363" s="398"/>
      <c r="ITT363" s="393"/>
      <c r="ITU363" s="398"/>
      <c r="ITV363" s="393"/>
      <c r="ITW363" s="398"/>
      <c r="ITX363" s="393"/>
      <c r="ITY363" s="398"/>
      <c r="ITZ363" s="393"/>
      <c r="IUA363" s="398"/>
      <c r="IUB363" s="393"/>
      <c r="IUC363" s="398"/>
      <c r="IUD363" s="393"/>
      <c r="IUE363" s="398"/>
      <c r="IUF363" s="393"/>
      <c r="IUG363" s="398"/>
      <c r="IUH363" s="393"/>
      <c r="IUI363" s="398"/>
      <c r="IUJ363" s="393"/>
      <c r="IUK363" s="398"/>
      <c r="IUL363" s="393"/>
      <c r="IUM363" s="398"/>
      <c r="IUN363" s="393"/>
      <c r="IUO363" s="398"/>
      <c r="IUP363" s="393"/>
      <c r="IUQ363" s="398"/>
      <c r="IUR363" s="393"/>
      <c r="IUS363" s="398"/>
      <c r="IUT363" s="393"/>
      <c r="IUU363" s="398"/>
      <c r="IUV363" s="393"/>
      <c r="IUW363" s="398"/>
      <c r="IUX363" s="393"/>
      <c r="IUY363" s="398"/>
      <c r="IUZ363" s="393"/>
      <c r="IVA363" s="398"/>
      <c r="IVB363" s="393"/>
      <c r="IVC363" s="398"/>
      <c r="IVD363" s="393"/>
      <c r="IVE363" s="398"/>
      <c r="IVF363" s="393"/>
      <c r="IVG363" s="398"/>
      <c r="IVH363" s="393"/>
      <c r="IVI363" s="398"/>
      <c r="IVJ363" s="393"/>
      <c r="IVK363" s="398"/>
      <c r="IVL363" s="393"/>
      <c r="IVM363" s="398"/>
      <c r="IVN363" s="393"/>
      <c r="IVO363" s="398"/>
      <c r="IVP363" s="393"/>
      <c r="IVQ363" s="398"/>
      <c r="IVR363" s="393"/>
      <c r="IVS363" s="398"/>
      <c r="IVT363" s="393"/>
      <c r="IVU363" s="398"/>
      <c r="IVV363" s="393"/>
      <c r="IVW363" s="398"/>
      <c r="IVX363" s="393"/>
      <c r="IVY363" s="398"/>
      <c r="IVZ363" s="393"/>
      <c r="IWA363" s="398"/>
      <c r="IWB363" s="393"/>
      <c r="IWC363" s="398"/>
      <c r="IWD363" s="393"/>
      <c r="IWE363" s="398"/>
      <c r="IWF363" s="393"/>
      <c r="IWG363" s="398"/>
      <c r="IWH363" s="393"/>
      <c r="IWI363" s="398"/>
      <c r="IWJ363" s="393"/>
      <c r="IWK363" s="398"/>
      <c r="IWL363" s="393"/>
      <c r="IWM363" s="398"/>
      <c r="IWN363" s="393"/>
      <c r="IWO363" s="398"/>
      <c r="IWP363" s="393"/>
      <c r="IWQ363" s="398"/>
      <c r="IWR363" s="393"/>
      <c r="IWS363" s="398"/>
      <c r="IWT363" s="393"/>
      <c r="IWU363" s="398"/>
      <c r="IWV363" s="393"/>
      <c r="IWW363" s="398"/>
      <c r="IWX363" s="393"/>
      <c r="IWY363" s="398"/>
      <c r="IWZ363" s="393"/>
      <c r="IXA363" s="398"/>
      <c r="IXB363" s="393"/>
      <c r="IXC363" s="398"/>
      <c r="IXD363" s="393"/>
      <c r="IXE363" s="398"/>
      <c r="IXF363" s="393"/>
      <c r="IXG363" s="398"/>
      <c r="IXH363" s="393"/>
      <c r="IXI363" s="398"/>
      <c r="IXJ363" s="393"/>
      <c r="IXK363" s="398"/>
      <c r="IXL363" s="393"/>
      <c r="IXM363" s="398"/>
      <c r="IXN363" s="393"/>
      <c r="IXO363" s="398"/>
      <c r="IXP363" s="393"/>
      <c r="IXQ363" s="398"/>
      <c r="IXR363" s="393"/>
      <c r="IXS363" s="398"/>
      <c r="IXT363" s="393"/>
      <c r="IXU363" s="398"/>
      <c r="IXV363" s="393"/>
      <c r="IXW363" s="398"/>
      <c r="IXX363" s="393"/>
      <c r="IXY363" s="398"/>
      <c r="IXZ363" s="393"/>
      <c r="IYA363" s="398"/>
      <c r="IYB363" s="393"/>
      <c r="IYC363" s="398"/>
      <c r="IYD363" s="393"/>
      <c r="IYE363" s="398"/>
      <c r="IYF363" s="393"/>
      <c r="IYG363" s="398"/>
      <c r="IYH363" s="393"/>
      <c r="IYI363" s="398"/>
      <c r="IYJ363" s="393"/>
      <c r="IYK363" s="398"/>
      <c r="IYL363" s="393"/>
      <c r="IYM363" s="398"/>
      <c r="IYN363" s="393"/>
      <c r="IYO363" s="398"/>
      <c r="IYP363" s="393"/>
      <c r="IYQ363" s="398"/>
      <c r="IYR363" s="393"/>
      <c r="IYS363" s="398"/>
      <c r="IYT363" s="393"/>
      <c r="IYU363" s="398"/>
      <c r="IYV363" s="393"/>
      <c r="IYW363" s="398"/>
      <c r="IYX363" s="393"/>
      <c r="IYY363" s="398"/>
      <c r="IYZ363" s="393"/>
      <c r="IZA363" s="398"/>
      <c r="IZB363" s="393"/>
      <c r="IZC363" s="398"/>
      <c r="IZD363" s="393"/>
      <c r="IZE363" s="398"/>
      <c r="IZF363" s="393"/>
      <c r="IZG363" s="398"/>
      <c r="IZH363" s="393"/>
      <c r="IZI363" s="398"/>
      <c r="IZJ363" s="393"/>
      <c r="IZK363" s="398"/>
      <c r="IZL363" s="393"/>
      <c r="IZM363" s="398"/>
      <c r="IZN363" s="393"/>
      <c r="IZO363" s="398"/>
      <c r="IZP363" s="393"/>
      <c r="IZQ363" s="398"/>
      <c r="IZR363" s="393"/>
      <c r="IZS363" s="398"/>
      <c r="IZT363" s="393"/>
      <c r="IZU363" s="398"/>
      <c r="IZV363" s="393"/>
      <c r="IZW363" s="398"/>
      <c r="IZX363" s="393"/>
      <c r="IZY363" s="398"/>
      <c r="IZZ363" s="393"/>
      <c r="JAA363" s="398"/>
      <c r="JAB363" s="393"/>
      <c r="JAC363" s="398"/>
      <c r="JAD363" s="393"/>
      <c r="JAE363" s="398"/>
      <c r="JAF363" s="393"/>
      <c r="JAG363" s="398"/>
      <c r="JAH363" s="393"/>
      <c r="JAI363" s="398"/>
      <c r="JAJ363" s="393"/>
      <c r="JAK363" s="398"/>
      <c r="JAL363" s="393"/>
      <c r="JAM363" s="398"/>
      <c r="JAN363" s="393"/>
      <c r="JAO363" s="398"/>
      <c r="JAP363" s="393"/>
      <c r="JAQ363" s="398"/>
      <c r="JAR363" s="393"/>
      <c r="JAS363" s="398"/>
      <c r="JAT363" s="393"/>
      <c r="JAU363" s="398"/>
      <c r="JAV363" s="393"/>
      <c r="JAW363" s="398"/>
      <c r="JAX363" s="393"/>
      <c r="JAY363" s="398"/>
      <c r="JAZ363" s="393"/>
      <c r="JBA363" s="398"/>
      <c r="JBB363" s="393"/>
      <c r="JBC363" s="398"/>
      <c r="JBD363" s="393"/>
      <c r="JBE363" s="398"/>
      <c r="JBF363" s="393"/>
      <c r="JBG363" s="398"/>
      <c r="JBH363" s="393"/>
      <c r="JBI363" s="398"/>
      <c r="JBJ363" s="393"/>
      <c r="JBK363" s="398"/>
      <c r="JBL363" s="393"/>
      <c r="JBM363" s="398"/>
      <c r="JBN363" s="393"/>
      <c r="JBO363" s="398"/>
      <c r="JBP363" s="393"/>
      <c r="JBQ363" s="398"/>
      <c r="JBR363" s="393"/>
      <c r="JBS363" s="398"/>
      <c r="JBT363" s="393"/>
      <c r="JBU363" s="398"/>
      <c r="JBV363" s="393"/>
      <c r="JBW363" s="398"/>
      <c r="JBX363" s="393"/>
      <c r="JBY363" s="398"/>
      <c r="JBZ363" s="393"/>
      <c r="JCA363" s="398"/>
      <c r="JCB363" s="393"/>
      <c r="JCC363" s="398"/>
      <c r="JCD363" s="393"/>
      <c r="JCE363" s="398"/>
      <c r="JCF363" s="393"/>
      <c r="JCG363" s="398"/>
      <c r="JCH363" s="393"/>
      <c r="JCI363" s="398"/>
      <c r="JCJ363" s="393"/>
      <c r="JCK363" s="398"/>
      <c r="JCL363" s="393"/>
      <c r="JCM363" s="398"/>
      <c r="JCN363" s="393"/>
      <c r="JCO363" s="398"/>
      <c r="JCP363" s="393"/>
      <c r="JCQ363" s="398"/>
      <c r="JCR363" s="393"/>
      <c r="JCS363" s="398"/>
      <c r="JCT363" s="393"/>
      <c r="JCU363" s="398"/>
      <c r="JCV363" s="393"/>
      <c r="JCW363" s="398"/>
      <c r="JCX363" s="393"/>
      <c r="JCY363" s="398"/>
      <c r="JCZ363" s="393"/>
      <c r="JDA363" s="398"/>
      <c r="JDB363" s="393"/>
      <c r="JDC363" s="398"/>
      <c r="JDD363" s="393"/>
      <c r="JDE363" s="398"/>
      <c r="JDF363" s="393"/>
      <c r="JDG363" s="398"/>
      <c r="JDH363" s="393"/>
      <c r="JDI363" s="398"/>
      <c r="JDJ363" s="393"/>
      <c r="JDK363" s="398"/>
      <c r="JDL363" s="393"/>
      <c r="JDM363" s="398"/>
      <c r="JDN363" s="393"/>
      <c r="JDO363" s="398"/>
      <c r="JDP363" s="393"/>
      <c r="JDQ363" s="398"/>
      <c r="JDR363" s="393"/>
      <c r="JDS363" s="398"/>
      <c r="JDT363" s="393"/>
      <c r="JDU363" s="398"/>
      <c r="JDV363" s="393"/>
      <c r="JDW363" s="398"/>
      <c r="JDX363" s="393"/>
      <c r="JDY363" s="398"/>
      <c r="JDZ363" s="393"/>
      <c r="JEA363" s="398"/>
      <c r="JEB363" s="393"/>
      <c r="JEC363" s="398"/>
      <c r="JED363" s="393"/>
      <c r="JEE363" s="398"/>
      <c r="JEF363" s="393"/>
      <c r="JEG363" s="398"/>
      <c r="JEH363" s="393"/>
      <c r="JEI363" s="398"/>
      <c r="JEJ363" s="393"/>
      <c r="JEK363" s="398"/>
      <c r="JEL363" s="393"/>
      <c r="JEM363" s="398"/>
      <c r="JEN363" s="393"/>
      <c r="JEO363" s="398"/>
      <c r="JEP363" s="393"/>
      <c r="JEQ363" s="398"/>
      <c r="JER363" s="393"/>
      <c r="JES363" s="398"/>
      <c r="JET363" s="393"/>
      <c r="JEU363" s="398"/>
      <c r="JEV363" s="393"/>
      <c r="JEW363" s="398"/>
      <c r="JEX363" s="393"/>
      <c r="JEY363" s="398"/>
      <c r="JEZ363" s="393"/>
      <c r="JFA363" s="398"/>
      <c r="JFB363" s="393"/>
      <c r="JFC363" s="398"/>
      <c r="JFD363" s="393"/>
      <c r="JFE363" s="398"/>
      <c r="JFF363" s="393"/>
      <c r="JFG363" s="398"/>
      <c r="JFH363" s="393"/>
      <c r="JFI363" s="398"/>
      <c r="JFJ363" s="393"/>
      <c r="JFK363" s="398"/>
      <c r="JFL363" s="393"/>
      <c r="JFM363" s="398"/>
      <c r="JFN363" s="393"/>
      <c r="JFO363" s="398"/>
      <c r="JFP363" s="393"/>
      <c r="JFQ363" s="398"/>
      <c r="JFR363" s="393"/>
      <c r="JFS363" s="398"/>
      <c r="JFT363" s="393"/>
      <c r="JFU363" s="398"/>
      <c r="JFV363" s="393"/>
      <c r="JFW363" s="398"/>
      <c r="JFX363" s="393"/>
      <c r="JFY363" s="398"/>
      <c r="JFZ363" s="393"/>
      <c r="JGA363" s="398"/>
      <c r="JGB363" s="393"/>
      <c r="JGC363" s="398"/>
      <c r="JGD363" s="393"/>
      <c r="JGE363" s="398"/>
      <c r="JGF363" s="393"/>
      <c r="JGG363" s="398"/>
      <c r="JGH363" s="393"/>
      <c r="JGI363" s="398"/>
      <c r="JGJ363" s="393"/>
      <c r="JGK363" s="398"/>
      <c r="JGL363" s="393"/>
      <c r="JGM363" s="398"/>
      <c r="JGN363" s="393"/>
      <c r="JGO363" s="398"/>
      <c r="JGP363" s="393"/>
      <c r="JGQ363" s="398"/>
      <c r="JGR363" s="393"/>
      <c r="JGS363" s="398"/>
      <c r="JGT363" s="393"/>
      <c r="JGU363" s="398"/>
      <c r="JGV363" s="393"/>
      <c r="JGW363" s="398"/>
      <c r="JGX363" s="393"/>
      <c r="JGY363" s="398"/>
      <c r="JGZ363" s="393"/>
      <c r="JHA363" s="398"/>
      <c r="JHB363" s="393"/>
      <c r="JHC363" s="398"/>
      <c r="JHD363" s="393"/>
      <c r="JHE363" s="398"/>
      <c r="JHF363" s="393"/>
      <c r="JHG363" s="398"/>
      <c r="JHH363" s="393"/>
      <c r="JHI363" s="398"/>
      <c r="JHJ363" s="393"/>
      <c r="JHK363" s="398"/>
      <c r="JHL363" s="393"/>
      <c r="JHM363" s="398"/>
      <c r="JHN363" s="393"/>
      <c r="JHO363" s="398"/>
      <c r="JHP363" s="393"/>
      <c r="JHQ363" s="398"/>
      <c r="JHR363" s="393"/>
      <c r="JHS363" s="398"/>
      <c r="JHT363" s="393"/>
      <c r="JHU363" s="398"/>
      <c r="JHV363" s="393"/>
      <c r="JHW363" s="398"/>
      <c r="JHX363" s="393"/>
      <c r="JHY363" s="398"/>
      <c r="JHZ363" s="393"/>
      <c r="JIA363" s="398"/>
      <c r="JIB363" s="393"/>
      <c r="JIC363" s="398"/>
      <c r="JID363" s="393"/>
      <c r="JIE363" s="398"/>
      <c r="JIF363" s="393"/>
      <c r="JIG363" s="398"/>
      <c r="JIH363" s="393"/>
      <c r="JII363" s="398"/>
      <c r="JIJ363" s="393"/>
      <c r="JIK363" s="398"/>
      <c r="JIL363" s="393"/>
      <c r="JIM363" s="398"/>
      <c r="JIN363" s="393"/>
      <c r="JIO363" s="398"/>
      <c r="JIP363" s="393"/>
      <c r="JIQ363" s="398"/>
      <c r="JIR363" s="393"/>
      <c r="JIS363" s="398"/>
      <c r="JIT363" s="393"/>
      <c r="JIU363" s="398"/>
      <c r="JIV363" s="393"/>
      <c r="JIW363" s="398"/>
      <c r="JIX363" s="393"/>
      <c r="JIY363" s="398"/>
      <c r="JIZ363" s="393"/>
      <c r="JJA363" s="398"/>
      <c r="JJB363" s="393"/>
      <c r="JJC363" s="398"/>
      <c r="JJD363" s="393"/>
      <c r="JJE363" s="398"/>
      <c r="JJF363" s="393"/>
      <c r="JJG363" s="398"/>
      <c r="JJH363" s="393"/>
      <c r="JJI363" s="398"/>
      <c r="JJJ363" s="393"/>
      <c r="JJK363" s="398"/>
      <c r="JJL363" s="393"/>
      <c r="JJM363" s="398"/>
      <c r="JJN363" s="393"/>
      <c r="JJO363" s="398"/>
      <c r="JJP363" s="393"/>
      <c r="JJQ363" s="398"/>
      <c r="JJR363" s="393"/>
      <c r="JJS363" s="398"/>
      <c r="JJT363" s="393"/>
      <c r="JJU363" s="398"/>
      <c r="JJV363" s="393"/>
      <c r="JJW363" s="398"/>
      <c r="JJX363" s="393"/>
      <c r="JJY363" s="398"/>
      <c r="JJZ363" s="393"/>
      <c r="JKA363" s="398"/>
      <c r="JKB363" s="393"/>
      <c r="JKC363" s="398"/>
      <c r="JKD363" s="393"/>
      <c r="JKE363" s="398"/>
      <c r="JKF363" s="393"/>
      <c r="JKG363" s="398"/>
      <c r="JKH363" s="393"/>
      <c r="JKI363" s="398"/>
      <c r="JKJ363" s="393"/>
      <c r="JKK363" s="398"/>
      <c r="JKL363" s="393"/>
      <c r="JKM363" s="398"/>
      <c r="JKN363" s="393"/>
      <c r="JKO363" s="398"/>
      <c r="JKP363" s="393"/>
      <c r="JKQ363" s="398"/>
      <c r="JKR363" s="393"/>
      <c r="JKS363" s="398"/>
      <c r="JKT363" s="393"/>
      <c r="JKU363" s="398"/>
      <c r="JKV363" s="393"/>
      <c r="JKW363" s="398"/>
      <c r="JKX363" s="393"/>
      <c r="JKY363" s="398"/>
      <c r="JKZ363" s="393"/>
      <c r="JLA363" s="398"/>
      <c r="JLB363" s="393"/>
      <c r="JLC363" s="398"/>
      <c r="JLD363" s="393"/>
      <c r="JLE363" s="398"/>
      <c r="JLF363" s="393"/>
      <c r="JLG363" s="398"/>
      <c r="JLH363" s="393"/>
      <c r="JLI363" s="398"/>
      <c r="JLJ363" s="393"/>
      <c r="JLK363" s="398"/>
      <c r="JLL363" s="393"/>
      <c r="JLM363" s="398"/>
      <c r="JLN363" s="393"/>
      <c r="JLO363" s="398"/>
      <c r="JLP363" s="393"/>
      <c r="JLQ363" s="398"/>
      <c r="JLR363" s="393"/>
      <c r="JLS363" s="398"/>
      <c r="JLT363" s="393"/>
      <c r="JLU363" s="398"/>
      <c r="JLV363" s="393"/>
      <c r="JLW363" s="398"/>
      <c r="JLX363" s="393"/>
      <c r="JLY363" s="398"/>
      <c r="JLZ363" s="393"/>
      <c r="JMA363" s="398"/>
      <c r="JMB363" s="393"/>
      <c r="JMC363" s="398"/>
      <c r="JMD363" s="393"/>
      <c r="JME363" s="398"/>
      <c r="JMF363" s="393"/>
      <c r="JMG363" s="398"/>
      <c r="JMH363" s="393"/>
      <c r="JMI363" s="398"/>
      <c r="JMJ363" s="393"/>
      <c r="JMK363" s="398"/>
      <c r="JML363" s="393"/>
      <c r="JMM363" s="398"/>
      <c r="JMN363" s="393"/>
      <c r="JMO363" s="398"/>
      <c r="JMP363" s="393"/>
      <c r="JMQ363" s="398"/>
      <c r="JMR363" s="393"/>
      <c r="JMS363" s="398"/>
      <c r="JMT363" s="393"/>
      <c r="JMU363" s="398"/>
      <c r="JMV363" s="393"/>
      <c r="JMW363" s="398"/>
      <c r="JMX363" s="393"/>
      <c r="JMY363" s="398"/>
      <c r="JMZ363" s="393"/>
      <c r="JNA363" s="398"/>
      <c r="JNB363" s="393"/>
      <c r="JNC363" s="398"/>
      <c r="JND363" s="393"/>
      <c r="JNE363" s="398"/>
      <c r="JNF363" s="393"/>
      <c r="JNG363" s="398"/>
      <c r="JNH363" s="393"/>
      <c r="JNI363" s="398"/>
      <c r="JNJ363" s="393"/>
      <c r="JNK363" s="398"/>
      <c r="JNL363" s="393"/>
      <c r="JNM363" s="398"/>
      <c r="JNN363" s="393"/>
      <c r="JNO363" s="398"/>
      <c r="JNP363" s="393"/>
      <c r="JNQ363" s="398"/>
      <c r="JNR363" s="393"/>
      <c r="JNS363" s="398"/>
      <c r="JNT363" s="393"/>
      <c r="JNU363" s="398"/>
      <c r="JNV363" s="393"/>
      <c r="JNW363" s="398"/>
      <c r="JNX363" s="393"/>
      <c r="JNY363" s="398"/>
      <c r="JNZ363" s="393"/>
      <c r="JOA363" s="398"/>
      <c r="JOB363" s="393"/>
      <c r="JOC363" s="398"/>
      <c r="JOD363" s="393"/>
      <c r="JOE363" s="398"/>
      <c r="JOF363" s="393"/>
      <c r="JOG363" s="398"/>
      <c r="JOH363" s="393"/>
      <c r="JOI363" s="398"/>
      <c r="JOJ363" s="393"/>
      <c r="JOK363" s="398"/>
      <c r="JOL363" s="393"/>
      <c r="JOM363" s="398"/>
      <c r="JON363" s="393"/>
      <c r="JOO363" s="398"/>
      <c r="JOP363" s="393"/>
      <c r="JOQ363" s="398"/>
      <c r="JOR363" s="393"/>
      <c r="JOS363" s="398"/>
      <c r="JOT363" s="393"/>
      <c r="JOU363" s="398"/>
      <c r="JOV363" s="393"/>
      <c r="JOW363" s="398"/>
      <c r="JOX363" s="393"/>
      <c r="JOY363" s="398"/>
      <c r="JOZ363" s="393"/>
      <c r="JPA363" s="398"/>
      <c r="JPB363" s="393"/>
      <c r="JPC363" s="398"/>
      <c r="JPD363" s="393"/>
      <c r="JPE363" s="398"/>
      <c r="JPF363" s="393"/>
      <c r="JPG363" s="398"/>
      <c r="JPH363" s="393"/>
      <c r="JPI363" s="398"/>
      <c r="JPJ363" s="393"/>
      <c r="JPK363" s="398"/>
      <c r="JPL363" s="393"/>
      <c r="JPM363" s="398"/>
      <c r="JPN363" s="393"/>
      <c r="JPO363" s="398"/>
      <c r="JPP363" s="393"/>
      <c r="JPQ363" s="398"/>
      <c r="JPR363" s="393"/>
      <c r="JPS363" s="398"/>
      <c r="JPT363" s="393"/>
      <c r="JPU363" s="398"/>
      <c r="JPV363" s="393"/>
      <c r="JPW363" s="398"/>
      <c r="JPX363" s="393"/>
      <c r="JPY363" s="398"/>
      <c r="JPZ363" s="393"/>
      <c r="JQA363" s="398"/>
      <c r="JQB363" s="393"/>
      <c r="JQC363" s="398"/>
      <c r="JQD363" s="393"/>
      <c r="JQE363" s="398"/>
      <c r="JQF363" s="393"/>
      <c r="JQG363" s="398"/>
      <c r="JQH363" s="393"/>
      <c r="JQI363" s="398"/>
      <c r="JQJ363" s="393"/>
      <c r="JQK363" s="398"/>
      <c r="JQL363" s="393"/>
      <c r="JQM363" s="398"/>
      <c r="JQN363" s="393"/>
      <c r="JQO363" s="398"/>
      <c r="JQP363" s="393"/>
      <c r="JQQ363" s="398"/>
      <c r="JQR363" s="393"/>
      <c r="JQS363" s="398"/>
      <c r="JQT363" s="393"/>
      <c r="JQU363" s="398"/>
      <c r="JQV363" s="393"/>
      <c r="JQW363" s="398"/>
      <c r="JQX363" s="393"/>
      <c r="JQY363" s="398"/>
      <c r="JQZ363" s="393"/>
      <c r="JRA363" s="398"/>
      <c r="JRB363" s="393"/>
      <c r="JRC363" s="398"/>
      <c r="JRD363" s="393"/>
      <c r="JRE363" s="398"/>
      <c r="JRF363" s="393"/>
      <c r="JRG363" s="398"/>
      <c r="JRH363" s="393"/>
      <c r="JRI363" s="398"/>
      <c r="JRJ363" s="393"/>
      <c r="JRK363" s="398"/>
      <c r="JRL363" s="393"/>
      <c r="JRM363" s="398"/>
      <c r="JRN363" s="393"/>
      <c r="JRO363" s="398"/>
      <c r="JRP363" s="393"/>
      <c r="JRQ363" s="398"/>
      <c r="JRR363" s="393"/>
      <c r="JRS363" s="398"/>
      <c r="JRT363" s="393"/>
      <c r="JRU363" s="398"/>
      <c r="JRV363" s="393"/>
      <c r="JRW363" s="398"/>
      <c r="JRX363" s="393"/>
      <c r="JRY363" s="398"/>
      <c r="JRZ363" s="393"/>
      <c r="JSA363" s="398"/>
      <c r="JSB363" s="393"/>
      <c r="JSC363" s="398"/>
      <c r="JSD363" s="393"/>
      <c r="JSE363" s="398"/>
      <c r="JSF363" s="393"/>
      <c r="JSG363" s="398"/>
      <c r="JSH363" s="393"/>
      <c r="JSI363" s="398"/>
      <c r="JSJ363" s="393"/>
      <c r="JSK363" s="398"/>
      <c r="JSL363" s="393"/>
      <c r="JSM363" s="398"/>
      <c r="JSN363" s="393"/>
      <c r="JSO363" s="398"/>
      <c r="JSP363" s="393"/>
      <c r="JSQ363" s="398"/>
      <c r="JSR363" s="393"/>
      <c r="JSS363" s="398"/>
      <c r="JST363" s="393"/>
      <c r="JSU363" s="398"/>
      <c r="JSV363" s="393"/>
      <c r="JSW363" s="398"/>
      <c r="JSX363" s="393"/>
      <c r="JSY363" s="398"/>
      <c r="JSZ363" s="393"/>
      <c r="JTA363" s="398"/>
      <c r="JTB363" s="393"/>
      <c r="JTC363" s="398"/>
      <c r="JTD363" s="393"/>
      <c r="JTE363" s="398"/>
      <c r="JTF363" s="393"/>
      <c r="JTG363" s="398"/>
      <c r="JTH363" s="393"/>
      <c r="JTI363" s="398"/>
      <c r="JTJ363" s="393"/>
      <c r="JTK363" s="398"/>
      <c r="JTL363" s="393"/>
      <c r="JTM363" s="398"/>
      <c r="JTN363" s="393"/>
      <c r="JTO363" s="398"/>
      <c r="JTP363" s="393"/>
      <c r="JTQ363" s="398"/>
      <c r="JTR363" s="393"/>
      <c r="JTS363" s="398"/>
      <c r="JTT363" s="393"/>
      <c r="JTU363" s="398"/>
      <c r="JTV363" s="393"/>
      <c r="JTW363" s="398"/>
      <c r="JTX363" s="393"/>
      <c r="JTY363" s="398"/>
      <c r="JTZ363" s="393"/>
      <c r="JUA363" s="398"/>
      <c r="JUB363" s="393"/>
      <c r="JUC363" s="398"/>
      <c r="JUD363" s="393"/>
      <c r="JUE363" s="398"/>
      <c r="JUF363" s="393"/>
      <c r="JUG363" s="398"/>
      <c r="JUH363" s="393"/>
      <c r="JUI363" s="398"/>
      <c r="JUJ363" s="393"/>
      <c r="JUK363" s="398"/>
      <c r="JUL363" s="393"/>
      <c r="JUM363" s="398"/>
      <c r="JUN363" s="393"/>
      <c r="JUO363" s="398"/>
      <c r="JUP363" s="393"/>
      <c r="JUQ363" s="398"/>
      <c r="JUR363" s="393"/>
      <c r="JUS363" s="398"/>
      <c r="JUT363" s="393"/>
      <c r="JUU363" s="398"/>
      <c r="JUV363" s="393"/>
      <c r="JUW363" s="398"/>
      <c r="JUX363" s="393"/>
      <c r="JUY363" s="398"/>
      <c r="JUZ363" s="393"/>
      <c r="JVA363" s="398"/>
      <c r="JVB363" s="393"/>
      <c r="JVC363" s="398"/>
      <c r="JVD363" s="393"/>
      <c r="JVE363" s="398"/>
      <c r="JVF363" s="393"/>
      <c r="JVG363" s="398"/>
      <c r="JVH363" s="393"/>
      <c r="JVI363" s="398"/>
      <c r="JVJ363" s="393"/>
      <c r="JVK363" s="398"/>
      <c r="JVL363" s="393"/>
      <c r="JVM363" s="398"/>
      <c r="JVN363" s="393"/>
      <c r="JVO363" s="398"/>
      <c r="JVP363" s="393"/>
      <c r="JVQ363" s="398"/>
      <c r="JVR363" s="393"/>
      <c r="JVS363" s="398"/>
      <c r="JVT363" s="393"/>
      <c r="JVU363" s="398"/>
      <c r="JVV363" s="393"/>
      <c r="JVW363" s="398"/>
      <c r="JVX363" s="393"/>
      <c r="JVY363" s="398"/>
      <c r="JVZ363" s="393"/>
      <c r="JWA363" s="398"/>
      <c r="JWB363" s="393"/>
      <c r="JWC363" s="398"/>
      <c r="JWD363" s="393"/>
      <c r="JWE363" s="398"/>
      <c r="JWF363" s="393"/>
      <c r="JWG363" s="398"/>
      <c r="JWH363" s="393"/>
      <c r="JWI363" s="398"/>
      <c r="JWJ363" s="393"/>
      <c r="JWK363" s="398"/>
      <c r="JWL363" s="393"/>
      <c r="JWM363" s="398"/>
      <c r="JWN363" s="393"/>
      <c r="JWO363" s="398"/>
      <c r="JWP363" s="393"/>
      <c r="JWQ363" s="398"/>
      <c r="JWR363" s="393"/>
      <c r="JWS363" s="398"/>
      <c r="JWT363" s="393"/>
      <c r="JWU363" s="398"/>
      <c r="JWV363" s="393"/>
      <c r="JWW363" s="398"/>
      <c r="JWX363" s="393"/>
      <c r="JWY363" s="398"/>
      <c r="JWZ363" s="393"/>
      <c r="JXA363" s="398"/>
      <c r="JXB363" s="393"/>
      <c r="JXC363" s="398"/>
      <c r="JXD363" s="393"/>
      <c r="JXE363" s="398"/>
      <c r="JXF363" s="393"/>
      <c r="JXG363" s="398"/>
      <c r="JXH363" s="393"/>
      <c r="JXI363" s="398"/>
      <c r="JXJ363" s="393"/>
      <c r="JXK363" s="398"/>
      <c r="JXL363" s="393"/>
      <c r="JXM363" s="398"/>
      <c r="JXN363" s="393"/>
      <c r="JXO363" s="398"/>
      <c r="JXP363" s="393"/>
      <c r="JXQ363" s="398"/>
      <c r="JXR363" s="393"/>
      <c r="JXS363" s="398"/>
      <c r="JXT363" s="393"/>
      <c r="JXU363" s="398"/>
      <c r="JXV363" s="393"/>
      <c r="JXW363" s="398"/>
      <c r="JXX363" s="393"/>
      <c r="JXY363" s="398"/>
      <c r="JXZ363" s="393"/>
      <c r="JYA363" s="398"/>
      <c r="JYB363" s="393"/>
      <c r="JYC363" s="398"/>
      <c r="JYD363" s="393"/>
      <c r="JYE363" s="398"/>
      <c r="JYF363" s="393"/>
      <c r="JYG363" s="398"/>
      <c r="JYH363" s="393"/>
      <c r="JYI363" s="398"/>
      <c r="JYJ363" s="393"/>
      <c r="JYK363" s="398"/>
      <c r="JYL363" s="393"/>
      <c r="JYM363" s="398"/>
      <c r="JYN363" s="393"/>
      <c r="JYO363" s="398"/>
      <c r="JYP363" s="393"/>
      <c r="JYQ363" s="398"/>
      <c r="JYR363" s="393"/>
      <c r="JYS363" s="398"/>
      <c r="JYT363" s="393"/>
      <c r="JYU363" s="398"/>
      <c r="JYV363" s="393"/>
      <c r="JYW363" s="398"/>
      <c r="JYX363" s="393"/>
      <c r="JYY363" s="398"/>
      <c r="JYZ363" s="393"/>
      <c r="JZA363" s="398"/>
      <c r="JZB363" s="393"/>
      <c r="JZC363" s="398"/>
      <c r="JZD363" s="393"/>
      <c r="JZE363" s="398"/>
      <c r="JZF363" s="393"/>
      <c r="JZG363" s="398"/>
      <c r="JZH363" s="393"/>
      <c r="JZI363" s="398"/>
      <c r="JZJ363" s="393"/>
      <c r="JZK363" s="398"/>
      <c r="JZL363" s="393"/>
      <c r="JZM363" s="398"/>
      <c r="JZN363" s="393"/>
      <c r="JZO363" s="398"/>
      <c r="JZP363" s="393"/>
      <c r="JZQ363" s="398"/>
      <c r="JZR363" s="393"/>
      <c r="JZS363" s="398"/>
      <c r="JZT363" s="393"/>
      <c r="JZU363" s="398"/>
      <c r="JZV363" s="393"/>
      <c r="JZW363" s="398"/>
      <c r="JZX363" s="393"/>
      <c r="JZY363" s="398"/>
      <c r="JZZ363" s="393"/>
      <c r="KAA363" s="398"/>
      <c r="KAB363" s="393"/>
      <c r="KAC363" s="398"/>
      <c r="KAD363" s="393"/>
      <c r="KAE363" s="398"/>
      <c r="KAF363" s="393"/>
      <c r="KAG363" s="398"/>
      <c r="KAH363" s="393"/>
      <c r="KAI363" s="398"/>
      <c r="KAJ363" s="393"/>
      <c r="KAK363" s="398"/>
      <c r="KAL363" s="393"/>
      <c r="KAM363" s="398"/>
      <c r="KAN363" s="393"/>
      <c r="KAO363" s="398"/>
      <c r="KAP363" s="393"/>
      <c r="KAQ363" s="398"/>
      <c r="KAR363" s="393"/>
      <c r="KAS363" s="398"/>
      <c r="KAT363" s="393"/>
      <c r="KAU363" s="398"/>
      <c r="KAV363" s="393"/>
      <c r="KAW363" s="398"/>
      <c r="KAX363" s="393"/>
      <c r="KAY363" s="398"/>
      <c r="KAZ363" s="393"/>
      <c r="KBA363" s="398"/>
      <c r="KBB363" s="393"/>
      <c r="KBC363" s="398"/>
      <c r="KBD363" s="393"/>
      <c r="KBE363" s="398"/>
      <c r="KBF363" s="393"/>
      <c r="KBG363" s="398"/>
      <c r="KBH363" s="393"/>
      <c r="KBI363" s="398"/>
      <c r="KBJ363" s="393"/>
      <c r="KBK363" s="398"/>
      <c r="KBL363" s="393"/>
      <c r="KBM363" s="398"/>
      <c r="KBN363" s="393"/>
      <c r="KBO363" s="398"/>
      <c r="KBP363" s="393"/>
      <c r="KBQ363" s="398"/>
      <c r="KBR363" s="393"/>
      <c r="KBS363" s="398"/>
      <c r="KBT363" s="393"/>
      <c r="KBU363" s="398"/>
      <c r="KBV363" s="393"/>
      <c r="KBW363" s="398"/>
      <c r="KBX363" s="393"/>
      <c r="KBY363" s="398"/>
      <c r="KBZ363" s="393"/>
      <c r="KCA363" s="398"/>
      <c r="KCB363" s="393"/>
      <c r="KCC363" s="398"/>
      <c r="KCD363" s="393"/>
      <c r="KCE363" s="398"/>
      <c r="KCF363" s="393"/>
      <c r="KCG363" s="398"/>
      <c r="KCH363" s="393"/>
      <c r="KCI363" s="398"/>
      <c r="KCJ363" s="393"/>
      <c r="KCK363" s="398"/>
      <c r="KCL363" s="393"/>
      <c r="KCM363" s="398"/>
      <c r="KCN363" s="393"/>
      <c r="KCO363" s="398"/>
      <c r="KCP363" s="393"/>
      <c r="KCQ363" s="398"/>
      <c r="KCR363" s="393"/>
      <c r="KCS363" s="398"/>
      <c r="KCT363" s="393"/>
      <c r="KCU363" s="398"/>
      <c r="KCV363" s="393"/>
      <c r="KCW363" s="398"/>
      <c r="KCX363" s="393"/>
      <c r="KCY363" s="398"/>
      <c r="KCZ363" s="393"/>
      <c r="KDA363" s="398"/>
      <c r="KDB363" s="393"/>
      <c r="KDC363" s="398"/>
      <c r="KDD363" s="393"/>
      <c r="KDE363" s="398"/>
      <c r="KDF363" s="393"/>
      <c r="KDG363" s="398"/>
      <c r="KDH363" s="393"/>
      <c r="KDI363" s="398"/>
      <c r="KDJ363" s="393"/>
      <c r="KDK363" s="398"/>
      <c r="KDL363" s="393"/>
      <c r="KDM363" s="398"/>
      <c r="KDN363" s="393"/>
      <c r="KDO363" s="398"/>
      <c r="KDP363" s="393"/>
      <c r="KDQ363" s="398"/>
      <c r="KDR363" s="393"/>
      <c r="KDS363" s="398"/>
      <c r="KDT363" s="393"/>
      <c r="KDU363" s="398"/>
      <c r="KDV363" s="393"/>
      <c r="KDW363" s="398"/>
      <c r="KDX363" s="393"/>
      <c r="KDY363" s="398"/>
      <c r="KDZ363" s="393"/>
      <c r="KEA363" s="398"/>
      <c r="KEB363" s="393"/>
      <c r="KEC363" s="398"/>
      <c r="KED363" s="393"/>
      <c r="KEE363" s="398"/>
      <c r="KEF363" s="393"/>
      <c r="KEG363" s="398"/>
      <c r="KEH363" s="393"/>
      <c r="KEI363" s="398"/>
      <c r="KEJ363" s="393"/>
      <c r="KEK363" s="398"/>
      <c r="KEL363" s="393"/>
      <c r="KEM363" s="398"/>
      <c r="KEN363" s="393"/>
      <c r="KEO363" s="398"/>
      <c r="KEP363" s="393"/>
      <c r="KEQ363" s="398"/>
      <c r="KER363" s="393"/>
      <c r="KES363" s="398"/>
      <c r="KET363" s="393"/>
      <c r="KEU363" s="398"/>
      <c r="KEV363" s="393"/>
      <c r="KEW363" s="398"/>
      <c r="KEX363" s="393"/>
      <c r="KEY363" s="398"/>
      <c r="KEZ363" s="393"/>
      <c r="KFA363" s="398"/>
      <c r="KFB363" s="393"/>
      <c r="KFC363" s="398"/>
      <c r="KFD363" s="393"/>
      <c r="KFE363" s="398"/>
      <c r="KFF363" s="393"/>
      <c r="KFG363" s="398"/>
      <c r="KFH363" s="393"/>
      <c r="KFI363" s="398"/>
      <c r="KFJ363" s="393"/>
      <c r="KFK363" s="398"/>
      <c r="KFL363" s="393"/>
      <c r="KFM363" s="398"/>
      <c r="KFN363" s="393"/>
      <c r="KFO363" s="398"/>
      <c r="KFP363" s="393"/>
      <c r="KFQ363" s="398"/>
      <c r="KFR363" s="393"/>
      <c r="KFS363" s="398"/>
      <c r="KFT363" s="393"/>
      <c r="KFU363" s="398"/>
      <c r="KFV363" s="393"/>
      <c r="KFW363" s="398"/>
      <c r="KFX363" s="393"/>
      <c r="KFY363" s="398"/>
      <c r="KFZ363" s="393"/>
      <c r="KGA363" s="398"/>
      <c r="KGB363" s="393"/>
      <c r="KGC363" s="398"/>
      <c r="KGD363" s="393"/>
      <c r="KGE363" s="398"/>
      <c r="KGF363" s="393"/>
      <c r="KGG363" s="398"/>
      <c r="KGH363" s="393"/>
      <c r="KGI363" s="398"/>
      <c r="KGJ363" s="393"/>
      <c r="KGK363" s="398"/>
      <c r="KGL363" s="393"/>
      <c r="KGM363" s="398"/>
      <c r="KGN363" s="393"/>
      <c r="KGO363" s="398"/>
      <c r="KGP363" s="393"/>
      <c r="KGQ363" s="398"/>
      <c r="KGR363" s="393"/>
      <c r="KGS363" s="398"/>
      <c r="KGT363" s="393"/>
      <c r="KGU363" s="398"/>
      <c r="KGV363" s="393"/>
      <c r="KGW363" s="398"/>
      <c r="KGX363" s="393"/>
      <c r="KGY363" s="398"/>
      <c r="KGZ363" s="393"/>
      <c r="KHA363" s="398"/>
      <c r="KHB363" s="393"/>
      <c r="KHC363" s="398"/>
      <c r="KHD363" s="393"/>
      <c r="KHE363" s="398"/>
      <c r="KHF363" s="393"/>
      <c r="KHG363" s="398"/>
      <c r="KHH363" s="393"/>
      <c r="KHI363" s="398"/>
      <c r="KHJ363" s="393"/>
      <c r="KHK363" s="398"/>
      <c r="KHL363" s="393"/>
      <c r="KHM363" s="398"/>
      <c r="KHN363" s="393"/>
      <c r="KHO363" s="398"/>
      <c r="KHP363" s="393"/>
      <c r="KHQ363" s="398"/>
      <c r="KHR363" s="393"/>
      <c r="KHS363" s="398"/>
      <c r="KHT363" s="393"/>
      <c r="KHU363" s="398"/>
      <c r="KHV363" s="393"/>
      <c r="KHW363" s="398"/>
      <c r="KHX363" s="393"/>
      <c r="KHY363" s="398"/>
      <c r="KHZ363" s="393"/>
      <c r="KIA363" s="398"/>
      <c r="KIB363" s="393"/>
      <c r="KIC363" s="398"/>
      <c r="KID363" s="393"/>
      <c r="KIE363" s="398"/>
      <c r="KIF363" s="393"/>
      <c r="KIG363" s="398"/>
      <c r="KIH363" s="393"/>
      <c r="KII363" s="398"/>
      <c r="KIJ363" s="393"/>
      <c r="KIK363" s="398"/>
      <c r="KIL363" s="393"/>
      <c r="KIM363" s="398"/>
      <c r="KIN363" s="393"/>
      <c r="KIO363" s="398"/>
      <c r="KIP363" s="393"/>
      <c r="KIQ363" s="398"/>
      <c r="KIR363" s="393"/>
      <c r="KIS363" s="398"/>
      <c r="KIT363" s="393"/>
      <c r="KIU363" s="398"/>
      <c r="KIV363" s="393"/>
      <c r="KIW363" s="398"/>
      <c r="KIX363" s="393"/>
      <c r="KIY363" s="398"/>
      <c r="KIZ363" s="393"/>
      <c r="KJA363" s="398"/>
      <c r="KJB363" s="393"/>
      <c r="KJC363" s="398"/>
      <c r="KJD363" s="393"/>
      <c r="KJE363" s="398"/>
      <c r="KJF363" s="393"/>
      <c r="KJG363" s="398"/>
      <c r="KJH363" s="393"/>
      <c r="KJI363" s="398"/>
      <c r="KJJ363" s="393"/>
      <c r="KJK363" s="398"/>
      <c r="KJL363" s="393"/>
      <c r="KJM363" s="398"/>
      <c r="KJN363" s="393"/>
      <c r="KJO363" s="398"/>
      <c r="KJP363" s="393"/>
      <c r="KJQ363" s="398"/>
      <c r="KJR363" s="393"/>
      <c r="KJS363" s="398"/>
      <c r="KJT363" s="393"/>
      <c r="KJU363" s="398"/>
      <c r="KJV363" s="393"/>
      <c r="KJW363" s="398"/>
      <c r="KJX363" s="393"/>
      <c r="KJY363" s="398"/>
      <c r="KJZ363" s="393"/>
      <c r="KKA363" s="398"/>
      <c r="KKB363" s="393"/>
      <c r="KKC363" s="398"/>
      <c r="KKD363" s="393"/>
      <c r="KKE363" s="398"/>
      <c r="KKF363" s="393"/>
      <c r="KKG363" s="398"/>
      <c r="KKH363" s="393"/>
      <c r="KKI363" s="398"/>
      <c r="KKJ363" s="393"/>
      <c r="KKK363" s="398"/>
      <c r="KKL363" s="393"/>
      <c r="KKM363" s="398"/>
      <c r="KKN363" s="393"/>
      <c r="KKO363" s="398"/>
      <c r="KKP363" s="393"/>
      <c r="KKQ363" s="398"/>
      <c r="KKR363" s="393"/>
      <c r="KKS363" s="398"/>
      <c r="KKT363" s="393"/>
      <c r="KKU363" s="398"/>
      <c r="KKV363" s="393"/>
      <c r="KKW363" s="398"/>
      <c r="KKX363" s="393"/>
      <c r="KKY363" s="398"/>
      <c r="KKZ363" s="393"/>
      <c r="KLA363" s="398"/>
      <c r="KLB363" s="393"/>
      <c r="KLC363" s="398"/>
      <c r="KLD363" s="393"/>
      <c r="KLE363" s="398"/>
      <c r="KLF363" s="393"/>
      <c r="KLG363" s="398"/>
      <c r="KLH363" s="393"/>
      <c r="KLI363" s="398"/>
      <c r="KLJ363" s="393"/>
      <c r="KLK363" s="398"/>
      <c r="KLL363" s="393"/>
      <c r="KLM363" s="398"/>
      <c r="KLN363" s="393"/>
      <c r="KLO363" s="398"/>
      <c r="KLP363" s="393"/>
      <c r="KLQ363" s="398"/>
      <c r="KLR363" s="393"/>
      <c r="KLS363" s="398"/>
      <c r="KLT363" s="393"/>
      <c r="KLU363" s="398"/>
      <c r="KLV363" s="393"/>
      <c r="KLW363" s="398"/>
      <c r="KLX363" s="393"/>
      <c r="KLY363" s="398"/>
      <c r="KLZ363" s="393"/>
      <c r="KMA363" s="398"/>
      <c r="KMB363" s="393"/>
      <c r="KMC363" s="398"/>
      <c r="KMD363" s="393"/>
      <c r="KME363" s="398"/>
      <c r="KMF363" s="393"/>
      <c r="KMG363" s="398"/>
      <c r="KMH363" s="393"/>
      <c r="KMI363" s="398"/>
      <c r="KMJ363" s="393"/>
      <c r="KMK363" s="398"/>
      <c r="KML363" s="393"/>
      <c r="KMM363" s="398"/>
      <c r="KMN363" s="393"/>
      <c r="KMO363" s="398"/>
      <c r="KMP363" s="393"/>
      <c r="KMQ363" s="398"/>
      <c r="KMR363" s="393"/>
      <c r="KMS363" s="398"/>
      <c r="KMT363" s="393"/>
      <c r="KMU363" s="398"/>
      <c r="KMV363" s="393"/>
      <c r="KMW363" s="398"/>
      <c r="KMX363" s="393"/>
      <c r="KMY363" s="398"/>
      <c r="KMZ363" s="393"/>
      <c r="KNA363" s="398"/>
      <c r="KNB363" s="393"/>
      <c r="KNC363" s="398"/>
      <c r="KND363" s="393"/>
      <c r="KNE363" s="398"/>
      <c r="KNF363" s="393"/>
      <c r="KNG363" s="398"/>
      <c r="KNH363" s="393"/>
      <c r="KNI363" s="398"/>
      <c r="KNJ363" s="393"/>
      <c r="KNK363" s="398"/>
      <c r="KNL363" s="393"/>
      <c r="KNM363" s="398"/>
      <c r="KNN363" s="393"/>
      <c r="KNO363" s="398"/>
      <c r="KNP363" s="393"/>
      <c r="KNQ363" s="398"/>
      <c r="KNR363" s="393"/>
      <c r="KNS363" s="398"/>
      <c r="KNT363" s="393"/>
      <c r="KNU363" s="398"/>
      <c r="KNV363" s="393"/>
      <c r="KNW363" s="398"/>
      <c r="KNX363" s="393"/>
      <c r="KNY363" s="398"/>
      <c r="KNZ363" s="393"/>
      <c r="KOA363" s="398"/>
      <c r="KOB363" s="393"/>
      <c r="KOC363" s="398"/>
      <c r="KOD363" s="393"/>
      <c r="KOE363" s="398"/>
      <c r="KOF363" s="393"/>
      <c r="KOG363" s="398"/>
      <c r="KOH363" s="393"/>
      <c r="KOI363" s="398"/>
      <c r="KOJ363" s="393"/>
      <c r="KOK363" s="398"/>
      <c r="KOL363" s="393"/>
      <c r="KOM363" s="398"/>
      <c r="KON363" s="393"/>
      <c r="KOO363" s="398"/>
      <c r="KOP363" s="393"/>
      <c r="KOQ363" s="398"/>
      <c r="KOR363" s="393"/>
      <c r="KOS363" s="398"/>
      <c r="KOT363" s="393"/>
      <c r="KOU363" s="398"/>
      <c r="KOV363" s="393"/>
      <c r="KOW363" s="398"/>
      <c r="KOX363" s="393"/>
      <c r="KOY363" s="398"/>
      <c r="KOZ363" s="393"/>
      <c r="KPA363" s="398"/>
      <c r="KPB363" s="393"/>
      <c r="KPC363" s="398"/>
      <c r="KPD363" s="393"/>
      <c r="KPE363" s="398"/>
      <c r="KPF363" s="393"/>
      <c r="KPG363" s="398"/>
      <c r="KPH363" s="393"/>
      <c r="KPI363" s="398"/>
      <c r="KPJ363" s="393"/>
      <c r="KPK363" s="398"/>
      <c r="KPL363" s="393"/>
      <c r="KPM363" s="398"/>
      <c r="KPN363" s="393"/>
      <c r="KPO363" s="398"/>
      <c r="KPP363" s="393"/>
      <c r="KPQ363" s="398"/>
      <c r="KPR363" s="393"/>
      <c r="KPS363" s="398"/>
      <c r="KPT363" s="393"/>
      <c r="KPU363" s="398"/>
      <c r="KPV363" s="393"/>
      <c r="KPW363" s="398"/>
      <c r="KPX363" s="393"/>
      <c r="KPY363" s="398"/>
      <c r="KPZ363" s="393"/>
      <c r="KQA363" s="398"/>
      <c r="KQB363" s="393"/>
      <c r="KQC363" s="398"/>
      <c r="KQD363" s="393"/>
      <c r="KQE363" s="398"/>
      <c r="KQF363" s="393"/>
      <c r="KQG363" s="398"/>
      <c r="KQH363" s="393"/>
      <c r="KQI363" s="398"/>
      <c r="KQJ363" s="393"/>
      <c r="KQK363" s="398"/>
      <c r="KQL363" s="393"/>
      <c r="KQM363" s="398"/>
      <c r="KQN363" s="393"/>
      <c r="KQO363" s="398"/>
      <c r="KQP363" s="393"/>
      <c r="KQQ363" s="398"/>
      <c r="KQR363" s="393"/>
      <c r="KQS363" s="398"/>
      <c r="KQT363" s="393"/>
      <c r="KQU363" s="398"/>
      <c r="KQV363" s="393"/>
      <c r="KQW363" s="398"/>
      <c r="KQX363" s="393"/>
      <c r="KQY363" s="398"/>
      <c r="KQZ363" s="393"/>
      <c r="KRA363" s="398"/>
      <c r="KRB363" s="393"/>
      <c r="KRC363" s="398"/>
      <c r="KRD363" s="393"/>
      <c r="KRE363" s="398"/>
      <c r="KRF363" s="393"/>
      <c r="KRG363" s="398"/>
      <c r="KRH363" s="393"/>
      <c r="KRI363" s="398"/>
      <c r="KRJ363" s="393"/>
      <c r="KRK363" s="398"/>
      <c r="KRL363" s="393"/>
      <c r="KRM363" s="398"/>
      <c r="KRN363" s="393"/>
      <c r="KRO363" s="398"/>
      <c r="KRP363" s="393"/>
      <c r="KRQ363" s="398"/>
      <c r="KRR363" s="393"/>
      <c r="KRS363" s="398"/>
      <c r="KRT363" s="393"/>
      <c r="KRU363" s="398"/>
      <c r="KRV363" s="393"/>
      <c r="KRW363" s="398"/>
      <c r="KRX363" s="393"/>
      <c r="KRY363" s="398"/>
      <c r="KRZ363" s="393"/>
      <c r="KSA363" s="398"/>
      <c r="KSB363" s="393"/>
      <c r="KSC363" s="398"/>
      <c r="KSD363" s="393"/>
      <c r="KSE363" s="398"/>
      <c r="KSF363" s="393"/>
      <c r="KSG363" s="398"/>
      <c r="KSH363" s="393"/>
      <c r="KSI363" s="398"/>
      <c r="KSJ363" s="393"/>
      <c r="KSK363" s="398"/>
      <c r="KSL363" s="393"/>
      <c r="KSM363" s="398"/>
      <c r="KSN363" s="393"/>
      <c r="KSO363" s="398"/>
      <c r="KSP363" s="393"/>
      <c r="KSQ363" s="398"/>
      <c r="KSR363" s="393"/>
      <c r="KSS363" s="398"/>
      <c r="KST363" s="393"/>
      <c r="KSU363" s="398"/>
      <c r="KSV363" s="393"/>
      <c r="KSW363" s="398"/>
      <c r="KSX363" s="393"/>
      <c r="KSY363" s="398"/>
      <c r="KSZ363" s="393"/>
      <c r="KTA363" s="398"/>
      <c r="KTB363" s="393"/>
      <c r="KTC363" s="398"/>
      <c r="KTD363" s="393"/>
      <c r="KTE363" s="398"/>
      <c r="KTF363" s="393"/>
      <c r="KTG363" s="398"/>
      <c r="KTH363" s="393"/>
      <c r="KTI363" s="398"/>
      <c r="KTJ363" s="393"/>
      <c r="KTK363" s="398"/>
      <c r="KTL363" s="393"/>
      <c r="KTM363" s="398"/>
      <c r="KTN363" s="393"/>
      <c r="KTO363" s="398"/>
      <c r="KTP363" s="393"/>
      <c r="KTQ363" s="398"/>
      <c r="KTR363" s="393"/>
      <c r="KTS363" s="398"/>
      <c r="KTT363" s="393"/>
      <c r="KTU363" s="398"/>
      <c r="KTV363" s="393"/>
      <c r="KTW363" s="398"/>
      <c r="KTX363" s="393"/>
      <c r="KTY363" s="398"/>
      <c r="KTZ363" s="393"/>
      <c r="KUA363" s="398"/>
      <c r="KUB363" s="393"/>
      <c r="KUC363" s="398"/>
      <c r="KUD363" s="393"/>
      <c r="KUE363" s="398"/>
      <c r="KUF363" s="393"/>
      <c r="KUG363" s="398"/>
      <c r="KUH363" s="393"/>
      <c r="KUI363" s="398"/>
      <c r="KUJ363" s="393"/>
      <c r="KUK363" s="398"/>
      <c r="KUL363" s="393"/>
      <c r="KUM363" s="398"/>
      <c r="KUN363" s="393"/>
      <c r="KUO363" s="398"/>
      <c r="KUP363" s="393"/>
      <c r="KUQ363" s="398"/>
      <c r="KUR363" s="393"/>
      <c r="KUS363" s="398"/>
      <c r="KUT363" s="393"/>
      <c r="KUU363" s="398"/>
      <c r="KUV363" s="393"/>
      <c r="KUW363" s="398"/>
      <c r="KUX363" s="393"/>
      <c r="KUY363" s="398"/>
      <c r="KUZ363" s="393"/>
      <c r="KVA363" s="398"/>
      <c r="KVB363" s="393"/>
      <c r="KVC363" s="398"/>
      <c r="KVD363" s="393"/>
      <c r="KVE363" s="398"/>
      <c r="KVF363" s="393"/>
      <c r="KVG363" s="398"/>
      <c r="KVH363" s="393"/>
      <c r="KVI363" s="398"/>
      <c r="KVJ363" s="393"/>
      <c r="KVK363" s="398"/>
      <c r="KVL363" s="393"/>
      <c r="KVM363" s="398"/>
      <c r="KVN363" s="393"/>
      <c r="KVO363" s="398"/>
      <c r="KVP363" s="393"/>
      <c r="KVQ363" s="398"/>
      <c r="KVR363" s="393"/>
      <c r="KVS363" s="398"/>
      <c r="KVT363" s="393"/>
      <c r="KVU363" s="398"/>
      <c r="KVV363" s="393"/>
      <c r="KVW363" s="398"/>
      <c r="KVX363" s="393"/>
      <c r="KVY363" s="398"/>
      <c r="KVZ363" s="393"/>
      <c r="KWA363" s="398"/>
      <c r="KWB363" s="393"/>
      <c r="KWC363" s="398"/>
      <c r="KWD363" s="393"/>
      <c r="KWE363" s="398"/>
      <c r="KWF363" s="393"/>
      <c r="KWG363" s="398"/>
      <c r="KWH363" s="393"/>
      <c r="KWI363" s="398"/>
      <c r="KWJ363" s="393"/>
      <c r="KWK363" s="398"/>
      <c r="KWL363" s="393"/>
      <c r="KWM363" s="398"/>
      <c r="KWN363" s="393"/>
      <c r="KWO363" s="398"/>
      <c r="KWP363" s="393"/>
      <c r="KWQ363" s="398"/>
      <c r="KWR363" s="393"/>
      <c r="KWS363" s="398"/>
      <c r="KWT363" s="393"/>
      <c r="KWU363" s="398"/>
      <c r="KWV363" s="393"/>
      <c r="KWW363" s="398"/>
      <c r="KWX363" s="393"/>
      <c r="KWY363" s="398"/>
      <c r="KWZ363" s="393"/>
      <c r="KXA363" s="398"/>
      <c r="KXB363" s="393"/>
      <c r="KXC363" s="398"/>
      <c r="KXD363" s="393"/>
      <c r="KXE363" s="398"/>
      <c r="KXF363" s="393"/>
      <c r="KXG363" s="398"/>
      <c r="KXH363" s="393"/>
      <c r="KXI363" s="398"/>
      <c r="KXJ363" s="393"/>
      <c r="KXK363" s="398"/>
      <c r="KXL363" s="393"/>
      <c r="KXM363" s="398"/>
      <c r="KXN363" s="393"/>
      <c r="KXO363" s="398"/>
      <c r="KXP363" s="393"/>
      <c r="KXQ363" s="398"/>
      <c r="KXR363" s="393"/>
      <c r="KXS363" s="398"/>
      <c r="KXT363" s="393"/>
      <c r="KXU363" s="398"/>
      <c r="KXV363" s="393"/>
      <c r="KXW363" s="398"/>
      <c r="KXX363" s="393"/>
      <c r="KXY363" s="398"/>
      <c r="KXZ363" s="393"/>
      <c r="KYA363" s="398"/>
      <c r="KYB363" s="393"/>
      <c r="KYC363" s="398"/>
      <c r="KYD363" s="393"/>
      <c r="KYE363" s="398"/>
      <c r="KYF363" s="393"/>
      <c r="KYG363" s="398"/>
      <c r="KYH363" s="393"/>
      <c r="KYI363" s="398"/>
      <c r="KYJ363" s="393"/>
      <c r="KYK363" s="398"/>
      <c r="KYL363" s="393"/>
      <c r="KYM363" s="398"/>
      <c r="KYN363" s="393"/>
      <c r="KYO363" s="398"/>
      <c r="KYP363" s="393"/>
      <c r="KYQ363" s="398"/>
      <c r="KYR363" s="393"/>
      <c r="KYS363" s="398"/>
      <c r="KYT363" s="393"/>
      <c r="KYU363" s="398"/>
      <c r="KYV363" s="393"/>
      <c r="KYW363" s="398"/>
      <c r="KYX363" s="393"/>
      <c r="KYY363" s="398"/>
      <c r="KYZ363" s="393"/>
      <c r="KZA363" s="398"/>
      <c r="KZB363" s="393"/>
      <c r="KZC363" s="398"/>
      <c r="KZD363" s="393"/>
      <c r="KZE363" s="398"/>
      <c r="KZF363" s="393"/>
      <c r="KZG363" s="398"/>
      <c r="KZH363" s="393"/>
      <c r="KZI363" s="398"/>
      <c r="KZJ363" s="393"/>
      <c r="KZK363" s="398"/>
      <c r="KZL363" s="393"/>
      <c r="KZM363" s="398"/>
      <c r="KZN363" s="393"/>
      <c r="KZO363" s="398"/>
      <c r="KZP363" s="393"/>
      <c r="KZQ363" s="398"/>
      <c r="KZR363" s="393"/>
      <c r="KZS363" s="398"/>
      <c r="KZT363" s="393"/>
      <c r="KZU363" s="398"/>
      <c r="KZV363" s="393"/>
      <c r="KZW363" s="398"/>
      <c r="KZX363" s="393"/>
      <c r="KZY363" s="398"/>
      <c r="KZZ363" s="393"/>
      <c r="LAA363" s="398"/>
      <c r="LAB363" s="393"/>
      <c r="LAC363" s="398"/>
      <c r="LAD363" s="393"/>
      <c r="LAE363" s="398"/>
      <c r="LAF363" s="393"/>
      <c r="LAG363" s="398"/>
      <c r="LAH363" s="393"/>
      <c r="LAI363" s="398"/>
      <c r="LAJ363" s="393"/>
      <c r="LAK363" s="398"/>
      <c r="LAL363" s="393"/>
      <c r="LAM363" s="398"/>
      <c r="LAN363" s="393"/>
      <c r="LAO363" s="398"/>
      <c r="LAP363" s="393"/>
      <c r="LAQ363" s="398"/>
      <c r="LAR363" s="393"/>
      <c r="LAS363" s="398"/>
      <c r="LAT363" s="393"/>
      <c r="LAU363" s="398"/>
      <c r="LAV363" s="393"/>
      <c r="LAW363" s="398"/>
      <c r="LAX363" s="393"/>
      <c r="LAY363" s="398"/>
      <c r="LAZ363" s="393"/>
      <c r="LBA363" s="398"/>
      <c r="LBB363" s="393"/>
      <c r="LBC363" s="398"/>
      <c r="LBD363" s="393"/>
      <c r="LBE363" s="398"/>
      <c r="LBF363" s="393"/>
      <c r="LBG363" s="398"/>
      <c r="LBH363" s="393"/>
      <c r="LBI363" s="398"/>
      <c r="LBJ363" s="393"/>
      <c r="LBK363" s="398"/>
      <c r="LBL363" s="393"/>
      <c r="LBM363" s="398"/>
      <c r="LBN363" s="393"/>
      <c r="LBO363" s="398"/>
      <c r="LBP363" s="393"/>
      <c r="LBQ363" s="398"/>
      <c r="LBR363" s="393"/>
      <c r="LBS363" s="398"/>
      <c r="LBT363" s="393"/>
      <c r="LBU363" s="398"/>
      <c r="LBV363" s="393"/>
      <c r="LBW363" s="398"/>
      <c r="LBX363" s="393"/>
      <c r="LBY363" s="398"/>
      <c r="LBZ363" s="393"/>
      <c r="LCA363" s="398"/>
      <c r="LCB363" s="393"/>
      <c r="LCC363" s="398"/>
      <c r="LCD363" s="393"/>
      <c r="LCE363" s="398"/>
      <c r="LCF363" s="393"/>
      <c r="LCG363" s="398"/>
      <c r="LCH363" s="393"/>
      <c r="LCI363" s="398"/>
      <c r="LCJ363" s="393"/>
      <c r="LCK363" s="398"/>
      <c r="LCL363" s="393"/>
      <c r="LCM363" s="398"/>
      <c r="LCN363" s="393"/>
      <c r="LCO363" s="398"/>
      <c r="LCP363" s="393"/>
      <c r="LCQ363" s="398"/>
      <c r="LCR363" s="393"/>
      <c r="LCS363" s="398"/>
      <c r="LCT363" s="393"/>
      <c r="LCU363" s="398"/>
      <c r="LCV363" s="393"/>
      <c r="LCW363" s="398"/>
      <c r="LCX363" s="393"/>
      <c r="LCY363" s="398"/>
      <c r="LCZ363" s="393"/>
      <c r="LDA363" s="398"/>
      <c r="LDB363" s="393"/>
      <c r="LDC363" s="398"/>
      <c r="LDD363" s="393"/>
      <c r="LDE363" s="398"/>
      <c r="LDF363" s="393"/>
      <c r="LDG363" s="398"/>
      <c r="LDH363" s="393"/>
      <c r="LDI363" s="398"/>
      <c r="LDJ363" s="393"/>
      <c r="LDK363" s="398"/>
      <c r="LDL363" s="393"/>
      <c r="LDM363" s="398"/>
      <c r="LDN363" s="393"/>
      <c r="LDO363" s="398"/>
      <c r="LDP363" s="393"/>
      <c r="LDQ363" s="398"/>
      <c r="LDR363" s="393"/>
      <c r="LDS363" s="398"/>
      <c r="LDT363" s="393"/>
      <c r="LDU363" s="398"/>
      <c r="LDV363" s="393"/>
      <c r="LDW363" s="398"/>
      <c r="LDX363" s="393"/>
      <c r="LDY363" s="398"/>
      <c r="LDZ363" s="393"/>
      <c r="LEA363" s="398"/>
      <c r="LEB363" s="393"/>
      <c r="LEC363" s="398"/>
      <c r="LED363" s="393"/>
      <c r="LEE363" s="398"/>
      <c r="LEF363" s="393"/>
      <c r="LEG363" s="398"/>
      <c r="LEH363" s="393"/>
      <c r="LEI363" s="398"/>
      <c r="LEJ363" s="393"/>
      <c r="LEK363" s="398"/>
      <c r="LEL363" s="393"/>
      <c r="LEM363" s="398"/>
      <c r="LEN363" s="393"/>
      <c r="LEO363" s="398"/>
      <c r="LEP363" s="393"/>
      <c r="LEQ363" s="398"/>
      <c r="LER363" s="393"/>
      <c r="LES363" s="398"/>
      <c r="LET363" s="393"/>
      <c r="LEU363" s="398"/>
      <c r="LEV363" s="393"/>
      <c r="LEW363" s="398"/>
      <c r="LEX363" s="393"/>
      <c r="LEY363" s="398"/>
      <c r="LEZ363" s="393"/>
      <c r="LFA363" s="398"/>
      <c r="LFB363" s="393"/>
      <c r="LFC363" s="398"/>
      <c r="LFD363" s="393"/>
      <c r="LFE363" s="398"/>
      <c r="LFF363" s="393"/>
      <c r="LFG363" s="398"/>
      <c r="LFH363" s="393"/>
      <c r="LFI363" s="398"/>
      <c r="LFJ363" s="393"/>
      <c r="LFK363" s="398"/>
      <c r="LFL363" s="393"/>
      <c r="LFM363" s="398"/>
      <c r="LFN363" s="393"/>
      <c r="LFO363" s="398"/>
      <c r="LFP363" s="393"/>
      <c r="LFQ363" s="398"/>
      <c r="LFR363" s="393"/>
      <c r="LFS363" s="398"/>
      <c r="LFT363" s="393"/>
      <c r="LFU363" s="398"/>
      <c r="LFV363" s="393"/>
      <c r="LFW363" s="398"/>
      <c r="LFX363" s="393"/>
      <c r="LFY363" s="398"/>
      <c r="LFZ363" s="393"/>
      <c r="LGA363" s="398"/>
      <c r="LGB363" s="393"/>
      <c r="LGC363" s="398"/>
      <c r="LGD363" s="393"/>
      <c r="LGE363" s="398"/>
      <c r="LGF363" s="393"/>
      <c r="LGG363" s="398"/>
      <c r="LGH363" s="393"/>
      <c r="LGI363" s="398"/>
      <c r="LGJ363" s="393"/>
      <c r="LGK363" s="398"/>
      <c r="LGL363" s="393"/>
      <c r="LGM363" s="398"/>
      <c r="LGN363" s="393"/>
      <c r="LGO363" s="398"/>
      <c r="LGP363" s="393"/>
      <c r="LGQ363" s="398"/>
      <c r="LGR363" s="393"/>
      <c r="LGS363" s="398"/>
      <c r="LGT363" s="393"/>
      <c r="LGU363" s="398"/>
      <c r="LGV363" s="393"/>
      <c r="LGW363" s="398"/>
      <c r="LGX363" s="393"/>
      <c r="LGY363" s="398"/>
      <c r="LGZ363" s="393"/>
      <c r="LHA363" s="398"/>
      <c r="LHB363" s="393"/>
      <c r="LHC363" s="398"/>
      <c r="LHD363" s="393"/>
      <c r="LHE363" s="398"/>
      <c r="LHF363" s="393"/>
      <c r="LHG363" s="398"/>
      <c r="LHH363" s="393"/>
      <c r="LHI363" s="398"/>
      <c r="LHJ363" s="393"/>
      <c r="LHK363" s="398"/>
      <c r="LHL363" s="393"/>
      <c r="LHM363" s="398"/>
      <c r="LHN363" s="393"/>
      <c r="LHO363" s="398"/>
      <c r="LHP363" s="393"/>
      <c r="LHQ363" s="398"/>
      <c r="LHR363" s="393"/>
      <c r="LHS363" s="398"/>
      <c r="LHT363" s="393"/>
      <c r="LHU363" s="398"/>
      <c r="LHV363" s="393"/>
      <c r="LHW363" s="398"/>
      <c r="LHX363" s="393"/>
      <c r="LHY363" s="398"/>
      <c r="LHZ363" s="393"/>
      <c r="LIA363" s="398"/>
      <c r="LIB363" s="393"/>
      <c r="LIC363" s="398"/>
      <c r="LID363" s="393"/>
      <c r="LIE363" s="398"/>
      <c r="LIF363" s="393"/>
      <c r="LIG363" s="398"/>
      <c r="LIH363" s="393"/>
      <c r="LII363" s="398"/>
      <c r="LIJ363" s="393"/>
      <c r="LIK363" s="398"/>
      <c r="LIL363" s="393"/>
      <c r="LIM363" s="398"/>
      <c r="LIN363" s="393"/>
      <c r="LIO363" s="398"/>
      <c r="LIP363" s="393"/>
      <c r="LIQ363" s="398"/>
      <c r="LIR363" s="393"/>
      <c r="LIS363" s="398"/>
      <c r="LIT363" s="393"/>
      <c r="LIU363" s="398"/>
      <c r="LIV363" s="393"/>
      <c r="LIW363" s="398"/>
      <c r="LIX363" s="393"/>
      <c r="LIY363" s="398"/>
      <c r="LIZ363" s="393"/>
      <c r="LJA363" s="398"/>
      <c r="LJB363" s="393"/>
      <c r="LJC363" s="398"/>
      <c r="LJD363" s="393"/>
      <c r="LJE363" s="398"/>
      <c r="LJF363" s="393"/>
      <c r="LJG363" s="398"/>
      <c r="LJH363" s="393"/>
      <c r="LJI363" s="398"/>
      <c r="LJJ363" s="393"/>
      <c r="LJK363" s="398"/>
      <c r="LJL363" s="393"/>
      <c r="LJM363" s="398"/>
      <c r="LJN363" s="393"/>
      <c r="LJO363" s="398"/>
      <c r="LJP363" s="393"/>
      <c r="LJQ363" s="398"/>
      <c r="LJR363" s="393"/>
      <c r="LJS363" s="398"/>
      <c r="LJT363" s="393"/>
      <c r="LJU363" s="398"/>
      <c r="LJV363" s="393"/>
      <c r="LJW363" s="398"/>
      <c r="LJX363" s="393"/>
      <c r="LJY363" s="398"/>
      <c r="LJZ363" s="393"/>
      <c r="LKA363" s="398"/>
      <c r="LKB363" s="393"/>
      <c r="LKC363" s="398"/>
      <c r="LKD363" s="393"/>
      <c r="LKE363" s="398"/>
      <c r="LKF363" s="393"/>
      <c r="LKG363" s="398"/>
      <c r="LKH363" s="393"/>
      <c r="LKI363" s="398"/>
      <c r="LKJ363" s="393"/>
      <c r="LKK363" s="398"/>
      <c r="LKL363" s="393"/>
      <c r="LKM363" s="398"/>
      <c r="LKN363" s="393"/>
      <c r="LKO363" s="398"/>
      <c r="LKP363" s="393"/>
      <c r="LKQ363" s="398"/>
      <c r="LKR363" s="393"/>
      <c r="LKS363" s="398"/>
      <c r="LKT363" s="393"/>
      <c r="LKU363" s="398"/>
      <c r="LKV363" s="393"/>
      <c r="LKW363" s="398"/>
      <c r="LKX363" s="393"/>
      <c r="LKY363" s="398"/>
      <c r="LKZ363" s="393"/>
      <c r="LLA363" s="398"/>
      <c r="LLB363" s="393"/>
      <c r="LLC363" s="398"/>
      <c r="LLD363" s="393"/>
      <c r="LLE363" s="398"/>
      <c r="LLF363" s="393"/>
      <c r="LLG363" s="398"/>
      <c r="LLH363" s="393"/>
      <c r="LLI363" s="398"/>
      <c r="LLJ363" s="393"/>
      <c r="LLK363" s="398"/>
      <c r="LLL363" s="393"/>
      <c r="LLM363" s="398"/>
      <c r="LLN363" s="393"/>
      <c r="LLO363" s="398"/>
      <c r="LLP363" s="393"/>
      <c r="LLQ363" s="398"/>
      <c r="LLR363" s="393"/>
      <c r="LLS363" s="398"/>
      <c r="LLT363" s="393"/>
      <c r="LLU363" s="398"/>
      <c r="LLV363" s="393"/>
      <c r="LLW363" s="398"/>
      <c r="LLX363" s="393"/>
      <c r="LLY363" s="398"/>
      <c r="LLZ363" s="393"/>
      <c r="LMA363" s="398"/>
      <c r="LMB363" s="393"/>
      <c r="LMC363" s="398"/>
      <c r="LMD363" s="393"/>
      <c r="LME363" s="398"/>
      <c r="LMF363" s="393"/>
      <c r="LMG363" s="398"/>
      <c r="LMH363" s="393"/>
      <c r="LMI363" s="398"/>
      <c r="LMJ363" s="393"/>
      <c r="LMK363" s="398"/>
      <c r="LML363" s="393"/>
      <c r="LMM363" s="398"/>
      <c r="LMN363" s="393"/>
      <c r="LMO363" s="398"/>
      <c r="LMP363" s="393"/>
      <c r="LMQ363" s="398"/>
      <c r="LMR363" s="393"/>
      <c r="LMS363" s="398"/>
      <c r="LMT363" s="393"/>
      <c r="LMU363" s="398"/>
      <c r="LMV363" s="393"/>
      <c r="LMW363" s="398"/>
      <c r="LMX363" s="393"/>
      <c r="LMY363" s="398"/>
      <c r="LMZ363" s="393"/>
      <c r="LNA363" s="398"/>
      <c r="LNB363" s="393"/>
      <c r="LNC363" s="398"/>
      <c r="LND363" s="393"/>
      <c r="LNE363" s="398"/>
      <c r="LNF363" s="393"/>
      <c r="LNG363" s="398"/>
      <c r="LNH363" s="393"/>
      <c r="LNI363" s="398"/>
      <c r="LNJ363" s="393"/>
      <c r="LNK363" s="398"/>
      <c r="LNL363" s="393"/>
      <c r="LNM363" s="398"/>
      <c r="LNN363" s="393"/>
      <c r="LNO363" s="398"/>
      <c r="LNP363" s="393"/>
      <c r="LNQ363" s="398"/>
      <c r="LNR363" s="393"/>
      <c r="LNS363" s="398"/>
      <c r="LNT363" s="393"/>
      <c r="LNU363" s="398"/>
      <c r="LNV363" s="393"/>
      <c r="LNW363" s="398"/>
      <c r="LNX363" s="393"/>
      <c r="LNY363" s="398"/>
      <c r="LNZ363" s="393"/>
      <c r="LOA363" s="398"/>
      <c r="LOB363" s="393"/>
      <c r="LOC363" s="398"/>
      <c r="LOD363" s="393"/>
      <c r="LOE363" s="398"/>
      <c r="LOF363" s="393"/>
      <c r="LOG363" s="398"/>
      <c r="LOH363" s="393"/>
      <c r="LOI363" s="398"/>
      <c r="LOJ363" s="393"/>
      <c r="LOK363" s="398"/>
      <c r="LOL363" s="393"/>
      <c r="LOM363" s="398"/>
      <c r="LON363" s="393"/>
      <c r="LOO363" s="398"/>
      <c r="LOP363" s="393"/>
      <c r="LOQ363" s="398"/>
      <c r="LOR363" s="393"/>
      <c r="LOS363" s="398"/>
      <c r="LOT363" s="393"/>
      <c r="LOU363" s="398"/>
      <c r="LOV363" s="393"/>
      <c r="LOW363" s="398"/>
      <c r="LOX363" s="393"/>
      <c r="LOY363" s="398"/>
      <c r="LOZ363" s="393"/>
      <c r="LPA363" s="398"/>
      <c r="LPB363" s="393"/>
      <c r="LPC363" s="398"/>
      <c r="LPD363" s="393"/>
      <c r="LPE363" s="398"/>
      <c r="LPF363" s="393"/>
      <c r="LPG363" s="398"/>
      <c r="LPH363" s="393"/>
      <c r="LPI363" s="398"/>
      <c r="LPJ363" s="393"/>
      <c r="LPK363" s="398"/>
      <c r="LPL363" s="393"/>
      <c r="LPM363" s="398"/>
      <c r="LPN363" s="393"/>
      <c r="LPO363" s="398"/>
      <c r="LPP363" s="393"/>
      <c r="LPQ363" s="398"/>
      <c r="LPR363" s="393"/>
      <c r="LPS363" s="398"/>
      <c r="LPT363" s="393"/>
      <c r="LPU363" s="398"/>
      <c r="LPV363" s="393"/>
      <c r="LPW363" s="398"/>
      <c r="LPX363" s="393"/>
      <c r="LPY363" s="398"/>
      <c r="LPZ363" s="393"/>
      <c r="LQA363" s="398"/>
      <c r="LQB363" s="393"/>
      <c r="LQC363" s="398"/>
      <c r="LQD363" s="393"/>
      <c r="LQE363" s="398"/>
      <c r="LQF363" s="393"/>
      <c r="LQG363" s="398"/>
      <c r="LQH363" s="393"/>
      <c r="LQI363" s="398"/>
      <c r="LQJ363" s="393"/>
      <c r="LQK363" s="398"/>
      <c r="LQL363" s="393"/>
      <c r="LQM363" s="398"/>
      <c r="LQN363" s="393"/>
      <c r="LQO363" s="398"/>
      <c r="LQP363" s="393"/>
      <c r="LQQ363" s="398"/>
      <c r="LQR363" s="393"/>
      <c r="LQS363" s="398"/>
      <c r="LQT363" s="393"/>
      <c r="LQU363" s="398"/>
      <c r="LQV363" s="393"/>
      <c r="LQW363" s="398"/>
      <c r="LQX363" s="393"/>
      <c r="LQY363" s="398"/>
      <c r="LQZ363" s="393"/>
      <c r="LRA363" s="398"/>
      <c r="LRB363" s="393"/>
      <c r="LRC363" s="398"/>
      <c r="LRD363" s="393"/>
      <c r="LRE363" s="398"/>
      <c r="LRF363" s="393"/>
      <c r="LRG363" s="398"/>
      <c r="LRH363" s="393"/>
      <c r="LRI363" s="398"/>
      <c r="LRJ363" s="393"/>
      <c r="LRK363" s="398"/>
      <c r="LRL363" s="393"/>
      <c r="LRM363" s="398"/>
      <c r="LRN363" s="393"/>
      <c r="LRO363" s="398"/>
      <c r="LRP363" s="393"/>
      <c r="LRQ363" s="398"/>
      <c r="LRR363" s="393"/>
      <c r="LRS363" s="398"/>
      <c r="LRT363" s="393"/>
      <c r="LRU363" s="398"/>
      <c r="LRV363" s="393"/>
      <c r="LRW363" s="398"/>
      <c r="LRX363" s="393"/>
      <c r="LRY363" s="398"/>
      <c r="LRZ363" s="393"/>
      <c r="LSA363" s="398"/>
      <c r="LSB363" s="393"/>
      <c r="LSC363" s="398"/>
      <c r="LSD363" s="393"/>
      <c r="LSE363" s="398"/>
      <c r="LSF363" s="393"/>
      <c r="LSG363" s="398"/>
      <c r="LSH363" s="393"/>
      <c r="LSI363" s="398"/>
      <c r="LSJ363" s="393"/>
      <c r="LSK363" s="398"/>
      <c r="LSL363" s="393"/>
      <c r="LSM363" s="398"/>
      <c r="LSN363" s="393"/>
      <c r="LSO363" s="398"/>
      <c r="LSP363" s="393"/>
      <c r="LSQ363" s="398"/>
      <c r="LSR363" s="393"/>
      <c r="LSS363" s="398"/>
      <c r="LST363" s="393"/>
      <c r="LSU363" s="398"/>
      <c r="LSV363" s="393"/>
      <c r="LSW363" s="398"/>
      <c r="LSX363" s="393"/>
      <c r="LSY363" s="398"/>
      <c r="LSZ363" s="393"/>
      <c r="LTA363" s="398"/>
      <c r="LTB363" s="393"/>
      <c r="LTC363" s="398"/>
      <c r="LTD363" s="393"/>
      <c r="LTE363" s="398"/>
      <c r="LTF363" s="393"/>
      <c r="LTG363" s="398"/>
      <c r="LTH363" s="393"/>
      <c r="LTI363" s="398"/>
      <c r="LTJ363" s="393"/>
      <c r="LTK363" s="398"/>
      <c r="LTL363" s="393"/>
      <c r="LTM363" s="398"/>
      <c r="LTN363" s="393"/>
      <c r="LTO363" s="398"/>
      <c r="LTP363" s="393"/>
      <c r="LTQ363" s="398"/>
      <c r="LTR363" s="393"/>
      <c r="LTS363" s="398"/>
      <c r="LTT363" s="393"/>
      <c r="LTU363" s="398"/>
      <c r="LTV363" s="393"/>
      <c r="LTW363" s="398"/>
      <c r="LTX363" s="393"/>
      <c r="LTY363" s="398"/>
      <c r="LTZ363" s="393"/>
      <c r="LUA363" s="398"/>
      <c r="LUB363" s="393"/>
      <c r="LUC363" s="398"/>
      <c r="LUD363" s="393"/>
      <c r="LUE363" s="398"/>
      <c r="LUF363" s="393"/>
      <c r="LUG363" s="398"/>
      <c r="LUH363" s="393"/>
      <c r="LUI363" s="398"/>
      <c r="LUJ363" s="393"/>
      <c r="LUK363" s="398"/>
      <c r="LUL363" s="393"/>
      <c r="LUM363" s="398"/>
      <c r="LUN363" s="393"/>
      <c r="LUO363" s="398"/>
      <c r="LUP363" s="393"/>
      <c r="LUQ363" s="398"/>
      <c r="LUR363" s="393"/>
      <c r="LUS363" s="398"/>
      <c r="LUT363" s="393"/>
      <c r="LUU363" s="398"/>
      <c r="LUV363" s="393"/>
      <c r="LUW363" s="398"/>
      <c r="LUX363" s="393"/>
      <c r="LUY363" s="398"/>
      <c r="LUZ363" s="393"/>
      <c r="LVA363" s="398"/>
      <c r="LVB363" s="393"/>
      <c r="LVC363" s="398"/>
      <c r="LVD363" s="393"/>
      <c r="LVE363" s="398"/>
      <c r="LVF363" s="393"/>
      <c r="LVG363" s="398"/>
      <c r="LVH363" s="393"/>
      <c r="LVI363" s="398"/>
      <c r="LVJ363" s="393"/>
      <c r="LVK363" s="398"/>
      <c r="LVL363" s="393"/>
      <c r="LVM363" s="398"/>
      <c r="LVN363" s="393"/>
      <c r="LVO363" s="398"/>
      <c r="LVP363" s="393"/>
      <c r="LVQ363" s="398"/>
      <c r="LVR363" s="393"/>
      <c r="LVS363" s="398"/>
      <c r="LVT363" s="393"/>
      <c r="LVU363" s="398"/>
      <c r="LVV363" s="393"/>
      <c r="LVW363" s="398"/>
      <c r="LVX363" s="393"/>
      <c r="LVY363" s="398"/>
      <c r="LVZ363" s="393"/>
      <c r="LWA363" s="398"/>
      <c r="LWB363" s="393"/>
      <c r="LWC363" s="398"/>
      <c r="LWD363" s="393"/>
      <c r="LWE363" s="398"/>
      <c r="LWF363" s="393"/>
      <c r="LWG363" s="398"/>
      <c r="LWH363" s="393"/>
      <c r="LWI363" s="398"/>
      <c r="LWJ363" s="393"/>
      <c r="LWK363" s="398"/>
      <c r="LWL363" s="393"/>
      <c r="LWM363" s="398"/>
      <c r="LWN363" s="393"/>
      <c r="LWO363" s="398"/>
      <c r="LWP363" s="393"/>
      <c r="LWQ363" s="398"/>
      <c r="LWR363" s="393"/>
      <c r="LWS363" s="398"/>
      <c r="LWT363" s="393"/>
      <c r="LWU363" s="398"/>
      <c r="LWV363" s="393"/>
      <c r="LWW363" s="398"/>
      <c r="LWX363" s="393"/>
      <c r="LWY363" s="398"/>
      <c r="LWZ363" s="393"/>
      <c r="LXA363" s="398"/>
      <c r="LXB363" s="393"/>
      <c r="LXC363" s="398"/>
      <c r="LXD363" s="393"/>
      <c r="LXE363" s="398"/>
      <c r="LXF363" s="393"/>
      <c r="LXG363" s="398"/>
      <c r="LXH363" s="393"/>
      <c r="LXI363" s="398"/>
      <c r="LXJ363" s="393"/>
      <c r="LXK363" s="398"/>
      <c r="LXL363" s="393"/>
      <c r="LXM363" s="398"/>
      <c r="LXN363" s="393"/>
      <c r="LXO363" s="398"/>
      <c r="LXP363" s="393"/>
      <c r="LXQ363" s="398"/>
      <c r="LXR363" s="393"/>
      <c r="LXS363" s="398"/>
      <c r="LXT363" s="393"/>
      <c r="LXU363" s="398"/>
      <c r="LXV363" s="393"/>
      <c r="LXW363" s="398"/>
      <c r="LXX363" s="393"/>
      <c r="LXY363" s="398"/>
      <c r="LXZ363" s="393"/>
      <c r="LYA363" s="398"/>
      <c r="LYB363" s="393"/>
      <c r="LYC363" s="398"/>
      <c r="LYD363" s="393"/>
      <c r="LYE363" s="398"/>
      <c r="LYF363" s="393"/>
      <c r="LYG363" s="398"/>
      <c r="LYH363" s="393"/>
      <c r="LYI363" s="398"/>
      <c r="LYJ363" s="393"/>
      <c r="LYK363" s="398"/>
      <c r="LYL363" s="393"/>
      <c r="LYM363" s="398"/>
      <c r="LYN363" s="393"/>
      <c r="LYO363" s="398"/>
      <c r="LYP363" s="393"/>
      <c r="LYQ363" s="398"/>
      <c r="LYR363" s="393"/>
      <c r="LYS363" s="398"/>
      <c r="LYT363" s="393"/>
      <c r="LYU363" s="398"/>
      <c r="LYV363" s="393"/>
      <c r="LYW363" s="398"/>
      <c r="LYX363" s="393"/>
      <c r="LYY363" s="398"/>
      <c r="LYZ363" s="393"/>
      <c r="LZA363" s="398"/>
      <c r="LZB363" s="393"/>
      <c r="LZC363" s="398"/>
      <c r="LZD363" s="393"/>
      <c r="LZE363" s="398"/>
      <c r="LZF363" s="393"/>
      <c r="LZG363" s="398"/>
      <c r="LZH363" s="393"/>
      <c r="LZI363" s="398"/>
      <c r="LZJ363" s="393"/>
      <c r="LZK363" s="398"/>
      <c r="LZL363" s="393"/>
      <c r="LZM363" s="398"/>
      <c r="LZN363" s="393"/>
      <c r="LZO363" s="398"/>
      <c r="LZP363" s="393"/>
      <c r="LZQ363" s="398"/>
      <c r="LZR363" s="393"/>
      <c r="LZS363" s="398"/>
      <c r="LZT363" s="393"/>
      <c r="LZU363" s="398"/>
      <c r="LZV363" s="393"/>
      <c r="LZW363" s="398"/>
      <c r="LZX363" s="393"/>
      <c r="LZY363" s="398"/>
      <c r="LZZ363" s="393"/>
      <c r="MAA363" s="398"/>
      <c r="MAB363" s="393"/>
      <c r="MAC363" s="398"/>
      <c r="MAD363" s="393"/>
      <c r="MAE363" s="398"/>
      <c r="MAF363" s="393"/>
      <c r="MAG363" s="398"/>
      <c r="MAH363" s="393"/>
      <c r="MAI363" s="398"/>
      <c r="MAJ363" s="393"/>
      <c r="MAK363" s="398"/>
      <c r="MAL363" s="393"/>
      <c r="MAM363" s="398"/>
      <c r="MAN363" s="393"/>
      <c r="MAO363" s="398"/>
      <c r="MAP363" s="393"/>
      <c r="MAQ363" s="398"/>
      <c r="MAR363" s="393"/>
      <c r="MAS363" s="398"/>
      <c r="MAT363" s="393"/>
      <c r="MAU363" s="398"/>
      <c r="MAV363" s="393"/>
      <c r="MAW363" s="398"/>
      <c r="MAX363" s="393"/>
      <c r="MAY363" s="398"/>
      <c r="MAZ363" s="393"/>
      <c r="MBA363" s="398"/>
      <c r="MBB363" s="393"/>
      <c r="MBC363" s="398"/>
      <c r="MBD363" s="393"/>
      <c r="MBE363" s="398"/>
      <c r="MBF363" s="393"/>
      <c r="MBG363" s="398"/>
      <c r="MBH363" s="393"/>
      <c r="MBI363" s="398"/>
      <c r="MBJ363" s="393"/>
      <c r="MBK363" s="398"/>
      <c r="MBL363" s="393"/>
      <c r="MBM363" s="398"/>
      <c r="MBN363" s="393"/>
      <c r="MBO363" s="398"/>
      <c r="MBP363" s="393"/>
      <c r="MBQ363" s="398"/>
      <c r="MBR363" s="393"/>
      <c r="MBS363" s="398"/>
      <c r="MBT363" s="393"/>
      <c r="MBU363" s="398"/>
      <c r="MBV363" s="393"/>
      <c r="MBW363" s="398"/>
      <c r="MBX363" s="393"/>
      <c r="MBY363" s="398"/>
      <c r="MBZ363" s="393"/>
      <c r="MCA363" s="398"/>
      <c r="MCB363" s="393"/>
      <c r="MCC363" s="398"/>
      <c r="MCD363" s="393"/>
      <c r="MCE363" s="398"/>
      <c r="MCF363" s="393"/>
      <c r="MCG363" s="398"/>
      <c r="MCH363" s="393"/>
      <c r="MCI363" s="398"/>
      <c r="MCJ363" s="393"/>
      <c r="MCK363" s="398"/>
      <c r="MCL363" s="393"/>
      <c r="MCM363" s="398"/>
      <c r="MCN363" s="393"/>
      <c r="MCO363" s="398"/>
      <c r="MCP363" s="393"/>
      <c r="MCQ363" s="398"/>
      <c r="MCR363" s="393"/>
      <c r="MCS363" s="398"/>
      <c r="MCT363" s="393"/>
      <c r="MCU363" s="398"/>
      <c r="MCV363" s="393"/>
      <c r="MCW363" s="398"/>
      <c r="MCX363" s="393"/>
      <c r="MCY363" s="398"/>
      <c r="MCZ363" s="393"/>
      <c r="MDA363" s="398"/>
      <c r="MDB363" s="393"/>
      <c r="MDC363" s="398"/>
      <c r="MDD363" s="393"/>
      <c r="MDE363" s="398"/>
      <c r="MDF363" s="393"/>
      <c r="MDG363" s="398"/>
      <c r="MDH363" s="393"/>
      <c r="MDI363" s="398"/>
      <c r="MDJ363" s="393"/>
      <c r="MDK363" s="398"/>
      <c r="MDL363" s="393"/>
      <c r="MDM363" s="398"/>
      <c r="MDN363" s="393"/>
      <c r="MDO363" s="398"/>
      <c r="MDP363" s="393"/>
      <c r="MDQ363" s="398"/>
      <c r="MDR363" s="393"/>
      <c r="MDS363" s="398"/>
      <c r="MDT363" s="393"/>
      <c r="MDU363" s="398"/>
      <c r="MDV363" s="393"/>
      <c r="MDW363" s="398"/>
      <c r="MDX363" s="393"/>
      <c r="MDY363" s="398"/>
      <c r="MDZ363" s="393"/>
      <c r="MEA363" s="398"/>
      <c r="MEB363" s="393"/>
      <c r="MEC363" s="398"/>
      <c r="MED363" s="393"/>
      <c r="MEE363" s="398"/>
      <c r="MEF363" s="393"/>
      <c r="MEG363" s="398"/>
      <c r="MEH363" s="393"/>
      <c r="MEI363" s="398"/>
      <c r="MEJ363" s="393"/>
      <c r="MEK363" s="398"/>
      <c r="MEL363" s="393"/>
      <c r="MEM363" s="398"/>
      <c r="MEN363" s="393"/>
      <c r="MEO363" s="398"/>
      <c r="MEP363" s="393"/>
      <c r="MEQ363" s="398"/>
      <c r="MER363" s="393"/>
      <c r="MES363" s="398"/>
      <c r="MET363" s="393"/>
      <c r="MEU363" s="398"/>
      <c r="MEV363" s="393"/>
      <c r="MEW363" s="398"/>
      <c r="MEX363" s="393"/>
      <c r="MEY363" s="398"/>
      <c r="MEZ363" s="393"/>
      <c r="MFA363" s="398"/>
      <c r="MFB363" s="393"/>
      <c r="MFC363" s="398"/>
      <c r="MFD363" s="393"/>
      <c r="MFE363" s="398"/>
      <c r="MFF363" s="393"/>
      <c r="MFG363" s="398"/>
      <c r="MFH363" s="393"/>
      <c r="MFI363" s="398"/>
      <c r="MFJ363" s="393"/>
      <c r="MFK363" s="398"/>
      <c r="MFL363" s="393"/>
      <c r="MFM363" s="398"/>
      <c r="MFN363" s="393"/>
      <c r="MFO363" s="398"/>
      <c r="MFP363" s="393"/>
      <c r="MFQ363" s="398"/>
      <c r="MFR363" s="393"/>
      <c r="MFS363" s="398"/>
      <c r="MFT363" s="393"/>
      <c r="MFU363" s="398"/>
      <c r="MFV363" s="393"/>
      <c r="MFW363" s="398"/>
      <c r="MFX363" s="393"/>
      <c r="MFY363" s="398"/>
      <c r="MFZ363" s="393"/>
      <c r="MGA363" s="398"/>
      <c r="MGB363" s="393"/>
      <c r="MGC363" s="398"/>
      <c r="MGD363" s="393"/>
      <c r="MGE363" s="398"/>
      <c r="MGF363" s="393"/>
      <c r="MGG363" s="398"/>
      <c r="MGH363" s="393"/>
      <c r="MGI363" s="398"/>
      <c r="MGJ363" s="393"/>
      <c r="MGK363" s="398"/>
      <c r="MGL363" s="393"/>
      <c r="MGM363" s="398"/>
      <c r="MGN363" s="393"/>
      <c r="MGO363" s="398"/>
      <c r="MGP363" s="393"/>
      <c r="MGQ363" s="398"/>
      <c r="MGR363" s="393"/>
      <c r="MGS363" s="398"/>
      <c r="MGT363" s="393"/>
      <c r="MGU363" s="398"/>
      <c r="MGV363" s="393"/>
      <c r="MGW363" s="398"/>
      <c r="MGX363" s="393"/>
      <c r="MGY363" s="398"/>
      <c r="MGZ363" s="393"/>
      <c r="MHA363" s="398"/>
      <c r="MHB363" s="393"/>
      <c r="MHC363" s="398"/>
      <c r="MHD363" s="393"/>
      <c r="MHE363" s="398"/>
      <c r="MHF363" s="393"/>
      <c r="MHG363" s="398"/>
      <c r="MHH363" s="393"/>
      <c r="MHI363" s="398"/>
      <c r="MHJ363" s="393"/>
      <c r="MHK363" s="398"/>
      <c r="MHL363" s="393"/>
      <c r="MHM363" s="398"/>
      <c r="MHN363" s="393"/>
      <c r="MHO363" s="398"/>
      <c r="MHP363" s="393"/>
      <c r="MHQ363" s="398"/>
      <c r="MHR363" s="393"/>
      <c r="MHS363" s="398"/>
      <c r="MHT363" s="393"/>
      <c r="MHU363" s="398"/>
      <c r="MHV363" s="393"/>
      <c r="MHW363" s="398"/>
      <c r="MHX363" s="393"/>
      <c r="MHY363" s="398"/>
      <c r="MHZ363" s="393"/>
      <c r="MIA363" s="398"/>
      <c r="MIB363" s="393"/>
      <c r="MIC363" s="398"/>
      <c r="MID363" s="393"/>
      <c r="MIE363" s="398"/>
      <c r="MIF363" s="393"/>
      <c r="MIG363" s="398"/>
      <c r="MIH363" s="393"/>
      <c r="MII363" s="398"/>
      <c r="MIJ363" s="393"/>
      <c r="MIK363" s="398"/>
      <c r="MIL363" s="393"/>
      <c r="MIM363" s="398"/>
      <c r="MIN363" s="393"/>
      <c r="MIO363" s="398"/>
      <c r="MIP363" s="393"/>
      <c r="MIQ363" s="398"/>
      <c r="MIR363" s="393"/>
      <c r="MIS363" s="398"/>
      <c r="MIT363" s="393"/>
      <c r="MIU363" s="398"/>
      <c r="MIV363" s="393"/>
      <c r="MIW363" s="398"/>
      <c r="MIX363" s="393"/>
      <c r="MIY363" s="398"/>
      <c r="MIZ363" s="393"/>
      <c r="MJA363" s="398"/>
      <c r="MJB363" s="393"/>
      <c r="MJC363" s="398"/>
      <c r="MJD363" s="393"/>
      <c r="MJE363" s="398"/>
      <c r="MJF363" s="393"/>
      <c r="MJG363" s="398"/>
      <c r="MJH363" s="393"/>
      <c r="MJI363" s="398"/>
      <c r="MJJ363" s="393"/>
      <c r="MJK363" s="398"/>
      <c r="MJL363" s="393"/>
      <c r="MJM363" s="398"/>
      <c r="MJN363" s="393"/>
      <c r="MJO363" s="398"/>
      <c r="MJP363" s="393"/>
      <c r="MJQ363" s="398"/>
      <c r="MJR363" s="393"/>
      <c r="MJS363" s="398"/>
      <c r="MJT363" s="393"/>
      <c r="MJU363" s="398"/>
      <c r="MJV363" s="393"/>
      <c r="MJW363" s="398"/>
      <c r="MJX363" s="393"/>
      <c r="MJY363" s="398"/>
      <c r="MJZ363" s="393"/>
      <c r="MKA363" s="398"/>
      <c r="MKB363" s="393"/>
      <c r="MKC363" s="398"/>
      <c r="MKD363" s="393"/>
      <c r="MKE363" s="398"/>
      <c r="MKF363" s="393"/>
      <c r="MKG363" s="398"/>
      <c r="MKH363" s="393"/>
      <c r="MKI363" s="398"/>
      <c r="MKJ363" s="393"/>
      <c r="MKK363" s="398"/>
      <c r="MKL363" s="393"/>
      <c r="MKM363" s="398"/>
      <c r="MKN363" s="393"/>
      <c r="MKO363" s="398"/>
      <c r="MKP363" s="393"/>
      <c r="MKQ363" s="398"/>
      <c r="MKR363" s="393"/>
      <c r="MKS363" s="398"/>
      <c r="MKT363" s="393"/>
      <c r="MKU363" s="398"/>
      <c r="MKV363" s="393"/>
      <c r="MKW363" s="398"/>
      <c r="MKX363" s="393"/>
      <c r="MKY363" s="398"/>
      <c r="MKZ363" s="393"/>
      <c r="MLA363" s="398"/>
      <c r="MLB363" s="393"/>
      <c r="MLC363" s="398"/>
      <c r="MLD363" s="393"/>
      <c r="MLE363" s="398"/>
      <c r="MLF363" s="393"/>
      <c r="MLG363" s="398"/>
      <c r="MLH363" s="393"/>
      <c r="MLI363" s="398"/>
      <c r="MLJ363" s="393"/>
      <c r="MLK363" s="398"/>
      <c r="MLL363" s="393"/>
      <c r="MLM363" s="398"/>
      <c r="MLN363" s="393"/>
      <c r="MLO363" s="398"/>
      <c r="MLP363" s="393"/>
      <c r="MLQ363" s="398"/>
      <c r="MLR363" s="393"/>
      <c r="MLS363" s="398"/>
      <c r="MLT363" s="393"/>
      <c r="MLU363" s="398"/>
      <c r="MLV363" s="393"/>
      <c r="MLW363" s="398"/>
      <c r="MLX363" s="393"/>
      <c r="MLY363" s="398"/>
      <c r="MLZ363" s="393"/>
      <c r="MMA363" s="398"/>
      <c r="MMB363" s="393"/>
      <c r="MMC363" s="398"/>
      <c r="MMD363" s="393"/>
      <c r="MME363" s="398"/>
      <c r="MMF363" s="393"/>
      <c r="MMG363" s="398"/>
      <c r="MMH363" s="393"/>
      <c r="MMI363" s="398"/>
      <c r="MMJ363" s="393"/>
      <c r="MMK363" s="398"/>
      <c r="MML363" s="393"/>
      <c r="MMM363" s="398"/>
      <c r="MMN363" s="393"/>
      <c r="MMO363" s="398"/>
      <c r="MMP363" s="393"/>
      <c r="MMQ363" s="398"/>
      <c r="MMR363" s="393"/>
      <c r="MMS363" s="398"/>
      <c r="MMT363" s="393"/>
      <c r="MMU363" s="398"/>
      <c r="MMV363" s="393"/>
      <c r="MMW363" s="398"/>
      <c r="MMX363" s="393"/>
      <c r="MMY363" s="398"/>
      <c r="MMZ363" s="393"/>
      <c r="MNA363" s="398"/>
      <c r="MNB363" s="393"/>
      <c r="MNC363" s="398"/>
      <c r="MND363" s="393"/>
      <c r="MNE363" s="398"/>
      <c r="MNF363" s="393"/>
      <c r="MNG363" s="398"/>
      <c r="MNH363" s="393"/>
      <c r="MNI363" s="398"/>
      <c r="MNJ363" s="393"/>
      <c r="MNK363" s="398"/>
      <c r="MNL363" s="393"/>
      <c r="MNM363" s="398"/>
      <c r="MNN363" s="393"/>
      <c r="MNO363" s="398"/>
      <c r="MNP363" s="393"/>
      <c r="MNQ363" s="398"/>
      <c r="MNR363" s="393"/>
      <c r="MNS363" s="398"/>
      <c r="MNT363" s="393"/>
      <c r="MNU363" s="398"/>
      <c r="MNV363" s="393"/>
      <c r="MNW363" s="398"/>
      <c r="MNX363" s="393"/>
      <c r="MNY363" s="398"/>
      <c r="MNZ363" s="393"/>
      <c r="MOA363" s="398"/>
      <c r="MOB363" s="393"/>
      <c r="MOC363" s="398"/>
      <c r="MOD363" s="393"/>
      <c r="MOE363" s="398"/>
      <c r="MOF363" s="393"/>
      <c r="MOG363" s="398"/>
      <c r="MOH363" s="393"/>
      <c r="MOI363" s="398"/>
      <c r="MOJ363" s="393"/>
      <c r="MOK363" s="398"/>
      <c r="MOL363" s="393"/>
      <c r="MOM363" s="398"/>
      <c r="MON363" s="393"/>
      <c r="MOO363" s="398"/>
      <c r="MOP363" s="393"/>
      <c r="MOQ363" s="398"/>
      <c r="MOR363" s="393"/>
      <c r="MOS363" s="398"/>
      <c r="MOT363" s="393"/>
      <c r="MOU363" s="398"/>
      <c r="MOV363" s="393"/>
      <c r="MOW363" s="398"/>
      <c r="MOX363" s="393"/>
      <c r="MOY363" s="398"/>
      <c r="MOZ363" s="393"/>
      <c r="MPA363" s="398"/>
      <c r="MPB363" s="393"/>
      <c r="MPC363" s="398"/>
      <c r="MPD363" s="393"/>
      <c r="MPE363" s="398"/>
      <c r="MPF363" s="393"/>
      <c r="MPG363" s="398"/>
      <c r="MPH363" s="393"/>
      <c r="MPI363" s="398"/>
      <c r="MPJ363" s="393"/>
      <c r="MPK363" s="398"/>
      <c r="MPL363" s="393"/>
      <c r="MPM363" s="398"/>
      <c r="MPN363" s="393"/>
      <c r="MPO363" s="398"/>
      <c r="MPP363" s="393"/>
      <c r="MPQ363" s="398"/>
      <c r="MPR363" s="393"/>
      <c r="MPS363" s="398"/>
      <c r="MPT363" s="393"/>
      <c r="MPU363" s="398"/>
      <c r="MPV363" s="393"/>
      <c r="MPW363" s="398"/>
      <c r="MPX363" s="393"/>
      <c r="MPY363" s="398"/>
      <c r="MPZ363" s="393"/>
      <c r="MQA363" s="398"/>
      <c r="MQB363" s="393"/>
      <c r="MQC363" s="398"/>
      <c r="MQD363" s="393"/>
      <c r="MQE363" s="398"/>
      <c r="MQF363" s="393"/>
      <c r="MQG363" s="398"/>
      <c r="MQH363" s="393"/>
      <c r="MQI363" s="398"/>
      <c r="MQJ363" s="393"/>
      <c r="MQK363" s="398"/>
      <c r="MQL363" s="393"/>
      <c r="MQM363" s="398"/>
      <c r="MQN363" s="393"/>
      <c r="MQO363" s="398"/>
      <c r="MQP363" s="393"/>
      <c r="MQQ363" s="398"/>
      <c r="MQR363" s="393"/>
      <c r="MQS363" s="398"/>
      <c r="MQT363" s="393"/>
      <c r="MQU363" s="398"/>
      <c r="MQV363" s="393"/>
      <c r="MQW363" s="398"/>
      <c r="MQX363" s="393"/>
      <c r="MQY363" s="398"/>
      <c r="MQZ363" s="393"/>
      <c r="MRA363" s="398"/>
      <c r="MRB363" s="393"/>
      <c r="MRC363" s="398"/>
      <c r="MRD363" s="393"/>
      <c r="MRE363" s="398"/>
      <c r="MRF363" s="393"/>
      <c r="MRG363" s="398"/>
      <c r="MRH363" s="393"/>
      <c r="MRI363" s="398"/>
      <c r="MRJ363" s="393"/>
      <c r="MRK363" s="398"/>
      <c r="MRL363" s="393"/>
      <c r="MRM363" s="398"/>
      <c r="MRN363" s="393"/>
      <c r="MRO363" s="398"/>
      <c r="MRP363" s="393"/>
      <c r="MRQ363" s="398"/>
      <c r="MRR363" s="393"/>
      <c r="MRS363" s="398"/>
      <c r="MRT363" s="393"/>
      <c r="MRU363" s="398"/>
      <c r="MRV363" s="393"/>
      <c r="MRW363" s="398"/>
      <c r="MRX363" s="393"/>
      <c r="MRY363" s="398"/>
      <c r="MRZ363" s="393"/>
      <c r="MSA363" s="398"/>
      <c r="MSB363" s="393"/>
      <c r="MSC363" s="398"/>
      <c r="MSD363" s="393"/>
      <c r="MSE363" s="398"/>
      <c r="MSF363" s="393"/>
      <c r="MSG363" s="398"/>
      <c r="MSH363" s="393"/>
      <c r="MSI363" s="398"/>
      <c r="MSJ363" s="393"/>
      <c r="MSK363" s="398"/>
      <c r="MSL363" s="393"/>
      <c r="MSM363" s="398"/>
      <c r="MSN363" s="393"/>
      <c r="MSO363" s="398"/>
      <c r="MSP363" s="393"/>
      <c r="MSQ363" s="398"/>
      <c r="MSR363" s="393"/>
      <c r="MSS363" s="398"/>
      <c r="MST363" s="393"/>
      <c r="MSU363" s="398"/>
      <c r="MSV363" s="393"/>
      <c r="MSW363" s="398"/>
      <c r="MSX363" s="393"/>
      <c r="MSY363" s="398"/>
      <c r="MSZ363" s="393"/>
      <c r="MTA363" s="398"/>
      <c r="MTB363" s="393"/>
      <c r="MTC363" s="398"/>
      <c r="MTD363" s="393"/>
      <c r="MTE363" s="398"/>
      <c r="MTF363" s="393"/>
      <c r="MTG363" s="398"/>
      <c r="MTH363" s="393"/>
      <c r="MTI363" s="398"/>
      <c r="MTJ363" s="393"/>
      <c r="MTK363" s="398"/>
      <c r="MTL363" s="393"/>
      <c r="MTM363" s="398"/>
      <c r="MTN363" s="393"/>
      <c r="MTO363" s="398"/>
      <c r="MTP363" s="393"/>
      <c r="MTQ363" s="398"/>
      <c r="MTR363" s="393"/>
      <c r="MTS363" s="398"/>
      <c r="MTT363" s="393"/>
      <c r="MTU363" s="398"/>
      <c r="MTV363" s="393"/>
      <c r="MTW363" s="398"/>
      <c r="MTX363" s="393"/>
      <c r="MTY363" s="398"/>
      <c r="MTZ363" s="393"/>
      <c r="MUA363" s="398"/>
      <c r="MUB363" s="393"/>
      <c r="MUC363" s="398"/>
      <c r="MUD363" s="393"/>
      <c r="MUE363" s="398"/>
      <c r="MUF363" s="393"/>
      <c r="MUG363" s="398"/>
      <c r="MUH363" s="393"/>
      <c r="MUI363" s="398"/>
      <c r="MUJ363" s="393"/>
      <c r="MUK363" s="398"/>
      <c r="MUL363" s="393"/>
      <c r="MUM363" s="398"/>
      <c r="MUN363" s="393"/>
      <c r="MUO363" s="398"/>
      <c r="MUP363" s="393"/>
      <c r="MUQ363" s="398"/>
      <c r="MUR363" s="393"/>
      <c r="MUS363" s="398"/>
      <c r="MUT363" s="393"/>
      <c r="MUU363" s="398"/>
      <c r="MUV363" s="393"/>
      <c r="MUW363" s="398"/>
      <c r="MUX363" s="393"/>
      <c r="MUY363" s="398"/>
      <c r="MUZ363" s="393"/>
      <c r="MVA363" s="398"/>
      <c r="MVB363" s="393"/>
      <c r="MVC363" s="398"/>
      <c r="MVD363" s="393"/>
      <c r="MVE363" s="398"/>
      <c r="MVF363" s="393"/>
      <c r="MVG363" s="398"/>
      <c r="MVH363" s="393"/>
      <c r="MVI363" s="398"/>
      <c r="MVJ363" s="393"/>
      <c r="MVK363" s="398"/>
      <c r="MVL363" s="393"/>
      <c r="MVM363" s="398"/>
      <c r="MVN363" s="393"/>
      <c r="MVO363" s="398"/>
      <c r="MVP363" s="393"/>
      <c r="MVQ363" s="398"/>
      <c r="MVR363" s="393"/>
      <c r="MVS363" s="398"/>
      <c r="MVT363" s="393"/>
      <c r="MVU363" s="398"/>
      <c r="MVV363" s="393"/>
      <c r="MVW363" s="398"/>
      <c r="MVX363" s="393"/>
      <c r="MVY363" s="398"/>
      <c r="MVZ363" s="393"/>
      <c r="MWA363" s="398"/>
      <c r="MWB363" s="393"/>
      <c r="MWC363" s="398"/>
      <c r="MWD363" s="393"/>
      <c r="MWE363" s="398"/>
      <c r="MWF363" s="393"/>
      <c r="MWG363" s="398"/>
      <c r="MWH363" s="393"/>
      <c r="MWI363" s="398"/>
      <c r="MWJ363" s="393"/>
      <c r="MWK363" s="398"/>
      <c r="MWL363" s="393"/>
      <c r="MWM363" s="398"/>
      <c r="MWN363" s="393"/>
      <c r="MWO363" s="398"/>
      <c r="MWP363" s="393"/>
      <c r="MWQ363" s="398"/>
      <c r="MWR363" s="393"/>
      <c r="MWS363" s="398"/>
      <c r="MWT363" s="393"/>
      <c r="MWU363" s="398"/>
      <c r="MWV363" s="393"/>
      <c r="MWW363" s="398"/>
      <c r="MWX363" s="393"/>
      <c r="MWY363" s="398"/>
      <c r="MWZ363" s="393"/>
      <c r="MXA363" s="398"/>
      <c r="MXB363" s="393"/>
      <c r="MXC363" s="398"/>
      <c r="MXD363" s="393"/>
      <c r="MXE363" s="398"/>
      <c r="MXF363" s="393"/>
      <c r="MXG363" s="398"/>
      <c r="MXH363" s="393"/>
      <c r="MXI363" s="398"/>
      <c r="MXJ363" s="393"/>
      <c r="MXK363" s="398"/>
      <c r="MXL363" s="393"/>
      <c r="MXM363" s="398"/>
      <c r="MXN363" s="393"/>
      <c r="MXO363" s="398"/>
      <c r="MXP363" s="393"/>
      <c r="MXQ363" s="398"/>
      <c r="MXR363" s="393"/>
      <c r="MXS363" s="398"/>
      <c r="MXT363" s="393"/>
      <c r="MXU363" s="398"/>
      <c r="MXV363" s="393"/>
      <c r="MXW363" s="398"/>
      <c r="MXX363" s="393"/>
      <c r="MXY363" s="398"/>
      <c r="MXZ363" s="393"/>
      <c r="MYA363" s="398"/>
      <c r="MYB363" s="393"/>
      <c r="MYC363" s="398"/>
      <c r="MYD363" s="393"/>
      <c r="MYE363" s="398"/>
      <c r="MYF363" s="393"/>
      <c r="MYG363" s="398"/>
      <c r="MYH363" s="393"/>
      <c r="MYI363" s="398"/>
      <c r="MYJ363" s="393"/>
      <c r="MYK363" s="398"/>
      <c r="MYL363" s="393"/>
      <c r="MYM363" s="398"/>
      <c r="MYN363" s="393"/>
      <c r="MYO363" s="398"/>
      <c r="MYP363" s="393"/>
      <c r="MYQ363" s="398"/>
      <c r="MYR363" s="393"/>
      <c r="MYS363" s="398"/>
      <c r="MYT363" s="393"/>
      <c r="MYU363" s="398"/>
      <c r="MYV363" s="393"/>
      <c r="MYW363" s="398"/>
      <c r="MYX363" s="393"/>
      <c r="MYY363" s="398"/>
      <c r="MYZ363" s="393"/>
      <c r="MZA363" s="398"/>
      <c r="MZB363" s="393"/>
      <c r="MZC363" s="398"/>
      <c r="MZD363" s="393"/>
      <c r="MZE363" s="398"/>
      <c r="MZF363" s="393"/>
      <c r="MZG363" s="398"/>
      <c r="MZH363" s="393"/>
      <c r="MZI363" s="398"/>
      <c r="MZJ363" s="393"/>
      <c r="MZK363" s="398"/>
      <c r="MZL363" s="393"/>
      <c r="MZM363" s="398"/>
      <c r="MZN363" s="393"/>
      <c r="MZO363" s="398"/>
      <c r="MZP363" s="393"/>
      <c r="MZQ363" s="398"/>
      <c r="MZR363" s="393"/>
      <c r="MZS363" s="398"/>
      <c r="MZT363" s="393"/>
      <c r="MZU363" s="398"/>
      <c r="MZV363" s="393"/>
      <c r="MZW363" s="398"/>
      <c r="MZX363" s="393"/>
      <c r="MZY363" s="398"/>
      <c r="MZZ363" s="393"/>
      <c r="NAA363" s="398"/>
      <c r="NAB363" s="393"/>
      <c r="NAC363" s="398"/>
      <c r="NAD363" s="393"/>
      <c r="NAE363" s="398"/>
      <c r="NAF363" s="393"/>
      <c r="NAG363" s="398"/>
      <c r="NAH363" s="393"/>
      <c r="NAI363" s="398"/>
      <c r="NAJ363" s="393"/>
      <c r="NAK363" s="398"/>
      <c r="NAL363" s="393"/>
      <c r="NAM363" s="398"/>
      <c r="NAN363" s="393"/>
      <c r="NAO363" s="398"/>
      <c r="NAP363" s="393"/>
      <c r="NAQ363" s="398"/>
      <c r="NAR363" s="393"/>
      <c r="NAS363" s="398"/>
      <c r="NAT363" s="393"/>
      <c r="NAU363" s="398"/>
      <c r="NAV363" s="393"/>
      <c r="NAW363" s="398"/>
      <c r="NAX363" s="393"/>
      <c r="NAY363" s="398"/>
      <c r="NAZ363" s="393"/>
      <c r="NBA363" s="398"/>
      <c r="NBB363" s="393"/>
      <c r="NBC363" s="398"/>
      <c r="NBD363" s="393"/>
      <c r="NBE363" s="398"/>
      <c r="NBF363" s="393"/>
      <c r="NBG363" s="398"/>
      <c r="NBH363" s="393"/>
      <c r="NBI363" s="398"/>
      <c r="NBJ363" s="393"/>
      <c r="NBK363" s="398"/>
      <c r="NBL363" s="393"/>
      <c r="NBM363" s="398"/>
      <c r="NBN363" s="393"/>
      <c r="NBO363" s="398"/>
      <c r="NBP363" s="393"/>
      <c r="NBQ363" s="398"/>
      <c r="NBR363" s="393"/>
      <c r="NBS363" s="398"/>
      <c r="NBT363" s="393"/>
      <c r="NBU363" s="398"/>
      <c r="NBV363" s="393"/>
      <c r="NBW363" s="398"/>
      <c r="NBX363" s="393"/>
      <c r="NBY363" s="398"/>
      <c r="NBZ363" s="393"/>
      <c r="NCA363" s="398"/>
      <c r="NCB363" s="393"/>
      <c r="NCC363" s="398"/>
      <c r="NCD363" s="393"/>
      <c r="NCE363" s="398"/>
      <c r="NCF363" s="393"/>
      <c r="NCG363" s="398"/>
      <c r="NCH363" s="393"/>
      <c r="NCI363" s="398"/>
      <c r="NCJ363" s="393"/>
      <c r="NCK363" s="398"/>
      <c r="NCL363" s="393"/>
      <c r="NCM363" s="398"/>
      <c r="NCN363" s="393"/>
      <c r="NCO363" s="398"/>
      <c r="NCP363" s="393"/>
      <c r="NCQ363" s="398"/>
      <c r="NCR363" s="393"/>
      <c r="NCS363" s="398"/>
      <c r="NCT363" s="393"/>
      <c r="NCU363" s="398"/>
      <c r="NCV363" s="393"/>
      <c r="NCW363" s="398"/>
      <c r="NCX363" s="393"/>
      <c r="NCY363" s="398"/>
      <c r="NCZ363" s="393"/>
      <c r="NDA363" s="398"/>
      <c r="NDB363" s="393"/>
      <c r="NDC363" s="398"/>
      <c r="NDD363" s="393"/>
      <c r="NDE363" s="398"/>
      <c r="NDF363" s="393"/>
      <c r="NDG363" s="398"/>
      <c r="NDH363" s="393"/>
      <c r="NDI363" s="398"/>
      <c r="NDJ363" s="393"/>
      <c r="NDK363" s="398"/>
      <c r="NDL363" s="393"/>
      <c r="NDM363" s="398"/>
      <c r="NDN363" s="393"/>
      <c r="NDO363" s="398"/>
      <c r="NDP363" s="393"/>
      <c r="NDQ363" s="398"/>
      <c r="NDR363" s="393"/>
      <c r="NDS363" s="398"/>
      <c r="NDT363" s="393"/>
      <c r="NDU363" s="398"/>
      <c r="NDV363" s="393"/>
      <c r="NDW363" s="398"/>
      <c r="NDX363" s="393"/>
      <c r="NDY363" s="398"/>
      <c r="NDZ363" s="393"/>
      <c r="NEA363" s="398"/>
      <c r="NEB363" s="393"/>
      <c r="NEC363" s="398"/>
      <c r="NED363" s="393"/>
      <c r="NEE363" s="398"/>
      <c r="NEF363" s="393"/>
      <c r="NEG363" s="398"/>
      <c r="NEH363" s="393"/>
      <c r="NEI363" s="398"/>
      <c r="NEJ363" s="393"/>
      <c r="NEK363" s="398"/>
      <c r="NEL363" s="393"/>
      <c r="NEM363" s="398"/>
      <c r="NEN363" s="393"/>
      <c r="NEO363" s="398"/>
      <c r="NEP363" s="393"/>
      <c r="NEQ363" s="398"/>
      <c r="NER363" s="393"/>
      <c r="NES363" s="398"/>
      <c r="NET363" s="393"/>
      <c r="NEU363" s="398"/>
      <c r="NEV363" s="393"/>
      <c r="NEW363" s="398"/>
      <c r="NEX363" s="393"/>
      <c r="NEY363" s="398"/>
      <c r="NEZ363" s="393"/>
      <c r="NFA363" s="398"/>
      <c r="NFB363" s="393"/>
      <c r="NFC363" s="398"/>
      <c r="NFD363" s="393"/>
      <c r="NFE363" s="398"/>
      <c r="NFF363" s="393"/>
      <c r="NFG363" s="398"/>
      <c r="NFH363" s="393"/>
      <c r="NFI363" s="398"/>
      <c r="NFJ363" s="393"/>
      <c r="NFK363" s="398"/>
      <c r="NFL363" s="393"/>
      <c r="NFM363" s="398"/>
      <c r="NFN363" s="393"/>
      <c r="NFO363" s="398"/>
      <c r="NFP363" s="393"/>
      <c r="NFQ363" s="398"/>
      <c r="NFR363" s="393"/>
      <c r="NFS363" s="398"/>
      <c r="NFT363" s="393"/>
      <c r="NFU363" s="398"/>
      <c r="NFV363" s="393"/>
      <c r="NFW363" s="398"/>
      <c r="NFX363" s="393"/>
      <c r="NFY363" s="398"/>
      <c r="NFZ363" s="393"/>
      <c r="NGA363" s="398"/>
      <c r="NGB363" s="393"/>
      <c r="NGC363" s="398"/>
      <c r="NGD363" s="393"/>
      <c r="NGE363" s="398"/>
      <c r="NGF363" s="393"/>
      <c r="NGG363" s="398"/>
      <c r="NGH363" s="393"/>
      <c r="NGI363" s="398"/>
      <c r="NGJ363" s="393"/>
      <c r="NGK363" s="398"/>
      <c r="NGL363" s="393"/>
      <c r="NGM363" s="398"/>
      <c r="NGN363" s="393"/>
      <c r="NGO363" s="398"/>
      <c r="NGP363" s="393"/>
      <c r="NGQ363" s="398"/>
      <c r="NGR363" s="393"/>
      <c r="NGS363" s="398"/>
      <c r="NGT363" s="393"/>
      <c r="NGU363" s="398"/>
      <c r="NGV363" s="393"/>
      <c r="NGW363" s="398"/>
      <c r="NGX363" s="393"/>
      <c r="NGY363" s="398"/>
      <c r="NGZ363" s="393"/>
      <c r="NHA363" s="398"/>
      <c r="NHB363" s="393"/>
      <c r="NHC363" s="398"/>
      <c r="NHD363" s="393"/>
      <c r="NHE363" s="398"/>
      <c r="NHF363" s="393"/>
      <c r="NHG363" s="398"/>
      <c r="NHH363" s="393"/>
      <c r="NHI363" s="398"/>
      <c r="NHJ363" s="393"/>
      <c r="NHK363" s="398"/>
      <c r="NHL363" s="393"/>
      <c r="NHM363" s="398"/>
      <c r="NHN363" s="393"/>
      <c r="NHO363" s="398"/>
      <c r="NHP363" s="393"/>
      <c r="NHQ363" s="398"/>
      <c r="NHR363" s="393"/>
      <c r="NHS363" s="398"/>
      <c r="NHT363" s="393"/>
      <c r="NHU363" s="398"/>
      <c r="NHV363" s="393"/>
      <c r="NHW363" s="398"/>
      <c r="NHX363" s="393"/>
      <c r="NHY363" s="398"/>
      <c r="NHZ363" s="393"/>
      <c r="NIA363" s="398"/>
      <c r="NIB363" s="393"/>
      <c r="NIC363" s="398"/>
      <c r="NID363" s="393"/>
      <c r="NIE363" s="398"/>
      <c r="NIF363" s="393"/>
      <c r="NIG363" s="398"/>
      <c r="NIH363" s="393"/>
      <c r="NII363" s="398"/>
      <c r="NIJ363" s="393"/>
      <c r="NIK363" s="398"/>
      <c r="NIL363" s="393"/>
      <c r="NIM363" s="398"/>
      <c r="NIN363" s="393"/>
      <c r="NIO363" s="398"/>
      <c r="NIP363" s="393"/>
      <c r="NIQ363" s="398"/>
      <c r="NIR363" s="393"/>
      <c r="NIS363" s="398"/>
      <c r="NIT363" s="393"/>
      <c r="NIU363" s="398"/>
      <c r="NIV363" s="393"/>
      <c r="NIW363" s="398"/>
      <c r="NIX363" s="393"/>
      <c r="NIY363" s="398"/>
      <c r="NIZ363" s="393"/>
      <c r="NJA363" s="398"/>
      <c r="NJB363" s="393"/>
      <c r="NJC363" s="398"/>
      <c r="NJD363" s="393"/>
      <c r="NJE363" s="398"/>
      <c r="NJF363" s="393"/>
      <c r="NJG363" s="398"/>
      <c r="NJH363" s="393"/>
      <c r="NJI363" s="398"/>
      <c r="NJJ363" s="393"/>
      <c r="NJK363" s="398"/>
      <c r="NJL363" s="393"/>
      <c r="NJM363" s="398"/>
      <c r="NJN363" s="393"/>
      <c r="NJO363" s="398"/>
      <c r="NJP363" s="393"/>
      <c r="NJQ363" s="398"/>
      <c r="NJR363" s="393"/>
      <c r="NJS363" s="398"/>
      <c r="NJT363" s="393"/>
      <c r="NJU363" s="398"/>
      <c r="NJV363" s="393"/>
      <c r="NJW363" s="398"/>
      <c r="NJX363" s="393"/>
      <c r="NJY363" s="398"/>
      <c r="NJZ363" s="393"/>
      <c r="NKA363" s="398"/>
      <c r="NKB363" s="393"/>
      <c r="NKC363" s="398"/>
      <c r="NKD363" s="393"/>
      <c r="NKE363" s="398"/>
      <c r="NKF363" s="393"/>
      <c r="NKG363" s="398"/>
      <c r="NKH363" s="393"/>
      <c r="NKI363" s="398"/>
      <c r="NKJ363" s="393"/>
      <c r="NKK363" s="398"/>
      <c r="NKL363" s="393"/>
      <c r="NKM363" s="398"/>
      <c r="NKN363" s="393"/>
      <c r="NKO363" s="398"/>
      <c r="NKP363" s="393"/>
      <c r="NKQ363" s="398"/>
      <c r="NKR363" s="393"/>
      <c r="NKS363" s="398"/>
      <c r="NKT363" s="393"/>
      <c r="NKU363" s="398"/>
      <c r="NKV363" s="393"/>
      <c r="NKW363" s="398"/>
      <c r="NKX363" s="393"/>
      <c r="NKY363" s="398"/>
      <c r="NKZ363" s="393"/>
      <c r="NLA363" s="398"/>
      <c r="NLB363" s="393"/>
      <c r="NLC363" s="398"/>
      <c r="NLD363" s="393"/>
      <c r="NLE363" s="398"/>
      <c r="NLF363" s="393"/>
      <c r="NLG363" s="398"/>
      <c r="NLH363" s="393"/>
      <c r="NLI363" s="398"/>
      <c r="NLJ363" s="393"/>
      <c r="NLK363" s="398"/>
      <c r="NLL363" s="393"/>
      <c r="NLM363" s="398"/>
      <c r="NLN363" s="393"/>
      <c r="NLO363" s="398"/>
      <c r="NLP363" s="393"/>
      <c r="NLQ363" s="398"/>
      <c r="NLR363" s="393"/>
      <c r="NLS363" s="398"/>
      <c r="NLT363" s="393"/>
      <c r="NLU363" s="398"/>
      <c r="NLV363" s="393"/>
      <c r="NLW363" s="398"/>
      <c r="NLX363" s="393"/>
      <c r="NLY363" s="398"/>
      <c r="NLZ363" s="393"/>
      <c r="NMA363" s="398"/>
      <c r="NMB363" s="393"/>
      <c r="NMC363" s="398"/>
      <c r="NMD363" s="393"/>
      <c r="NME363" s="398"/>
      <c r="NMF363" s="393"/>
      <c r="NMG363" s="398"/>
      <c r="NMH363" s="393"/>
      <c r="NMI363" s="398"/>
      <c r="NMJ363" s="393"/>
      <c r="NMK363" s="398"/>
      <c r="NML363" s="393"/>
      <c r="NMM363" s="398"/>
      <c r="NMN363" s="393"/>
      <c r="NMO363" s="398"/>
      <c r="NMP363" s="393"/>
      <c r="NMQ363" s="398"/>
      <c r="NMR363" s="393"/>
      <c r="NMS363" s="398"/>
      <c r="NMT363" s="393"/>
      <c r="NMU363" s="398"/>
      <c r="NMV363" s="393"/>
      <c r="NMW363" s="398"/>
      <c r="NMX363" s="393"/>
      <c r="NMY363" s="398"/>
      <c r="NMZ363" s="393"/>
      <c r="NNA363" s="398"/>
      <c r="NNB363" s="393"/>
      <c r="NNC363" s="398"/>
      <c r="NND363" s="393"/>
      <c r="NNE363" s="398"/>
      <c r="NNF363" s="393"/>
      <c r="NNG363" s="398"/>
      <c r="NNH363" s="393"/>
      <c r="NNI363" s="398"/>
      <c r="NNJ363" s="393"/>
      <c r="NNK363" s="398"/>
      <c r="NNL363" s="393"/>
      <c r="NNM363" s="398"/>
      <c r="NNN363" s="393"/>
      <c r="NNO363" s="398"/>
      <c r="NNP363" s="393"/>
      <c r="NNQ363" s="398"/>
      <c r="NNR363" s="393"/>
      <c r="NNS363" s="398"/>
      <c r="NNT363" s="393"/>
      <c r="NNU363" s="398"/>
      <c r="NNV363" s="393"/>
      <c r="NNW363" s="398"/>
      <c r="NNX363" s="393"/>
      <c r="NNY363" s="398"/>
      <c r="NNZ363" s="393"/>
      <c r="NOA363" s="398"/>
      <c r="NOB363" s="393"/>
      <c r="NOC363" s="398"/>
      <c r="NOD363" s="393"/>
      <c r="NOE363" s="398"/>
      <c r="NOF363" s="393"/>
      <c r="NOG363" s="398"/>
      <c r="NOH363" s="393"/>
      <c r="NOI363" s="398"/>
      <c r="NOJ363" s="393"/>
      <c r="NOK363" s="398"/>
      <c r="NOL363" s="393"/>
      <c r="NOM363" s="398"/>
      <c r="NON363" s="393"/>
      <c r="NOO363" s="398"/>
      <c r="NOP363" s="393"/>
      <c r="NOQ363" s="398"/>
      <c r="NOR363" s="393"/>
      <c r="NOS363" s="398"/>
      <c r="NOT363" s="393"/>
      <c r="NOU363" s="398"/>
      <c r="NOV363" s="393"/>
      <c r="NOW363" s="398"/>
      <c r="NOX363" s="393"/>
      <c r="NOY363" s="398"/>
      <c r="NOZ363" s="393"/>
      <c r="NPA363" s="398"/>
      <c r="NPB363" s="393"/>
      <c r="NPC363" s="398"/>
      <c r="NPD363" s="393"/>
      <c r="NPE363" s="398"/>
      <c r="NPF363" s="393"/>
      <c r="NPG363" s="398"/>
      <c r="NPH363" s="393"/>
      <c r="NPI363" s="398"/>
      <c r="NPJ363" s="393"/>
      <c r="NPK363" s="398"/>
      <c r="NPL363" s="393"/>
      <c r="NPM363" s="398"/>
      <c r="NPN363" s="393"/>
      <c r="NPO363" s="398"/>
      <c r="NPP363" s="393"/>
      <c r="NPQ363" s="398"/>
      <c r="NPR363" s="393"/>
      <c r="NPS363" s="398"/>
      <c r="NPT363" s="393"/>
      <c r="NPU363" s="398"/>
      <c r="NPV363" s="393"/>
      <c r="NPW363" s="398"/>
      <c r="NPX363" s="393"/>
      <c r="NPY363" s="398"/>
      <c r="NPZ363" s="393"/>
      <c r="NQA363" s="398"/>
      <c r="NQB363" s="393"/>
      <c r="NQC363" s="398"/>
      <c r="NQD363" s="393"/>
      <c r="NQE363" s="398"/>
      <c r="NQF363" s="393"/>
      <c r="NQG363" s="398"/>
      <c r="NQH363" s="393"/>
      <c r="NQI363" s="398"/>
      <c r="NQJ363" s="393"/>
      <c r="NQK363" s="398"/>
      <c r="NQL363" s="393"/>
      <c r="NQM363" s="398"/>
      <c r="NQN363" s="393"/>
      <c r="NQO363" s="398"/>
      <c r="NQP363" s="393"/>
      <c r="NQQ363" s="398"/>
      <c r="NQR363" s="393"/>
      <c r="NQS363" s="398"/>
      <c r="NQT363" s="393"/>
      <c r="NQU363" s="398"/>
      <c r="NQV363" s="393"/>
      <c r="NQW363" s="398"/>
      <c r="NQX363" s="393"/>
      <c r="NQY363" s="398"/>
      <c r="NQZ363" s="393"/>
      <c r="NRA363" s="398"/>
      <c r="NRB363" s="393"/>
      <c r="NRC363" s="398"/>
      <c r="NRD363" s="393"/>
      <c r="NRE363" s="398"/>
      <c r="NRF363" s="393"/>
      <c r="NRG363" s="398"/>
      <c r="NRH363" s="393"/>
      <c r="NRI363" s="398"/>
      <c r="NRJ363" s="393"/>
      <c r="NRK363" s="398"/>
      <c r="NRL363" s="393"/>
      <c r="NRM363" s="398"/>
      <c r="NRN363" s="393"/>
      <c r="NRO363" s="398"/>
      <c r="NRP363" s="393"/>
      <c r="NRQ363" s="398"/>
      <c r="NRR363" s="393"/>
      <c r="NRS363" s="398"/>
      <c r="NRT363" s="393"/>
      <c r="NRU363" s="398"/>
      <c r="NRV363" s="393"/>
      <c r="NRW363" s="398"/>
      <c r="NRX363" s="393"/>
      <c r="NRY363" s="398"/>
      <c r="NRZ363" s="393"/>
      <c r="NSA363" s="398"/>
      <c r="NSB363" s="393"/>
      <c r="NSC363" s="398"/>
      <c r="NSD363" s="393"/>
      <c r="NSE363" s="398"/>
      <c r="NSF363" s="393"/>
      <c r="NSG363" s="398"/>
      <c r="NSH363" s="393"/>
      <c r="NSI363" s="398"/>
      <c r="NSJ363" s="393"/>
      <c r="NSK363" s="398"/>
      <c r="NSL363" s="393"/>
      <c r="NSM363" s="398"/>
      <c r="NSN363" s="393"/>
      <c r="NSO363" s="398"/>
      <c r="NSP363" s="393"/>
      <c r="NSQ363" s="398"/>
      <c r="NSR363" s="393"/>
      <c r="NSS363" s="398"/>
      <c r="NST363" s="393"/>
      <c r="NSU363" s="398"/>
      <c r="NSV363" s="393"/>
      <c r="NSW363" s="398"/>
      <c r="NSX363" s="393"/>
      <c r="NSY363" s="398"/>
      <c r="NSZ363" s="393"/>
      <c r="NTA363" s="398"/>
      <c r="NTB363" s="393"/>
      <c r="NTC363" s="398"/>
      <c r="NTD363" s="393"/>
      <c r="NTE363" s="398"/>
      <c r="NTF363" s="393"/>
      <c r="NTG363" s="398"/>
      <c r="NTH363" s="393"/>
      <c r="NTI363" s="398"/>
      <c r="NTJ363" s="393"/>
      <c r="NTK363" s="398"/>
      <c r="NTL363" s="393"/>
      <c r="NTM363" s="398"/>
      <c r="NTN363" s="393"/>
      <c r="NTO363" s="398"/>
      <c r="NTP363" s="393"/>
      <c r="NTQ363" s="398"/>
      <c r="NTR363" s="393"/>
      <c r="NTS363" s="398"/>
      <c r="NTT363" s="393"/>
      <c r="NTU363" s="398"/>
      <c r="NTV363" s="393"/>
      <c r="NTW363" s="398"/>
      <c r="NTX363" s="393"/>
      <c r="NTY363" s="398"/>
      <c r="NTZ363" s="393"/>
      <c r="NUA363" s="398"/>
      <c r="NUB363" s="393"/>
      <c r="NUC363" s="398"/>
      <c r="NUD363" s="393"/>
      <c r="NUE363" s="398"/>
      <c r="NUF363" s="393"/>
      <c r="NUG363" s="398"/>
      <c r="NUH363" s="393"/>
      <c r="NUI363" s="398"/>
      <c r="NUJ363" s="393"/>
      <c r="NUK363" s="398"/>
      <c r="NUL363" s="393"/>
      <c r="NUM363" s="398"/>
      <c r="NUN363" s="393"/>
      <c r="NUO363" s="398"/>
      <c r="NUP363" s="393"/>
      <c r="NUQ363" s="398"/>
      <c r="NUR363" s="393"/>
      <c r="NUS363" s="398"/>
      <c r="NUT363" s="393"/>
      <c r="NUU363" s="398"/>
      <c r="NUV363" s="393"/>
      <c r="NUW363" s="398"/>
      <c r="NUX363" s="393"/>
      <c r="NUY363" s="398"/>
      <c r="NUZ363" s="393"/>
      <c r="NVA363" s="398"/>
      <c r="NVB363" s="393"/>
      <c r="NVC363" s="398"/>
      <c r="NVD363" s="393"/>
      <c r="NVE363" s="398"/>
      <c r="NVF363" s="393"/>
      <c r="NVG363" s="398"/>
      <c r="NVH363" s="393"/>
      <c r="NVI363" s="398"/>
      <c r="NVJ363" s="393"/>
      <c r="NVK363" s="398"/>
      <c r="NVL363" s="393"/>
      <c r="NVM363" s="398"/>
      <c r="NVN363" s="393"/>
      <c r="NVO363" s="398"/>
      <c r="NVP363" s="393"/>
      <c r="NVQ363" s="398"/>
      <c r="NVR363" s="393"/>
      <c r="NVS363" s="398"/>
      <c r="NVT363" s="393"/>
      <c r="NVU363" s="398"/>
      <c r="NVV363" s="393"/>
      <c r="NVW363" s="398"/>
      <c r="NVX363" s="393"/>
      <c r="NVY363" s="398"/>
      <c r="NVZ363" s="393"/>
      <c r="NWA363" s="398"/>
      <c r="NWB363" s="393"/>
      <c r="NWC363" s="398"/>
      <c r="NWD363" s="393"/>
      <c r="NWE363" s="398"/>
      <c r="NWF363" s="393"/>
      <c r="NWG363" s="398"/>
      <c r="NWH363" s="393"/>
      <c r="NWI363" s="398"/>
      <c r="NWJ363" s="393"/>
      <c r="NWK363" s="398"/>
      <c r="NWL363" s="393"/>
      <c r="NWM363" s="398"/>
      <c r="NWN363" s="393"/>
      <c r="NWO363" s="398"/>
      <c r="NWP363" s="393"/>
      <c r="NWQ363" s="398"/>
      <c r="NWR363" s="393"/>
      <c r="NWS363" s="398"/>
      <c r="NWT363" s="393"/>
      <c r="NWU363" s="398"/>
      <c r="NWV363" s="393"/>
      <c r="NWW363" s="398"/>
      <c r="NWX363" s="393"/>
      <c r="NWY363" s="398"/>
      <c r="NWZ363" s="393"/>
      <c r="NXA363" s="398"/>
      <c r="NXB363" s="393"/>
      <c r="NXC363" s="398"/>
      <c r="NXD363" s="393"/>
      <c r="NXE363" s="398"/>
      <c r="NXF363" s="393"/>
      <c r="NXG363" s="398"/>
      <c r="NXH363" s="393"/>
      <c r="NXI363" s="398"/>
      <c r="NXJ363" s="393"/>
      <c r="NXK363" s="398"/>
      <c r="NXL363" s="393"/>
      <c r="NXM363" s="398"/>
      <c r="NXN363" s="393"/>
      <c r="NXO363" s="398"/>
      <c r="NXP363" s="393"/>
      <c r="NXQ363" s="398"/>
      <c r="NXR363" s="393"/>
      <c r="NXS363" s="398"/>
      <c r="NXT363" s="393"/>
      <c r="NXU363" s="398"/>
      <c r="NXV363" s="393"/>
      <c r="NXW363" s="398"/>
      <c r="NXX363" s="393"/>
      <c r="NXY363" s="398"/>
      <c r="NXZ363" s="393"/>
      <c r="NYA363" s="398"/>
      <c r="NYB363" s="393"/>
      <c r="NYC363" s="398"/>
      <c r="NYD363" s="393"/>
      <c r="NYE363" s="398"/>
      <c r="NYF363" s="393"/>
      <c r="NYG363" s="398"/>
      <c r="NYH363" s="393"/>
      <c r="NYI363" s="398"/>
      <c r="NYJ363" s="393"/>
      <c r="NYK363" s="398"/>
      <c r="NYL363" s="393"/>
      <c r="NYM363" s="398"/>
      <c r="NYN363" s="393"/>
      <c r="NYO363" s="398"/>
      <c r="NYP363" s="393"/>
      <c r="NYQ363" s="398"/>
      <c r="NYR363" s="393"/>
      <c r="NYS363" s="398"/>
      <c r="NYT363" s="393"/>
      <c r="NYU363" s="398"/>
      <c r="NYV363" s="393"/>
      <c r="NYW363" s="398"/>
      <c r="NYX363" s="393"/>
      <c r="NYY363" s="398"/>
      <c r="NYZ363" s="393"/>
      <c r="NZA363" s="398"/>
      <c r="NZB363" s="393"/>
      <c r="NZC363" s="398"/>
      <c r="NZD363" s="393"/>
      <c r="NZE363" s="398"/>
      <c r="NZF363" s="393"/>
      <c r="NZG363" s="398"/>
      <c r="NZH363" s="393"/>
      <c r="NZI363" s="398"/>
      <c r="NZJ363" s="393"/>
      <c r="NZK363" s="398"/>
      <c r="NZL363" s="393"/>
      <c r="NZM363" s="398"/>
      <c r="NZN363" s="393"/>
      <c r="NZO363" s="398"/>
      <c r="NZP363" s="393"/>
      <c r="NZQ363" s="398"/>
      <c r="NZR363" s="393"/>
      <c r="NZS363" s="398"/>
      <c r="NZT363" s="393"/>
      <c r="NZU363" s="398"/>
      <c r="NZV363" s="393"/>
      <c r="NZW363" s="398"/>
      <c r="NZX363" s="393"/>
      <c r="NZY363" s="398"/>
      <c r="NZZ363" s="393"/>
      <c r="OAA363" s="398"/>
      <c r="OAB363" s="393"/>
      <c r="OAC363" s="398"/>
      <c r="OAD363" s="393"/>
      <c r="OAE363" s="398"/>
      <c r="OAF363" s="393"/>
      <c r="OAG363" s="398"/>
      <c r="OAH363" s="393"/>
      <c r="OAI363" s="398"/>
      <c r="OAJ363" s="393"/>
      <c r="OAK363" s="398"/>
      <c r="OAL363" s="393"/>
      <c r="OAM363" s="398"/>
      <c r="OAN363" s="393"/>
      <c r="OAO363" s="398"/>
      <c r="OAP363" s="393"/>
      <c r="OAQ363" s="398"/>
      <c r="OAR363" s="393"/>
      <c r="OAS363" s="398"/>
      <c r="OAT363" s="393"/>
      <c r="OAU363" s="398"/>
      <c r="OAV363" s="393"/>
      <c r="OAW363" s="398"/>
      <c r="OAX363" s="393"/>
      <c r="OAY363" s="398"/>
      <c r="OAZ363" s="393"/>
      <c r="OBA363" s="398"/>
      <c r="OBB363" s="393"/>
      <c r="OBC363" s="398"/>
      <c r="OBD363" s="393"/>
      <c r="OBE363" s="398"/>
      <c r="OBF363" s="393"/>
      <c r="OBG363" s="398"/>
      <c r="OBH363" s="393"/>
      <c r="OBI363" s="398"/>
      <c r="OBJ363" s="393"/>
      <c r="OBK363" s="398"/>
      <c r="OBL363" s="393"/>
      <c r="OBM363" s="398"/>
      <c r="OBN363" s="393"/>
      <c r="OBO363" s="398"/>
      <c r="OBP363" s="393"/>
      <c r="OBQ363" s="398"/>
      <c r="OBR363" s="393"/>
      <c r="OBS363" s="398"/>
      <c r="OBT363" s="393"/>
      <c r="OBU363" s="398"/>
      <c r="OBV363" s="393"/>
      <c r="OBW363" s="398"/>
      <c r="OBX363" s="393"/>
      <c r="OBY363" s="398"/>
      <c r="OBZ363" s="393"/>
      <c r="OCA363" s="398"/>
      <c r="OCB363" s="393"/>
      <c r="OCC363" s="398"/>
      <c r="OCD363" s="393"/>
      <c r="OCE363" s="398"/>
      <c r="OCF363" s="393"/>
      <c r="OCG363" s="398"/>
      <c r="OCH363" s="393"/>
      <c r="OCI363" s="398"/>
      <c r="OCJ363" s="393"/>
      <c r="OCK363" s="398"/>
      <c r="OCL363" s="393"/>
      <c r="OCM363" s="398"/>
      <c r="OCN363" s="393"/>
      <c r="OCO363" s="398"/>
      <c r="OCP363" s="393"/>
      <c r="OCQ363" s="398"/>
      <c r="OCR363" s="393"/>
      <c r="OCS363" s="398"/>
      <c r="OCT363" s="393"/>
      <c r="OCU363" s="398"/>
      <c r="OCV363" s="393"/>
      <c r="OCW363" s="398"/>
      <c r="OCX363" s="393"/>
      <c r="OCY363" s="398"/>
      <c r="OCZ363" s="393"/>
      <c r="ODA363" s="398"/>
      <c r="ODB363" s="393"/>
      <c r="ODC363" s="398"/>
      <c r="ODD363" s="393"/>
      <c r="ODE363" s="398"/>
      <c r="ODF363" s="393"/>
      <c r="ODG363" s="398"/>
      <c r="ODH363" s="393"/>
      <c r="ODI363" s="398"/>
      <c r="ODJ363" s="393"/>
      <c r="ODK363" s="398"/>
      <c r="ODL363" s="393"/>
      <c r="ODM363" s="398"/>
      <c r="ODN363" s="393"/>
      <c r="ODO363" s="398"/>
      <c r="ODP363" s="393"/>
      <c r="ODQ363" s="398"/>
      <c r="ODR363" s="393"/>
      <c r="ODS363" s="398"/>
      <c r="ODT363" s="393"/>
      <c r="ODU363" s="398"/>
      <c r="ODV363" s="393"/>
      <c r="ODW363" s="398"/>
      <c r="ODX363" s="393"/>
      <c r="ODY363" s="398"/>
      <c r="ODZ363" s="393"/>
      <c r="OEA363" s="398"/>
      <c r="OEB363" s="393"/>
      <c r="OEC363" s="398"/>
      <c r="OED363" s="393"/>
      <c r="OEE363" s="398"/>
      <c r="OEF363" s="393"/>
      <c r="OEG363" s="398"/>
      <c r="OEH363" s="393"/>
      <c r="OEI363" s="398"/>
      <c r="OEJ363" s="393"/>
      <c r="OEK363" s="398"/>
      <c r="OEL363" s="393"/>
      <c r="OEM363" s="398"/>
      <c r="OEN363" s="393"/>
      <c r="OEO363" s="398"/>
      <c r="OEP363" s="393"/>
      <c r="OEQ363" s="398"/>
      <c r="OER363" s="393"/>
      <c r="OES363" s="398"/>
      <c r="OET363" s="393"/>
      <c r="OEU363" s="398"/>
      <c r="OEV363" s="393"/>
      <c r="OEW363" s="398"/>
      <c r="OEX363" s="393"/>
      <c r="OEY363" s="398"/>
      <c r="OEZ363" s="393"/>
      <c r="OFA363" s="398"/>
      <c r="OFB363" s="393"/>
      <c r="OFC363" s="398"/>
      <c r="OFD363" s="393"/>
      <c r="OFE363" s="398"/>
      <c r="OFF363" s="393"/>
      <c r="OFG363" s="398"/>
      <c r="OFH363" s="393"/>
      <c r="OFI363" s="398"/>
      <c r="OFJ363" s="393"/>
      <c r="OFK363" s="398"/>
      <c r="OFL363" s="393"/>
      <c r="OFM363" s="398"/>
      <c r="OFN363" s="393"/>
      <c r="OFO363" s="398"/>
      <c r="OFP363" s="393"/>
      <c r="OFQ363" s="398"/>
      <c r="OFR363" s="393"/>
      <c r="OFS363" s="398"/>
      <c r="OFT363" s="393"/>
      <c r="OFU363" s="398"/>
      <c r="OFV363" s="393"/>
      <c r="OFW363" s="398"/>
      <c r="OFX363" s="393"/>
      <c r="OFY363" s="398"/>
      <c r="OFZ363" s="393"/>
      <c r="OGA363" s="398"/>
      <c r="OGB363" s="393"/>
      <c r="OGC363" s="398"/>
      <c r="OGD363" s="393"/>
      <c r="OGE363" s="398"/>
      <c r="OGF363" s="393"/>
      <c r="OGG363" s="398"/>
      <c r="OGH363" s="393"/>
      <c r="OGI363" s="398"/>
      <c r="OGJ363" s="393"/>
      <c r="OGK363" s="398"/>
      <c r="OGL363" s="393"/>
      <c r="OGM363" s="398"/>
      <c r="OGN363" s="393"/>
      <c r="OGO363" s="398"/>
      <c r="OGP363" s="393"/>
      <c r="OGQ363" s="398"/>
      <c r="OGR363" s="393"/>
      <c r="OGS363" s="398"/>
      <c r="OGT363" s="393"/>
      <c r="OGU363" s="398"/>
      <c r="OGV363" s="393"/>
      <c r="OGW363" s="398"/>
      <c r="OGX363" s="393"/>
      <c r="OGY363" s="398"/>
      <c r="OGZ363" s="393"/>
      <c r="OHA363" s="398"/>
      <c r="OHB363" s="393"/>
      <c r="OHC363" s="398"/>
      <c r="OHD363" s="393"/>
      <c r="OHE363" s="398"/>
      <c r="OHF363" s="393"/>
      <c r="OHG363" s="398"/>
      <c r="OHH363" s="393"/>
      <c r="OHI363" s="398"/>
      <c r="OHJ363" s="393"/>
      <c r="OHK363" s="398"/>
      <c r="OHL363" s="393"/>
      <c r="OHM363" s="398"/>
      <c r="OHN363" s="393"/>
      <c r="OHO363" s="398"/>
      <c r="OHP363" s="393"/>
      <c r="OHQ363" s="398"/>
      <c r="OHR363" s="393"/>
      <c r="OHS363" s="398"/>
      <c r="OHT363" s="393"/>
      <c r="OHU363" s="398"/>
      <c r="OHV363" s="393"/>
      <c r="OHW363" s="398"/>
      <c r="OHX363" s="393"/>
      <c r="OHY363" s="398"/>
      <c r="OHZ363" s="393"/>
      <c r="OIA363" s="398"/>
      <c r="OIB363" s="393"/>
      <c r="OIC363" s="398"/>
      <c r="OID363" s="393"/>
      <c r="OIE363" s="398"/>
      <c r="OIF363" s="393"/>
      <c r="OIG363" s="398"/>
      <c r="OIH363" s="393"/>
      <c r="OII363" s="398"/>
      <c r="OIJ363" s="393"/>
      <c r="OIK363" s="398"/>
      <c r="OIL363" s="393"/>
      <c r="OIM363" s="398"/>
      <c r="OIN363" s="393"/>
      <c r="OIO363" s="398"/>
      <c r="OIP363" s="393"/>
      <c r="OIQ363" s="398"/>
      <c r="OIR363" s="393"/>
      <c r="OIS363" s="398"/>
      <c r="OIT363" s="393"/>
      <c r="OIU363" s="398"/>
      <c r="OIV363" s="393"/>
      <c r="OIW363" s="398"/>
      <c r="OIX363" s="393"/>
      <c r="OIY363" s="398"/>
      <c r="OIZ363" s="393"/>
      <c r="OJA363" s="398"/>
      <c r="OJB363" s="393"/>
      <c r="OJC363" s="398"/>
      <c r="OJD363" s="393"/>
      <c r="OJE363" s="398"/>
      <c r="OJF363" s="393"/>
      <c r="OJG363" s="398"/>
      <c r="OJH363" s="393"/>
      <c r="OJI363" s="398"/>
      <c r="OJJ363" s="393"/>
      <c r="OJK363" s="398"/>
      <c r="OJL363" s="393"/>
      <c r="OJM363" s="398"/>
      <c r="OJN363" s="393"/>
      <c r="OJO363" s="398"/>
      <c r="OJP363" s="393"/>
      <c r="OJQ363" s="398"/>
      <c r="OJR363" s="393"/>
      <c r="OJS363" s="398"/>
      <c r="OJT363" s="393"/>
      <c r="OJU363" s="398"/>
      <c r="OJV363" s="393"/>
      <c r="OJW363" s="398"/>
      <c r="OJX363" s="393"/>
      <c r="OJY363" s="398"/>
      <c r="OJZ363" s="393"/>
      <c r="OKA363" s="398"/>
      <c r="OKB363" s="393"/>
      <c r="OKC363" s="398"/>
      <c r="OKD363" s="393"/>
      <c r="OKE363" s="398"/>
      <c r="OKF363" s="393"/>
      <c r="OKG363" s="398"/>
      <c r="OKH363" s="393"/>
      <c r="OKI363" s="398"/>
      <c r="OKJ363" s="393"/>
      <c r="OKK363" s="398"/>
      <c r="OKL363" s="393"/>
      <c r="OKM363" s="398"/>
      <c r="OKN363" s="393"/>
      <c r="OKO363" s="398"/>
      <c r="OKP363" s="393"/>
      <c r="OKQ363" s="398"/>
      <c r="OKR363" s="393"/>
      <c r="OKS363" s="398"/>
      <c r="OKT363" s="393"/>
      <c r="OKU363" s="398"/>
      <c r="OKV363" s="393"/>
      <c r="OKW363" s="398"/>
      <c r="OKX363" s="393"/>
      <c r="OKY363" s="398"/>
      <c r="OKZ363" s="393"/>
      <c r="OLA363" s="398"/>
      <c r="OLB363" s="393"/>
      <c r="OLC363" s="398"/>
      <c r="OLD363" s="393"/>
      <c r="OLE363" s="398"/>
      <c r="OLF363" s="393"/>
      <c r="OLG363" s="398"/>
      <c r="OLH363" s="393"/>
      <c r="OLI363" s="398"/>
      <c r="OLJ363" s="393"/>
      <c r="OLK363" s="398"/>
      <c r="OLL363" s="393"/>
      <c r="OLM363" s="398"/>
      <c r="OLN363" s="393"/>
      <c r="OLO363" s="398"/>
      <c r="OLP363" s="393"/>
      <c r="OLQ363" s="398"/>
      <c r="OLR363" s="393"/>
      <c r="OLS363" s="398"/>
      <c r="OLT363" s="393"/>
      <c r="OLU363" s="398"/>
      <c r="OLV363" s="393"/>
      <c r="OLW363" s="398"/>
      <c r="OLX363" s="393"/>
      <c r="OLY363" s="398"/>
      <c r="OLZ363" s="393"/>
      <c r="OMA363" s="398"/>
      <c r="OMB363" s="393"/>
      <c r="OMC363" s="398"/>
      <c r="OMD363" s="393"/>
      <c r="OME363" s="398"/>
      <c r="OMF363" s="393"/>
      <c r="OMG363" s="398"/>
      <c r="OMH363" s="393"/>
      <c r="OMI363" s="398"/>
      <c r="OMJ363" s="393"/>
      <c r="OMK363" s="398"/>
      <c r="OML363" s="393"/>
      <c r="OMM363" s="398"/>
      <c r="OMN363" s="393"/>
      <c r="OMO363" s="398"/>
      <c r="OMP363" s="393"/>
      <c r="OMQ363" s="398"/>
      <c r="OMR363" s="393"/>
      <c r="OMS363" s="398"/>
      <c r="OMT363" s="393"/>
      <c r="OMU363" s="398"/>
      <c r="OMV363" s="393"/>
      <c r="OMW363" s="398"/>
      <c r="OMX363" s="393"/>
      <c r="OMY363" s="398"/>
      <c r="OMZ363" s="393"/>
      <c r="ONA363" s="398"/>
      <c r="ONB363" s="393"/>
      <c r="ONC363" s="398"/>
      <c r="OND363" s="393"/>
      <c r="ONE363" s="398"/>
      <c r="ONF363" s="393"/>
      <c r="ONG363" s="398"/>
      <c r="ONH363" s="393"/>
      <c r="ONI363" s="398"/>
      <c r="ONJ363" s="393"/>
      <c r="ONK363" s="398"/>
      <c r="ONL363" s="393"/>
      <c r="ONM363" s="398"/>
      <c r="ONN363" s="393"/>
      <c r="ONO363" s="398"/>
      <c r="ONP363" s="393"/>
      <c r="ONQ363" s="398"/>
      <c r="ONR363" s="393"/>
      <c r="ONS363" s="398"/>
      <c r="ONT363" s="393"/>
      <c r="ONU363" s="398"/>
      <c r="ONV363" s="393"/>
      <c r="ONW363" s="398"/>
      <c r="ONX363" s="393"/>
      <c r="ONY363" s="398"/>
      <c r="ONZ363" s="393"/>
      <c r="OOA363" s="398"/>
      <c r="OOB363" s="393"/>
      <c r="OOC363" s="398"/>
      <c r="OOD363" s="393"/>
      <c r="OOE363" s="398"/>
      <c r="OOF363" s="393"/>
      <c r="OOG363" s="398"/>
      <c r="OOH363" s="393"/>
      <c r="OOI363" s="398"/>
      <c r="OOJ363" s="393"/>
      <c r="OOK363" s="398"/>
      <c r="OOL363" s="393"/>
      <c r="OOM363" s="398"/>
      <c r="OON363" s="393"/>
      <c r="OOO363" s="398"/>
      <c r="OOP363" s="393"/>
      <c r="OOQ363" s="398"/>
      <c r="OOR363" s="393"/>
      <c r="OOS363" s="398"/>
      <c r="OOT363" s="393"/>
      <c r="OOU363" s="398"/>
      <c r="OOV363" s="393"/>
      <c r="OOW363" s="398"/>
      <c r="OOX363" s="393"/>
      <c r="OOY363" s="398"/>
      <c r="OOZ363" s="393"/>
      <c r="OPA363" s="398"/>
      <c r="OPB363" s="393"/>
      <c r="OPC363" s="398"/>
      <c r="OPD363" s="393"/>
      <c r="OPE363" s="398"/>
      <c r="OPF363" s="393"/>
      <c r="OPG363" s="398"/>
      <c r="OPH363" s="393"/>
      <c r="OPI363" s="398"/>
      <c r="OPJ363" s="393"/>
      <c r="OPK363" s="398"/>
      <c r="OPL363" s="393"/>
      <c r="OPM363" s="398"/>
      <c r="OPN363" s="393"/>
      <c r="OPO363" s="398"/>
      <c r="OPP363" s="393"/>
      <c r="OPQ363" s="398"/>
      <c r="OPR363" s="393"/>
      <c r="OPS363" s="398"/>
      <c r="OPT363" s="393"/>
      <c r="OPU363" s="398"/>
      <c r="OPV363" s="393"/>
      <c r="OPW363" s="398"/>
      <c r="OPX363" s="393"/>
      <c r="OPY363" s="398"/>
      <c r="OPZ363" s="393"/>
      <c r="OQA363" s="398"/>
      <c r="OQB363" s="393"/>
      <c r="OQC363" s="398"/>
      <c r="OQD363" s="393"/>
      <c r="OQE363" s="398"/>
      <c r="OQF363" s="393"/>
      <c r="OQG363" s="398"/>
      <c r="OQH363" s="393"/>
      <c r="OQI363" s="398"/>
      <c r="OQJ363" s="393"/>
      <c r="OQK363" s="398"/>
      <c r="OQL363" s="393"/>
      <c r="OQM363" s="398"/>
      <c r="OQN363" s="393"/>
      <c r="OQO363" s="398"/>
      <c r="OQP363" s="393"/>
      <c r="OQQ363" s="398"/>
      <c r="OQR363" s="393"/>
      <c r="OQS363" s="398"/>
      <c r="OQT363" s="393"/>
      <c r="OQU363" s="398"/>
      <c r="OQV363" s="393"/>
      <c r="OQW363" s="398"/>
      <c r="OQX363" s="393"/>
      <c r="OQY363" s="398"/>
      <c r="OQZ363" s="393"/>
      <c r="ORA363" s="398"/>
      <c r="ORB363" s="393"/>
      <c r="ORC363" s="398"/>
      <c r="ORD363" s="393"/>
      <c r="ORE363" s="398"/>
      <c r="ORF363" s="393"/>
      <c r="ORG363" s="398"/>
      <c r="ORH363" s="393"/>
      <c r="ORI363" s="398"/>
      <c r="ORJ363" s="393"/>
      <c r="ORK363" s="398"/>
      <c r="ORL363" s="393"/>
      <c r="ORM363" s="398"/>
      <c r="ORN363" s="393"/>
      <c r="ORO363" s="398"/>
      <c r="ORP363" s="393"/>
      <c r="ORQ363" s="398"/>
      <c r="ORR363" s="393"/>
      <c r="ORS363" s="398"/>
      <c r="ORT363" s="393"/>
      <c r="ORU363" s="398"/>
      <c r="ORV363" s="393"/>
      <c r="ORW363" s="398"/>
      <c r="ORX363" s="393"/>
      <c r="ORY363" s="398"/>
      <c r="ORZ363" s="393"/>
      <c r="OSA363" s="398"/>
      <c r="OSB363" s="393"/>
      <c r="OSC363" s="398"/>
      <c r="OSD363" s="393"/>
      <c r="OSE363" s="398"/>
      <c r="OSF363" s="393"/>
      <c r="OSG363" s="398"/>
      <c r="OSH363" s="393"/>
      <c r="OSI363" s="398"/>
      <c r="OSJ363" s="393"/>
      <c r="OSK363" s="398"/>
      <c r="OSL363" s="393"/>
      <c r="OSM363" s="398"/>
      <c r="OSN363" s="393"/>
      <c r="OSO363" s="398"/>
      <c r="OSP363" s="393"/>
      <c r="OSQ363" s="398"/>
      <c r="OSR363" s="393"/>
      <c r="OSS363" s="398"/>
      <c r="OST363" s="393"/>
      <c r="OSU363" s="398"/>
      <c r="OSV363" s="393"/>
      <c r="OSW363" s="398"/>
      <c r="OSX363" s="393"/>
      <c r="OSY363" s="398"/>
      <c r="OSZ363" s="393"/>
      <c r="OTA363" s="398"/>
      <c r="OTB363" s="393"/>
      <c r="OTC363" s="398"/>
      <c r="OTD363" s="393"/>
      <c r="OTE363" s="398"/>
      <c r="OTF363" s="393"/>
      <c r="OTG363" s="398"/>
      <c r="OTH363" s="393"/>
      <c r="OTI363" s="398"/>
      <c r="OTJ363" s="393"/>
      <c r="OTK363" s="398"/>
      <c r="OTL363" s="393"/>
      <c r="OTM363" s="398"/>
      <c r="OTN363" s="393"/>
      <c r="OTO363" s="398"/>
      <c r="OTP363" s="393"/>
      <c r="OTQ363" s="398"/>
      <c r="OTR363" s="393"/>
      <c r="OTS363" s="398"/>
      <c r="OTT363" s="393"/>
      <c r="OTU363" s="398"/>
      <c r="OTV363" s="393"/>
      <c r="OTW363" s="398"/>
      <c r="OTX363" s="393"/>
      <c r="OTY363" s="398"/>
      <c r="OTZ363" s="393"/>
      <c r="OUA363" s="398"/>
      <c r="OUB363" s="393"/>
      <c r="OUC363" s="398"/>
      <c r="OUD363" s="393"/>
      <c r="OUE363" s="398"/>
      <c r="OUF363" s="393"/>
      <c r="OUG363" s="398"/>
      <c r="OUH363" s="393"/>
      <c r="OUI363" s="398"/>
      <c r="OUJ363" s="393"/>
      <c r="OUK363" s="398"/>
      <c r="OUL363" s="393"/>
      <c r="OUM363" s="398"/>
      <c r="OUN363" s="393"/>
      <c r="OUO363" s="398"/>
      <c r="OUP363" s="393"/>
      <c r="OUQ363" s="398"/>
      <c r="OUR363" s="393"/>
      <c r="OUS363" s="398"/>
      <c r="OUT363" s="393"/>
      <c r="OUU363" s="398"/>
      <c r="OUV363" s="393"/>
      <c r="OUW363" s="398"/>
      <c r="OUX363" s="393"/>
      <c r="OUY363" s="398"/>
      <c r="OUZ363" s="393"/>
      <c r="OVA363" s="398"/>
      <c r="OVB363" s="393"/>
      <c r="OVC363" s="398"/>
      <c r="OVD363" s="393"/>
      <c r="OVE363" s="398"/>
      <c r="OVF363" s="393"/>
      <c r="OVG363" s="398"/>
      <c r="OVH363" s="393"/>
      <c r="OVI363" s="398"/>
      <c r="OVJ363" s="393"/>
      <c r="OVK363" s="398"/>
      <c r="OVL363" s="393"/>
      <c r="OVM363" s="398"/>
      <c r="OVN363" s="393"/>
      <c r="OVO363" s="398"/>
      <c r="OVP363" s="393"/>
      <c r="OVQ363" s="398"/>
      <c r="OVR363" s="393"/>
      <c r="OVS363" s="398"/>
      <c r="OVT363" s="393"/>
      <c r="OVU363" s="398"/>
      <c r="OVV363" s="393"/>
      <c r="OVW363" s="398"/>
      <c r="OVX363" s="393"/>
      <c r="OVY363" s="398"/>
      <c r="OVZ363" s="393"/>
      <c r="OWA363" s="398"/>
      <c r="OWB363" s="393"/>
      <c r="OWC363" s="398"/>
      <c r="OWD363" s="393"/>
      <c r="OWE363" s="398"/>
      <c r="OWF363" s="393"/>
      <c r="OWG363" s="398"/>
      <c r="OWH363" s="393"/>
      <c r="OWI363" s="398"/>
      <c r="OWJ363" s="393"/>
      <c r="OWK363" s="398"/>
      <c r="OWL363" s="393"/>
      <c r="OWM363" s="398"/>
      <c r="OWN363" s="393"/>
      <c r="OWO363" s="398"/>
      <c r="OWP363" s="393"/>
      <c r="OWQ363" s="398"/>
      <c r="OWR363" s="393"/>
      <c r="OWS363" s="398"/>
      <c r="OWT363" s="393"/>
      <c r="OWU363" s="398"/>
      <c r="OWV363" s="393"/>
      <c r="OWW363" s="398"/>
      <c r="OWX363" s="393"/>
      <c r="OWY363" s="398"/>
      <c r="OWZ363" s="393"/>
      <c r="OXA363" s="398"/>
      <c r="OXB363" s="393"/>
      <c r="OXC363" s="398"/>
      <c r="OXD363" s="393"/>
      <c r="OXE363" s="398"/>
      <c r="OXF363" s="393"/>
      <c r="OXG363" s="398"/>
      <c r="OXH363" s="393"/>
      <c r="OXI363" s="398"/>
      <c r="OXJ363" s="393"/>
      <c r="OXK363" s="398"/>
      <c r="OXL363" s="393"/>
      <c r="OXM363" s="398"/>
      <c r="OXN363" s="393"/>
      <c r="OXO363" s="398"/>
      <c r="OXP363" s="393"/>
      <c r="OXQ363" s="398"/>
      <c r="OXR363" s="393"/>
      <c r="OXS363" s="398"/>
      <c r="OXT363" s="393"/>
      <c r="OXU363" s="398"/>
      <c r="OXV363" s="393"/>
      <c r="OXW363" s="398"/>
      <c r="OXX363" s="393"/>
      <c r="OXY363" s="398"/>
      <c r="OXZ363" s="393"/>
      <c r="OYA363" s="398"/>
      <c r="OYB363" s="393"/>
      <c r="OYC363" s="398"/>
      <c r="OYD363" s="393"/>
      <c r="OYE363" s="398"/>
      <c r="OYF363" s="393"/>
      <c r="OYG363" s="398"/>
      <c r="OYH363" s="393"/>
      <c r="OYI363" s="398"/>
      <c r="OYJ363" s="393"/>
      <c r="OYK363" s="398"/>
      <c r="OYL363" s="393"/>
      <c r="OYM363" s="398"/>
      <c r="OYN363" s="393"/>
      <c r="OYO363" s="398"/>
      <c r="OYP363" s="393"/>
      <c r="OYQ363" s="398"/>
      <c r="OYR363" s="393"/>
      <c r="OYS363" s="398"/>
      <c r="OYT363" s="393"/>
      <c r="OYU363" s="398"/>
      <c r="OYV363" s="393"/>
      <c r="OYW363" s="398"/>
      <c r="OYX363" s="393"/>
      <c r="OYY363" s="398"/>
      <c r="OYZ363" s="393"/>
      <c r="OZA363" s="398"/>
      <c r="OZB363" s="393"/>
      <c r="OZC363" s="398"/>
      <c r="OZD363" s="393"/>
      <c r="OZE363" s="398"/>
      <c r="OZF363" s="393"/>
      <c r="OZG363" s="398"/>
      <c r="OZH363" s="393"/>
      <c r="OZI363" s="398"/>
      <c r="OZJ363" s="393"/>
      <c r="OZK363" s="398"/>
      <c r="OZL363" s="393"/>
      <c r="OZM363" s="398"/>
      <c r="OZN363" s="393"/>
      <c r="OZO363" s="398"/>
      <c r="OZP363" s="393"/>
      <c r="OZQ363" s="398"/>
      <c r="OZR363" s="393"/>
      <c r="OZS363" s="398"/>
      <c r="OZT363" s="393"/>
      <c r="OZU363" s="398"/>
      <c r="OZV363" s="393"/>
      <c r="OZW363" s="398"/>
      <c r="OZX363" s="393"/>
      <c r="OZY363" s="398"/>
      <c r="OZZ363" s="393"/>
      <c r="PAA363" s="398"/>
      <c r="PAB363" s="393"/>
      <c r="PAC363" s="398"/>
      <c r="PAD363" s="393"/>
      <c r="PAE363" s="398"/>
      <c r="PAF363" s="393"/>
      <c r="PAG363" s="398"/>
      <c r="PAH363" s="393"/>
      <c r="PAI363" s="398"/>
      <c r="PAJ363" s="393"/>
      <c r="PAK363" s="398"/>
      <c r="PAL363" s="393"/>
      <c r="PAM363" s="398"/>
      <c r="PAN363" s="393"/>
      <c r="PAO363" s="398"/>
      <c r="PAP363" s="393"/>
      <c r="PAQ363" s="398"/>
      <c r="PAR363" s="393"/>
      <c r="PAS363" s="398"/>
      <c r="PAT363" s="393"/>
      <c r="PAU363" s="398"/>
      <c r="PAV363" s="393"/>
      <c r="PAW363" s="398"/>
      <c r="PAX363" s="393"/>
      <c r="PAY363" s="398"/>
      <c r="PAZ363" s="393"/>
      <c r="PBA363" s="398"/>
      <c r="PBB363" s="393"/>
      <c r="PBC363" s="398"/>
      <c r="PBD363" s="393"/>
      <c r="PBE363" s="398"/>
      <c r="PBF363" s="393"/>
      <c r="PBG363" s="398"/>
      <c r="PBH363" s="393"/>
      <c r="PBI363" s="398"/>
      <c r="PBJ363" s="393"/>
      <c r="PBK363" s="398"/>
      <c r="PBL363" s="393"/>
      <c r="PBM363" s="398"/>
      <c r="PBN363" s="393"/>
      <c r="PBO363" s="398"/>
      <c r="PBP363" s="393"/>
      <c r="PBQ363" s="398"/>
      <c r="PBR363" s="393"/>
      <c r="PBS363" s="398"/>
      <c r="PBT363" s="393"/>
      <c r="PBU363" s="398"/>
      <c r="PBV363" s="393"/>
      <c r="PBW363" s="398"/>
      <c r="PBX363" s="393"/>
      <c r="PBY363" s="398"/>
      <c r="PBZ363" s="393"/>
      <c r="PCA363" s="398"/>
      <c r="PCB363" s="393"/>
      <c r="PCC363" s="398"/>
      <c r="PCD363" s="393"/>
      <c r="PCE363" s="398"/>
      <c r="PCF363" s="393"/>
      <c r="PCG363" s="398"/>
      <c r="PCH363" s="393"/>
      <c r="PCI363" s="398"/>
      <c r="PCJ363" s="393"/>
      <c r="PCK363" s="398"/>
      <c r="PCL363" s="393"/>
      <c r="PCM363" s="398"/>
      <c r="PCN363" s="393"/>
      <c r="PCO363" s="398"/>
      <c r="PCP363" s="393"/>
      <c r="PCQ363" s="398"/>
      <c r="PCR363" s="393"/>
      <c r="PCS363" s="398"/>
      <c r="PCT363" s="393"/>
      <c r="PCU363" s="398"/>
      <c r="PCV363" s="393"/>
      <c r="PCW363" s="398"/>
      <c r="PCX363" s="393"/>
      <c r="PCY363" s="398"/>
      <c r="PCZ363" s="393"/>
      <c r="PDA363" s="398"/>
      <c r="PDB363" s="393"/>
      <c r="PDC363" s="398"/>
      <c r="PDD363" s="393"/>
      <c r="PDE363" s="398"/>
      <c r="PDF363" s="393"/>
      <c r="PDG363" s="398"/>
      <c r="PDH363" s="393"/>
      <c r="PDI363" s="398"/>
      <c r="PDJ363" s="393"/>
      <c r="PDK363" s="398"/>
      <c r="PDL363" s="393"/>
      <c r="PDM363" s="398"/>
      <c r="PDN363" s="393"/>
      <c r="PDO363" s="398"/>
      <c r="PDP363" s="393"/>
      <c r="PDQ363" s="398"/>
      <c r="PDR363" s="393"/>
      <c r="PDS363" s="398"/>
      <c r="PDT363" s="393"/>
      <c r="PDU363" s="398"/>
      <c r="PDV363" s="393"/>
      <c r="PDW363" s="398"/>
      <c r="PDX363" s="393"/>
      <c r="PDY363" s="398"/>
      <c r="PDZ363" s="393"/>
      <c r="PEA363" s="398"/>
      <c r="PEB363" s="393"/>
      <c r="PEC363" s="398"/>
      <c r="PED363" s="393"/>
      <c r="PEE363" s="398"/>
      <c r="PEF363" s="393"/>
      <c r="PEG363" s="398"/>
      <c r="PEH363" s="393"/>
      <c r="PEI363" s="398"/>
      <c r="PEJ363" s="393"/>
      <c r="PEK363" s="398"/>
      <c r="PEL363" s="393"/>
      <c r="PEM363" s="398"/>
      <c r="PEN363" s="393"/>
      <c r="PEO363" s="398"/>
      <c r="PEP363" s="393"/>
      <c r="PEQ363" s="398"/>
      <c r="PER363" s="393"/>
      <c r="PES363" s="398"/>
      <c r="PET363" s="393"/>
      <c r="PEU363" s="398"/>
      <c r="PEV363" s="393"/>
      <c r="PEW363" s="398"/>
      <c r="PEX363" s="393"/>
      <c r="PEY363" s="398"/>
      <c r="PEZ363" s="393"/>
      <c r="PFA363" s="398"/>
      <c r="PFB363" s="393"/>
      <c r="PFC363" s="398"/>
      <c r="PFD363" s="393"/>
      <c r="PFE363" s="398"/>
      <c r="PFF363" s="393"/>
      <c r="PFG363" s="398"/>
      <c r="PFH363" s="393"/>
      <c r="PFI363" s="398"/>
      <c r="PFJ363" s="393"/>
      <c r="PFK363" s="398"/>
      <c r="PFL363" s="393"/>
      <c r="PFM363" s="398"/>
      <c r="PFN363" s="393"/>
      <c r="PFO363" s="398"/>
      <c r="PFP363" s="393"/>
      <c r="PFQ363" s="398"/>
      <c r="PFR363" s="393"/>
      <c r="PFS363" s="398"/>
      <c r="PFT363" s="393"/>
      <c r="PFU363" s="398"/>
      <c r="PFV363" s="393"/>
      <c r="PFW363" s="398"/>
      <c r="PFX363" s="393"/>
      <c r="PFY363" s="398"/>
      <c r="PFZ363" s="393"/>
      <c r="PGA363" s="398"/>
      <c r="PGB363" s="393"/>
      <c r="PGC363" s="398"/>
      <c r="PGD363" s="393"/>
      <c r="PGE363" s="398"/>
      <c r="PGF363" s="393"/>
      <c r="PGG363" s="398"/>
      <c r="PGH363" s="393"/>
      <c r="PGI363" s="398"/>
      <c r="PGJ363" s="393"/>
      <c r="PGK363" s="398"/>
      <c r="PGL363" s="393"/>
      <c r="PGM363" s="398"/>
      <c r="PGN363" s="393"/>
      <c r="PGO363" s="398"/>
      <c r="PGP363" s="393"/>
      <c r="PGQ363" s="398"/>
      <c r="PGR363" s="393"/>
      <c r="PGS363" s="398"/>
      <c r="PGT363" s="393"/>
      <c r="PGU363" s="398"/>
      <c r="PGV363" s="393"/>
      <c r="PGW363" s="398"/>
      <c r="PGX363" s="393"/>
      <c r="PGY363" s="398"/>
      <c r="PGZ363" s="393"/>
      <c r="PHA363" s="398"/>
      <c r="PHB363" s="393"/>
      <c r="PHC363" s="398"/>
      <c r="PHD363" s="393"/>
      <c r="PHE363" s="398"/>
      <c r="PHF363" s="393"/>
      <c r="PHG363" s="398"/>
      <c r="PHH363" s="393"/>
      <c r="PHI363" s="398"/>
      <c r="PHJ363" s="393"/>
      <c r="PHK363" s="398"/>
      <c r="PHL363" s="393"/>
      <c r="PHM363" s="398"/>
      <c r="PHN363" s="393"/>
      <c r="PHO363" s="398"/>
      <c r="PHP363" s="393"/>
      <c r="PHQ363" s="398"/>
      <c r="PHR363" s="393"/>
      <c r="PHS363" s="398"/>
      <c r="PHT363" s="393"/>
      <c r="PHU363" s="398"/>
      <c r="PHV363" s="393"/>
      <c r="PHW363" s="398"/>
      <c r="PHX363" s="393"/>
      <c r="PHY363" s="398"/>
      <c r="PHZ363" s="393"/>
      <c r="PIA363" s="398"/>
      <c r="PIB363" s="393"/>
      <c r="PIC363" s="398"/>
      <c r="PID363" s="393"/>
      <c r="PIE363" s="398"/>
      <c r="PIF363" s="393"/>
      <c r="PIG363" s="398"/>
      <c r="PIH363" s="393"/>
      <c r="PII363" s="398"/>
      <c r="PIJ363" s="393"/>
      <c r="PIK363" s="398"/>
      <c r="PIL363" s="393"/>
      <c r="PIM363" s="398"/>
      <c r="PIN363" s="393"/>
      <c r="PIO363" s="398"/>
      <c r="PIP363" s="393"/>
      <c r="PIQ363" s="398"/>
      <c r="PIR363" s="393"/>
      <c r="PIS363" s="398"/>
      <c r="PIT363" s="393"/>
      <c r="PIU363" s="398"/>
      <c r="PIV363" s="393"/>
      <c r="PIW363" s="398"/>
      <c r="PIX363" s="393"/>
      <c r="PIY363" s="398"/>
      <c r="PIZ363" s="393"/>
      <c r="PJA363" s="398"/>
      <c r="PJB363" s="393"/>
      <c r="PJC363" s="398"/>
      <c r="PJD363" s="393"/>
      <c r="PJE363" s="398"/>
      <c r="PJF363" s="393"/>
      <c r="PJG363" s="398"/>
      <c r="PJH363" s="393"/>
      <c r="PJI363" s="398"/>
      <c r="PJJ363" s="393"/>
      <c r="PJK363" s="398"/>
      <c r="PJL363" s="393"/>
      <c r="PJM363" s="398"/>
      <c r="PJN363" s="393"/>
      <c r="PJO363" s="398"/>
      <c r="PJP363" s="393"/>
      <c r="PJQ363" s="398"/>
      <c r="PJR363" s="393"/>
      <c r="PJS363" s="398"/>
      <c r="PJT363" s="393"/>
      <c r="PJU363" s="398"/>
      <c r="PJV363" s="393"/>
      <c r="PJW363" s="398"/>
      <c r="PJX363" s="393"/>
      <c r="PJY363" s="398"/>
      <c r="PJZ363" s="393"/>
      <c r="PKA363" s="398"/>
      <c r="PKB363" s="393"/>
      <c r="PKC363" s="398"/>
      <c r="PKD363" s="393"/>
      <c r="PKE363" s="398"/>
      <c r="PKF363" s="393"/>
      <c r="PKG363" s="398"/>
      <c r="PKH363" s="393"/>
      <c r="PKI363" s="398"/>
      <c r="PKJ363" s="393"/>
      <c r="PKK363" s="398"/>
      <c r="PKL363" s="393"/>
      <c r="PKM363" s="398"/>
      <c r="PKN363" s="393"/>
      <c r="PKO363" s="398"/>
      <c r="PKP363" s="393"/>
      <c r="PKQ363" s="398"/>
      <c r="PKR363" s="393"/>
      <c r="PKS363" s="398"/>
      <c r="PKT363" s="393"/>
      <c r="PKU363" s="398"/>
      <c r="PKV363" s="393"/>
      <c r="PKW363" s="398"/>
      <c r="PKX363" s="393"/>
      <c r="PKY363" s="398"/>
      <c r="PKZ363" s="393"/>
      <c r="PLA363" s="398"/>
      <c r="PLB363" s="393"/>
      <c r="PLC363" s="398"/>
      <c r="PLD363" s="393"/>
      <c r="PLE363" s="398"/>
      <c r="PLF363" s="393"/>
      <c r="PLG363" s="398"/>
      <c r="PLH363" s="393"/>
      <c r="PLI363" s="398"/>
      <c r="PLJ363" s="393"/>
      <c r="PLK363" s="398"/>
      <c r="PLL363" s="393"/>
      <c r="PLM363" s="398"/>
      <c r="PLN363" s="393"/>
      <c r="PLO363" s="398"/>
      <c r="PLP363" s="393"/>
      <c r="PLQ363" s="398"/>
      <c r="PLR363" s="393"/>
      <c r="PLS363" s="398"/>
      <c r="PLT363" s="393"/>
      <c r="PLU363" s="398"/>
      <c r="PLV363" s="393"/>
      <c r="PLW363" s="398"/>
      <c r="PLX363" s="393"/>
      <c r="PLY363" s="398"/>
      <c r="PLZ363" s="393"/>
      <c r="PMA363" s="398"/>
      <c r="PMB363" s="393"/>
      <c r="PMC363" s="398"/>
      <c r="PMD363" s="393"/>
      <c r="PME363" s="398"/>
      <c r="PMF363" s="393"/>
      <c r="PMG363" s="398"/>
      <c r="PMH363" s="393"/>
      <c r="PMI363" s="398"/>
      <c r="PMJ363" s="393"/>
      <c r="PMK363" s="398"/>
      <c r="PML363" s="393"/>
      <c r="PMM363" s="398"/>
      <c r="PMN363" s="393"/>
      <c r="PMO363" s="398"/>
      <c r="PMP363" s="393"/>
      <c r="PMQ363" s="398"/>
      <c r="PMR363" s="393"/>
      <c r="PMS363" s="398"/>
      <c r="PMT363" s="393"/>
      <c r="PMU363" s="398"/>
      <c r="PMV363" s="393"/>
      <c r="PMW363" s="398"/>
      <c r="PMX363" s="393"/>
      <c r="PMY363" s="398"/>
      <c r="PMZ363" s="393"/>
      <c r="PNA363" s="398"/>
      <c r="PNB363" s="393"/>
      <c r="PNC363" s="398"/>
      <c r="PND363" s="393"/>
      <c r="PNE363" s="398"/>
      <c r="PNF363" s="393"/>
      <c r="PNG363" s="398"/>
      <c r="PNH363" s="393"/>
      <c r="PNI363" s="398"/>
      <c r="PNJ363" s="393"/>
      <c r="PNK363" s="398"/>
      <c r="PNL363" s="393"/>
      <c r="PNM363" s="398"/>
      <c r="PNN363" s="393"/>
      <c r="PNO363" s="398"/>
      <c r="PNP363" s="393"/>
      <c r="PNQ363" s="398"/>
      <c r="PNR363" s="393"/>
      <c r="PNS363" s="398"/>
      <c r="PNT363" s="393"/>
      <c r="PNU363" s="398"/>
      <c r="PNV363" s="393"/>
      <c r="PNW363" s="398"/>
      <c r="PNX363" s="393"/>
      <c r="PNY363" s="398"/>
      <c r="PNZ363" s="393"/>
      <c r="POA363" s="398"/>
      <c r="POB363" s="393"/>
      <c r="POC363" s="398"/>
      <c r="POD363" s="393"/>
      <c r="POE363" s="398"/>
      <c r="POF363" s="393"/>
      <c r="POG363" s="398"/>
      <c r="POH363" s="393"/>
      <c r="POI363" s="398"/>
      <c r="POJ363" s="393"/>
      <c r="POK363" s="398"/>
      <c r="POL363" s="393"/>
      <c r="POM363" s="398"/>
      <c r="PON363" s="393"/>
      <c r="POO363" s="398"/>
      <c r="POP363" s="393"/>
      <c r="POQ363" s="398"/>
      <c r="POR363" s="393"/>
      <c r="POS363" s="398"/>
      <c r="POT363" s="393"/>
      <c r="POU363" s="398"/>
      <c r="POV363" s="393"/>
      <c r="POW363" s="398"/>
      <c r="POX363" s="393"/>
      <c r="POY363" s="398"/>
      <c r="POZ363" s="393"/>
      <c r="PPA363" s="398"/>
      <c r="PPB363" s="393"/>
      <c r="PPC363" s="398"/>
      <c r="PPD363" s="393"/>
      <c r="PPE363" s="398"/>
      <c r="PPF363" s="393"/>
      <c r="PPG363" s="398"/>
      <c r="PPH363" s="393"/>
      <c r="PPI363" s="398"/>
      <c r="PPJ363" s="393"/>
      <c r="PPK363" s="398"/>
      <c r="PPL363" s="393"/>
      <c r="PPM363" s="398"/>
      <c r="PPN363" s="393"/>
      <c r="PPO363" s="398"/>
      <c r="PPP363" s="393"/>
      <c r="PPQ363" s="398"/>
      <c r="PPR363" s="393"/>
      <c r="PPS363" s="398"/>
      <c r="PPT363" s="393"/>
      <c r="PPU363" s="398"/>
      <c r="PPV363" s="393"/>
      <c r="PPW363" s="398"/>
      <c r="PPX363" s="393"/>
      <c r="PPY363" s="398"/>
      <c r="PPZ363" s="393"/>
      <c r="PQA363" s="398"/>
      <c r="PQB363" s="393"/>
      <c r="PQC363" s="398"/>
      <c r="PQD363" s="393"/>
      <c r="PQE363" s="398"/>
      <c r="PQF363" s="393"/>
      <c r="PQG363" s="398"/>
      <c r="PQH363" s="393"/>
      <c r="PQI363" s="398"/>
      <c r="PQJ363" s="393"/>
      <c r="PQK363" s="398"/>
      <c r="PQL363" s="393"/>
      <c r="PQM363" s="398"/>
      <c r="PQN363" s="393"/>
      <c r="PQO363" s="398"/>
      <c r="PQP363" s="393"/>
      <c r="PQQ363" s="398"/>
      <c r="PQR363" s="393"/>
      <c r="PQS363" s="398"/>
      <c r="PQT363" s="393"/>
      <c r="PQU363" s="398"/>
      <c r="PQV363" s="393"/>
      <c r="PQW363" s="398"/>
      <c r="PQX363" s="393"/>
      <c r="PQY363" s="398"/>
      <c r="PQZ363" s="393"/>
      <c r="PRA363" s="398"/>
      <c r="PRB363" s="393"/>
      <c r="PRC363" s="398"/>
      <c r="PRD363" s="393"/>
      <c r="PRE363" s="398"/>
      <c r="PRF363" s="393"/>
      <c r="PRG363" s="398"/>
      <c r="PRH363" s="393"/>
      <c r="PRI363" s="398"/>
      <c r="PRJ363" s="393"/>
      <c r="PRK363" s="398"/>
      <c r="PRL363" s="393"/>
      <c r="PRM363" s="398"/>
      <c r="PRN363" s="393"/>
      <c r="PRO363" s="398"/>
      <c r="PRP363" s="393"/>
      <c r="PRQ363" s="398"/>
      <c r="PRR363" s="393"/>
      <c r="PRS363" s="398"/>
      <c r="PRT363" s="393"/>
      <c r="PRU363" s="398"/>
      <c r="PRV363" s="393"/>
      <c r="PRW363" s="398"/>
      <c r="PRX363" s="393"/>
      <c r="PRY363" s="398"/>
      <c r="PRZ363" s="393"/>
      <c r="PSA363" s="398"/>
      <c r="PSB363" s="393"/>
      <c r="PSC363" s="398"/>
      <c r="PSD363" s="393"/>
      <c r="PSE363" s="398"/>
      <c r="PSF363" s="393"/>
      <c r="PSG363" s="398"/>
      <c r="PSH363" s="393"/>
      <c r="PSI363" s="398"/>
      <c r="PSJ363" s="393"/>
      <c r="PSK363" s="398"/>
      <c r="PSL363" s="393"/>
      <c r="PSM363" s="398"/>
      <c r="PSN363" s="393"/>
      <c r="PSO363" s="398"/>
      <c r="PSP363" s="393"/>
      <c r="PSQ363" s="398"/>
      <c r="PSR363" s="393"/>
      <c r="PSS363" s="398"/>
      <c r="PST363" s="393"/>
      <c r="PSU363" s="398"/>
      <c r="PSV363" s="393"/>
      <c r="PSW363" s="398"/>
      <c r="PSX363" s="393"/>
      <c r="PSY363" s="398"/>
      <c r="PSZ363" s="393"/>
      <c r="PTA363" s="398"/>
      <c r="PTB363" s="393"/>
      <c r="PTC363" s="398"/>
      <c r="PTD363" s="393"/>
      <c r="PTE363" s="398"/>
      <c r="PTF363" s="393"/>
      <c r="PTG363" s="398"/>
      <c r="PTH363" s="393"/>
      <c r="PTI363" s="398"/>
      <c r="PTJ363" s="393"/>
      <c r="PTK363" s="398"/>
      <c r="PTL363" s="393"/>
      <c r="PTM363" s="398"/>
      <c r="PTN363" s="393"/>
      <c r="PTO363" s="398"/>
      <c r="PTP363" s="393"/>
      <c r="PTQ363" s="398"/>
      <c r="PTR363" s="393"/>
      <c r="PTS363" s="398"/>
      <c r="PTT363" s="393"/>
      <c r="PTU363" s="398"/>
      <c r="PTV363" s="393"/>
      <c r="PTW363" s="398"/>
      <c r="PTX363" s="393"/>
      <c r="PTY363" s="398"/>
      <c r="PTZ363" s="393"/>
      <c r="PUA363" s="398"/>
      <c r="PUB363" s="393"/>
      <c r="PUC363" s="398"/>
      <c r="PUD363" s="393"/>
      <c r="PUE363" s="398"/>
      <c r="PUF363" s="393"/>
      <c r="PUG363" s="398"/>
      <c r="PUH363" s="393"/>
      <c r="PUI363" s="398"/>
      <c r="PUJ363" s="393"/>
      <c r="PUK363" s="398"/>
      <c r="PUL363" s="393"/>
      <c r="PUM363" s="398"/>
      <c r="PUN363" s="393"/>
      <c r="PUO363" s="398"/>
      <c r="PUP363" s="393"/>
      <c r="PUQ363" s="398"/>
      <c r="PUR363" s="393"/>
      <c r="PUS363" s="398"/>
      <c r="PUT363" s="393"/>
      <c r="PUU363" s="398"/>
      <c r="PUV363" s="393"/>
      <c r="PUW363" s="398"/>
      <c r="PUX363" s="393"/>
      <c r="PUY363" s="398"/>
      <c r="PUZ363" s="393"/>
      <c r="PVA363" s="398"/>
      <c r="PVB363" s="393"/>
      <c r="PVC363" s="398"/>
      <c r="PVD363" s="393"/>
      <c r="PVE363" s="398"/>
      <c r="PVF363" s="393"/>
      <c r="PVG363" s="398"/>
      <c r="PVH363" s="393"/>
      <c r="PVI363" s="398"/>
      <c r="PVJ363" s="393"/>
      <c r="PVK363" s="398"/>
      <c r="PVL363" s="393"/>
      <c r="PVM363" s="398"/>
      <c r="PVN363" s="393"/>
      <c r="PVO363" s="398"/>
      <c r="PVP363" s="393"/>
      <c r="PVQ363" s="398"/>
      <c r="PVR363" s="393"/>
      <c r="PVS363" s="398"/>
      <c r="PVT363" s="393"/>
      <c r="PVU363" s="398"/>
      <c r="PVV363" s="393"/>
      <c r="PVW363" s="398"/>
      <c r="PVX363" s="393"/>
      <c r="PVY363" s="398"/>
      <c r="PVZ363" s="393"/>
      <c r="PWA363" s="398"/>
      <c r="PWB363" s="393"/>
      <c r="PWC363" s="398"/>
      <c r="PWD363" s="393"/>
      <c r="PWE363" s="398"/>
      <c r="PWF363" s="393"/>
      <c r="PWG363" s="398"/>
      <c r="PWH363" s="393"/>
      <c r="PWI363" s="398"/>
      <c r="PWJ363" s="393"/>
      <c r="PWK363" s="398"/>
      <c r="PWL363" s="393"/>
      <c r="PWM363" s="398"/>
      <c r="PWN363" s="393"/>
      <c r="PWO363" s="398"/>
      <c r="PWP363" s="393"/>
      <c r="PWQ363" s="398"/>
      <c r="PWR363" s="393"/>
      <c r="PWS363" s="398"/>
      <c r="PWT363" s="393"/>
      <c r="PWU363" s="398"/>
      <c r="PWV363" s="393"/>
      <c r="PWW363" s="398"/>
      <c r="PWX363" s="393"/>
      <c r="PWY363" s="398"/>
      <c r="PWZ363" s="393"/>
      <c r="PXA363" s="398"/>
      <c r="PXB363" s="393"/>
      <c r="PXC363" s="398"/>
      <c r="PXD363" s="393"/>
      <c r="PXE363" s="398"/>
      <c r="PXF363" s="393"/>
      <c r="PXG363" s="398"/>
      <c r="PXH363" s="393"/>
      <c r="PXI363" s="398"/>
      <c r="PXJ363" s="393"/>
      <c r="PXK363" s="398"/>
      <c r="PXL363" s="393"/>
      <c r="PXM363" s="398"/>
      <c r="PXN363" s="393"/>
      <c r="PXO363" s="398"/>
      <c r="PXP363" s="393"/>
      <c r="PXQ363" s="398"/>
      <c r="PXR363" s="393"/>
      <c r="PXS363" s="398"/>
      <c r="PXT363" s="393"/>
      <c r="PXU363" s="398"/>
      <c r="PXV363" s="393"/>
      <c r="PXW363" s="398"/>
      <c r="PXX363" s="393"/>
      <c r="PXY363" s="398"/>
      <c r="PXZ363" s="393"/>
      <c r="PYA363" s="398"/>
      <c r="PYB363" s="393"/>
      <c r="PYC363" s="398"/>
      <c r="PYD363" s="393"/>
      <c r="PYE363" s="398"/>
      <c r="PYF363" s="393"/>
      <c r="PYG363" s="398"/>
      <c r="PYH363" s="393"/>
      <c r="PYI363" s="398"/>
      <c r="PYJ363" s="393"/>
      <c r="PYK363" s="398"/>
      <c r="PYL363" s="393"/>
      <c r="PYM363" s="398"/>
      <c r="PYN363" s="393"/>
      <c r="PYO363" s="398"/>
      <c r="PYP363" s="393"/>
      <c r="PYQ363" s="398"/>
      <c r="PYR363" s="393"/>
      <c r="PYS363" s="398"/>
      <c r="PYT363" s="393"/>
      <c r="PYU363" s="398"/>
      <c r="PYV363" s="393"/>
      <c r="PYW363" s="398"/>
      <c r="PYX363" s="393"/>
      <c r="PYY363" s="398"/>
      <c r="PYZ363" s="393"/>
      <c r="PZA363" s="398"/>
      <c r="PZB363" s="393"/>
      <c r="PZC363" s="398"/>
      <c r="PZD363" s="393"/>
      <c r="PZE363" s="398"/>
      <c r="PZF363" s="393"/>
      <c r="PZG363" s="398"/>
      <c r="PZH363" s="393"/>
      <c r="PZI363" s="398"/>
      <c r="PZJ363" s="393"/>
      <c r="PZK363" s="398"/>
      <c r="PZL363" s="393"/>
      <c r="PZM363" s="398"/>
      <c r="PZN363" s="393"/>
      <c r="PZO363" s="398"/>
      <c r="PZP363" s="393"/>
      <c r="PZQ363" s="398"/>
      <c r="PZR363" s="393"/>
      <c r="PZS363" s="398"/>
      <c r="PZT363" s="393"/>
      <c r="PZU363" s="398"/>
      <c r="PZV363" s="393"/>
      <c r="PZW363" s="398"/>
      <c r="PZX363" s="393"/>
      <c r="PZY363" s="398"/>
      <c r="PZZ363" s="393"/>
      <c r="QAA363" s="398"/>
      <c r="QAB363" s="393"/>
      <c r="QAC363" s="398"/>
      <c r="QAD363" s="393"/>
      <c r="QAE363" s="398"/>
      <c r="QAF363" s="393"/>
      <c r="QAG363" s="398"/>
      <c r="QAH363" s="393"/>
      <c r="QAI363" s="398"/>
      <c r="QAJ363" s="393"/>
      <c r="QAK363" s="398"/>
      <c r="QAL363" s="393"/>
      <c r="QAM363" s="398"/>
      <c r="QAN363" s="393"/>
      <c r="QAO363" s="398"/>
      <c r="QAP363" s="393"/>
      <c r="QAQ363" s="398"/>
      <c r="QAR363" s="393"/>
      <c r="QAS363" s="398"/>
      <c r="QAT363" s="393"/>
      <c r="QAU363" s="398"/>
      <c r="QAV363" s="393"/>
      <c r="QAW363" s="398"/>
      <c r="QAX363" s="393"/>
      <c r="QAY363" s="398"/>
      <c r="QAZ363" s="393"/>
      <c r="QBA363" s="398"/>
      <c r="QBB363" s="393"/>
      <c r="QBC363" s="398"/>
      <c r="QBD363" s="393"/>
      <c r="QBE363" s="398"/>
      <c r="QBF363" s="393"/>
      <c r="QBG363" s="398"/>
      <c r="QBH363" s="393"/>
      <c r="QBI363" s="398"/>
      <c r="QBJ363" s="393"/>
      <c r="QBK363" s="398"/>
      <c r="QBL363" s="393"/>
      <c r="QBM363" s="398"/>
      <c r="QBN363" s="393"/>
      <c r="QBO363" s="398"/>
      <c r="QBP363" s="393"/>
      <c r="QBQ363" s="398"/>
      <c r="QBR363" s="393"/>
      <c r="QBS363" s="398"/>
      <c r="QBT363" s="393"/>
      <c r="QBU363" s="398"/>
      <c r="QBV363" s="393"/>
      <c r="QBW363" s="398"/>
      <c r="QBX363" s="393"/>
      <c r="QBY363" s="398"/>
      <c r="QBZ363" s="393"/>
      <c r="QCA363" s="398"/>
      <c r="QCB363" s="393"/>
      <c r="QCC363" s="398"/>
      <c r="QCD363" s="393"/>
      <c r="QCE363" s="398"/>
      <c r="QCF363" s="393"/>
      <c r="QCG363" s="398"/>
      <c r="QCH363" s="393"/>
      <c r="QCI363" s="398"/>
      <c r="QCJ363" s="393"/>
      <c r="QCK363" s="398"/>
      <c r="QCL363" s="393"/>
      <c r="QCM363" s="398"/>
      <c r="QCN363" s="393"/>
      <c r="QCO363" s="398"/>
      <c r="QCP363" s="393"/>
      <c r="QCQ363" s="398"/>
      <c r="QCR363" s="393"/>
      <c r="QCS363" s="398"/>
      <c r="QCT363" s="393"/>
      <c r="QCU363" s="398"/>
      <c r="QCV363" s="393"/>
      <c r="QCW363" s="398"/>
      <c r="QCX363" s="393"/>
      <c r="QCY363" s="398"/>
      <c r="QCZ363" s="393"/>
      <c r="QDA363" s="398"/>
      <c r="QDB363" s="393"/>
      <c r="QDC363" s="398"/>
      <c r="QDD363" s="393"/>
      <c r="QDE363" s="398"/>
      <c r="QDF363" s="393"/>
      <c r="QDG363" s="398"/>
      <c r="QDH363" s="393"/>
      <c r="QDI363" s="398"/>
      <c r="QDJ363" s="393"/>
      <c r="QDK363" s="398"/>
      <c r="QDL363" s="393"/>
      <c r="QDM363" s="398"/>
      <c r="QDN363" s="393"/>
      <c r="QDO363" s="398"/>
      <c r="QDP363" s="393"/>
      <c r="QDQ363" s="398"/>
      <c r="QDR363" s="393"/>
      <c r="QDS363" s="398"/>
      <c r="QDT363" s="393"/>
      <c r="QDU363" s="398"/>
      <c r="QDV363" s="393"/>
      <c r="QDW363" s="398"/>
      <c r="QDX363" s="393"/>
      <c r="QDY363" s="398"/>
      <c r="QDZ363" s="393"/>
      <c r="QEA363" s="398"/>
      <c r="QEB363" s="393"/>
      <c r="QEC363" s="398"/>
      <c r="QED363" s="393"/>
      <c r="QEE363" s="398"/>
      <c r="QEF363" s="393"/>
      <c r="QEG363" s="398"/>
      <c r="QEH363" s="393"/>
      <c r="QEI363" s="398"/>
      <c r="QEJ363" s="393"/>
      <c r="QEK363" s="398"/>
      <c r="QEL363" s="393"/>
      <c r="QEM363" s="398"/>
      <c r="QEN363" s="393"/>
      <c r="QEO363" s="398"/>
      <c r="QEP363" s="393"/>
      <c r="QEQ363" s="398"/>
      <c r="QER363" s="393"/>
      <c r="QES363" s="398"/>
      <c r="QET363" s="393"/>
      <c r="QEU363" s="398"/>
      <c r="QEV363" s="393"/>
      <c r="QEW363" s="398"/>
      <c r="QEX363" s="393"/>
      <c r="QEY363" s="398"/>
      <c r="QEZ363" s="393"/>
      <c r="QFA363" s="398"/>
      <c r="QFB363" s="393"/>
      <c r="QFC363" s="398"/>
      <c r="QFD363" s="393"/>
      <c r="QFE363" s="398"/>
      <c r="QFF363" s="393"/>
      <c r="QFG363" s="398"/>
      <c r="QFH363" s="393"/>
      <c r="QFI363" s="398"/>
      <c r="QFJ363" s="393"/>
      <c r="QFK363" s="398"/>
      <c r="QFL363" s="393"/>
      <c r="QFM363" s="398"/>
      <c r="QFN363" s="393"/>
      <c r="QFO363" s="398"/>
      <c r="QFP363" s="393"/>
      <c r="QFQ363" s="398"/>
      <c r="QFR363" s="393"/>
      <c r="QFS363" s="398"/>
      <c r="QFT363" s="393"/>
      <c r="QFU363" s="398"/>
      <c r="QFV363" s="393"/>
      <c r="QFW363" s="398"/>
      <c r="QFX363" s="393"/>
      <c r="QFY363" s="398"/>
      <c r="QFZ363" s="393"/>
      <c r="QGA363" s="398"/>
      <c r="QGB363" s="393"/>
      <c r="QGC363" s="398"/>
      <c r="QGD363" s="393"/>
      <c r="QGE363" s="398"/>
      <c r="QGF363" s="393"/>
      <c r="QGG363" s="398"/>
      <c r="QGH363" s="393"/>
      <c r="QGI363" s="398"/>
      <c r="QGJ363" s="393"/>
      <c r="QGK363" s="398"/>
      <c r="QGL363" s="393"/>
      <c r="QGM363" s="398"/>
      <c r="QGN363" s="393"/>
      <c r="QGO363" s="398"/>
      <c r="QGP363" s="393"/>
      <c r="QGQ363" s="398"/>
      <c r="QGR363" s="393"/>
      <c r="QGS363" s="398"/>
      <c r="QGT363" s="393"/>
      <c r="QGU363" s="398"/>
      <c r="QGV363" s="393"/>
      <c r="QGW363" s="398"/>
      <c r="QGX363" s="393"/>
      <c r="QGY363" s="398"/>
      <c r="QGZ363" s="393"/>
      <c r="QHA363" s="398"/>
      <c r="QHB363" s="393"/>
      <c r="QHC363" s="398"/>
      <c r="QHD363" s="393"/>
      <c r="QHE363" s="398"/>
      <c r="QHF363" s="393"/>
      <c r="QHG363" s="398"/>
      <c r="QHH363" s="393"/>
      <c r="QHI363" s="398"/>
      <c r="QHJ363" s="393"/>
      <c r="QHK363" s="398"/>
      <c r="QHL363" s="393"/>
      <c r="QHM363" s="398"/>
      <c r="QHN363" s="393"/>
      <c r="QHO363" s="398"/>
      <c r="QHP363" s="393"/>
      <c r="QHQ363" s="398"/>
      <c r="QHR363" s="393"/>
      <c r="QHS363" s="398"/>
      <c r="QHT363" s="393"/>
      <c r="QHU363" s="398"/>
      <c r="QHV363" s="393"/>
      <c r="QHW363" s="398"/>
      <c r="QHX363" s="393"/>
      <c r="QHY363" s="398"/>
      <c r="QHZ363" s="393"/>
      <c r="QIA363" s="398"/>
      <c r="QIB363" s="393"/>
      <c r="QIC363" s="398"/>
      <c r="QID363" s="393"/>
      <c r="QIE363" s="398"/>
      <c r="QIF363" s="393"/>
      <c r="QIG363" s="398"/>
      <c r="QIH363" s="393"/>
      <c r="QII363" s="398"/>
      <c r="QIJ363" s="393"/>
      <c r="QIK363" s="398"/>
      <c r="QIL363" s="393"/>
      <c r="QIM363" s="398"/>
      <c r="QIN363" s="393"/>
      <c r="QIO363" s="398"/>
      <c r="QIP363" s="393"/>
      <c r="QIQ363" s="398"/>
      <c r="QIR363" s="393"/>
      <c r="QIS363" s="398"/>
      <c r="QIT363" s="393"/>
      <c r="QIU363" s="398"/>
      <c r="QIV363" s="393"/>
      <c r="QIW363" s="398"/>
      <c r="QIX363" s="393"/>
      <c r="QIY363" s="398"/>
      <c r="QIZ363" s="393"/>
      <c r="QJA363" s="398"/>
      <c r="QJB363" s="393"/>
      <c r="QJC363" s="398"/>
      <c r="QJD363" s="393"/>
      <c r="QJE363" s="398"/>
      <c r="QJF363" s="393"/>
      <c r="QJG363" s="398"/>
      <c r="QJH363" s="393"/>
      <c r="QJI363" s="398"/>
      <c r="QJJ363" s="393"/>
      <c r="QJK363" s="398"/>
      <c r="QJL363" s="393"/>
      <c r="QJM363" s="398"/>
      <c r="QJN363" s="393"/>
      <c r="QJO363" s="398"/>
      <c r="QJP363" s="393"/>
      <c r="QJQ363" s="398"/>
      <c r="QJR363" s="393"/>
      <c r="QJS363" s="398"/>
      <c r="QJT363" s="393"/>
      <c r="QJU363" s="398"/>
      <c r="QJV363" s="393"/>
      <c r="QJW363" s="398"/>
      <c r="QJX363" s="393"/>
      <c r="QJY363" s="398"/>
      <c r="QJZ363" s="393"/>
      <c r="QKA363" s="398"/>
      <c r="QKB363" s="393"/>
      <c r="QKC363" s="398"/>
      <c r="QKD363" s="393"/>
      <c r="QKE363" s="398"/>
      <c r="QKF363" s="393"/>
      <c r="QKG363" s="398"/>
      <c r="QKH363" s="393"/>
      <c r="QKI363" s="398"/>
      <c r="QKJ363" s="393"/>
      <c r="QKK363" s="398"/>
      <c r="QKL363" s="393"/>
      <c r="QKM363" s="398"/>
      <c r="QKN363" s="393"/>
      <c r="QKO363" s="398"/>
      <c r="QKP363" s="393"/>
      <c r="QKQ363" s="398"/>
      <c r="QKR363" s="393"/>
      <c r="QKS363" s="398"/>
      <c r="QKT363" s="393"/>
      <c r="QKU363" s="398"/>
      <c r="QKV363" s="393"/>
      <c r="QKW363" s="398"/>
      <c r="QKX363" s="393"/>
      <c r="QKY363" s="398"/>
      <c r="QKZ363" s="393"/>
      <c r="QLA363" s="398"/>
      <c r="QLB363" s="393"/>
      <c r="QLC363" s="398"/>
      <c r="QLD363" s="393"/>
      <c r="QLE363" s="398"/>
      <c r="QLF363" s="393"/>
      <c r="QLG363" s="398"/>
      <c r="QLH363" s="393"/>
      <c r="QLI363" s="398"/>
      <c r="QLJ363" s="393"/>
      <c r="QLK363" s="398"/>
      <c r="QLL363" s="393"/>
      <c r="QLM363" s="398"/>
      <c r="QLN363" s="393"/>
      <c r="QLO363" s="398"/>
      <c r="QLP363" s="393"/>
      <c r="QLQ363" s="398"/>
      <c r="QLR363" s="393"/>
      <c r="QLS363" s="398"/>
      <c r="QLT363" s="393"/>
      <c r="QLU363" s="398"/>
      <c r="QLV363" s="393"/>
      <c r="QLW363" s="398"/>
      <c r="QLX363" s="393"/>
      <c r="QLY363" s="398"/>
      <c r="QLZ363" s="393"/>
      <c r="QMA363" s="398"/>
      <c r="QMB363" s="393"/>
      <c r="QMC363" s="398"/>
      <c r="QMD363" s="393"/>
      <c r="QME363" s="398"/>
      <c r="QMF363" s="393"/>
      <c r="QMG363" s="398"/>
      <c r="QMH363" s="393"/>
      <c r="QMI363" s="398"/>
      <c r="QMJ363" s="393"/>
      <c r="QMK363" s="398"/>
      <c r="QML363" s="393"/>
      <c r="QMM363" s="398"/>
      <c r="QMN363" s="393"/>
      <c r="QMO363" s="398"/>
      <c r="QMP363" s="393"/>
      <c r="QMQ363" s="398"/>
      <c r="QMR363" s="393"/>
      <c r="QMS363" s="398"/>
      <c r="QMT363" s="393"/>
      <c r="QMU363" s="398"/>
      <c r="QMV363" s="393"/>
      <c r="QMW363" s="398"/>
      <c r="QMX363" s="393"/>
      <c r="QMY363" s="398"/>
      <c r="QMZ363" s="393"/>
      <c r="QNA363" s="398"/>
      <c r="QNB363" s="393"/>
      <c r="QNC363" s="398"/>
      <c r="QND363" s="393"/>
      <c r="QNE363" s="398"/>
      <c r="QNF363" s="393"/>
      <c r="QNG363" s="398"/>
      <c r="QNH363" s="393"/>
      <c r="QNI363" s="398"/>
      <c r="QNJ363" s="393"/>
      <c r="QNK363" s="398"/>
      <c r="QNL363" s="393"/>
      <c r="QNM363" s="398"/>
      <c r="QNN363" s="393"/>
      <c r="QNO363" s="398"/>
      <c r="QNP363" s="393"/>
      <c r="QNQ363" s="398"/>
      <c r="QNR363" s="393"/>
      <c r="QNS363" s="398"/>
      <c r="QNT363" s="393"/>
      <c r="QNU363" s="398"/>
      <c r="QNV363" s="393"/>
      <c r="QNW363" s="398"/>
      <c r="QNX363" s="393"/>
      <c r="QNY363" s="398"/>
      <c r="QNZ363" s="393"/>
      <c r="QOA363" s="398"/>
      <c r="QOB363" s="393"/>
      <c r="QOC363" s="398"/>
      <c r="QOD363" s="393"/>
      <c r="QOE363" s="398"/>
      <c r="QOF363" s="393"/>
      <c r="QOG363" s="398"/>
      <c r="QOH363" s="393"/>
      <c r="QOI363" s="398"/>
      <c r="QOJ363" s="393"/>
      <c r="QOK363" s="398"/>
      <c r="QOL363" s="393"/>
      <c r="QOM363" s="398"/>
      <c r="QON363" s="393"/>
      <c r="QOO363" s="398"/>
      <c r="QOP363" s="393"/>
      <c r="QOQ363" s="398"/>
      <c r="QOR363" s="393"/>
      <c r="QOS363" s="398"/>
      <c r="QOT363" s="393"/>
      <c r="QOU363" s="398"/>
      <c r="QOV363" s="393"/>
      <c r="QOW363" s="398"/>
      <c r="QOX363" s="393"/>
      <c r="QOY363" s="398"/>
      <c r="QOZ363" s="393"/>
      <c r="QPA363" s="398"/>
      <c r="QPB363" s="393"/>
      <c r="QPC363" s="398"/>
      <c r="QPD363" s="393"/>
      <c r="QPE363" s="398"/>
      <c r="QPF363" s="393"/>
      <c r="QPG363" s="398"/>
      <c r="QPH363" s="393"/>
      <c r="QPI363" s="398"/>
      <c r="QPJ363" s="393"/>
      <c r="QPK363" s="398"/>
      <c r="QPL363" s="393"/>
      <c r="QPM363" s="398"/>
      <c r="QPN363" s="393"/>
      <c r="QPO363" s="398"/>
      <c r="QPP363" s="393"/>
      <c r="QPQ363" s="398"/>
      <c r="QPR363" s="393"/>
      <c r="QPS363" s="398"/>
      <c r="QPT363" s="393"/>
      <c r="QPU363" s="398"/>
      <c r="QPV363" s="393"/>
      <c r="QPW363" s="398"/>
      <c r="QPX363" s="393"/>
      <c r="QPY363" s="398"/>
      <c r="QPZ363" s="393"/>
      <c r="QQA363" s="398"/>
      <c r="QQB363" s="393"/>
      <c r="QQC363" s="398"/>
      <c r="QQD363" s="393"/>
      <c r="QQE363" s="398"/>
      <c r="QQF363" s="393"/>
      <c r="QQG363" s="398"/>
      <c r="QQH363" s="393"/>
      <c r="QQI363" s="398"/>
      <c r="QQJ363" s="393"/>
      <c r="QQK363" s="398"/>
      <c r="QQL363" s="393"/>
      <c r="QQM363" s="398"/>
      <c r="QQN363" s="393"/>
      <c r="QQO363" s="398"/>
      <c r="QQP363" s="393"/>
      <c r="QQQ363" s="398"/>
      <c r="QQR363" s="393"/>
      <c r="QQS363" s="398"/>
      <c r="QQT363" s="393"/>
      <c r="QQU363" s="398"/>
      <c r="QQV363" s="393"/>
      <c r="QQW363" s="398"/>
      <c r="QQX363" s="393"/>
      <c r="QQY363" s="398"/>
      <c r="QQZ363" s="393"/>
      <c r="QRA363" s="398"/>
      <c r="QRB363" s="393"/>
      <c r="QRC363" s="398"/>
      <c r="QRD363" s="393"/>
      <c r="QRE363" s="398"/>
      <c r="QRF363" s="393"/>
      <c r="QRG363" s="398"/>
      <c r="QRH363" s="393"/>
      <c r="QRI363" s="398"/>
      <c r="QRJ363" s="393"/>
      <c r="QRK363" s="398"/>
      <c r="QRL363" s="393"/>
      <c r="QRM363" s="398"/>
      <c r="QRN363" s="393"/>
      <c r="QRO363" s="398"/>
      <c r="QRP363" s="393"/>
      <c r="QRQ363" s="398"/>
      <c r="QRR363" s="393"/>
      <c r="QRS363" s="398"/>
      <c r="QRT363" s="393"/>
      <c r="QRU363" s="398"/>
      <c r="QRV363" s="393"/>
      <c r="QRW363" s="398"/>
      <c r="QRX363" s="393"/>
      <c r="QRY363" s="398"/>
      <c r="QRZ363" s="393"/>
      <c r="QSA363" s="398"/>
      <c r="QSB363" s="393"/>
      <c r="QSC363" s="398"/>
      <c r="QSD363" s="393"/>
      <c r="QSE363" s="398"/>
      <c r="QSF363" s="393"/>
      <c r="QSG363" s="398"/>
      <c r="QSH363" s="393"/>
      <c r="QSI363" s="398"/>
      <c r="QSJ363" s="393"/>
      <c r="QSK363" s="398"/>
      <c r="QSL363" s="393"/>
      <c r="QSM363" s="398"/>
      <c r="QSN363" s="393"/>
      <c r="QSO363" s="398"/>
      <c r="QSP363" s="393"/>
      <c r="QSQ363" s="398"/>
      <c r="QSR363" s="393"/>
      <c r="QSS363" s="398"/>
      <c r="QST363" s="393"/>
      <c r="QSU363" s="398"/>
      <c r="QSV363" s="393"/>
      <c r="QSW363" s="398"/>
      <c r="QSX363" s="393"/>
      <c r="QSY363" s="398"/>
      <c r="QSZ363" s="393"/>
      <c r="QTA363" s="398"/>
      <c r="QTB363" s="393"/>
      <c r="QTC363" s="398"/>
      <c r="QTD363" s="393"/>
      <c r="QTE363" s="398"/>
      <c r="QTF363" s="393"/>
      <c r="QTG363" s="398"/>
      <c r="QTH363" s="393"/>
      <c r="QTI363" s="398"/>
      <c r="QTJ363" s="393"/>
      <c r="QTK363" s="398"/>
      <c r="QTL363" s="393"/>
      <c r="QTM363" s="398"/>
      <c r="QTN363" s="393"/>
      <c r="QTO363" s="398"/>
      <c r="QTP363" s="393"/>
      <c r="QTQ363" s="398"/>
      <c r="QTR363" s="393"/>
      <c r="QTS363" s="398"/>
      <c r="QTT363" s="393"/>
      <c r="QTU363" s="398"/>
      <c r="QTV363" s="393"/>
      <c r="QTW363" s="398"/>
      <c r="QTX363" s="393"/>
      <c r="QTY363" s="398"/>
      <c r="QTZ363" s="393"/>
      <c r="QUA363" s="398"/>
      <c r="QUB363" s="393"/>
      <c r="QUC363" s="398"/>
      <c r="QUD363" s="393"/>
      <c r="QUE363" s="398"/>
      <c r="QUF363" s="393"/>
      <c r="QUG363" s="398"/>
      <c r="QUH363" s="393"/>
      <c r="QUI363" s="398"/>
      <c r="QUJ363" s="393"/>
      <c r="QUK363" s="398"/>
      <c r="QUL363" s="393"/>
      <c r="QUM363" s="398"/>
      <c r="QUN363" s="393"/>
      <c r="QUO363" s="398"/>
      <c r="QUP363" s="393"/>
      <c r="QUQ363" s="398"/>
      <c r="QUR363" s="393"/>
      <c r="QUS363" s="398"/>
      <c r="QUT363" s="393"/>
      <c r="QUU363" s="398"/>
      <c r="QUV363" s="393"/>
      <c r="QUW363" s="398"/>
      <c r="QUX363" s="393"/>
      <c r="QUY363" s="398"/>
      <c r="QUZ363" s="393"/>
      <c r="QVA363" s="398"/>
      <c r="QVB363" s="393"/>
      <c r="QVC363" s="398"/>
      <c r="QVD363" s="393"/>
      <c r="QVE363" s="398"/>
      <c r="QVF363" s="393"/>
      <c r="QVG363" s="398"/>
      <c r="QVH363" s="393"/>
      <c r="QVI363" s="398"/>
      <c r="QVJ363" s="393"/>
      <c r="QVK363" s="398"/>
      <c r="QVL363" s="393"/>
      <c r="QVM363" s="398"/>
      <c r="QVN363" s="393"/>
      <c r="QVO363" s="398"/>
      <c r="QVP363" s="393"/>
      <c r="QVQ363" s="398"/>
      <c r="QVR363" s="393"/>
      <c r="QVS363" s="398"/>
      <c r="QVT363" s="393"/>
      <c r="QVU363" s="398"/>
      <c r="QVV363" s="393"/>
      <c r="QVW363" s="398"/>
      <c r="QVX363" s="393"/>
      <c r="QVY363" s="398"/>
      <c r="QVZ363" s="393"/>
      <c r="QWA363" s="398"/>
      <c r="QWB363" s="393"/>
      <c r="QWC363" s="398"/>
      <c r="QWD363" s="393"/>
      <c r="QWE363" s="398"/>
      <c r="QWF363" s="393"/>
      <c r="QWG363" s="398"/>
      <c r="QWH363" s="393"/>
      <c r="QWI363" s="398"/>
      <c r="QWJ363" s="393"/>
      <c r="QWK363" s="398"/>
      <c r="QWL363" s="393"/>
      <c r="QWM363" s="398"/>
      <c r="QWN363" s="393"/>
      <c r="QWO363" s="398"/>
      <c r="QWP363" s="393"/>
      <c r="QWQ363" s="398"/>
      <c r="QWR363" s="393"/>
      <c r="QWS363" s="398"/>
      <c r="QWT363" s="393"/>
      <c r="QWU363" s="398"/>
      <c r="QWV363" s="393"/>
      <c r="QWW363" s="398"/>
      <c r="QWX363" s="393"/>
      <c r="QWY363" s="398"/>
      <c r="QWZ363" s="393"/>
      <c r="QXA363" s="398"/>
      <c r="QXB363" s="393"/>
      <c r="QXC363" s="398"/>
      <c r="QXD363" s="393"/>
      <c r="QXE363" s="398"/>
      <c r="QXF363" s="393"/>
      <c r="QXG363" s="398"/>
      <c r="QXH363" s="393"/>
      <c r="QXI363" s="398"/>
      <c r="QXJ363" s="393"/>
      <c r="QXK363" s="398"/>
      <c r="QXL363" s="393"/>
      <c r="QXM363" s="398"/>
      <c r="QXN363" s="393"/>
      <c r="QXO363" s="398"/>
      <c r="QXP363" s="393"/>
      <c r="QXQ363" s="398"/>
      <c r="QXR363" s="393"/>
      <c r="QXS363" s="398"/>
      <c r="QXT363" s="393"/>
      <c r="QXU363" s="398"/>
      <c r="QXV363" s="393"/>
      <c r="QXW363" s="398"/>
      <c r="QXX363" s="393"/>
      <c r="QXY363" s="398"/>
      <c r="QXZ363" s="393"/>
      <c r="QYA363" s="398"/>
      <c r="QYB363" s="393"/>
      <c r="QYC363" s="398"/>
      <c r="QYD363" s="393"/>
      <c r="QYE363" s="398"/>
      <c r="QYF363" s="393"/>
      <c r="QYG363" s="398"/>
      <c r="QYH363" s="393"/>
      <c r="QYI363" s="398"/>
      <c r="QYJ363" s="393"/>
      <c r="QYK363" s="398"/>
      <c r="QYL363" s="393"/>
      <c r="QYM363" s="398"/>
      <c r="QYN363" s="393"/>
      <c r="QYO363" s="398"/>
      <c r="QYP363" s="393"/>
      <c r="QYQ363" s="398"/>
      <c r="QYR363" s="393"/>
      <c r="QYS363" s="398"/>
      <c r="QYT363" s="393"/>
      <c r="QYU363" s="398"/>
      <c r="QYV363" s="393"/>
      <c r="QYW363" s="398"/>
      <c r="QYX363" s="393"/>
      <c r="QYY363" s="398"/>
      <c r="QYZ363" s="393"/>
      <c r="QZA363" s="398"/>
      <c r="QZB363" s="393"/>
      <c r="QZC363" s="398"/>
      <c r="QZD363" s="393"/>
      <c r="QZE363" s="398"/>
      <c r="QZF363" s="393"/>
      <c r="QZG363" s="398"/>
      <c r="QZH363" s="393"/>
      <c r="QZI363" s="398"/>
      <c r="QZJ363" s="393"/>
      <c r="QZK363" s="398"/>
      <c r="QZL363" s="393"/>
      <c r="QZM363" s="398"/>
      <c r="QZN363" s="393"/>
      <c r="QZO363" s="398"/>
      <c r="QZP363" s="393"/>
      <c r="QZQ363" s="398"/>
      <c r="QZR363" s="393"/>
      <c r="QZS363" s="398"/>
      <c r="QZT363" s="393"/>
      <c r="QZU363" s="398"/>
      <c r="QZV363" s="393"/>
      <c r="QZW363" s="398"/>
      <c r="QZX363" s="393"/>
      <c r="QZY363" s="398"/>
      <c r="QZZ363" s="393"/>
      <c r="RAA363" s="398"/>
      <c r="RAB363" s="393"/>
      <c r="RAC363" s="398"/>
      <c r="RAD363" s="393"/>
      <c r="RAE363" s="398"/>
      <c r="RAF363" s="393"/>
      <c r="RAG363" s="398"/>
      <c r="RAH363" s="393"/>
      <c r="RAI363" s="398"/>
      <c r="RAJ363" s="393"/>
      <c r="RAK363" s="398"/>
      <c r="RAL363" s="393"/>
      <c r="RAM363" s="398"/>
      <c r="RAN363" s="393"/>
      <c r="RAO363" s="398"/>
      <c r="RAP363" s="393"/>
      <c r="RAQ363" s="398"/>
      <c r="RAR363" s="393"/>
      <c r="RAS363" s="398"/>
      <c r="RAT363" s="393"/>
      <c r="RAU363" s="398"/>
      <c r="RAV363" s="393"/>
      <c r="RAW363" s="398"/>
      <c r="RAX363" s="393"/>
      <c r="RAY363" s="398"/>
      <c r="RAZ363" s="393"/>
      <c r="RBA363" s="398"/>
      <c r="RBB363" s="393"/>
      <c r="RBC363" s="398"/>
      <c r="RBD363" s="393"/>
      <c r="RBE363" s="398"/>
      <c r="RBF363" s="393"/>
      <c r="RBG363" s="398"/>
      <c r="RBH363" s="393"/>
      <c r="RBI363" s="398"/>
      <c r="RBJ363" s="393"/>
      <c r="RBK363" s="398"/>
      <c r="RBL363" s="393"/>
      <c r="RBM363" s="398"/>
      <c r="RBN363" s="393"/>
      <c r="RBO363" s="398"/>
      <c r="RBP363" s="393"/>
      <c r="RBQ363" s="398"/>
      <c r="RBR363" s="393"/>
      <c r="RBS363" s="398"/>
      <c r="RBT363" s="393"/>
      <c r="RBU363" s="398"/>
      <c r="RBV363" s="393"/>
      <c r="RBW363" s="398"/>
      <c r="RBX363" s="393"/>
      <c r="RBY363" s="398"/>
      <c r="RBZ363" s="393"/>
      <c r="RCA363" s="398"/>
      <c r="RCB363" s="393"/>
      <c r="RCC363" s="398"/>
      <c r="RCD363" s="393"/>
      <c r="RCE363" s="398"/>
      <c r="RCF363" s="393"/>
      <c r="RCG363" s="398"/>
      <c r="RCH363" s="393"/>
      <c r="RCI363" s="398"/>
      <c r="RCJ363" s="393"/>
      <c r="RCK363" s="398"/>
      <c r="RCL363" s="393"/>
      <c r="RCM363" s="398"/>
      <c r="RCN363" s="393"/>
      <c r="RCO363" s="398"/>
      <c r="RCP363" s="393"/>
      <c r="RCQ363" s="398"/>
      <c r="RCR363" s="393"/>
      <c r="RCS363" s="398"/>
      <c r="RCT363" s="393"/>
      <c r="RCU363" s="398"/>
      <c r="RCV363" s="393"/>
      <c r="RCW363" s="398"/>
      <c r="RCX363" s="393"/>
      <c r="RCY363" s="398"/>
      <c r="RCZ363" s="393"/>
      <c r="RDA363" s="398"/>
      <c r="RDB363" s="393"/>
      <c r="RDC363" s="398"/>
      <c r="RDD363" s="393"/>
      <c r="RDE363" s="398"/>
      <c r="RDF363" s="393"/>
      <c r="RDG363" s="398"/>
      <c r="RDH363" s="393"/>
      <c r="RDI363" s="398"/>
      <c r="RDJ363" s="393"/>
      <c r="RDK363" s="398"/>
      <c r="RDL363" s="393"/>
      <c r="RDM363" s="398"/>
      <c r="RDN363" s="393"/>
      <c r="RDO363" s="398"/>
      <c r="RDP363" s="393"/>
      <c r="RDQ363" s="398"/>
      <c r="RDR363" s="393"/>
      <c r="RDS363" s="398"/>
      <c r="RDT363" s="393"/>
      <c r="RDU363" s="398"/>
      <c r="RDV363" s="393"/>
      <c r="RDW363" s="398"/>
      <c r="RDX363" s="393"/>
      <c r="RDY363" s="398"/>
      <c r="RDZ363" s="393"/>
      <c r="REA363" s="398"/>
      <c r="REB363" s="393"/>
      <c r="REC363" s="398"/>
      <c r="RED363" s="393"/>
      <c r="REE363" s="398"/>
      <c r="REF363" s="393"/>
      <c r="REG363" s="398"/>
      <c r="REH363" s="393"/>
      <c r="REI363" s="398"/>
      <c r="REJ363" s="393"/>
      <c r="REK363" s="398"/>
      <c r="REL363" s="393"/>
      <c r="REM363" s="398"/>
      <c r="REN363" s="393"/>
      <c r="REO363" s="398"/>
      <c r="REP363" s="393"/>
      <c r="REQ363" s="398"/>
      <c r="RER363" s="393"/>
      <c r="RES363" s="398"/>
      <c r="RET363" s="393"/>
      <c r="REU363" s="398"/>
      <c r="REV363" s="393"/>
      <c r="REW363" s="398"/>
      <c r="REX363" s="393"/>
      <c r="REY363" s="398"/>
      <c r="REZ363" s="393"/>
      <c r="RFA363" s="398"/>
      <c r="RFB363" s="393"/>
      <c r="RFC363" s="398"/>
      <c r="RFD363" s="393"/>
      <c r="RFE363" s="398"/>
      <c r="RFF363" s="393"/>
      <c r="RFG363" s="398"/>
      <c r="RFH363" s="393"/>
      <c r="RFI363" s="398"/>
      <c r="RFJ363" s="393"/>
      <c r="RFK363" s="398"/>
      <c r="RFL363" s="393"/>
      <c r="RFM363" s="398"/>
      <c r="RFN363" s="393"/>
      <c r="RFO363" s="398"/>
      <c r="RFP363" s="393"/>
      <c r="RFQ363" s="398"/>
      <c r="RFR363" s="393"/>
      <c r="RFS363" s="398"/>
      <c r="RFT363" s="393"/>
      <c r="RFU363" s="398"/>
      <c r="RFV363" s="393"/>
      <c r="RFW363" s="398"/>
      <c r="RFX363" s="393"/>
      <c r="RFY363" s="398"/>
      <c r="RFZ363" s="393"/>
      <c r="RGA363" s="398"/>
      <c r="RGB363" s="393"/>
      <c r="RGC363" s="398"/>
      <c r="RGD363" s="393"/>
      <c r="RGE363" s="398"/>
      <c r="RGF363" s="393"/>
      <c r="RGG363" s="398"/>
      <c r="RGH363" s="393"/>
      <c r="RGI363" s="398"/>
      <c r="RGJ363" s="393"/>
      <c r="RGK363" s="398"/>
      <c r="RGL363" s="393"/>
      <c r="RGM363" s="398"/>
      <c r="RGN363" s="393"/>
      <c r="RGO363" s="398"/>
      <c r="RGP363" s="393"/>
      <c r="RGQ363" s="398"/>
      <c r="RGR363" s="393"/>
      <c r="RGS363" s="398"/>
      <c r="RGT363" s="393"/>
      <c r="RGU363" s="398"/>
      <c r="RGV363" s="393"/>
      <c r="RGW363" s="398"/>
      <c r="RGX363" s="393"/>
      <c r="RGY363" s="398"/>
      <c r="RGZ363" s="393"/>
      <c r="RHA363" s="398"/>
      <c r="RHB363" s="393"/>
      <c r="RHC363" s="398"/>
      <c r="RHD363" s="393"/>
      <c r="RHE363" s="398"/>
      <c r="RHF363" s="393"/>
      <c r="RHG363" s="398"/>
      <c r="RHH363" s="393"/>
      <c r="RHI363" s="398"/>
      <c r="RHJ363" s="393"/>
      <c r="RHK363" s="398"/>
      <c r="RHL363" s="393"/>
      <c r="RHM363" s="398"/>
      <c r="RHN363" s="393"/>
      <c r="RHO363" s="398"/>
      <c r="RHP363" s="393"/>
      <c r="RHQ363" s="398"/>
      <c r="RHR363" s="393"/>
      <c r="RHS363" s="398"/>
      <c r="RHT363" s="393"/>
      <c r="RHU363" s="398"/>
      <c r="RHV363" s="393"/>
      <c r="RHW363" s="398"/>
      <c r="RHX363" s="393"/>
      <c r="RHY363" s="398"/>
      <c r="RHZ363" s="393"/>
      <c r="RIA363" s="398"/>
      <c r="RIB363" s="393"/>
      <c r="RIC363" s="398"/>
      <c r="RID363" s="393"/>
      <c r="RIE363" s="398"/>
      <c r="RIF363" s="393"/>
      <c r="RIG363" s="398"/>
      <c r="RIH363" s="393"/>
      <c r="RII363" s="398"/>
      <c r="RIJ363" s="393"/>
      <c r="RIK363" s="398"/>
      <c r="RIL363" s="393"/>
      <c r="RIM363" s="398"/>
      <c r="RIN363" s="393"/>
      <c r="RIO363" s="398"/>
      <c r="RIP363" s="393"/>
      <c r="RIQ363" s="398"/>
      <c r="RIR363" s="393"/>
      <c r="RIS363" s="398"/>
      <c r="RIT363" s="393"/>
      <c r="RIU363" s="398"/>
      <c r="RIV363" s="393"/>
      <c r="RIW363" s="398"/>
      <c r="RIX363" s="393"/>
      <c r="RIY363" s="398"/>
      <c r="RIZ363" s="393"/>
      <c r="RJA363" s="398"/>
      <c r="RJB363" s="393"/>
      <c r="RJC363" s="398"/>
      <c r="RJD363" s="393"/>
      <c r="RJE363" s="398"/>
      <c r="RJF363" s="393"/>
      <c r="RJG363" s="398"/>
      <c r="RJH363" s="393"/>
      <c r="RJI363" s="398"/>
      <c r="RJJ363" s="393"/>
      <c r="RJK363" s="398"/>
      <c r="RJL363" s="393"/>
      <c r="RJM363" s="398"/>
      <c r="RJN363" s="393"/>
      <c r="RJO363" s="398"/>
      <c r="RJP363" s="393"/>
      <c r="RJQ363" s="398"/>
      <c r="RJR363" s="393"/>
      <c r="RJS363" s="398"/>
      <c r="RJT363" s="393"/>
      <c r="RJU363" s="398"/>
      <c r="RJV363" s="393"/>
      <c r="RJW363" s="398"/>
      <c r="RJX363" s="393"/>
      <c r="RJY363" s="398"/>
      <c r="RJZ363" s="393"/>
      <c r="RKA363" s="398"/>
      <c r="RKB363" s="393"/>
      <c r="RKC363" s="398"/>
      <c r="RKD363" s="393"/>
      <c r="RKE363" s="398"/>
      <c r="RKF363" s="393"/>
      <c r="RKG363" s="398"/>
      <c r="RKH363" s="393"/>
      <c r="RKI363" s="398"/>
      <c r="RKJ363" s="393"/>
      <c r="RKK363" s="398"/>
      <c r="RKL363" s="393"/>
      <c r="RKM363" s="398"/>
      <c r="RKN363" s="393"/>
      <c r="RKO363" s="398"/>
      <c r="RKP363" s="393"/>
      <c r="RKQ363" s="398"/>
      <c r="RKR363" s="393"/>
      <c r="RKS363" s="398"/>
      <c r="RKT363" s="393"/>
      <c r="RKU363" s="398"/>
      <c r="RKV363" s="393"/>
      <c r="RKW363" s="398"/>
      <c r="RKX363" s="393"/>
      <c r="RKY363" s="398"/>
      <c r="RKZ363" s="393"/>
      <c r="RLA363" s="398"/>
      <c r="RLB363" s="393"/>
      <c r="RLC363" s="398"/>
      <c r="RLD363" s="393"/>
      <c r="RLE363" s="398"/>
      <c r="RLF363" s="393"/>
      <c r="RLG363" s="398"/>
      <c r="RLH363" s="393"/>
      <c r="RLI363" s="398"/>
      <c r="RLJ363" s="393"/>
      <c r="RLK363" s="398"/>
      <c r="RLL363" s="393"/>
      <c r="RLM363" s="398"/>
      <c r="RLN363" s="393"/>
      <c r="RLO363" s="398"/>
      <c r="RLP363" s="393"/>
      <c r="RLQ363" s="398"/>
      <c r="RLR363" s="393"/>
      <c r="RLS363" s="398"/>
      <c r="RLT363" s="393"/>
      <c r="RLU363" s="398"/>
      <c r="RLV363" s="393"/>
      <c r="RLW363" s="398"/>
      <c r="RLX363" s="393"/>
      <c r="RLY363" s="398"/>
      <c r="RLZ363" s="393"/>
      <c r="RMA363" s="398"/>
      <c r="RMB363" s="393"/>
      <c r="RMC363" s="398"/>
      <c r="RMD363" s="393"/>
      <c r="RME363" s="398"/>
      <c r="RMF363" s="393"/>
      <c r="RMG363" s="398"/>
      <c r="RMH363" s="393"/>
      <c r="RMI363" s="398"/>
      <c r="RMJ363" s="393"/>
      <c r="RMK363" s="398"/>
      <c r="RML363" s="393"/>
      <c r="RMM363" s="398"/>
      <c r="RMN363" s="393"/>
      <c r="RMO363" s="398"/>
      <c r="RMP363" s="393"/>
      <c r="RMQ363" s="398"/>
      <c r="RMR363" s="393"/>
      <c r="RMS363" s="398"/>
      <c r="RMT363" s="393"/>
      <c r="RMU363" s="398"/>
      <c r="RMV363" s="393"/>
      <c r="RMW363" s="398"/>
      <c r="RMX363" s="393"/>
      <c r="RMY363" s="398"/>
      <c r="RMZ363" s="393"/>
      <c r="RNA363" s="398"/>
      <c r="RNB363" s="393"/>
      <c r="RNC363" s="398"/>
      <c r="RND363" s="393"/>
      <c r="RNE363" s="398"/>
      <c r="RNF363" s="393"/>
      <c r="RNG363" s="398"/>
      <c r="RNH363" s="393"/>
      <c r="RNI363" s="398"/>
      <c r="RNJ363" s="393"/>
      <c r="RNK363" s="398"/>
      <c r="RNL363" s="393"/>
      <c r="RNM363" s="398"/>
      <c r="RNN363" s="393"/>
      <c r="RNO363" s="398"/>
      <c r="RNP363" s="393"/>
      <c r="RNQ363" s="398"/>
      <c r="RNR363" s="393"/>
      <c r="RNS363" s="398"/>
      <c r="RNT363" s="393"/>
      <c r="RNU363" s="398"/>
      <c r="RNV363" s="393"/>
      <c r="RNW363" s="398"/>
      <c r="RNX363" s="393"/>
      <c r="RNY363" s="398"/>
      <c r="RNZ363" s="393"/>
      <c r="ROA363" s="398"/>
      <c r="ROB363" s="393"/>
      <c r="ROC363" s="398"/>
      <c r="ROD363" s="393"/>
      <c r="ROE363" s="398"/>
      <c r="ROF363" s="393"/>
      <c r="ROG363" s="398"/>
      <c r="ROH363" s="393"/>
      <c r="ROI363" s="398"/>
      <c r="ROJ363" s="393"/>
      <c r="ROK363" s="398"/>
      <c r="ROL363" s="393"/>
      <c r="ROM363" s="398"/>
      <c r="RON363" s="393"/>
      <c r="ROO363" s="398"/>
      <c r="ROP363" s="393"/>
      <c r="ROQ363" s="398"/>
      <c r="ROR363" s="393"/>
      <c r="ROS363" s="398"/>
      <c r="ROT363" s="393"/>
      <c r="ROU363" s="398"/>
      <c r="ROV363" s="393"/>
      <c r="ROW363" s="398"/>
      <c r="ROX363" s="393"/>
      <c r="ROY363" s="398"/>
      <c r="ROZ363" s="393"/>
      <c r="RPA363" s="398"/>
      <c r="RPB363" s="393"/>
      <c r="RPC363" s="398"/>
      <c r="RPD363" s="393"/>
      <c r="RPE363" s="398"/>
      <c r="RPF363" s="393"/>
      <c r="RPG363" s="398"/>
      <c r="RPH363" s="393"/>
      <c r="RPI363" s="398"/>
      <c r="RPJ363" s="393"/>
      <c r="RPK363" s="398"/>
      <c r="RPL363" s="393"/>
      <c r="RPM363" s="398"/>
      <c r="RPN363" s="393"/>
      <c r="RPO363" s="398"/>
      <c r="RPP363" s="393"/>
      <c r="RPQ363" s="398"/>
      <c r="RPR363" s="393"/>
      <c r="RPS363" s="398"/>
      <c r="RPT363" s="393"/>
      <c r="RPU363" s="398"/>
      <c r="RPV363" s="393"/>
      <c r="RPW363" s="398"/>
      <c r="RPX363" s="393"/>
      <c r="RPY363" s="398"/>
      <c r="RPZ363" s="393"/>
      <c r="RQA363" s="398"/>
      <c r="RQB363" s="393"/>
      <c r="RQC363" s="398"/>
      <c r="RQD363" s="393"/>
      <c r="RQE363" s="398"/>
      <c r="RQF363" s="393"/>
      <c r="RQG363" s="398"/>
      <c r="RQH363" s="393"/>
      <c r="RQI363" s="398"/>
      <c r="RQJ363" s="393"/>
      <c r="RQK363" s="398"/>
      <c r="RQL363" s="393"/>
      <c r="RQM363" s="398"/>
      <c r="RQN363" s="393"/>
      <c r="RQO363" s="398"/>
      <c r="RQP363" s="393"/>
      <c r="RQQ363" s="398"/>
      <c r="RQR363" s="393"/>
      <c r="RQS363" s="398"/>
      <c r="RQT363" s="393"/>
      <c r="RQU363" s="398"/>
      <c r="RQV363" s="393"/>
      <c r="RQW363" s="398"/>
      <c r="RQX363" s="393"/>
      <c r="RQY363" s="398"/>
      <c r="RQZ363" s="393"/>
      <c r="RRA363" s="398"/>
      <c r="RRB363" s="393"/>
      <c r="RRC363" s="398"/>
      <c r="RRD363" s="393"/>
      <c r="RRE363" s="398"/>
      <c r="RRF363" s="393"/>
      <c r="RRG363" s="398"/>
      <c r="RRH363" s="393"/>
      <c r="RRI363" s="398"/>
      <c r="RRJ363" s="393"/>
      <c r="RRK363" s="398"/>
      <c r="RRL363" s="393"/>
      <c r="RRM363" s="398"/>
      <c r="RRN363" s="393"/>
      <c r="RRO363" s="398"/>
      <c r="RRP363" s="393"/>
      <c r="RRQ363" s="398"/>
      <c r="RRR363" s="393"/>
      <c r="RRS363" s="398"/>
      <c r="RRT363" s="393"/>
      <c r="RRU363" s="398"/>
      <c r="RRV363" s="393"/>
      <c r="RRW363" s="398"/>
      <c r="RRX363" s="393"/>
      <c r="RRY363" s="398"/>
      <c r="RRZ363" s="393"/>
      <c r="RSA363" s="398"/>
      <c r="RSB363" s="393"/>
      <c r="RSC363" s="398"/>
      <c r="RSD363" s="393"/>
      <c r="RSE363" s="398"/>
      <c r="RSF363" s="393"/>
      <c r="RSG363" s="398"/>
      <c r="RSH363" s="393"/>
      <c r="RSI363" s="398"/>
      <c r="RSJ363" s="393"/>
      <c r="RSK363" s="398"/>
      <c r="RSL363" s="393"/>
      <c r="RSM363" s="398"/>
      <c r="RSN363" s="393"/>
      <c r="RSO363" s="398"/>
      <c r="RSP363" s="393"/>
      <c r="RSQ363" s="398"/>
      <c r="RSR363" s="393"/>
      <c r="RSS363" s="398"/>
      <c r="RST363" s="393"/>
      <c r="RSU363" s="398"/>
      <c r="RSV363" s="393"/>
      <c r="RSW363" s="398"/>
      <c r="RSX363" s="393"/>
      <c r="RSY363" s="398"/>
      <c r="RSZ363" s="393"/>
      <c r="RTA363" s="398"/>
      <c r="RTB363" s="393"/>
      <c r="RTC363" s="398"/>
      <c r="RTD363" s="393"/>
      <c r="RTE363" s="398"/>
      <c r="RTF363" s="393"/>
      <c r="RTG363" s="398"/>
      <c r="RTH363" s="393"/>
      <c r="RTI363" s="398"/>
      <c r="RTJ363" s="393"/>
      <c r="RTK363" s="398"/>
      <c r="RTL363" s="393"/>
      <c r="RTM363" s="398"/>
      <c r="RTN363" s="393"/>
      <c r="RTO363" s="398"/>
      <c r="RTP363" s="393"/>
      <c r="RTQ363" s="398"/>
      <c r="RTR363" s="393"/>
      <c r="RTS363" s="398"/>
      <c r="RTT363" s="393"/>
      <c r="RTU363" s="398"/>
      <c r="RTV363" s="393"/>
      <c r="RTW363" s="398"/>
      <c r="RTX363" s="393"/>
      <c r="RTY363" s="398"/>
      <c r="RTZ363" s="393"/>
      <c r="RUA363" s="398"/>
      <c r="RUB363" s="393"/>
      <c r="RUC363" s="398"/>
      <c r="RUD363" s="393"/>
      <c r="RUE363" s="398"/>
      <c r="RUF363" s="393"/>
      <c r="RUG363" s="398"/>
      <c r="RUH363" s="393"/>
      <c r="RUI363" s="398"/>
      <c r="RUJ363" s="393"/>
      <c r="RUK363" s="398"/>
      <c r="RUL363" s="393"/>
      <c r="RUM363" s="398"/>
      <c r="RUN363" s="393"/>
      <c r="RUO363" s="398"/>
      <c r="RUP363" s="393"/>
      <c r="RUQ363" s="398"/>
      <c r="RUR363" s="393"/>
      <c r="RUS363" s="398"/>
      <c r="RUT363" s="393"/>
      <c r="RUU363" s="398"/>
      <c r="RUV363" s="393"/>
      <c r="RUW363" s="398"/>
      <c r="RUX363" s="393"/>
      <c r="RUY363" s="398"/>
      <c r="RUZ363" s="393"/>
      <c r="RVA363" s="398"/>
      <c r="RVB363" s="393"/>
      <c r="RVC363" s="398"/>
      <c r="RVD363" s="393"/>
      <c r="RVE363" s="398"/>
      <c r="RVF363" s="393"/>
      <c r="RVG363" s="398"/>
      <c r="RVH363" s="393"/>
      <c r="RVI363" s="398"/>
      <c r="RVJ363" s="393"/>
      <c r="RVK363" s="398"/>
      <c r="RVL363" s="393"/>
      <c r="RVM363" s="398"/>
      <c r="RVN363" s="393"/>
      <c r="RVO363" s="398"/>
      <c r="RVP363" s="393"/>
      <c r="RVQ363" s="398"/>
      <c r="RVR363" s="393"/>
      <c r="RVS363" s="398"/>
      <c r="RVT363" s="393"/>
      <c r="RVU363" s="398"/>
      <c r="RVV363" s="393"/>
      <c r="RVW363" s="398"/>
      <c r="RVX363" s="393"/>
      <c r="RVY363" s="398"/>
      <c r="RVZ363" s="393"/>
      <c r="RWA363" s="398"/>
      <c r="RWB363" s="393"/>
      <c r="RWC363" s="398"/>
      <c r="RWD363" s="393"/>
      <c r="RWE363" s="398"/>
      <c r="RWF363" s="393"/>
      <c r="RWG363" s="398"/>
      <c r="RWH363" s="393"/>
      <c r="RWI363" s="398"/>
      <c r="RWJ363" s="393"/>
      <c r="RWK363" s="398"/>
      <c r="RWL363" s="393"/>
      <c r="RWM363" s="398"/>
      <c r="RWN363" s="393"/>
      <c r="RWO363" s="398"/>
      <c r="RWP363" s="393"/>
      <c r="RWQ363" s="398"/>
      <c r="RWR363" s="393"/>
      <c r="RWS363" s="398"/>
      <c r="RWT363" s="393"/>
      <c r="RWU363" s="398"/>
      <c r="RWV363" s="393"/>
      <c r="RWW363" s="398"/>
      <c r="RWX363" s="393"/>
      <c r="RWY363" s="398"/>
      <c r="RWZ363" s="393"/>
      <c r="RXA363" s="398"/>
      <c r="RXB363" s="393"/>
      <c r="RXC363" s="398"/>
      <c r="RXD363" s="393"/>
      <c r="RXE363" s="398"/>
      <c r="RXF363" s="393"/>
      <c r="RXG363" s="398"/>
      <c r="RXH363" s="393"/>
      <c r="RXI363" s="398"/>
      <c r="RXJ363" s="393"/>
      <c r="RXK363" s="398"/>
      <c r="RXL363" s="393"/>
      <c r="RXM363" s="398"/>
      <c r="RXN363" s="393"/>
      <c r="RXO363" s="398"/>
      <c r="RXP363" s="393"/>
      <c r="RXQ363" s="398"/>
      <c r="RXR363" s="393"/>
      <c r="RXS363" s="398"/>
      <c r="RXT363" s="393"/>
      <c r="RXU363" s="398"/>
      <c r="RXV363" s="393"/>
      <c r="RXW363" s="398"/>
      <c r="RXX363" s="393"/>
      <c r="RXY363" s="398"/>
      <c r="RXZ363" s="393"/>
      <c r="RYA363" s="398"/>
      <c r="RYB363" s="393"/>
      <c r="RYC363" s="398"/>
      <c r="RYD363" s="393"/>
      <c r="RYE363" s="398"/>
      <c r="RYF363" s="393"/>
      <c r="RYG363" s="398"/>
      <c r="RYH363" s="393"/>
      <c r="RYI363" s="398"/>
      <c r="RYJ363" s="393"/>
      <c r="RYK363" s="398"/>
      <c r="RYL363" s="393"/>
      <c r="RYM363" s="398"/>
      <c r="RYN363" s="393"/>
      <c r="RYO363" s="398"/>
      <c r="RYP363" s="393"/>
      <c r="RYQ363" s="398"/>
      <c r="RYR363" s="393"/>
      <c r="RYS363" s="398"/>
      <c r="RYT363" s="393"/>
      <c r="RYU363" s="398"/>
      <c r="RYV363" s="393"/>
      <c r="RYW363" s="398"/>
      <c r="RYX363" s="393"/>
      <c r="RYY363" s="398"/>
      <c r="RYZ363" s="393"/>
      <c r="RZA363" s="398"/>
      <c r="RZB363" s="393"/>
      <c r="RZC363" s="398"/>
      <c r="RZD363" s="393"/>
      <c r="RZE363" s="398"/>
      <c r="RZF363" s="393"/>
      <c r="RZG363" s="398"/>
      <c r="RZH363" s="393"/>
      <c r="RZI363" s="398"/>
      <c r="RZJ363" s="393"/>
      <c r="RZK363" s="398"/>
      <c r="RZL363" s="393"/>
      <c r="RZM363" s="398"/>
      <c r="RZN363" s="393"/>
      <c r="RZO363" s="398"/>
      <c r="RZP363" s="393"/>
      <c r="RZQ363" s="398"/>
      <c r="RZR363" s="393"/>
      <c r="RZS363" s="398"/>
      <c r="RZT363" s="393"/>
      <c r="RZU363" s="398"/>
      <c r="RZV363" s="393"/>
      <c r="RZW363" s="398"/>
      <c r="RZX363" s="393"/>
      <c r="RZY363" s="398"/>
      <c r="RZZ363" s="393"/>
      <c r="SAA363" s="398"/>
      <c r="SAB363" s="393"/>
      <c r="SAC363" s="398"/>
      <c r="SAD363" s="393"/>
      <c r="SAE363" s="398"/>
      <c r="SAF363" s="393"/>
      <c r="SAG363" s="398"/>
      <c r="SAH363" s="393"/>
      <c r="SAI363" s="398"/>
      <c r="SAJ363" s="393"/>
      <c r="SAK363" s="398"/>
      <c r="SAL363" s="393"/>
      <c r="SAM363" s="398"/>
      <c r="SAN363" s="393"/>
      <c r="SAO363" s="398"/>
      <c r="SAP363" s="393"/>
      <c r="SAQ363" s="398"/>
      <c r="SAR363" s="393"/>
      <c r="SAS363" s="398"/>
      <c r="SAT363" s="393"/>
      <c r="SAU363" s="398"/>
      <c r="SAV363" s="393"/>
      <c r="SAW363" s="398"/>
      <c r="SAX363" s="393"/>
      <c r="SAY363" s="398"/>
      <c r="SAZ363" s="393"/>
      <c r="SBA363" s="398"/>
      <c r="SBB363" s="393"/>
      <c r="SBC363" s="398"/>
      <c r="SBD363" s="393"/>
      <c r="SBE363" s="398"/>
      <c r="SBF363" s="393"/>
      <c r="SBG363" s="398"/>
      <c r="SBH363" s="393"/>
      <c r="SBI363" s="398"/>
      <c r="SBJ363" s="393"/>
      <c r="SBK363" s="398"/>
      <c r="SBL363" s="393"/>
      <c r="SBM363" s="398"/>
      <c r="SBN363" s="393"/>
      <c r="SBO363" s="398"/>
      <c r="SBP363" s="393"/>
      <c r="SBQ363" s="398"/>
      <c r="SBR363" s="393"/>
      <c r="SBS363" s="398"/>
      <c r="SBT363" s="393"/>
      <c r="SBU363" s="398"/>
      <c r="SBV363" s="393"/>
      <c r="SBW363" s="398"/>
      <c r="SBX363" s="393"/>
      <c r="SBY363" s="398"/>
      <c r="SBZ363" s="393"/>
      <c r="SCA363" s="398"/>
      <c r="SCB363" s="393"/>
      <c r="SCC363" s="398"/>
      <c r="SCD363" s="393"/>
      <c r="SCE363" s="398"/>
      <c r="SCF363" s="393"/>
      <c r="SCG363" s="398"/>
      <c r="SCH363" s="393"/>
      <c r="SCI363" s="398"/>
      <c r="SCJ363" s="393"/>
      <c r="SCK363" s="398"/>
      <c r="SCL363" s="393"/>
      <c r="SCM363" s="398"/>
      <c r="SCN363" s="393"/>
      <c r="SCO363" s="398"/>
      <c r="SCP363" s="393"/>
      <c r="SCQ363" s="398"/>
      <c r="SCR363" s="393"/>
      <c r="SCS363" s="398"/>
      <c r="SCT363" s="393"/>
      <c r="SCU363" s="398"/>
      <c r="SCV363" s="393"/>
      <c r="SCW363" s="398"/>
      <c r="SCX363" s="393"/>
      <c r="SCY363" s="398"/>
      <c r="SCZ363" s="393"/>
      <c r="SDA363" s="398"/>
      <c r="SDB363" s="393"/>
      <c r="SDC363" s="398"/>
      <c r="SDD363" s="393"/>
      <c r="SDE363" s="398"/>
      <c r="SDF363" s="393"/>
      <c r="SDG363" s="398"/>
      <c r="SDH363" s="393"/>
      <c r="SDI363" s="398"/>
      <c r="SDJ363" s="393"/>
      <c r="SDK363" s="398"/>
      <c r="SDL363" s="393"/>
      <c r="SDM363" s="398"/>
      <c r="SDN363" s="393"/>
      <c r="SDO363" s="398"/>
      <c r="SDP363" s="393"/>
      <c r="SDQ363" s="398"/>
      <c r="SDR363" s="393"/>
      <c r="SDS363" s="398"/>
      <c r="SDT363" s="393"/>
      <c r="SDU363" s="398"/>
      <c r="SDV363" s="393"/>
      <c r="SDW363" s="398"/>
      <c r="SDX363" s="393"/>
      <c r="SDY363" s="398"/>
      <c r="SDZ363" s="393"/>
      <c r="SEA363" s="398"/>
      <c r="SEB363" s="393"/>
      <c r="SEC363" s="398"/>
      <c r="SED363" s="393"/>
      <c r="SEE363" s="398"/>
      <c r="SEF363" s="393"/>
      <c r="SEG363" s="398"/>
      <c r="SEH363" s="393"/>
      <c r="SEI363" s="398"/>
      <c r="SEJ363" s="393"/>
      <c r="SEK363" s="398"/>
      <c r="SEL363" s="393"/>
      <c r="SEM363" s="398"/>
      <c r="SEN363" s="393"/>
      <c r="SEO363" s="398"/>
      <c r="SEP363" s="393"/>
      <c r="SEQ363" s="398"/>
      <c r="SER363" s="393"/>
      <c r="SES363" s="398"/>
      <c r="SET363" s="393"/>
      <c r="SEU363" s="398"/>
      <c r="SEV363" s="393"/>
      <c r="SEW363" s="398"/>
      <c r="SEX363" s="393"/>
      <c r="SEY363" s="398"/>
      <c r="SEZ363" s="393"/>
      <c r="SFA363" s="398"/>
      <c r="SFB363" s="393"/>
      <c r="SFC363" s="398"/>
      <c r="SFD363" s="393"/>
      <c r="SFE363" s="398"/>
      <c r="SFF363" s="393"/>
      <c r="SFG363" s="398"/>
      <c r="SFH363" s="393"/>
      <c r="SFI363" s="398"/>
      <c r="SFJ363" s="393"/>
      <c r="SFK363" s="398"/>
      <c r="SFL363" s="393"/>
      <c r="SFM363" s="398"/>
      <c r="SFN363" s="393"/>
      <c r="SFO363" s="398"/>
      <c r="SFP363" s="393"/>
      <c r="SFQ363" s="398"/>
      <c r="SFR363" s="393"/>
      <c r="SFS363" s="398"/>
      <c r="SFT363" s="393"/>
      <c r="SFU363" s="398"/>
      <c r="SFV363" s="393"/>
      <c r="SFW363" s="398"/>
      <c r="SFX363" s="393"/>
      <c r="SFY363" s="398"/>
      <c r="SFZ363" s="393"/>
      <c r="SGA363" s="398"/>
      <c r="SGB363" s="393"/>
      <c r="SGC363" s="398"/>
      <c r="SGD363" s="393"/>
      <c r="SGE363" s="398"/>
      <c r="SGF363" s="393"/>
      <c r="SGG363" s="398"/>
      <c r="SGH363" s="393"/>
      <c r="SGI363" s="398"/>
      <c r="SGJ363" s="393"/>
      <c r="SGK363" s="398"/>
      <c r="SGL363" s="393"/>
      <c r="SGM363" s="398"/>
      <c r="SGN363" s="393"/>
      <c r="SGO363" s="398"/>
      <c r="SGP363" s="393"/>
      <c r="SGQ363" s="398"/>
      <c r="SGR363" s="393"/>
      <c r="SGS363" s="398"/>
      <c r="SGT363" s="393"/>
      <c r="SGU363" s="398"/>
      <c r="SGV363" s="393"/>
      <c r="SGW363" s="398"/>
      <c r="SGX363" s="393"/>
      <c r="SGY363" s="398"/>
      <c r="SGZ363" s="393"/>
      <c r="SHA363" s="398"/>
      <c r="SHB363" s="393"/>
      <c r="SHC363" s="398"/>
      <c r="SHD363" s="393"/>
      <c r="SHE363" s="398"/>
      <c r="SHF363" s="393"/>
      <c r="SHG363" s="398"/>
      <c r="SHH363" s="393"/>
      <c r="SHI363" s="398"/>
      <c r="SHJ363" s="393"/>
      <c r="SHK363" s="398"/>
      <c r="SHL363" s="393"/>
      <c r="SHM363" s="398"/>
      <c r="SHN363" s="393"/>
      <c r="SHO363" s="398"/>
      <c r="SHP363" s="393"/>
      <c r="SHQ363" s="398"/>
      <c r="SHR363" s="393"/>
      <c r="SHS363" s="398"/>
      <c r="SHT363" s="393"/>
      <c r="SHU363" s="398"/>
      <c r="SHV363" s="393"/>
      <c r="SHW363" s="398"/>
      <c r="SHX363" s="393"/>
      <c r="SHY363" s="398"/>
      <c r="SHZ363" s="393"/>
      <c r="SIA363" s="398"/>
      <c r="SIB363" s="393"/>
      <c r="SIC363" s="398"/>
      <c r="SID363" s="393"/>
      <c r="SIE363" s="398"/>
      <c r="SIF363" s="393"/>
      <c r="SIG363" s="398"/>
      <c r="SIH363" s="393"/>
      <c r="SII363" s="398"/>
      <c r="SIJ363" s="393"/>
      <c r="SIK363" s="398"/>
      <c r="SIL363" s="393"/>
      <c r="SIM363" s="398"/>
      <c r="SIN363" s="393"/>
      <c r="SIO363" s="398"/>
      <c r="SIP363" s="393"/>
      <c r="SIQ363" s="398"/>
      <c r="SIR363" s="393"/>
      <c r="SIS363" s="398"/>
      <c r="SIT363" s="393"/>
      <c r="SIU363" s="398"/>
      <c r="SIV363" s="393"/>
      <c r="SIW363" s="398"/>
      <c r="SIX363" s="393"/>
      <c r="SIY363" s="398"/>
      <c r="SIZ363" s="393"/>
      <c r="SJA363" s="398"/>
      <c r="SJB363" s="393"/>
      <c r="SJC363" s="398"/>
      <c r="SJD363" s="393"/>
      <c r="SJE363" s="398"/>
      <c r="SJF363" s="393"/>
      <c r="SJG363" s="398"/>
      <c r="SJH363" s="393"/>
      <c r="SJI363" s="398"/>
      <c r="SJJ363" s="393"/>
      <c r="SJK363" s="398"/>
      <c r="SJL363" s="393"/>
      <c r="SJM363" s="398"/>
      <c r="SJN363" s="393"/>
      <c r="SJO363" s="398"/>
      <c r="SJP363" s="393"/>
      <c r="SJQ363" s="398"/>
      <c r="SJR363" s="393"/>
      <c r="SJS363" s="398"/>
      <c r="SJT363" s="393"/>
      <c r="SJU363" s="398"/>
      <c r="SJV363" s="393"/>
      <c r="SJW363" s="398"/>
      <c r="SJX363" s="393"/>
      <c r="SJY363" s="398"/>
      <c r="SJZ363" s="393"/>
      <c r="SKA363" s="398"/>
      <c r="SKB363" s="393"/>
      <c r="SKC363" s="398"/>
      <c r="SKD363" s="393"/>
      <c r="SKE363" s="398"/>
      <c r="SKF363" s="393"/>
      <c r="SKG363" s="398"/>
      <c r="SKH363" s="393"/>
      <c r="SKI363" s="398"/>
      <c r="SKJ363" s="393"/>
      <c r="SKK363" s="398"/>
      <c r="SKL363" s="393"/>
      <c r="SKM363" s="398"/>
      <c r="SKN363" s="393"/>
      <c r="SKO363" s="398"/>
      <c r="SKP363" s="393"/>
      <c r="SKQ363" s="398"/>
      <c r="SKR363" s="393"/>
      <c r="SKS363" s="398"/>
      <c r="SKT363" s="393"/>
      <c r="SKU363" s="398"/>
      <c r="SKV363" s="393"/>
      <c r="SKW363" s="398"/>
      <c r="SKX363" s="393"/>
      <c r="SKY363" s="398"/>
      <c r="SKZ363" s="393"/>
      <c r="SLA363" s="398"/>
      <c r="SLB363" s="393"/>
      <c r="SLC363" s="398"/>
      <c r="SLD363" s="393"/>
      <c r="SLE363" s="398"/>
      <c r="SLF363" s="393"/>
      <c r="SLG363" s="398"/>
      <c r="SLH363" s="393"/>
      <c r="SLI363" s="398"/>
      <c r="SLJ363" s="393"/>
      <c r="SLK363" s="398"/>
      <c r="SLL363" s="393"/>
      <c r="SLM363" s="398"/>
      <c r="SLN363" s="393"/>
      <c r="SLO363" s="398"/>
      <c r="SLP363" s="393"/>
      <c r="SLQ363" s="398"/>
      <c r="SLR363" s="393"/>
      <c r="SLS363" s="398"/>
      <c r="SLT363" s="393"/>
      <c r="SLU363" s="398"/>
      <c r="SLV363" s="393"/>
      <c r="SLW363" s="398"/>
      <c r="SLX363" s="393"/>
      <c r="SLY363" s="398"/>
      <c r="SLZ363" s="393"/>
      <c r="SMA363" s="398"/>
      <c r="SMB363" s="393"/>
      <c r="SMC363" s="398"/>
      <c r="SMD363" s="393"/>
      <c r="SME363" s="398"/>
      <c r="SMF363" s="393"/>
      <c r="SMG363" s="398"/>
      <c r="SMH363" s="393"/>
      <c r="SMI363" s="398"/>
      <c r="SMJ363" s="393"/>
      <c r="SMK363" s="398"/>
      <c r="SML363" s="393"/>
      <c r="SMM363" s="398"/>
      <c r="SMN363" s="393"/>
      <c r="SMO363" s="398"/>
      <c r="SMP363" s="393"/>
      <c r="SMQ363" s="398"/>
      <c r="SMR363" s="393"/>
      <c r="SMS363" s="398"/>
      <c r="SMT363" s="393"/>
      <c r="SMU363" s="398"/>
      <c r="SMV363" s="393"/>
      <c r="SMW363" s="398"/>
      <c r="SMX363" s="393"/>
      <c r="SMY363" s="398"/>
      <c r="SMZ363" s="393"/>
      <c r="SNA363" s="398"/>
      <c r="SNB363" s="393"/>
      <c r="SNC363" s="398"/>
      <c r="SND363" s="393"/>
      <c r="SNE363" s="398"/>
      <c r="SNF363" s="393"/>
      <c r="SNG363" s="398"/>
      <c r="SNH363" s="393"/>
      <c r="SNI363" s="398"/>
      <c r="SNJ363" s="393"/>
      <c r="SNK363" s="398"/>
      <c r="SNL363" s="393"/>
      <c r="SNM363" s="398"/>
      <c r="SNN363" s="393"/>
      <c r="SNO363" s="398"/>
      <c r="SNP363" s="393"/>
      <c r="SNQ363" s="398"/>
      <c r="SNR363" s="393"/>
      <c r="SNS363" s="398"/>
      <c r="SNT363" s="393"/>
      <c r="SNU363" s="398"/>
      <c r="SNV363" s="393"/>
      <c r="SNW363" s="398"/>
      <c r="SNX363" s="393"/>
      <c r="SNY363" s="398"/>
      <c r="SNZ363" s="393"/>
      <c r="SOA363" s="398"/>
      <c r="SOB363" s="393"/>
      <c r="SOC363" s="398"/>
      <c r="SOD363" s="393"/>
      <c r="SOE363" s="398"/>
      <c r="SOF363" s="393"/>
      <c r="SOG363" s="398"/>
      <c r="SOH363" s="393"/>
      <c r="SOI363" s="398"/>
      <c r="SOJ363" s="393"/>
      <c r="SOK363" s="398"/>
      <c r="SOL363" s="393"/>
      <c r="SOM363" s="398"/>
      <c r="SON363" s="393"/>
      <c r="SOO363" s="398"/>
      <c r="SOP363" s="393"/>
      <c r="SOQ363" s="398"/>
      <c r="SOR363" s="393"/>
      <c r="SOS363" s="398"/>
      <c r="SOT363" s="393"/>
      <c r="SOU363" s="398"/>
      <c r="SOV363" s="393"/>
      <c r="SOW363" s="398"/>
      <c r="SOX363" s="393"/>
      <c r="SOY363" s="398"/>
      <c r="SOZ363" s="393"/>
      <c r="SPA363" s="398"/>
      <c r="SPB363" s="393"/>
      <c r="SPC363" s="398"/>
      <c r="SPD363" s="393"/>
      <c r="SPE363" s="398"/>
      <c r="SPF363" s="393"/>
      <c r="SPG363" s="398"/>
      <c r="SPH363" s="393"/>
      <c r="SPI363" s="398"/>
      <c r="SPJ363" s="393"/>
      <c r="SPK363" s="398"/>
      <c r="SPL363" s="393"/>
      <c r="SPM363" s="398"/>
      <c r="SPN363" s="393"/>
      <c r="SPO363" s="398"/>
      <c r="SPP363" s="393"/>
      <c r="SPQ363" s="398"/>
      <c r="SPR363" s="393"/>
      <c r="SPS363" s="398"/>
      <c r="SPT363" s="393"/>
      <c r="SPU363" s="398"/>
      <c r="SPV363" s="393"/>
      <c r="SPW363" s="398"/>
      <c r="SPX363" s="393"/>
      <c r="SPY363" s="398"/>
      <c r="SPZ363" s="393"/>
      <c r="SQA363" s="398"/>
      <c r="SQB363" s="393"/>
      <c r="SQC363" s="398"/>
      <c r="SQD363" s="393"/>
      <c r="SQE363" s="398"/>
      <c r="SQF363" s="393"/>
      <c r="SQG363" s="398"/>
      <c r="SQH363" s="393"/>
      <c r="SQI363" s="398"/>
      <c r="SQJ363" s="393"/>
      <c r="SQK363" s="398"/>
      <c r="SQL363" s="393"/>
      <c r="SQM363" s="398"/>
      <c r="SQN363" s="393"/>
      <c r="SQO363" s="398"/>
      <c r="SQP363" s="393"/>
      <c r="SQQ363" s="398"/>
      <c r="SQR363" s="393"/>
      <c r="SQS363" s="398"/>
      <c r="SQT363" s="393"/>
      <c r="SQU363" s="398"/>
      <c r="SQV363" s="393"/>
      <c r="SQW363" s="398"/>
      <c r="SQX363" s="393"/>
      <c r="SQY363" s="398"/>
      <c r="SQZ363" s="393"/>
      <c r="SRA363" s="398"/>
      <c r="SRB363" s="393"/>
      <c r="SRC363" s="398"/>
      <c r="SRD363" s="393"/>
      <c r="SRE363" s="398"/>
      <c r="SRF363" s="393"/>
      <c r="SRG363" s="398"/>
      <c r="SRH363" s="393"/>
      <c r="SRI363" s="398"/>
      <c r="SRJ363" s="393"/>
      <c r="SRK363" s="398"/>
      <c r="SRL363" s="393"/>
      <c r="SRM363" s="398"/>
      <c r="SRN363" s="393"/>
      <c r="SRO363" s="398"/>
      <c r="SRP363" s="393"/>
      <c r="SRQ363" s="398"/>
      <c r="SRR363" s="393"/>
      <c r="SRS363" s="398"/>
      <c r="SRT363" s="393"/>
      <c r="SRU363" s="398"/>
      <c r="SRV363" s="393"/>
      <c r="SRW363" s="398"/>
      <c r="SRX363" s="393"/>
      <c r="SRY363" s="398"/>
      <c r="SRZ363" s="393"/>
      <c r="SSA363" s="398"/>
      <c r="SSB363" s="393"/>
      <c r="SSC363" s="398"/>
      <c r="SSD363" s="393"/>
      <c r="SSE363" s="398"/>
      <c r="SSF363" s="393"/>
      <c r="SSG363" s="398"/>
      <c r="SSH363" s="393"/>
      <c r="SSI363" s="398"/>
      <c r="SSJ363" s="393"/>
      <c r="SSK363" s="398"/>
      <c r="SSL363" s="393"/>
      <c r="SSM363" s="398"/>
      <c r="SSN363" s="393"/>
      <c r="SSO363" s="398"/>
      <c r="SSP363" s="393"/>
      <c r="SSQ363" s="398"/>
      <c r="SSR363" s="393"/>
      <c r="SSS363" s="398"/>
      <c r="SST363" s="393"/>
      <c r="SSU363" s="398"/>
      <c r="SSV363" s="393"/>
      <c r="SSW363" s="398"/>
      <c r="SSX363" s="393"/>
      <c r="SSY363" s="398"/>
      <c r="SSZ363" s="393"/>
      <c r="STA363" s="398"/>
      <c r="STB363" s="393"/>
      <c r="STC363" s="398"/>
      <c r="STD363" s="393"/>
      <c r="STE363" s="398"/>
      <c r="STF363" s="393"/>
      <c r="STG363" s="398"/>
      <c r="STH363" s="393"/>
      <c r="STI363" s="398"/>
      <c r="STJ363" s="393"/>
      <c r="STK363" s="398"/>
      <c r="STL363" s="393"/>
      <c r="STM363" s="398"/>
      <c r="STN363" s="393"/>
      <c r="STO363" s="398"/>
      <c r="STP363" s="393"/>
      <c r="STQ363" s="398"/>
      <c r="STR363" s="393"/>
      <c r="STS363" s="398"/>
      <c r="STT363" s="393"/>
      <c r="STU363" s="398"/>
      <c r="STV363" s="393"/>
      <c r="STW363" s="398"/>
      <c r="STX363" s="393"/>
      <c r="STY363" s="398"/>
      <c r="STZ363" s="393"/>
      <c r="SUA363" s="398"/>
      <c r="SUB363" s="393"/>
      <c r="SUC363" s="398"/>
      <c r="SUD363" s="393"/>
      <c r="SUE363" s="398"/>
      <c r="SUF363" s="393"/>
      <c r="SUG363" s="398"/>
      <c r="SUH363" s="393"/>
      <c r="SUI363" s="398"/>
      <c r="SUJ363" s="393"/>
      <c r="SUK363" s="398"/>
      <c r="SUL363" s="393"/>
      <c r="SUM363" s="398"/>
      <c r="SUN363" s="393"/>
      <c r="SUO363" s="398"/>
      <c r="SUP363" s="393"/>
      <c r="SUQ363" s="398"/>
      <c r="SUR363" s="393"/>
      <c r="SUS363" s="398"/>
      <c r="SUT363" s="393"/>
      <c r="SUU363" s="398"/>
      <c r="SUV363" s="393"/>
      <c r="SUW363" s="398"/>
      <c r="SUX363" s="393"/>
      <c r="SUY363" s="398"/>
      <c r="SUZ363" s="393"/>
      <c r="SVA363" s="398"/>
      <c r="SVB363" s="393"/>
      <c r="SVC363" s="398"/>
      <c r="SVD363" s="393"/>
      <c r="SVE363" s="398"/>
      <c r="SVF363" s="393"/>
      <c r="SVG363" s="398"/>
      <c r="SVH363" s="393"/>
      <c r="SVI363" s="398"/>
      <c r="SVJ363" s="393"/>
      <c r="SVK363" s="398"/>
      <c r="SVL363" s="393"/>
      <c r="SVM363" s="398"/>
      <c r="SVN363" s="393"/>
      <c r="SVO363" s="398"/>
      <c r="SVP363" s="393"/>
      <c r="SVQ363" s="398"/>
      <c r="SVR363" s="393"/>
      <c r="SVS363" s="398"/>
      <c r="SVT363" s="393"/>
      <c r="SVU363" s="398"/>
      <c r="SVV363" s="393"/>
      <c r="SVW363" s="398"/>
      <c r="SVX363" s="393"/>
      <c r="SVY363" s="398"/>
      <c r="SVZ363" s="393"/>
      <c r="SWA363" s="398"/>
      <c r="SWB363" s="393"/>
      <c r="SWC363" s="398"/>
      <c r="SWD363" s="393"/>
      <c r="SWE363" s="398"/>
      <c r="SWF363" s="393"/>
      <c r="SWG363" s="398"/>
      <c r="SWH363" s="393"/>
      <c r="SWI363" s="398"/>
      <c r="SWJ363" s="393"/>
      <c r="SWK363" s="398"/>
      <c r="SWL363" s="393"/>
      <c r="SWM363" s="398"/>
      <c r="SWN363" s="393"/>
      <c r="SWO363" s="398"/>
      <c r="SWP363" s="393"/>
      <c r="SWQ363" s="398"/>
      <c r="SWR363" s="393"/>
      <c r="SWS363" s="398"/>
      <c r="SWT363" s="393"/>
      <c r="SWU363" s="398"/>
      <c r="SWV363" s="393"/>
      <c r="SWW363" s="398"/>
      <c r="SWX363" s="393"/>
      <c r="SWY363" s="398"/>
      <c r="SWZ363" s="393"/>
      <c r="SXA363" s="398"/>
      <c r="SXB363" s="393"/>
      <c r="SXC363" s="398"/>
      <c r="SXD363" s="393"/>
      <c r="SXE363" s="398"/>
      <c r="SXF363" s="393"/>
      <c r="SXG363" s="398"/>
      <c r="SXH363" s="393"/>
      <c r="SXI363" s="398"/>
      <c r="SXJ363" s="393"/>
      <c r="SXK363" s="398"/>
      <c r="SXL363" s="393"/>
      <c r="SXM363" s="398"/>
      <c r="SXN363" s="393"/>
      <c r="SXO363" s="398"/>
      <c r="SXP363" s="393"/>
      <c r="SXQ363" s="398"/>
      <c r="SXR363" s="393"/>
      <c r="SXS363" s="398"/>
      <c r="SXT363" s="393"/>
      <c r="SXU363" s="398"/>
      <c r="SXV363" s="393"/>
      <c r="SXW363" s="398"/>
      <c r="SXX363" s="393"/>
      <c r="SXY363" s="398"/>
      <c r="SXZ363" s="393"/>
      <c r="SYA363" s="398"/>
      <c r="SYB363" s="393"/>
      <c r="SYC363" s="398"/>
      <c r="SYD363" s="393"/>
      <c r="SYE363" s="398"/>
      <c r="SYF363" s="393"/>
      <c r="SYG363" s="398"/>
      <c r="SYH363" s="393"/>
      <c r="SYI363" s="398"/>
      <c r="SYJ363" s="393"/>
      <c r="SYK363" s="398"/>
      <c r="SYL363" s="393"/>
      <c r="SYM363" s="398"/>
      <c r="SYN363" s="393"/>
      <c r="SYO363" s="398"/>
      <c r="SYP363" s="393"/>
      <c r="SYQ363" s="398"/>
      <c r="SYR363" s="393"/>
      <c r="SYS363" s="398"/>
      <c r="SYT363" s="393"/>
      <c r="SYU363" s="398"/>
      <c r="SYV363" s="393"/>
      <c r="SYW363" s="398"/>
      <c r="SYX363" s="393"/>
      <c r="SYY363" s="398"/>
      <c r="SYZ363" s="393"/>
      <c r="SZA363" s="398"/>
      <c r="SZB363" s="393"/>
      <c r="SZC363" s="398"/>
      <c r="SZD363" s="393"/>
      <c r="SZE363" s="398"/>
      <c r="SZF363" s="393"/>
      <c r="SZG363" s="398"/>
      <c r="SZH363" s="393"/>
      <c r="SZI363" s="398"/>
      <c r="SZJ363" s="393"/>
      <c r="SZK363" s="398"/>
      <c r="SZL363" s="393"/>
      <c r="SZM363" s="398"/>
      <c r="SZN363" s="393"/>
      <c r="SZO363" s="398"/>
      <c r="SZP363" s="393"/>
      <c r="SZQ363" s="398"/>
      <c r="SZR363" s="393"/>
      <c r="SZS363" s="398"/>
      <c r="SZT363" s="393"/>
      <c r="SZU363" s="398"/>
      <c r="SZV363" s="393"/>
      <c r="SZW363" s="398"/>
      <c r="SZX363" s="393"/>
      <c r="SZY363" s="398"/>
      <c r="SZZ363" s="393"/>
      <c r="TAA363" s="398"/>
      <c r="TAB363" s="393"/>
      <c r="TAC363" s="398"/>
      <c r="TAD363" s="393"/>
      <c r="TAE363" s="398"/>
      <c r="TAF363" s="393"/>
      <c r="TAG363" s="398"/>
      <c r="TAH363" s="393"/>
      <c r="TAI363" s="398"/>
      <c r="TAJ363" s="393"/>
      <c r="TAK363" s="398"/>
      <c r="TAL363" s="393"/>
      <c r="TAM363" s="398"/>
      <c r="TAN363" s="393"/>
      <c r="TAO363" s="398"/>
      <c r="TAP363" s="393"/>
      <c r="TAQ363" s="398"/>
      <c r="TAR363" s="393"/>
      <c r="TAS363" s="398"/>
      <c r="TAT363" s="393"/>
      <c r="TAU363" s="398"/>
      <c r="TAV363" s="393"/>
      <c r="TAW363" s="398"/>
      <c r="TAX363" s="393"/>
      <c r="TAY363" s="398"/>
      <c r="TAZ363" s="393"/>
      <c r="TBA363" s="398"/>
      <c r="TBB363" s="393"/>
      <c r="TBC363" s="398"/>
      <c r="TBD363" s="393"/>
      <c r="TBE363" s="398"/>
      <c r="TBF363" s="393"/>
      <c r="TBG363" s="398"/>
      <c r="TBH363" s="393"/>
      <c r="TBI363" s="398"/>
      <c r="TBJ363" s="393"/>
      <c r="TBK363" s="398"/>
      <c r="TBL363" s="393"/>
      <c r="TBM363" s="398"/>
      <c r="TBN363" s="393"/>
      <c r="TBO363" s="398"/>
      <c r="TBP363" s="393"/>
      <c r="TBQ363" s="398"/>
      <c r="TBR363" s="393"/>
      <c r="TBS363" s="398"/>
      <c r="TBT363" s="393"/>
      <c r="TBU363" s="398"/>
      <c r="TBV363" s="393"/>
      <c r="TBW363" s="398"/>
      <c r="TBX363" s="393"/>
      <c r="TBY363" s="398"/>
      <c r="TBZ363" s="393"/>
      <c r="TCA363" s="398"/>
      <c r="TCB363" s="393"/>
      <c r="TCC363" s="398"/>
      <c r="TCD363" s="393"/>
      <c r="TCE363" s="398"/>
      <c r="TCF363" s="393"/>
      <c r="TCG363" s="398"/>
      <c r="TCH363" s="393"/>
      <c r="TCI363" s="398"/>
      <c r="TCJ363" s="393"/>
      <c r="TCK363" s="398"/>
      <c r="TCL363" s="393"/>
      <c r="TCM363" s="398"/>
      <c r="TCN363" s="393"/>
      <c r="TCO363" s="398"/>
      <c r="TCP363" s="393"/>
      <c r="TCQ363" s="398"/>
      <c r="TCR363" s="393"/>
      <c r="TCS363" s="398"/>
      <c r="TCT363" s="393"/>
      <c r="TCU363" s="398"/>
      <c r="TCV363" s="393"/>
      <c r="TCW363" s="398"/>
      <c r="TCX363" s="393"/>
      <c r="TCY363" s="398"/>
      <c r="TCZ363" s="393"/>
      <c r="TDA363" s="398"/>
      <c r="TDB363" s="393"/>
      <c r="TDC363" s="398"/>
      <c r="TDD363" s="393"/>
      <c r="TDE363" s="398"/>
      <c r="TDF363" s="393"/>
      <c r="TDG363" s="398"/>
      <c r="TDH363" s="393"/>
      <c r="TDI363" s="398"/>
      <c r="TDJ363" s="393"/>
      <c r="TDK363" s="398"/>
      <c r="TDL363" s="393"/>
      <c r="TDM363" s="398"/>
      <c r="TDN363" s="393"/>
      <c r="TDO363" s="398"/>
      <c r="TDP363" s="393"/>
      <c r="TDQ363" s="398"/>
      <c r="TDR363" s="393"/>
      <c r="TDS363" s="398"/>
      <c r="TDT363" s="393"/>
      <c r="TDU363" s="398"/>
      <c r="TDV363" s="393"/>
      <c r="TDW363" s="398"/>
      <c r="TDX363" s="393"/>
      <c r="TDY363" s="398"/>
      <c r="TDZ363" s="393"/>
      <c r="TEA363" s="398"/>
      <c r="TEB363" s="393"/>
      <c r="TEC363" s="398"/>
      <c r="TED363" s="393"/>
      <c r="TEE363" s="398"/>
      <c r="TEF363" s="393"/>
      <c r="TEG363" s="398"/>
      <c r="TEH363" s="393"/>
      <c r="TEI363" s="398"/>
      <c r="TEJ363" s="393"/>
      <c r="TEK363" s="398"/>
      <c r="TEL363" s="393"/>
      <c r="TEM363" s="398"/>
      <c r="TEN363" s="393"/>
      <c r="TEO363" s="398"/>
      <c r="TEP363" s="393"/>
      <c r="TEQ363" s="398"/>
      <c r="TER363" s="393"/>
      <c r="TES363" s="398"/>
      <c r="TET363" s="393"/>
      <c r="TEU363" s="398"/>
      <c r="TEV363" s="393"/>
      <c r="TEW363" s="398"/>
      <c r="TEX363" s="393"/>
      <c r="TEY363" s="398"/>
      <c r="TEZ363" s="393"/>
      <c r="TFA363" s="398"/>
      <c r="TFB363" s="393"/>
      <c r="TFC363" s="398"/>
      <c r="TFD363" s="393"/>
      <c r="TFE363" s="398"/>
      <c r="TFF363" s="393"/>
      <c r="TFG363" s="398"/>
      <c r="TFH363" s="393"/>
      <c r="TFI363" s="398"/>
      <c r="TFJ363" s="393"/>
      <c r="TFK363" s="398"/>
      <c r="TFL363" s="393"/>
      <c r="TFM363" s="398"/>
      <c r="TFN363" s="393"/>
      <c r="TFO363" s="398"/>
      <c r="TFP363" s="393"/>
      <c r="TFQ363" s="398"/>
      <c r="TFR363" s="393"/>
      <c r="TFS363" s="398"/>
      <c r="TFT363" s="393"/>
      <c r="TFU363" s="398"/>
      <c r="TFV363" s="393"/>
      <c r="TFW363" s="398"/>
      <c r="TFX363" s="393"/>
      <c r="TFY363" s="398"/>
      <c r="TFZ363" s="393"/>
      <c r="TGA363" s="398"/>
      <c r="TGB363" s="393"/>
      <c r="TGC363" s="398"/>
      <c r="TGD363" s="393"/>
      <c r="TGE363" s="398"/>
      <c r="TGF363" s="393"/>
      <c r="TGG363" s="398"/>
      <c r="TGH363" s="393"/>
      <c r="TGI363" s="398"/>
      <c r="TGJ363" s="393"/>
      <c r="TGK363" s="398"/>
      <c r="TGL363" s="393"/>
      <c r="TGM363" s="398"/>
      <c r="TGN363" s="393"/>
      <c r="TGO363" s="398"/>
      <c r="TGP363" s="393"/>
      <c r="TGQ363" s="398"/>
      <c r="TGR363" s="393"/>
      <c r="TGS363" s="398"/>
      <c r="TGT363" s="393"/>
      <c r="TGU363" s="398"/>
      <c r="TGV363" s="393"/>
      <c r="TGW363" s="398"/>
      <c r="TGX363" s="393"/>
      <c r="TGY363" s="398"/>
      <c r="TGZ363" s="393"/>
      <c r="THA363" s="398"/>
      <c r="THB363" s="393"/>
      <c r="THC363" s="398"/>
      <c r="THD363" s="393"/>
      <c r="THE363" s="398"/>
      <c r="THF363" s="393"/>
      <c r="THG363" s="398"/>
      <c r="THH363" s="393"/>
      <c r="THI363" s="398"/>
      <c r="THJ363" s="393"/>
      <c r="THK363" s="398"/>
      <c r="THL363" s="393"/>
      <c r="THM363" s="398"/>
      <c r="THN363" s="393"/>
      <c r="THO363" s="398"/>
      <c r="THP363" s="393"/>
      <c r="THQ363" s="398"/>
      <c r="THR363" s="393"/>
      <c r="THS363" s="398"/>
      <c r="THT363" s="393"/>
      <c r="THU363" s="398"/>
      <c r="THV363" s="393"/>
      <c r="THW363" s="398"/>
      <c r="THX363" s="393"/>
      <c r="THY363" s="398"/>
      <c r="THZ363" s="393"/>
      <c r="TIA363" s="398"/>
      <c r="TIB363" s="393"/>
      <c r="TIC363" s="398"/>
      <c r="TID363" s="393"/>
      <c r="TIE363" s="398"/>
      <c r="TIF363" s="393"/>
      <c r="TIG363" s="398"/>
      <c r="TIH363" s="393"/>
      <c r="TII363" s="398"/>
      <c r="TIJ363" s="393"/>
      <c r="TIK363" s="398"/>
      <c r="TIL363" s="393"/>
      <c r="TIM363" s="398"/>
      <c r="TIN363" s="393"/>
      <c r="TIO363" s="398"/>
      <c r="TIP363" s="393"/>
      <c r="TIQ363" s="398"/>
      <c r="TIR363" s="393"/>
      <c r="TIS363" s="398"/>
      <c r="TIT363" s="393"/>
      <c r="TIU363" s="398"/>
      <c r="TIV363" s="393"/>
      <c r="TIW363" s="398"/>
      <c r="TIX363" s="393"/>
      <c r="TIY363" s="398"/>
      <c r="TIZ363" s="393"/>
      <c r="TJA363" s="398"/>
      <c r="TJB363" s="393"/>
      <c r="TJC363" s="398"/>
      <c r="TJD363" s="393"/>
      <c r="TJE363" s="398"/>
      <c r="TJF363" s="393"/>
      <c r="TJG363" s="398"/>
      <c r="TJH363" s="393"/>
      <c r="TJI363" s="398"/>
      <c r="TJJ363" s="393"/>
      <c r="TJK363" s="398"/>
      <c r="TJL363" s="393"/>
      <c r="TJM363" s="398"/>
      <c r="TJN363" s="393"/>
      <c r="TJO363" s="398"/>
      <c r="TJP363" s="393"/>
      <c r="TJQ363" s="398"/>
      <c r="TJR363" s="393"/>
      <c r="TJS363" s="398"/>
      <c r="TJT363" s="393"/>
      <c r="TJU363" s="398"/>
      <c r="TJV363" s="393"/>
      <c r="TJW363" s="398"/>
      <c r="TJX363" s="393"/>
      <c r="TJY363" s="398"/>
      <c r="TJZ363" s="393"/>
      <c r="TKA363" s="398"/>
      <c r="TKB363" s="393"/>
      <c r="TKC363" s="398"/>
      <c r="TKD363" s="393"/>
      <c r="TKE363" s="398"/>
      <c r="TKF363" s="393"/>
      <c r="TKG363" s="398"/>
      <c r="TKH363" s="393"/>
      <c r="TKI363" s="398"/>
      <c r="TKJ363" s="393"/>
      <c r="TKK363" s="398"/>
      <c r="TKL363" s="393"/>
      <c r="TKM363" s="398"/>
      <c r="TKN363" s="393"/>
      <c r="TKO363" s="398"/>
      <c r="TKP363" s="393"/>
      <c r="TKQ363" s="398"/>
      <c r="TKR363" s="393"/>
      <c r="TKS363" s="398"/>
      <c r="TKT363" s="393"/>
      <c r="TKU363" s="398"/>
      <c r="TKV363" s="393"/>
      <c r="TKW363" s="398"/>
      <c r="TKX363" s="393"/>
      <c r="TKY363" s="398"/>
      <c r="TKZ363" s="393"/>
      <c r="TLA363" s="398"/>
      <c r="TLB363" s="393"/>
      <c r="TLC363" s="398"/>
      <c r="TLD363" s="393"/>
      <c r="TLE363" s="398"/>
      <c r="TLF363" s="393"/>
      <c r="TLG363" s="398"/>
      <c r="TLH363" s="393"/>
      <c r="TLI363" s="398"/>
      <c r="TLJ363" s="393"/>
      <c r="TLK363" s="398"/>
      <c r="TLL363" s="393"/>
      <c r="TLM363" s="398"/>
      <c r="TLN363" s="393"/>
      <c r="TLO363" s="398"/>
      <c r="TLP363" s="393"/>
      <c r="TLQ363" s="398"/>
      <c r="TLR363" s="393"/>
      <c r="TLS363" s="398"/>
      <c r="TLT363" s="393"/>
      <c r="TLU363" s="398"/>
      <c r="TLV363" s="393"/>
      <c r="TLW363" s="398"/>
      <c r="TLX363" s="393"/>
      <c r="TLY363" s="398"/>
      <c r="TLZ363" s="393"/>
      <c r="TMA363" s="398"/>
      <c r="TMB363" s="393"/>
      <c r="TMC363" s="398"/>
      <c r="TMD363" s="393"/>
      <c r="TME363" s="398"/>
      <c r="TMF363" s="393"/>
      <c r="TMG363" s="398"/>
      <c r="TMH363" s="393"/>
      <c r="TMI363" s="398"/>
      <c r="TMJ363" s="393"/>
      <c r="TMK363" s="398"/>
      <c r="TML363" s="393"/>
      <c r="TMM363" s="398"/>
      <c r="TMN363" s="393"/>
      <c r="TMO363" s="398"/>
      <c r="TMP363" s="393"/>
      <c r="TMQ363" s="398"/>
      <c r="TMR363" s="393"/>
      <c r="TMS363" s="398"/>
      <c r="TMT363" s="393"/>
      <c r="TMU363" s="398"/>
      <c r="TMV363" s="393"/>
      <c r="TMW363" s="398"/>
      <c r="TMX363" s="393"/>
      <c r="TMY363" s="398"/>
      <c r="TMZ363" s="393"/>
      <c r="TNA363" s="398"/>
      <c r="TNB363" s="393"/>
      <c r="TNC363" s="398"/>
      <c r="TND363" s="393"/>
      <c r="TNE363" s="398"/>
      <c r="TNF363" s="393"/>
      <c r="TNG363" s="398"/>
      <c r="TNH363" s="393"/>
      <c r="TNI363" s="398"/>
      <c r="TNJ363" s="393"/>
      <c r="TNK363" s="398"/>
      <c r="TNL363" s="393"/>
      <c r="TNM363" s="398"/>
      <c r="TNN363" s="393"/>
      <c r="TNO363" s="398"/>
      <c r="TNP363" s="393"/>
      <c r="TNQ363" s="398"/>
      <c r="TNR363" s="393"/>
      <c r="TNS363" s="398"/>
      <c r="TNT363" s="393"/>
      <c r="TNU363" s="398"/>
      <c r="TNV363" s="393"/>
      <c r="TNW363" s="398"/>
      <c r="TNX363" s="393"/>
      <c r="TNY363" s="398"/>
      <c r="TNZ363" s="393"/>
      <c r="TOA363" s="398"/>
      <c r="TOB363" s="393"/>
      <c r="TOC363" s="398"/>
      <c r="TOD363" s="393"/>
      <c r="TOE363" s="398"/>
      <c r="TOF363" s="393"/>
      <c r="TOG363" s="398"/>
      <c r="TOH363" s="393"/>
      <c r="TOI363" s="398"/>
      <c r="TOJ363" s="393"/>
      <c r="TOK363" s="398"/>
      <c r="TOL363" s="393"/>
      <c r="TOM363" s="398"/>
      <c r="TON363" s="393"/>
      <c r="TOO363" s="398"/>
      <c r="TOP363" s="393"/>
      <c r="TOQ363" s="398"/>
      <c r="TOR363" s="393"/>
      <c r="TOS363" s="398"/>
      <c r="TOT363" s="393"/>
      <c r="TOU363" s="398"/>
      <c r="TOV363" s="393"/>
      <c r="TOW363" s="398"/>
      <c r="TOX363" s="393"/>
      <c r="TOY363" s="398"/>
      <c r="TOZ363" s="393"/>
      <c r="TPA363" s="398"/>
      <c r="TPB363" s="393"/>
      <c r="TPC363" s="398"/>
      <c r="TPD363" s="393"/>
      <c r="TPE363" s="398"/>
      <c r="TPF363" s="393"/>
      <c r="TPG363" s="398"/>
      <c r="TPH363" s="393"/>
      <c r="TPI363" s="398"/>
      <c r="TPJ363" s="393"/>
      <c r="TPK363" s="398"/>
      <c r="TPL363" s="393"/>
      <c r="TPM363" s="398"/>
      <c r="TPN363" s="393"/>
      <c r="TPO363" s="398"/>
      <c r="TPP363" s="393"/>
      <c r="TPQ363" s="398"/>
      <c r="TPR363" s="393"/>
      <c r="TPS363" s="398"/>
      <c r="TPT363" s="393"/>
      <c r="TPU363" s="398"/>
      <c r="TPV363" s="393"/>
      <c r="TPW363" s="398"/>
      <c r="TPX363" s="393"/>
      <c r="TPY363" s="398"/>
      <c r="TPZ363" s="393"/>
      <c r="TQA363" s="398"/>
      <c r="TQB363" s="393"/>
      <c r="TQC363" s="398"/>
      <c r="TQD363" s="393"/>
      <c r="TQE363" s="398"/>
      <c r="TQF363" s="393"/>
      <c r="TQG363" s="398"/>
      <c r="TQH363" s="393"/>
      <c r="TQI363" s="398"/>
      <c r="TQJ363" s="393"/>
      <c r="TQK363" s="398"/>
      <c r="TQL363" s="393"/>
      <c r="TQM363" s="398"/>
      <c r="TQN363" s="393"/>
      <c r="TQO363" s="398"/>
      <c r="TQP363" s="393"/>
      <c r="TQQ363" s="398"/>
      <c r="TQR363" s="393"/>
      <c r="TQS363" s="398"/>
      <c r="TQT363" s="393"/>
      <c r="TQU363" s="398"/>
      <c r="TQV363" s="393"/>
      <c r="TQW363" s="398"/>
      <c r="TQX363" s="393"/>
      <c r="TQY363" s="398"/>
      <c r="TQZ363" s="393"/>
      <c r="TRA363" s="398"/>
      <c r="TRB363" s="393"/>
      <c r="TRC363" s="398"/>
      <c r="TRD363" s="393"/>
      <c r="TRE363" s="398"/>
      <c r="TRF363" s="393"/>
      <c r="TRG363" s="398"/>
      <c r="TRH363" s="393"/>
      <c r="TRI363" s="398"/>
      <c r="TRJ363" s="393"/>
      <c r="TRK363" s="398"/>
      <c r="TRL363" s="393"/>
      <c r="TRM363" s="398"/>
      <c r="TRN363" s="393"/>
      <c r="TRO363" s="398"/>
      <c r="TRP363" s="393"/>
      <c r="TRQ363" s="398"/>
      <c r="TRR363" s="393"/>
      <c r="TRS363" s="398"/>
      <c r="TRT363" s="393"/>
      <c r="TRU363" s="398"/>
      <c r="TRV363" s="393"/>
      <c r="TRW363" s="398"/>
      <c r="TRX363" s="393"/>
      <c r="TRY363" s="398"/>
      <c r="TRZ363" s="393"/>
      <c r="TSA363" s="398"/>
      <c r="TSB363" s="393"/>
      <c r="TSC363" s="398"/>
      <c r="TSD363" s="393"/>
      <c r="TSE363" s="398"/>
      <c r="TSF363" s="393"/>
      <c r="TSG363" s="398"/>
      <c r="TSH363" s="393"/>
      <c r="TSI363" s="398"/>
      <c r="TSJ363" s="393"/>
      <c r="TSK363" s="398"/>
      <c r="TSL363" s="393"/>
      <c r="TSM363" s="398"/>
      <c r="TSN363" s="393"/>
      <c r="TSO363" s="398"/>
      <c r="TSP363" s="393"/>
      <c r="TSQ363" s="398"/>
      <c r="TSR363" s="393"/>
      <c r="TSS363" s="398"/>
      <c r="TST363" s="393"/>
      <c r="TSU363" s="398"/>
      <c r="TSV363" s="393"/>
      <c r="TSW363" s="398"/>
      <c r="TSX363" s="393"/>
      <c r="TSY363" s="398"/>
      <c r="TSZ363" s="393"/>
      <c r="TTA363" s="398"/>
      <c r="TTB363" s="393"/>
      <c r="TTC363" s="398"/>
      <c r="TTD363" s="393"/>
      <c r="TTE363" s="398"/>
      <c r="TTF363" s="393"/>
      <c r="TTG363" s="398"/>
      <c r="TTH363" s="393"/>
      <c r="TTI363" s="398"/>
      <c r="TTJ363" s="393"/>
      <c r="TTK363" s="398"/>
      <c r="TTL363" s="393"/>
      <c r="TTM363" s="398"/>
      <c r="TTN363" s="393"/>
      <c r="TTO363" s="398"/>
      <c r="TTP363" s="393"/>
      <c r="TTQ363" s="398"/>
      <c r="TTR363" s="393"/>
      <c r="TTS363" s="398"/>
      <c r="TTT363" s="393"/>
      <c r="TTU363" s="398"/>
      <c r="TTV363" s="393"/>
      <c r="TTW363" s="398"/>
      <c r="TTX363" s="393"/>
      <c r="TTY363" s="398"/>
      <c r="TTZ363" s="393"/>
      <c r="TUA363" s="398"/>
      <c r="TUB363" s="393"/>
      <c r="TUC363" s="398"/>
      <c r="TUD363" s="393"/>
      <c r="TUE363" s="398"/>
      <c r="TUF363" s="393"/>
      <c r="TUG363" s="398"/>
      <c r="TUH363" s="393"/>
      <c r="TUI363" s="398"/>
      <c r="TUJ363" s="393"/>
      <c r="TUK363" s="398"/>
      <c r="TUL363" s="393"/>
      <c r="TUM363" s="398"/>
      <c r="TUN363" s="393"/>
      <c r="TUO363" s="398"/>
      <c r="TUP363" s="393"/>
      <c r="TUQ363" s="398"/>
      <c r="TUR363" s="393"/>
      <c r="TUS363" s="398"/>
      <c r="TUT363" s="393"/>
      <c r="TUU363" s="398"/>
      <c r="TUV363" s="393"/>
      <c r="TUW363" s="398"/>
      <c r="TUX363" s="393"/>
      <c r="TUY363" s="398"/>
      <c r="TUZ363" s="393"/>
      <c r="TVA363" s="398"/>
      <c r="TVB363" s="393"/>
      <c r="TVC363" s="398"/>
      <c r="TVD363" s="393"/>
      <c r="TVE363" s="398"/>
      <c r="TVF363" s="393"/>
      <c r="TVG363" s="398"/>
      <c r="TVH363" s="393"/>
      <c r="TVI363" s="398"/>
      <c r="TVJ363" s="393"/>
      <c r="TVK363" s="398"/>
      <c r="TVL363" s="393"/>
      <c r="TVM363" s="398"/>
      <c r="TVN363" s="393"/>
      <c r="TVO363" s="398"/>
      <c r="TVP363" s="393"/>
      <c r="TVQ363" s="398"/>
      <c r="TVR363" s="393"/>
      <c r="TVS363" s="398"/>
      <c r="TVT363" s="393"/>
      <c r="TVU363" s="398"/>
      <c r="TVV363" s="393"/>
      <c r="TVW363" s="398"/>
      <c r="TVX363" s="393"/>
      <c r="TVY363" s="398"/>
      <c r="TVZ363" s="393"/>
      <c r="TWA363" s="398"/>
      <c r="TWB363" s="393"/>
      <c r="TWC363" s="398"/>
      <c r="TWD363" s="393"/>
      <c r="TWE363" s="398"/>
      <c r="TWF363" s="393"/>
      <c r="TWG363" s="398"/>
      <c r="TWH363" s="393"/>
      <c r="TWI363" s="398"/>
      <c r="TWJ363" s="393"/>
      <c r="TWK363" s="398"/>
      <c r="TWL363" s="393"/>
      <c r="TWM363" s="398"/>
      <c r="TWN363" s="393"/>
      <c r="TWO363" s="398"/>
      <c r="TWP363" s="393"/>
      <c r="TWQ363" s="398"/>
      <c r="TWR363" s="393"/>
      <c r="TWS363" s="398"/>
      <c r="TWT363" s="393"/>
      <c r="TWU363" s="398"/>
      <c r="TWV363" s="393"/>
      <c r="TWW363" s="398"/>
      <c r="TWX363" s="393"/>
      <c r="TWY363" s="398"/>
      <c r="TWZ363" s="393"/>
      <c r="TXA363" s="398"/>
      <c r="TXB363" s="393"/>
      <c r="TXC363" s="398"/>
      <c r="TXD363" s="393"/>
      <c r="TXE363" s="398"/>
      <c r="TXF363" s="393"/>
      <c r="TXG363" s="398"/>
      <c r="TXH363" s="393"/>
      <c r="TXI363" s="398"/>
      <c r="TXJ363" s="393"/>
      <c r="TXK363" s="398"/>
      <c r="TXL363" s="393"/>
      <c r="TXM363" s="398"/>
      <c r="TXN363" s="393"/>
      <c r="TXO363" s="398"/>
      <c r="TXP363" s="393"/>
      <c r="TXQ363" s="398"/>
      <c r="TXR363" s="393"/>
      <c r="TXS363" s="398"/>
      <c r="TXT363" s="393"/>
      <c r="TXU363" s="398"/>
      <c r="TXV363" s="393"/>
      <c r="TXW363" s="398"/>
      <c r="TXX363" s="393"/>
      <c r="TXY363" s="398"/>
      <c r="TXZ363" s="393"/>
      <c r="TYA363" s="398"/>
      <c r="TYB363" s="393"/>
      <c r="TYC363" s="398"/>
      <c r="TYD363" s="393"/>
      <c r="TYE363" s="398"/>
      <c r="TYF363" s="393"/>
      <c r="TYG363" s="398"/>
      <c r="TYH363" s="393"/>
      <c r="TYI363" s="398"/>
      <c r="TYJ363" s="393"/>
      <c r="TYK363" s="398"/>
      <c r="TYL363" s="393"/>
      <c r="TYM363" s="398"/>
      <c r="TYN363" s="393"/>
      <c r="TYO363" s="398"/>
      <c r="TYP363" s="393"/>
      <c r="TYQ363" s="398"/>
      <c r="TYR363" s="393"/>
      <c r="TYS363" s="398"/>
      <c r="TYT363" s="393"/>
      <c r="TYU363" s="398"/>
      <c r="TYV363" s="393"/>
      <c r="TYW363" s="398"/>
      <c r="TYX363" s="393"/>
      <c r="TYY363" s="398"/>
      <c r="TYZ363" s="393"/>
      <c r="TZA363" s="398"/>
      <c r="TZB363" s="393"/>
      <c r="TZC363" s="398"/>
      <c r="TZD363" s="393"/>
      <c r="TZE363" s="398"/>
      <c r="TZF363" s="393"/>
      <c r="TZG363" s="398"/>
      <c r="TZH363" s="393"/>
      <c r="TZI363" s="398"/>
      <c r="TZJ363" s="393"/>
      <c r="TZK363" s="398"/>
      <c r="TZL363" s="393"/>
      <c r="TZM363" s="398"/>
      <c r="TZN363" s="393"/>
      <c r="TZO363" s="398"/>
      <c r="TZP363" s="393"/>
      <c r="TZQ363" s="398"/>
      <c r="TZR363" s="393"/>
      <c r="TZS363" s="398"/>
      <c r="TZT363" s="393"/>
      <c r="TZU363" s="398"/>
      <c r="TZV363" s="393"/>
      <c r="TZW363" s="398"/>
      <c r="TZX363" s="393"/>
      <c r="TZY363" s="398"/>
      <c r="TZZ363" s="393"/>
      <c r="UAA363" s="398"/>
      <c r="UAB363" s="393"/>
      <c r="UAC363" s="398"/>
      <c r="UAD363" s="393"/>
      <c r="UAE363" s="398"/>
      <c r="UAF363" s="393"/>
      <c r="UAG363" s="398"/>
      <c r="UAH363" s="393"/>
      <c r="UAI363" s="398"/>
      <c r="UAJ363" s="393"/>
      <c r="UAK363" s="398"/>
      <c r="UAL363" s="393"/>
      <c r="UAM363" s="398"/>
      <c r="UAN363" s="393"/>
      <c r="UAO363" s="398"/>
      <c r="UAP363" s="393"/>
      <c r="UAQ363" s="398"/>
      <c r="UAR363" s="393"/>
      <c r="UAS363" s="398"/>
      <c r="UAT363" s="393"/>
      <c r="UAU363" s="398"/>
      <c r="UAV363" s="393"/>
      <c r="UAW363" s="398"/>
      <c r="UAX363" s="393"/>
      <c r="UAY363" s="398"/>
      <c r="UAZ363" s="393"/>
      <c r="UBA363" s="398"/>
      <c r="UBB363" s="393"/>
      <c r="UBC363" s="398"/>
      <c r="UBD363" s="393"/>
      <c r="UBE363" s="398"/>
      <c r="UBF363" s="393"/>
      <c r="UBG363" s="398"/>
      <c r="UBH363" s="393"/>
      <c r="UBI363" s="398"/>
      <c r="UBJ363" s="393"/>
      <c r="UBK363" s="398"/>
      <c r="UBL363" s="393"/>
      <c r="UBM363" s="398"/>
      <c r="UBN363" s="393"/>
      <c r="UBO363" s="398"/>
      <c r="UBP363" s="393"/>
      <c r="UBQ363" s="398"/>
      <c r="UBR363" s="393"/>
      <c r="UBS363" s="398"/>
      <c r="UBT363" s="393"/>
      <c r="UBU363" s="398"/>
      <c r="UBV363" s="393"/>
      <c r="UBW363" s="398"/>
      <c r="UBX363" s="393"/>
      <c r="UBY363" s="398"/>
      <c r="UBZ363" s="393"/>
      <c r="UCA363" s="398"/>
      <c r="UCB363" s="393"/>
      <c r="UCC363" s="398"/>
      <c r="UCD363" s="393"/>
      <c r="UCE363" s="398"/>
      <c r="UCF363" s="393"/>
      <c r="UCG363" s="398"/>
      <c r="UCH363" s="393"/>
      <c r="UCI363" s="398"/>
      <c r="UCJ363" s="393"/>
      <c r="UCK363" s="398"/>
      <c r="UCL363" s="393"/>
      <c r="UCM363" s="398"/>
      <c r="UCN363" s="393"/>
      <c r="UCO363" s="398"/>
      <c r="UCP363" s="393"/>
      <c r="UCQ363" s="398"/>
      <c r="UCR363" s="393"/>
      <c r="UCS363" s="398"/>
      <c r="UCT363" s="393"/>
      <c r="UCU363" s="398"/>
      <c r="UCV363" s="393"/>
      <c r="UCW363" s="398"/>
      <c r="UCX363" s="393"/>
      <c r="UCY363" s="398"/>
      <c r="UCZ363" s="393"/>
      <c r="UDA363" s="398"/>
      <c r="UDB363" s="393"/>
      <c r="UDC363" s="398"/>
      <c r="UDD363" s="393"/>
      <c r="UDE363" s="398"/>
      <c r="UDF363" s="393"/>
      <c r="UDG363" s="398"/>
      <c r="UDH363" s="393"/>
      <c r="UDI363" s="398"/>
      <c r="UDJ363" s="393"/>
      <c r="UDK363" s="398"/>
      <c r="UDL363" s="393"/>
      <c r="UDM363" s="398"/>
      <c r="UDN363" s="393"/>
      <c r="UDO363" s="398"/>
      <c r="UDP363" s="393"/>
      <c r="UDQ363" s="398"/>
      <c r="UDR363" s="393"/>
      <c r="UDS363" s="398"/>
      <c r="UDT363" s="393"/>
      <c r="UDU363" s="398"/>
      <c r="UDV363" s="393"/>
      <c r="UDW363" s="398"/>
      <c r="UDX363" s="393"/>
      <c r="UDY363" s="398"/>
      <c r="UDZ363" s="393"/>
      <c r="UEA363" s="398"/>
      <c r="UEB363" s="393"/>
      <c r="UEC363" s="398"/>
      <c r="UED363" s="393"/>
      <c r="UEE363" s="398"/>
      <c r="UEF363" s="393"/>
      <c r="UEG363" s="398"/>
      <c r="UEH363" s="393"/>
      <c r="UEI363" s="398"/>
      <c r="UEJ363" s="393"/>
      <c r="UEK363" s="398"/>
      <c r="UEL363" s="393"/>
      <c r="UEM363" s="398"/>
      <c r="UEN363" s="393"/>
      <c r="UEO363" s="398"/>
      <c r="UEP363" s="393"/>
      <c r="UEQ363" s="398"/>
      <c r="UER363" s="393"/>
      <c r="UES363" s="398"/>
      <c r="UET363" s="393"/>
      <c r="UEU363" s="398"/>
      <c r="UEV363" s="393"/>
      <c r="UEW363" s="398"/>
      <c r="UEX363" s="393"/>
      <c r="UEY363" s="398"/>
      <c r="UEZ363" s="393"/>
      <c r="UFA363" s="398"/>
      <c r="UFB363" s="393"/>
      <c r="UFC363" s="398"/>
      <c r="UFD363" s="393"/>
      <c r="UFE363" s="398"/>
      <c r="UFF363" s="393"/>
      <c r="UFG363" s="398"/>
      <c r="UFH363" s="393"/>
      <c r="UFI363" s="398"/>
      <c r="UFJ363" s="393"/>
      <c r="UFK363" s="398"/>
      <c r="UFL363" s="393"/>
      <c r="UFM363" s="398"/>
      <c r="UFN363" s="393"/>
      <c r="UFO363" s="398"/>
      <c r="UFP363" s="393"/>
      <c r="UFQ363" s="398"/>
      <c r="UFR363" s="393"/>
      <c r="UFS363" s="398"/>
      <c r="UFT363" s="393"/>
      <c r="UFU363" s="398"/>
      <c r="UFV363" s="393"/>
      <c r="UFW363" s="398"/>
      <c r="UFX363" s="393"/>
      <c r="UFY363" s="398"/>
      <c r="UFZ363" s="393"/>
      <c r="UGA363" s="398"/>
      <c r="UGB363" s="393"/>
      <c r="UGC363" s="398"/>
      <c r="UGD363" s="393"/>
      <c r="UGE363" s="398"/>
      <c r="UGF363" s="393"/>
      <c r="UGG363" s="398"/>
      <c r="UGH363" s="393"/>
      <c r="UGI363" s="398"/>
      <c r="UGJ363" s="393"/>
      <c r="UGK363" s="398"/>
      <c r="UGL363" s="393"/>
      <c r="UGM363" s="398"/>
      <c r="UGN363" s="393"/>
      <c r="UGO363" s="398"/>
      <c r="UGP363" s="393"/>
      <c r="UGQ363" s="398"/>
      <c r="UGR363" s="393"/>
      <c r="UGS363" s="398"/>
      <c r="UGT363" s="393"/>
      <c r="UGU363" s="398"/>
      <c r="UGV363" s="393"/>
      <c r="UGW363" s="398"/>
      <c r="UGX363" s="393"/>
      <c r="UGY363" s="398"/>
      <c r="UGZ363" s="393"/>
      <c r="UHA363" s="398"/>
      <c r="UHB363" s="393"/>
      <c r="UHC363" s="398"/>
      <c r="UHD363" s="393"/>
      <c r="UHE363" s="398"/>
      <c r="UHF363" s="393"/>
      <c r="UHG363" s="398"/>
      <c r="UHH363" s="393"/>
      <c r="UHI363" s="398"/>
      <c r="UHJ363" s="393"/>
      <c r="UHK363" s="398"/>
      <c r="UHL363" s="393"/>
      <c r="UHM363" s="398"/>
      <c r="UHN363" s="393"/>
      <c r="UHO363" s="398"/>
      <c r="UHP363" s="393"/>
      <c r="UHQ363" s="398"/>
      <c r="UHR363" s="393"/>
      <c r="UHS363" s="398"/>
      <c r="UHT363" s="393"/>
      <c r="UHU363" s="398"/>
      <c r="UHV363" s="393"/>
      <c r="UHW363" s="398"/>
      <c r="UHX363" s="393"/>
      <c r="UHY363" s="398"/>
      <c r="UHZ363" s="393"/>
      <c r="UIA363" s="398"/>
      <c r="UIB363" s="393"/>
      <c r="UIC363" s="398"/>
      <c r="UID363" s="393"/>
      <c r="UIE363" s="398"/>
      <c r="UIF363" s="393"/>
      <c r="UIG363" s="398"/>
      <c r="UIH363" s="393"/>
      <c r="UII363" s="398"/>
      <c r="UIJ363" s="393"/>
      <c r="UIK363" s="398"/>
      <c r="UIL363" s="393"/>
      <c r="UIM363" s="398"/>
      <c r="UIN363" s="393"/>
      <c r="UIO363" s="398"/>
      <c r="UIP363" s="393"/>
      <c r="UIQ363" s="398"/>
      <c r="UIR363" s="393"/>
      <c r="UIS363" s="398"/>
      <c r="UIT363" s="393"/>
      <c r="UIU363" s="398"/>
      <c r="UIV363" s="393"/>
      <c r="UIW363" s="398"/>
      <c r="UIX363" s="393"/>
      <c r="UIY363" s="398"/>
      <c r="UIZ363" s="393"/>
      <c r="UJA363" s="398"/>
      <c r="UJB363" s="393"/>
      <c r="UJC363" s="398"/>
      <c r="UJD363" s="393"/>
      <c r="UJE363" s="398"/>
      <c r="UJF363" s="393"/>
      <c r="UJG363" s="398"/>
      <c r="UJH363" s="393"/>
      <c r="UJI363" s="398"/>
      <c r="UJJ363" s="393"/>
      <c r="UJK363" s="398"/>
      <c r="UJL363" s="393"/>
      <c r="UJM363" s="398"/>
      <c r="UJN363" s="393"/>
      <c r="UJO363" s="398"/>
      <c r="UJP363" s="393"/>
      <c r="UJQ363" s="398"/>
      <c r="UJR363" s="393"/>
      <c r="UJS363" s="398"/>
      <c r="UJT363" s="393"/>
      <c r="UJU363" s="398"/>
      <c r="UJV363" s="393"/>
      <c r="UJW363" s="398"/>
      <c r="UJX363" s="393"/>
      <c r="UJY363" s="398"/>
      <c r="UJZ363" s="393"/>
      <c r="UKA363" s="398"/>
      <c r="UKB363" s="393"/>
      <c r="UKC363" s="398"/>
      <c r="UKD363" s="393"/>
      <c r="UKE363" s="398"/>
      <c r="UKF363" s="393"/>
      <c r="UKG363" s="398"/>
      <c r="UKH363" s="393"/>
      <c r="UKI363" s="398"/>
      <c r="UKJ363" s="393"/>
      <c r="UKK363" s="398"/>
      <c r="UKL363" s="393"/>
      <c r="UKM363" s="398"/>
      <c r="UKN363" s="393"/>
      <c r="UKO363" s="398"/>
      <c r="UKP363" s="393"/>
      <c r="UKQ363" s="398"/>
      <c r="UKR363" s="393"/>
      <c r="UKS363" s="398"/>
      <c r="UKT363" s="393"/>
      <c r="UKU363" s="398"/>
      <c r="UKV363" s="393"/>
      <c r="UKW363" s="398"/>
      <c r="UKX363" s="393"/>
      <c r="UKY363" s="398"/>
      <c r="UKZ363" s="393"/>
      <c r="ULA363" s="398"/>
      <c r="ULB363" s="393"/>
      <c r="ULC363" s="398"/>
      <c r="ULD363" s="393"/>
      <c r="ULE363" s="398"/>
      <c r="ULF363" s="393"/>
      <c r="ULG363" s="398"/>
      <c r="ULH363" s="393"/>
      <c r="ULI363" s="398"/>
      <c r="ULJ363" s="393"/>
      <c r="ULK363" s="398"/>
      <c r="ULL363" s="393"/>
      <c r="ULM363" s="398"/>
      <c r="ULN363" s="393"/>
      <c r="ULO363" s="398"/>
      <c r="ULP363" s="393"/>
      <c r="ULQ363" s="398"/>
      <c r="ULR363" s="393"/>
      <c r="ULS363" s="398"/>
      <c r="ULT363" s="393"/>
      <c r="ULU363" s="398"/>
      <c r="ULV363" s="393"/>
      <c r="ULW363" s="398"/>
      <c r="ULX363" s="393"/>
      <c r="ULY363" s="398"/>
      <c r="ULZ363" s="393"/>
      <c r="UMA363" s="398"/>
      <c r="UMB363" s="393"/>
      <c r="UMC363" s="398"/>
      <c r="UMD363" s="393"/>
      <c r="UME363" s="398"/>
      <c r="UMF363" s="393"/>
      <c r="UMG363" s="398"/>
      <c r="UMH363" s="393"/>
      <c r="UMI363" s="398"/>
      <c r="UMJ363" s="393"/>
      <c r="UMK363" s="398"/>
      <c r="UML363" s="393"/>
      <c r="UMM363" s="398"/>
      <c r="UMN363" s="393"/>
      <c r="UMO363" s="398"/>
      <c r="UMP363" s="393"/>
      <c r="UMQ363" s="398"/>
      <c r="UMR363" s="393"/>
      <c r="UMS363" s="398"/>
      <c r="UMT363" s="393"/>
      <c r="UMU363" s="398"/>
      <c r="UMV363" s="393"/>
      <c r="UMW363" s="398"/>
      <c r="UMX363" s="393"/>
      <c r="UMY363" s="398"/>
      <c r="UMZ363" s="393"/>
      <c r="UNA363" s="398"/>
      <c r="UNB363" s="393"/>
      <c r="UNC363" s="398"/>
      <c r="UND363" s="393"/>
      <c r="UNE363" s="398"/>
      <c r="UNF363" s="393"/>
      <c r="UNG363" s="398"/>
      <c r="UNH363" s="393"/>
      <c r="UNI363" s="398"/>
      <c r="UNJ363" s="393"/>
      <c r="UNK363" s="398"/>
      <c r="UNL363" s="393"/>
      <c r="UNM363" s="398"/>
      <c r="UNN363" s="393"/>
      <c r="UNO363" s="398"/>
      <c r="UNP363" s="393"/>
      <c r="UNQ363" s="398"/>
      <c r="UNR363" s="393"/>
      <c r="UNS363" s="398"/>
      <c r="UNT363" s="393"/>
      <c r="UNU363" s="398"/>
      <c r="UNV363" s="393"/>
      <c r="UNW363" s="398"/>
      <c r="UNX363" s="393"/>
      <c r="UNY363" s="398"/>
      <c r="UNZ363" s="393"/>
      <c r="UOA363" s="398"/>
      <c r="UOB363" s="393"/>
      <c r="UOC363" s="398"/>
      <c r="UOD363" s="393"/>
      <c r="UOE363" s="398"/>
      <c r="UOF363" s="393"/>
      <c r="UOG363" s="398"/>
      <c r="UOH363" s="393"/>
      <c r="UOI363" s="398"/>
      <c r="UOJ363" s="393"/>
      <c r="UOK363" s="398"/>
      <c r="UOL363" s="393"/>
      <c r="UOM363" s="398"/>
      <c r="UON363" s="393"/>
      <c r="UOO363" s="398"/>
      <c r="UOP363" s="393"/>
      <c r="UOQ363" s="398"/>
      <c r="UOR363" s="393"/>
      <c r="UOS363" s="398"/>
      <c r="UOT363" s="393"/>
      <c r="UOU363" s="398"/>
      <c r="UOV363" s="393"/>
      <c r="UOW363" s="398"/>
      <c r="UOX363" s="393"/>
      <c r="UOY363" s="398"/>
      <c r="UOZ363" s="393"/>
      <c r="UPA363" s="398"/>
      <c r="UPB363" s="393"/>
      <c r="UPC363" s="398"/>
      <c r="UPD363" s="393"/>
      <c r="UPE363" s="398"/>
      <c r="UPF363" s="393"/>
      <c r="UPG363" s="398"/>
      <c r="UPH363" s="393"/>
      <c r="UPI363" s="398"/>
      <c r="UPJ363" s="393"/>
      <c r="UPK363" s="398"/>
      <c r="UPL363" s="393"/>
      <c r="UPM363" s="398"/>
      <c r="UPN363" s="393"/>
      <c r="UPO363" s="398"/>
      <c r="UPP363" s="393"/>
      <c r="UPQ363" s="398"/>
      <c r="UPR363" s="393"/>
      <c r="UPS363" s="398"/>
      <c r="UPT363" s="393"/>
      <c r="UPU363" s="398"/>
      <c r="UPV363" s="393"/>
      <c r="UPW363" s="398"/>
      <c r="UPX363" s="393"/>
      <c r="UPY363" s="398"/>
      <c r="UPZ363" s="393"/>
      <c r="UQA363" s="398"/>
      <c r="UQB363" s="393"/>
      <c r="UQC363" s="398"/>
      <c r="UQD363" s="393"/>
      <c r="UQE363" s="398"/>
      <c r="UQF363" s="393"/>
      <c r="UQG363" s="398"/>
      <c r="UQH363" s="393"/>
      <c r="UQI363" s="398"/>
      <c r="UQJ363" s="393"/>
      <c r="UQK363" s="398"/>
      <c r="UQL363" s="393"/>
      <c r="UQM363" s="398"/>
      <c r="UQN363" s="393"/>
      <c r="UQO363" s="398"/>
      <c r="UQP363" s="393"/>
      <c r="UQQ363" s="398"/>
      <c r="UQR363" s="393"/>
      <c r="UQS363" s="398"/>
      <c r="UQT363" s="393"/>
      <c r="UQU363" s="398"/>
      <c r="UQV363" s="393"/>
      <c r="UQW363" s="398"/>
      <c r="UQX363" s="393"/>
      <c r="UQY363" s="398"/>
      <c r="UQZ363" s="393"/>
      <c r="URA363" s="398"/>
      <c r="URB363" s="393"/>
      <c r="URC363" s="398"/>
      <c r="URD363" s="393"/>
      <c r="URE363" s="398"/>
      <c r="URF363" s="393"/>
      <c r="URG363" s="398"/>
      <c r="URH363" s="393"/>
      <c r="URI363" s="398"/>
      <c r="URJ363" s="393"/>
      <c r="URK363" s="398"/>
      <c r="URL363" s="393"/>
      <c r="URM363" s="398"/>
      <c r="URN363" s="393"/>
      <c r="URO363" s="398"/>
      <c r="URP363" s="393"/>
      <c r="URQ363" s="398"/>
      <c r="URR363" s="393"/>
      <c r="URS363" s="398"/>
      <c r="URT363" s="393"/>
      <c r="URU363" s="398"/>
      <c r="URV363" s="393"/>
      <c r="URW363" s="398"/>
      <c r="URX363" s="393"/>
      <c r="URY363" s="398"/>
      <c r="URZ363" s="393"/>
      <c r="USA363" s="398"/>
      <c r="USB363" s="393"/>
      <c r="USC363" s="398"/>
      <c r="USD363" s="393"/>
      <c r="USE363" s="398"/>
      <c r="USF363" s="393"/>
      <c r="USG363" s="398"/>
      <c r="USH363" s="393"/>
      <c r="USI363" s="398"/>
      <c r="USJ363" s="393"/>
      <c r="USK363" s="398"/>
      <c r="USL363" s="393"/>
      <c r="USM363" s="398"/>
      <c r="USN363" s="393"/>
      <c r="USO363" s="398"/>
      <c r="USP363" s="393"/>
      <c r="USQ363" s="398"/>
      <c r="USR363" s="393"/>
      <c r="USS363" s="398"/>
      <c r="UST363" s="393"/>
      <c r="USU363" s="398"/>
      <c r="USV363" s="393"/>
      <c r="USW363" s="398"/>
      <c r="USX363" s="393"/>
      <c r="USY363" s="398"/>
      <c r="USZ363" s="393"/>
      <c r="UTA363" s="398"/>
      <c r="UTB363" s="393"/>
      <c r="UTC363" s="398"/>
      <c r="UTD363" s="393"/>
      <c r="UTE363" s="398"/>
      <c r="UTF363" s="393"/>
      <c r="UTG363" s="398"/>
      <c r="UTH363" s="393"/>
      <c r="UTI363" s="398"/>
      <c r="UTJ363" s="393"/>
      <c r="UTK363" s="398"/>
      <c r="UTL363" s="393"/>
      <c r="UTM363" s="398"/>
      <c r="UTN363" s="393"/>
      <c r="UTO363" s="398"/>
      <c r="UTP363" s="393"/>
      <c r="UTQ363" s="398"/>
      <c r="UTR363" s="393"/>
      <c r="UTS363" s="398"/>
      <c r="UTT363" s="393"/>
      <c r="UTU363" s="398"/>
      <c r="UTV363" s="393"/>
      <c r="UTW363" s="398"/>
      <c r="UTX363" s="393"/>
      <c r="UTY363" s="398"/>
      <c r="UTZ363" s="393"/>
      <c r="UUA363" s="398"/>
      <c r="UUB363" s="393"/>
      <c r="UUC363" s="398"/>
      <c r="UUD363" s="393"/>
      <c r="UUE363" s="398"/>
      <c r="UUF363" s="393"/>
      <c r="UUG363" s="398"/>
      <c r="UUH363" s="393"/>
      <c r="UUI363" s="398"/>
      <c r="UUJ363" s="393"/>
      <c r="UUK363" s="398"/>
      <c r="UUL363" s="393"/>
      <c r="UUM363" s="398"/>
      <c r="UUN363" s="393"/>
      <c r="UUO363" s="398"/>
      <c r="UUP363" s="393"/>
      <c r="UUQ363" s="398"/>
      <c r="UUR363" s="393"/>
      <c r="UUS363" s="398"/>
      <c r="UUT363" s="393"/>
      <c r="UUU363" s="398"/>
      <c r="UUV363" s="393"/>
      <c r="UUW363" s="398"/>
      <c r="UUX363" s="393"/>
      <c r="UUY363" s="398"/>
      <c r="UUZ363" s="393"/>
      <c r="UVA363" s="398"/>
      <c r="UVB363" s="393"/>
      <c r="UVC363" s="398"/>
      <c r="UVD363" s="393"/>
      <c r="UVE363" s="398"/>
      <c r="UVF363" s="393"/>
      <c r="UVG363" s="398"/>
      <c r="UVH363" s="393"/>
      <c r="UVI363" s="398"/>
      <c r="UVJ363" s="393"/>
      <c r="UVK363" s="398"/>
      <c r="UVL363" s="393"/>
      <c r="UVM363" s="398"/>
      <c r="UVN363" s="393"/>
      <c r="UVO363" s="398"/>
      <c r="UVP363" s="393"/>
      <c r="UVQ363" s="398"/>
      <c r="UVR363" s="393"/>
      <c r="UVS363" s="398"/>
      <c r="UVT363" s="393"/>
      <c r="UVU363" s="398"/>
      <c r="UVV363" s="393"/>
      <c r="UVW363" s="398"/>
      <c r="UVX363" s="393"/>
      <c r="UVY363" s="398"/>
      <c r="UVZ363" s="393"/>
      <c r="UWA363" s="398"/>
      <c r="UWB363" s="393"/>
      <c r="UWC363" s="398"/>
      <c r="UWD363" s="393"/>
      <c r="UWE363" s="398"/>
      <c r="UWF363" s="393"/>
      <c r="UWG363" s="398"/>
      <c r="UWH363" s="393"/>
      <c r="UWI363" s="398"/>
      <c r="UWJ363" s="393"/>
      <c r="UWK363" s="398"/>
      <c r="UWL363" s="393"/>
      <c r="UWM363" s="398"/>
      <c r="UWN363" s="393"/>
      <c r="UWO363" s="398"/>
      <c r="UWP363" s="393"/>
      <c r="UWQ363" s="398"/>
      <c r="UWR363" s="393"/>
      <c r="UWS363" s="398"/>
      <c r="UWT363" s="393"/>
      <c r="UWU363" s="398"/>
      <c r="UWV363" s="393"/>
      <c r="UWW363" s="398"/>
      <c r="UWX363" s="393"/>
      <c r="UWY363" s="398"/>
      <c r="UWZ363" s="393"/>
      <c r="UXA363" s="398"/>
      <c r="UXB363" s="393"/>
      <c r="UXC363" s="398"/>
      <c r="UXD363" s="393"/>
      <c r="UXE363" s="398"/>
      <c r="UXF363" s="393"/>
      <c r="UXG363" s="398"/>
      <c r="UXH363" s="393"/>
      <c r="UXI363" s="398"/>
      <c r="UXJ363" s="393"/>
      <c r="UXK363" s="398"/>
      <c r="UXL363" s="393"/>
      <c r="UXM363" s="398"/>
      <c r="UXN363" s="393"/>
      <c r="UXO363" s="398"/>
      <c r="UXP363" s="393"/>
      <c r="UXQ363" s="398"/>
      <c r="UXR363" s="393"/>
      <c r="UXS363" s="398"/>
      <c r="UXT363" s="393"/>
      <c r="UXU363" s="398"/>
      <c r="UXV363" s="393"/>
      <c r="UXW363" s="398"/>
      <c r="UXX363" s="393"/>
      <c r="UXY363" s="398"/>
      <c r="UXZ363" s="393"/>
      <c r="UYA363" s="398"/>
      <c r="UYB363" s="393"/>
      <c r="UYC363" s="398"/>
      <c r="UYD363" s="393"/>
      <c r="UYE363" s="398"/>
      <c r="UYF363" s="393"/>
      <c r="UYG363" s="398"/>
      <c r="UYH363" s="393"/>
      <c r="UYI363" s="398"/>
      <c r="UYJ363" s="393"/>
      <c r="UYK363" s="398"/>
      <c r="UYL363" s="393"/>
      <c r="UYM363" s="398"/>
      <c r="UYN363" s="393"/>
      <c r="UYO363" s="398"/>
      <c r="UYP363" s="393"/>
      <c r="UYQ363" s="398"/>
      <c r="UYR363" s="393"/>
      <c r="UYS363" s="398"/>
      <c r="UYT363" s="393"/>
      <c r="UYU363" s="398"/>
      <c r="UYV363" s="393"/>
      <c r="UYW363" s="398"/>
      <c r="UYX363" s="393"/>
      <c r="UYY363" s="398"/>
      <c r="UYZ363" s="393"/>
      <c r="UZA363" s="398"/>
      <c r="UZB363" s="393"/>
      <c r="UZC363" s="398"/>
      <c r="UZD363" s="393"/>
      <c r="UZE363" s="398"/>
      <c r="UZF363" s="393"/>
      <c r="UZG363" s="398"/>
      <c r="UZH363" s="393"/>
      <c r="UZI363" s="398"/>
      <c r="UZJ363" s="393"/>
      <c r="UZK363" s="398"/>
      <c r="UZL363" s="393"/>
      <c r="UZM363" s="398"/>
      <c r="UZN363" s="393"/>
      <c r="UZO363" s="398"/>
      <c r="UZP363" s="393"/>
      <c r="UZQ363" s="398"/>
      <c r="UZR363" s="393"/>
      <c r="UZS363" s="398"/>
      <c r="UZT363" s="393"/>
      <c r="UZU363" s="398"/>
      <c r="UZV363" s="393"/>
      <c r="UZW363" s="398"/>
      <c r="UZX363" s="393"/>
      <c r="UZY363" s="398"/>
      <c r="UZZ363" s="393"/>
      <c r="VAA363" s="398"/>
      <c r="VAB363" s="393"/>
      <c r="VAC363" s="398"/>
      <c r="VAD363" s="393"/>
      <c r="VAE363" s="398"/>
      <c r="VAF363" s="393"/>
      <c r="VAG363" s="398"/>
      <c r="VAH363" s="393"/>
      <c r="VAI363" s="398"/>
      <c r="VAJ363" s="393"/>
      <c r="VAK363" s="398"/>
      <c r="VAL363" s="393"/>
      <c r="VAM363" s="398"/>
      <c r="VAN363" s="393"/>
      <c r="VAO363" s="398"/>
      <c r="VAP363" s="393"/>
      <c r="VAQ363" s="398"/>
      <c r="VAR363" s="393"/>
      <c r="VAS363" s="398"/>
      <c r="VAT363" s="393"/>
      <c r="VAU363" s="398"/>
      <c r="VAV363" s="393"/>
      <c r="VAW363" s="398"/>
      <c r="VAX363" s="393"/>
      <c r="VAY363" s="398"/>
      <c r="VAZ363" s="393"/>
      <c r="VBA363" s="398"/>
      <c r="VBB363" s="393"/>
      <c r="VBC363" s="398"/>
      <c r="VBD363" s="393"/>
      <c r="VBE363" s="398"/>
      <c r="VBF363" s="393"/>
      <c r="VBG363" s="398"/>
      <c r="VBH363" s="393"/>
      <c r="VBI363" s="398"/>
      <c r="VBJ363" s="393"/>
      <c r="VBK363" s="398"/>
      <c r="VBL363" s="393"/>
      <c r="VBM363" s="398"/>
      <c r="VBN363" s="393"/>
      <c r="VBO363" s="398"/>
      <c r="VBP363" s="393"/>
      <c r="VBQ363" s="398"/>
      <c r="VBR363" s="393"/>
      <c r="VBS363" s="398"/>
      <c r="VBT363" s="393"/>
      <c r="VBU363" s="398"/>
      <c r="VBV363" s="393"/>
      <c r="VBW363" s="398"/>
      <c r="VBX363" s="393"/>
      <c r="VBY363" s="398"/>
      <c r="VBZ363" s="393"/>
      <c r="VCA363" s="398"/>
      <c r="VCB363" s="393"/>
      <c r="VCC363" s="398"/>
      <c r="VCD363" s="393"/>
      <c r="VCE363" s="398"/>
      <c r="VCF363" s="393"/>
      <c r="VCG363" s="398"/>
      <c r="VCH363" s="393"/>
      <c r="VCI363" s="398"/>
      <c r="VCJ363" s="393"/>
      <c r="VCK363" s="398"/>
      <c r="VCL363" s="393"/>
      <c r="VCM363" s="398"/>
      <c r="VCN363" s="393"/>
      <c r="VCO363" s="398"/>
      <c r="VCP363" s="393"/>
      <c r="VCQ363" s="398"/>
      <c r="VCR363" s="393"/>
      <c r="VCS363" s="398"/>
      <c r="VCT363" s="393"/>
      <c r="VCU363" s="398"/>
      <c r="VCV363" s="393"/>
      <c r="VCW363" s="398"/>
      <c r="VCX363" s="393"/>
      <c r="VCY363" s="398"/>
      <c r="VCZ363" s="393"/>
      <c r="VDA363" s="398"/>
      <c r="VDB363" s="393"/>
      <c r="VDC363" s="398"/>
      <c r="VDD363" s="393"/>
      <c r="VDE363" s="398"/>
      <c r="VDF363" s="393"/>
      <c r="VDG363" s="398"/>
      <c r="VDH363" s="393"/>
      <c r="VDI363" s="398"/>
      <c r="VDJ363" s="393"/>
      <c r="VDK363" s="398"/>
      <c r="VDL363" s="393"/>
      <c r="VDM363" s="398"/>
      <c r="VDN363" s="393"/>
      <c r="VDO363" s="398"/>
      <c r="VDP363" s="393"/>
      <c r="VDQ363" s="398"/>
      <c r="VDR363" s="393"/>
      <c r="VDS363" s="398"/>
      <c r="VDT363" s="393"/>
      <c r="VDU363" s="398"/>
      <c r="VDV363" s="393"/>
      <c r="VDW363" s="398"/>
      <c r="VDX363" s="393"/>
      <c r="VDY363" s="398"/>
      <c r="VDZ363" s="393"/>
      <c r="VEA363" s="398"/>
      <c r="VEB363" s="393"/>
      <c r="VEC363" s="398"/>
      <c r="VED363" s="393"/>
      <c r="VEE363" s="398"/>
      <c r="VEF363" s="393"/>
      <c r="VEG363" s="398"/>
      <c r="VEH363" s="393"/>
      <c r="VEI363" s="398"/>
      <c r="VEJ363" s="393"/>
      <c r="VEK363" s="398"/>
      <c r="VEL363" s="393"/>
      <c r="VEM363" s="398"/>
      <c r="VEN363" s="393"/>
      <c r="VEO363" s="398"/>
      <c r="VEP363" s="393"/>
      <c r="VEQ363" s="398"/>
      <c r="VER363" s="393"/>
      <c r="VES363" s="398"/>
      <c r="VET363" s="393"/>
      <c r="VEU363" s="398"/>
      <c r="VEV363" s="393"/>
      <c r="VEW363" s="398"/>
      <c r="VEX363" s="393"/>
      <c r="VEY363" s="398"/>
      <c r="VEZ363" s="393"/>
      <c r="VFA363" s="398"/>
      <c r="VFB363" s="393"/>
      <c r="VFC363" s="398"/>
      <c r="VFD363" s="393"/>
      <c r="VFE363" s="398"/>
      <c r="VFF363" s="393"/>
      <c r="VFG363" s="398"/>
      <c r="VFH363" s="393"/>
      <c r="VFI363" s="398"/>
      <c r="VFJ363" s="393"/>
      <c r="VFK363" s="398"/>
      <c r="VFL363" s="393"/>
      <c r="VFM363" s="398"/>
      <c r="VFN363" s="393"/>
      <c r="VFO363" s="398"/>
      <c r="VFP363" s="393"/>
      <c r="VFQ363" s="398"/>
      <c r="VFR363" s="393"/>
      <c r="VFS363" s="398"/>
      <c r="VFT363" s="393"/>
      <c r="VFU363" s="398"/>
      <c r="VFV363" s="393"/>
      <c r="VFW363" s="398"/>
      <c r="VFX363" s="393"/>
      <c r="VFY363" s="398"/>
      <c r="VFZ363" s="393"/>
      <c r="VGA363" s="398"/>
      <c r="VGB363" s="393"/>
      <c r="VGC363" s="398"/>
      <c r="VGD363" s="393"/>
      <c r="VGE363" s="398"/>
      <c r="VGF363" s="393"/>
      <c r="VGG363" s="398"/>
      <c r="VGH363" s="393"/>
      <c r="VGI363" s="398"/>
      <c r="VGJ363" s="393"/>
      <c r="VGK363" s="398"/>
      <c r="VGL363" s="393"/>
      <c r="VGM363" s="398"/>
      <c r="VGN363" s="393"/>
      <c r="VGO363" s="398"/>
      <c r="VGP363" s="393"/>
      <c r="VGQ363" s="398"/>
      <c r="VGR363" s="393"/>
      <c r="VGS363" s="398"/>
      <c r="VGT363" s="393"/>
      <c r="VGU363" s="398"/>
      <c r="VGV363" s="393"/>
      <c r="VGW363" s="398"/>
      <c r="VGX363" s="393"/>
      <c r="VGY363" s="398"/>
      <c r="VGZ363" s="393"/>
      <c r="VHA363" s="398"/>
      <c r="VHB363" s="393"/>
      <c r="VHC363" s="398"/>
      <c r="VHD363" s="393"/>
      <c r="VHE363" s="398"/>
      <c r="VHF363" s="393"/>
      <c r="VHG363" s="398"/>
      <c r="VHH363" s="393"/>
      <c r="VHI363" s="398"/>
      <c r="VHJ363" s="393"/>
      <c r="VHK363" s="398"/>
      <c r="VHL363" s="393"/>
      <c r="VHM363" s="398"/>
      <c r="VHN363" s="393"/>
      <c r="VHO363" s="398"/>
      <c r="VHP363" s="393"/>
      <c r="VHQ363" s="398"/>
      <c r="VHR363" s="393"/>
      <c r="VHS363" s="398"/>
      <c r="VHT363" s="393"/>
      <c r="VHU363" s="398"/>
      <c r="VHV363" s="393"/>
      <c r="VHW363" s="398"/>
      <c r="VHX363" s="393"/>
      <c r="VHY363" s="398"/>
      <c r="VHZ363" s="393"/>
      <c r="VIA363" s="398"/>
      <c r="VIB363" s="393"/>
      <c r="VIC363" s="398"/>
      <c r="VID363" s="393"/>
      <c r="VIE363" s="398"/>
      <c r="VIF363" s="393"/>
      <c r="VIG363" s="398"/>
      <c r="VIH363" s="393"/>
      <c r="VII363" s="398"/>
      <c r="VIJ363" s="393"/>
      <c r="VIK363" s="398"/>
      <c r="VIL363" s="393"/>
      <c r="VIM363" s="398"/>
      <c r="VIN363" s="393"/>
      <c r="VIO363" s="398"/>
      <c r="VIP363" s="393"/>
      <c r="VIQ363" s="398"/>
      <c r="VIR363" s="393"/>
      <c r="VIS363" s="398"/>
      <c r="VIT363" s="393"/>
      <c r="VIU363" s="398"/>
      <c r="VIV363" s="393"/>
      <c r="VIW363" s="398"/>
      <c r="VIX363" s="393"/>
      <c r="VIY363" s="398"/>
      <c r="VIZ363" s="393"/>
      <c r="VJA363" s="398"/>
      <c r="VJB363" s="393"/>
      <c r="VJC363" s="398"/>
      <c r="VJD363" s="393"/>
      <c r="VJE363" s="398"/>
      <c r="VJF363" s="393"/>
      <c r="VJG363" s="398"/>
      <c r="VJH363" s="393"/>
      <c r="VJI363" s="398"/>
      <c r="VJJ363" s="393"/>
      <c r="VJK363" s="398"/>
      <c r="VJL363" s="393"/>
      <c r="VJM363" s="398"/>
      <c r="VJN363" s="393"/>
      <c r="VJO363" s="398"/>
      <c r="VJP363" s="393"/>
      <c r="VJQ363" s="398"/>
      <c r="VJR363" s="393"/>
      <c r="VJS363" s="398"/>
      <c r="VJT363" s="393"/>
      <c r="VJU363" s="398"/>
      <c r="VJV363" s="393"/>
      <c r="VJW363" s="398"/>
      <c r="VJX363" s="393"/>
      <c r="VJY363" s="398"/>
      <c r="VJZ363" s="393"/>
      <c r="VKA363" s="398"/>
      <c r="VKB363" s="393"/>
      <c r="VKC363" s="398"/>
      <c r="VKD363" s="393"/>
      <c r="VKE363" s="398"/>
      <c r="VKF363" s="393"/>
      <c r="VKG363" s="398"/>
      <c r="VKH363" s="393"/>
      <c r="VKI363" s="398"/>
      <c r="VKJ363" s="393"/>
      <c r="VKK363" s="398"/>
      <c r="VKL363" s="393"/>
      <c r="VKM363" s="398"/>
      <c r="VKN363" s="393"/>
      <c r="VKO363" s="398"/>
      <c r="VKP363" s="393"/>
      <c r="VKQ363" s="398"/>
      <c r="VKR363" s="393"/>
      <c r="VKS363" s="398"/>
      <c r="VKT363" s="393"/>
      <c r="VKU363" s="398"/>
      <c r="VKV363" s="393"/>
      <c r="VKW363" s="398"/>
      <c r="VKX363" s="393"/>
      <c r="VKY363" s="398"/>
      <c r="VKZ363" s="393"/>
      <c r="VLA363" s="398"/>
      <c r="VLB363" s="393"/>
      <c r="VLC363" s="398"/>
      <c r="VLD363" s="393"/>
      <c r="VLE363" s="398"/>
      <c r="VLF363" s="393"/>
      <c r="VLG363" s="398"/>
      <c r="VLH363" s="393"/>
      <c r="VLI363" s="398"/>
      <c r="VLJ363" s="393"/>
      <c r="VLK363" s="398"/>
      <c r="VLL363" s="393"/>
      <c r="VLM363" s="398"/>
      <c r="VLN363" s="393"/>
      <c r="VLO363" s="398"/>
      <c r="VLP363" s="393"/>
      <c r="VLQ363" s="398"/>
      <c r="VLR363" s="393"/>
      <c r="VLS363" s="398"/>
      <c r="VLT363" s="393"/>
      <c r="VLU363" s="398"/>
      <c r="VLV363" s="393"/>
      <c r="VLW363" s="398"/>
      <c r="VLX363" s="393"/>
      <c r="VLY363" s="398"/>
      <c r="VLZ363" s="393"/>
      <c r="VMA363" s="398"/>
      <c r="VMB363" s="393"/>
      <c r="VMC363" s="398"/>
      <c r="VMD363" s="393"/>
      <c r="VME363" s="398"/>
      <c r="VMF363" s="393"/>
      <c r="VMG363" s="398"/>
      <c r="VMH363" s="393"/>
      <c r="VMI363" s="398"/>
      <c r="VMJ363" s="393"/>
      <c r="VMK363" s="398"/>
      <c r="VML363" s="393"/>
      <c r="VMM363" s="398"/>
      <c r="VMN363" s="393"/>
      <c r="VMO363" s="398"/>
      <c r="VMP363" s="393"/>
      <c r="VMQ363" s="398"/>
      <c r="VMR363" s="393"/>
      <c r="VMS363" s="398"/>
      <c r="VMT363" s="393"/>
      <c r="VMU363" s="398"/>
      <c r="VMV363" s="393"/>
      <c r="VMW363" s="398"/>
      <c r="VMX363" s="393"/>
      <c r="VMY363" s="398"/>
      <c r="VMZ363" s="393"/>
      <c r="VNA363" s="398"/>
      <c r="VNB363" s="393"/>
      <c r="VNC363" s="398"/>
      <c r="VND363" s="393"/>
      <c r="VNE363" s="398"/>
      <c r="VNF363" s="393"/>
      <c r="VNG363" s="398"/>
      <c r="VNH363" s="393"/>
      <c r="VNI363" s="398"/>
      <c r="VNJ363" s="393"/>
      <c r="VNK363" s="398"/>
      <c r="VNL363" s="393"/>
      <c r="VNM363" s="398"/>
      <c r="VNN363" s="393"/>
      <c r="VNO363" s="398"/>
      <c r="VNP363" s="393"/>
      <c r="VNQ363" s="398"/>
      <c r="VNR363" s="393"/>
      <c r="VNS363" s="398"/>
      <c r="VNT363" s="393"/>
      <c r="VNU363" s="398"/>
      <c r="VNV363" s="393"/>
      <c r="VNW363" s="398"/>
      <c r="VNX363" s="393"/>
      <c r="VNY363" s="398"/>
      <c r="VNZ363" s="393"/>
      <c r="VOA363" s="398"/>
      <c r="VOB363" s="393"/>
      <c r="VOC363" s="398"/>
      <c r="VOD363" s="393"/>
      <c r="VOE363" s="398"/>
      <c r="VOF363" s="393"/>
      <c r="VOG363" s="398"/>
      <c r="VOH363" s="393"/>
      <c r="VOI363" s="398"/>
      <c r="VOJ363" s="393"/>
      <c r="VOK363" s="398"/>
      <c r="VOL363" s="393"/>
      <c r="VOM363" s="398"/>
      <c r="VON363" s="393"/>
      <c r="VOO363" s="398"/>
      <c r="VOP363" s="393"/>
      <c r="VOQ363" s="398"/>
      <c r="VOR363" s="393"/>
      <c r="VOS363" s="398"/>
      <c r="VOT363" s="393"/>
      <c r="VOU363" s="398"/>
      <c r="VOV363" s="393"/>
      <c r="VOW363" s="398"/>
      <c r="VOX363" s="393"/>
      <c r="VOY363" s="398"/>
      <c r="VOZ363" s="393"/>
      <c r="VPA363" s="398"/>
      <c r="VPB363" s="393"/>
      <c r="VPC363" s="398"/>
      <c r="VPD363" s="393"/>
      <c r="VPE363" s="398"/>
      <c r="VPF363" s="393"/>
      <c r="VPG363" s="398"/>
      <c r="VPH363" s="393"/>
      <c r="VPI363" s="398"/>
      <c r="VPJ363" s="393"/>
      <c r="VPK363" s="398"/>
      <c r="VPL363" s="393"/>
      <c r="VPM363" s="398"/>
      <c r="VPN363" s="393"/>
      <c r="VPO363" s="398"/>
      <c r="VPP363" s="393"/>
      <c r="VPQ363" s="398"/>
      <c r="VPR363" s="393"/>
      <c r="VPS363" s="398"/>
      <c r="VPT363" s="393"/>
      <c r="VPU363" s="398"/>
      <c r="VPV363" s="393"/>
      <c r="VPW363" s="398"/>
      <c r="VPX363" s="393"/>
      <c r="VPY363" s="398"/>
      <c r="VPZ363" s="393"/>
      <c r="VQA363" s="398"/>
      <c r="VQB363" s="393"/>
      <c r="VQC363" s="398"/>
      <c r="VQD363" s="393"/>
      <c r="VQE363" s="398"/>
      <c r="VQF363" s="393"/>
      <c r="VQG363" s="398"/>
      <c r="VQH363" s="393"/>
      <c r="VQI363" s="398"/>
      <c r="VQJ363" s="393"/>
      <c r="VQK363" s="398"/>
      <c r="VQL363" s="393"/>
      <c r="VQM363" s="398"/>
      <c r="VQN363" s="393"/>
      <c r="VQO363" s="398"/>
      <c r="VQP363" s="393"/>
      <c r="VQQ363" s="398"/>
      <c r="VQR363" s="393"/>
      <c r="VQS363" s="398"/>
      <c r="VQT363" s="393"/>
      <c r="VQU363" s="398"/>
      <c r="VQV363" s="393"/>
      <c r="VQW363" s="398"/>
      <c r="VQX363" s="393"/>
      <c r="VQY363" s="398"/>
      <c r="VQZ363" s="393"/>
      <c r="VRA363" s="398"/>
      <c r="VRB363" s="393"/>
      <c r="VRC363" s="398"/>
      <c r="VRD363" s="393"/>
      <c r="VRE363" s="398"/>
      <c r="VRF363" s="393"/>
      <c r="VRG363" s="398"/>
      <c r="VRH363" s="393"/>
      <c r="VRI363" s="398"/>
      <c r="VRJ363" s="393"/>
      <c r="VRK363" s="398"/>
      <c r="VRL363" s="393"/>
      <c r="VRM363" s="398"/>
      <c r="VRN363" s="393"/>
      <c r="VRO363" s="398"/>
      <c r="VRP363" s="393"/>
      <c r="VRQ363" s="398"/>
      <c r="VRR363" s="393"/>
      <c r="VRS363" s="398"/>
      <c r="VRT363" s="393"/>
      <c r="VRU363" s="398"/>
      <c r="VRV363" s="393"/>
      <c r="VRW363" s="398"/>
      <c r="VRX363" s="393"/>
      <c r="VRY363" s="398"/>
      <c r="VRZ363" s="393"/>
      <c r="VSA363" s="398"/>
      <c r="VSB363" s="393"/>
      <c r="VSC363" s="398"/>
      <c r="VSD363" s="393"/>
      <c r="VSE363" s="398"/>
      <c r="VSF363" s="393"/>
      <c r="VSG363" s="398"/>
      <c r="VSH363" s="393"/>
      <c r="VSI363" s="398"/>
      <c r="VSJ363" s="393"/>
      <c r="VSK363" s="398"/>
      <c r="VSL363" s="393"/>
      <c r="VSM363" s="398"/>
      <c r="VSN363" s="393"/>
      <c r="VSO363" s="398"/>
      <c r="VSP363" s="393"/>
      <c r="VSQ363" s="398"/>
      <c r="VSR363" s="393"/>
      <c r="VSS363" s="398"/>
      <c r="VST363" s="393"/>
      <c r="VSU363" s="398"/>
      <c r="VSV363" s="393"/>
      <c r="VSW363" s="398"/>
      <c r="VSX363" s="393"/>
      <c r="VSY363" s="398"/>
      <c r="VSZ363" s="393"/>
      <c r="VTA363" s="398"/>
      <c r="VTB363" s="393"/>
      <c r="VTC363" s="398"/>
      <c r="VTD363" s="393"/>
      <c r="VTE363" s="398"/>
      <c r="VTF363" s="393"/>
      <c r="VTG363" s="398"/>
      <c r="VTH363" s="393"/>
      <c r="VTI363" s="398"/>
      <c r="VTJ363" s="393"/>
      <c r="VTK363" s="398"/>
      <c r="VTL363" s="393"/>
      <c r="VTM363" s="398"/>
      <c r="VTN363" s="393"/>
      <c r="VTO363" s="398"/>
      <c r="VTP363" s="393"/>
      <c r="VTQ363" s="398"/>
      <c r="VTR363" s="393"/>
      <c r="VTS363" s="398"/>
      <c r="VTT363" s="393"/>
      <c r="VTU363" s="398"/>
      <c r="VTV363" s="393"/>
      <c r="VTW363" s="398"/>
      <c r="VTX363" s="393"/>
      <c r="VTY363" s="398"/>
      <c r="VTZ363" s="393"/>
      <c r="VUA363" s="398"/>
      <c r="VUB363" s="393"/>
      <c r="VUC363" s="398"/>
      <c r="VUD363" s="393"/>
      <c r="VUE363" s="398"/>
      <c r="VUF363" s="393"/>
      <c r="VUG363" s="398"/>
      <c r="VUH363" s="393"/>
      <c r="VUI363" s="398"/>
      <c r="VUJ363" s="393"/>
      <c r="VUK363" s="398"/>
      <c r="VUL363" s="393"/>
      <c r="VUM363" s="398"/>
      <c r="VUN363" s="393"/>
      <c r="VUO363" s="398"/>
      <c r="VUP363" s="393"/>
      <c r="VUQ363" s="398"/>
      <c r="VUR363" s="393"/>
      <c r="VUS363" s="398"/>
      <c r="VUT363" s="393"/>
      <c r="VUU363" s="398"/>
      <c r="VUV363" s="393"/>
      <c r="VUW363" s="398"/>
      <c r="VUX363" s="393"/>
      <c r="VUY363" s="398"/>
      <c r="VUZ363" s="393"/>
      <c r="VVA363" s="398"/>
      <c r="VVB363" s="393"/>
      <c r="VVC363" s="398"/>
      <c r="VVD363" s="393"/>
      <c r="VVE363" s="398"/>
      <c r="VVF363" s="393"/>
      <c r="VVG363" s="398"/>
      <c r="VVH363" s="393"/>
      <c r="VVI363" s="398"/>
      <c r="VVJ363" s="393"/>
      <c r="VVK363" s="398"/>
      <c r="VVL363" s="393"/>
      <c r="VVM363" s="398"/>
      <c r="VVN363" s="393"/>
      <c r="VVO363" s="398"/>
      <c r="VVP363" s="393"/>
      <c r="VVQ363" s="398"/>
      <c r="VVR363" s="393"/>
      <c r="VVS363" s="398"/>
      <c r="VVT363" s="393"/>
      <c r="VVU363" s="398"/>
      <c r="VVV363" s="393"/>
      <c r="VVW363" s="398"/>
      <c r="VVX363" s="393"/>
      <c r="VVY363" s="398"/>
      <c r="VVZ363" s="393"/>
      <c r="VWA363" s="398"/>
      <c r="VWB363" s="393"/>
      <c r="VWC363" s="398"/>
      <c r="VWD363" s="393"/>
      <c r="VWE363" s="398"/>
      <c r="VWF363" s="393"/>
      <c r="VWG363" s="398"/>
      <c r="VWH363" s="393"/>
      <c r="VWI363" s="398"/>
      <c r="VWJ363" s="393"/>
      <c r="VWK363" s="398"/>
      <c r="VWL363" s="393"/>
      <c r="VWM363" s="398"/>
      <c r="VWN363" s="393"/>
      <c r="VWO363" s="398"/>
      <c r="VWP363" s="393"/>
      <c r="VWQ363" s="398"/>
      <c r="VWR363" s="393"/>
      <c r="VWS363" s="398"/>
      <c r="VWT363" s="393"/>
      <c r="VWU363" s="398"/>
      <c r="VWV363" s="393"/>
      <c r="VWW363" s="398"/>
      <c r="VWX363" s="393"/>
      <c r="VWY363" s="398"/>
      <c r="VWZ363" s="393"/>
      <c r="VXA363" s="398"/>
      <c r="VXB363" s="393"/>
      <c r="VXC363" s="398"/>
      <c r="VXD363" s="393"/>
      <c r="VXE363" s="398"/>
      <c r="VXF363" s="393"/>
      <c r="VXG363" s="398"/>
      <c r="VXH363" s="393"/>
      <c r="VXI363" s="398"/>
      <c r="VXJ363" s="393"/>
      <c r="VXK363" s="398"/>
      <c r="VXL363" s="393"/>
      <c r="VXM363" s="398"/>
      <c r="VXN363" s="393"/>
      <c r="VXO363" s="398"/>
      <c r="VXP363" s="393"/>
      <c r="VXQ363" s="398"/>
      <c r="VXR363" s="393"/>
      <c r="VXS363" s="398"/>
      <c r="VXT363" s="393"/>
      <c r="VXU363" s="398"/>
      <c r="VXV363" s="393"/>
      <c r="VXW363" s="398"/>
      <c r="VXX363" s="393"/>
      <c r="VXY363" s="398"/>
      <c r="VXZ363" s="393"/>
      <c r="VYA363" s="398"/>
      <c r="VYB363" s="393"/>
      <c r="VYC363" s="398"/>
      <c r="VYD363" s="393"/>
      <c r="VYE363" s="398"/>
      <c r="VYF363" s="393"/>
      <c r="VYG363" s="398"/>
      <c r="VYH363" s="393"/>
      <c r="VYI363" s="398"/>
      <c r="VYJ363" s="393"/>
      <c r="VYK363" s="398"/>
      <c r="VYL363" s="393"/>
      <c r="VYM363" s="398"/>
      <c r="VYN363" s="393"/>
      <c r="VYO363" s="398"/>
      <c r="VYP363" s="393"/>
      <c r="VYQ363" s="398"/>
      <c r="VYR363" s="393"/>
      <c r="VYS363" s="398"/>
      <c r="VYT363" s="393"/>
      <c r="VYU363" s="398"/>
      <c r="VYV363" s="393"/>
      <c r="VYW363" s="398"/>
      <c r="VYX363" s="393"/>
      <c r="VYY363" s="398"/>
      <c r="VYZ363" s="393"/>
      <c r="VZA363" s="398"/>
      <c r="VZB363" s="393"/>
      <c r="VZC363" s="398"/>
      <c r="VZD363" s="393"/>
      <c r="VZE363" s="398"/>
      <c r="VZF363" s="393"/>
      <c r="VZG363" s="398"/>
      <c r="VZH363" s="393"/>
      <c r="VZI363" s="398"/>
      <c r="VZJ363" s="393"/>
      <c r="VZK363" s="398"/>
      <c r="VZL363" s="393"/>
      <c r="VZM363" s="398"/>
      <c r="VZN363" s="393"/>
      <c r="VZO363" s="398"/>
      <c r="VZP363" s="393"/>
      <c r="VZQ363" s="398"/>
      <c r="VZR363" s="393"/>
      <c r="VZS363" s="398"/>
      <c r="VZT363" s="393"/>
      <c r="VZU363" s="398"/>
      <c r="VZV363" s="393"/>
      <c r="VZW363" s="398"/>
      <c r="VZX363" s="393"/>
      <c r="VZY363" s="398"/>
      <c r="VZZ363" s="393"/>
      <c r="WAA363" s="398"/>
      <c r="WAB363" s="393"/>
      <c r="WAC363" s="398"/>
      <c r="WAD363" s="393"/>
      <c r="WAE363" s="398"/>
      <c r="WAF363" s="393"/>
      <c r="WAG363" s="398"/>
      <c r="WAH363" s="393"/>
      <c r="WAI363" s="398"/>
      <c r="WAJ363" s="393"/>
      <c r="WAK363" s="398"/>
      <c r="WAL363" s="393"/>
      <c r="WAM363" s="398"/>
      <c r="WAN363" s="393"/>
      <c r="WAO363" s="398"/>
      <c r="WAP363" s="393"/>
      <c r="WAQ363" s="398"/>
      <c r="WAR363" s="393"/>
      <c r="WAS363" s="398"/>
      <c r="WAT363" s="393"/>
      <c r="WAU363" s="398"/>
      <c r="WAV363" s="393"/>
      <c r="WAW363" s="398"/>
      <c r="WAX363" s="393"/>
      <c r="WAY363" s="398"/>
      <c r="WAZ363" s="393"/>
      <c r="WBA363" s="398"/>
      <c r="WBB363" s="393"/>
      <c r="WBC363" s="398"/>
      <c r="WBD363" s="393"/>
      <c r="WBE363" s="398"/>
      <c r="WBF363" s="393"/>
      <c r="WBG363" s="398"/>
      <c r="WBH363" s="393"/>
      <c r="WBI363" s="398"/>
      <c r="WBJ363" s="393"/>
      <c r="WBK363" s="398"/>
      <c r="WBL363" s="393"/>
      <c r="WBM363" s="398"/>
      <c r="WBN363" s="393"/>
      <c r="WBO363" s="398"/>
      <c r="WBP363" s="393"/>
      <c r="WBQ363" s="398"/>
      <c r="WBR363" s="393"/>
      <c r="WBS363" s="398"/>
      <c r="WBT363" s="393"/>
      <c r="WBU363" s="398"/>
      <c r="WBV363" s="393"/>
      <c r="WBW363" s="398"/>
      <c r="WBX363" s="393"/>
      <c r="WBY363" s="398"/>
      <c r="WBZ363" s="393"/>
      <c r="WCA363" s="398"/>
      <c r="WCB363" s="393"/>
      <c r="WCC363" s="398"/>
      <c r="WCD363" s="393"/>
      <c r="WCE363" s="398"/>
      <c r="WCF363" s="393"/>
      <c r="WCG363" s="398"/>
      <c r="WCH363" s="393"/>
      <c r="WCI363" s="398"/>
      <c r="WCJ363" s="393"/>
      <c r="WCK363" s="398"/>
      <c r="WCL363" s="393"/>
      <c r="WCM363" s="398"/>
      <c r="WCN363" s="393"/>
      <c r="WCO363" s="398"/>
      <c r="WCP363" s="393"/>
      <c r="WCQ363" s="398"/>
      <c r="WCR363" s="393"/>
      <c r="WCS363" s="398"/>
      <c r="WCT363" s="393"/>
      <c r="WCU363" s="398"/>
      <c r="WCV363" s="393"/>
      <c r="WCW363" s="398"/>
      <c r="WCX363" s="393"/>
      <c r="WCY363" s="398"/>
      <c r="WCZ363" s="393"/>
      <c r="WDA363" s="398"/>
      <c r="WDB363" s="393"/>
      <c r="WDC363" s="398"/>
      <c r="WDD363" s="393"/>
      <c r="WDE363" s="398"/>
      <c r="WDF363" s="393"/>
      <c r="WDG363" s="398"/>
      <c r="WDH363" s="393"/>
      <c r="WDI363" s="398"/>
      <c r="WDJ363" s="393"/>
      <c r="WDK363" s="398"/>
      <c r="WDL363" s="393"/>
      <c r="WDM363" s="398"/>
      <c r="WDN363" s="393"/>
      <c r="WDO363" s="398"/>
      <c r="WDP363" s="393"/>
      <c r="WDQ363" s="398"/>
      <c r="WDR363" s="393"/>
      <c r="WDS363" s="398"/>
      <c r="WDT363" s="393"/>
      <c r="WDU363" s="398"/>
      <c r="WDV363" s="393"/>
      <c r="WDW363" s="398"/>
      <c r="WDX363" s="393"/>
      <c r="WDY363" s="398"/>
      <c r="WDZ363" s="393"/>
      <c r="WEA363" s="398"/>
      <c r="WEB363" s="393"/>
      <c r="WEC363" s="398"/>
      <c r="WED363" s="393"/>
      <c r="WEE363" s="398"/>
      <c r="WEF363" s="393"/>
      <c r="WEG363" s="398"/>
      <c r="WEH363" s="393"/>
      <c r="WEI363" s="398"/>
      <c r="WEJ363" s="393"/>
      <c r="WEK363" s="398"/>
      <c r="WEL363" s="393"/>
      <c r="WEM363" s="398"/>
      <c r="WEN363" s="393"/>
      <c r="WEO363" s="398"/>
      <c r="WEP363" s="393"/>
      <c r="WEQ363" s="398"/>
      <c r="WER363" s="393"/>
      <c r="WES363" s="398"/>
      <c r="WET363" s="393"/>
      <c r="WEU363" s="398"/>
      <c r="WEV363" s="393"/>
      <c r="WEW363" s="398"/>
      <c r="WEX363" s="393"/>
      <c r="WEY363" s="398"/>
      <c r="WEZ363" s="393"/>
      <c r="WFA363" s="398"/>
      <c r="WFB363" s="393"/>
      <c r="WFC363" s="398"/>
      <c r="WFD363" s="393"/>
      <c r="WFE363" s="398"/>
      <c r="WFF363" s="393"/>
      <c r="WFG363" s="398"/>
      <c r="WFH363" s="393"/>
      <c r="WFI363" s="398"/>
      <c r="WFJ363" s="393"/>
      <c r="WFK363" s="398"/>
      <c r="WFL363" s="393"/>
      <c r="WFM363" s="398"/>
      <c r="WFN363" s="393"/>
      <c r="WFO363" s="398"/>
      <c r="WFP363" s="393"/>
      <c r="WFQ363" s="398"/>
      <c r="WFR363" s="393"/>
      <c r="WFS363" s="398"/>
      <c r="WFT363" s="393"/>
      <c r="WFU363" s="398"/>
      <c r="WFV363" s="393"/>
      <c r="WFW363" s="398"/>
      <c r="WFX363" s="393"/>
      <c r="WFY363" s="398"/>
      <c r="WFZ363" s="393"/>
      <c r="WGA363" s="398"/>
      <c r="WGB363" s="393"/>
      <c r="WGC363" s="398"/>
      <c r="WGD363" s="393"/>
      <c r="WGE363" s="398"/>
      <c r="WGF363" s="393"/>
      <c r="WGG363" s="398"/>
      <c r="WGH363" s="393"/>
      <c r="WGI363" s="398"/>
      <c r="WGJ363" s="393"/>
      <c r="WGK363" s="398"/>
      <c r="WGL363" s="393"/>
      <c r="WGM363" s="398"/>
      <c r="WGN363" s="393"/>
      <c r="WGO363" s="398"/>
      <c r="WGP363" s="393"/>
      <c r="WGQ363" s="398"/>
      <c r="WGR363" s="393"/>
      <c r="WGS363" s="398"/>
      <c r="WGT363" s="393"/>
      <c r="WGU363" s="398"/>
      <c r="WGV363" s="393"/>
      <c r="WGW363" s="398"/>
      <c r="WGX363" s="393"/>
      <c r="WGY363" s="398"/>
      <c r="WGZ363" s="393"/>
      <c r="WHA363" s="398"/>
      <c r="WHB363" s="393"/>
      <c r="WHC363" s="398"/>
      <c r="WHD363" s="393"/>
      <c r="WHE363" s="398"/>
      <c r="WHF363" s="393"/>
      <c r="WHG363" s="398"/>
      <c r="WHH363" s="393"/>
      <c r="WHI363" s="398"/>
      <c r="WHJ363" s="393"/>
      <c r="WHK363" s="398"/>
      <c r="WHL363" s="393"/>
      <c r="WHM363" s="398"/>
      <c r="WHN363" s="393"/>
      <c r="WHO363" s="398"/>
      <c r="WHP363" s="393"/>
      <c r="WHQ363" s="398"/>
      <c r="WHR363" s="393"/>
      <c r="WHS363" s="398"/>
      <c r="WHT363" s="393"/>
      <c r="WHU363" s="398"/>
      <c r="WHV363" s="393"/>
      <c r="WHW363" s="398"/>
      <c r="WHX363" s="393"/>
      <c r="WHY363" s="398"/>
      <c r="WHZ363" s="393"/>
      <c r="WIA363" s="398"/>
      <c r="WIB363" s="393"/>
      <c r="WIC363" s="398"/>
      <c r="WID363" s="393"/>
      <c r="WIE363" s="398"/>
      <c r="WIF363" s="393"/>
      <c r="WIG363" s="398"/>
      <c r="WIH363" s="393"/>
      <c r="WII363" s="398"/>
      <c r="WIJ363" s="393"/>
      <c r="WIK363" s="398"/>
      <c r="WIL363" s="393"/>
      <c r="WIM363" s="398"/>
      <c r="WIN363" s="393"/>
      <c r="WIO363" s="398"/>
      <c r="WIP363" s="393"/>
      <c r="WIQ363" s="398"/>
      <c r="WIR363" s="393"/>
      <c r="WIS363" s="398"/>
      <c r="WIT363" s="393"/>
      <c r="WIU363" s="398"/>
      <c r="WIV363" s="393"/>
      <c r="WIW363" s="398"/>
      <c r="WIX363" s="393"/>
      <c r="WIY363" s="398"/>
      <c r="WIZ363" s="393"/>
      <c r="WJA363" s="398"/>
      <c r="WJB363" s="393"/>
      <c r="WJC363" s="398"/>
      <c r="WJD363" s="393"/>
      <c r="WJE363" s="398"/>
      <c r="WJF363" s="393"/>
      <c r="WJG363" s="398"/>
      <c r="WJH363" s="393"/>
      <c r="WJI363" s="398"/>
      <c r="WJJ363" s="393"/>
      <c r="WJK363" s="398"/>
      <c r="WJL363" s="393"/>
      <c r="WJM363" s="398"/>
      <c r="WJN363" s="393"/>
      <c r="WJO363" s="398"/>
      <c r="WJP363" s="393"/>
      <c r="WJQ363" s="398"/>
      <c r="WJR363" s="393"/>
      <c r="WJS363" s="398"/>
      <c r="WJT363" s="393"/>
      <c r="WJU363" s="398"/>
      <c r="WJV363" s="393"/>
      <c r="WJW363" s="398"/>
      <c r="WJX363" s="393"/>
      <c r="WJY363" s="398"/>
      <c r="WJZ363" s="393"/>
      <c r="WKA363" s="398"/>
      <c r="WKB363" s="393"/>
      <c r="WKC363" s="398"/>
      <c r="WKD363" s="393"/>
      <c r="WKE363" s="398"/>
      <c r="WKF363" s="393"/>
      <c r="WKG363" s="398"/>
      <c r="WKH363" s="393"/>
      <c r="WKI363" s="398"/>
      <c r="WKJ363" s="393"/>
      <c r="WKK363" s="398"/>
      <c r="WKL363" s="393"/>
      <c r="WKM363" s="398"/>
      <c r="WKN363" s="393"/>
      <c r="WKO363" s="398"/>
      <c r="WKP363" s="393"/>
      <c r="WKQ363" s="398"/>
      <c r="WKR363" s="393"/>
      <c r="WKS363" s="398"/>
      <c r="WKT363" s="393"/>
      <c r="WKU363" s="398"/>
      <c r="WKV363" s="393"/>
      <c r="WKW363" s="398"/>
      <c r="WKX363" s="393"/>
      <c r="WKY363" s="398"/>
      <c r="WKZ363" s="393"/>
      <c r="WLA363" s="398"/>
      <c r="WLB363" s="393"/>
      <c r="WLC363" s="398"/>
      <c r="WLD363" s="393"/>
      <c r="WLE363" s="398"/>
      <c r="WLF363" s="393"/>
      <c r="WLG363" s="398"/>
      <c r="WLH363" s="393"/>
      <c r="WLI363" s="398"/>
      <c r="WLJ363" s="393"/>
      <c r="WLK363" s="398"/>
      <c r="WLL363" s="393"/>
      <c r="WLM363" s="398"/>
      <c r="WLN363" s="393"/>
      <c r="WLO363" s="398"/>
      <c r="WLP363" s="393"/>
      <c r="WLQ363" s="398"/>
      <c r="WLR363" s="393"/>
      <c r="WLS363" s="398"/>
      <c r="WLT363" s="393"/>
      <c r="WLU363" s="398"/>
      <c r="WLV363" s="393"/>
      <c r="WLW363" s="398"/>
      <c r="WLX363" s="393"/>
      <c r="WLY363" s="398"/>
      <c r="WLZ363" s="393"/>
      <c r="WMA363" s="398"/>
      <c r="WMB363" s="393"/>
      <c r="WMC363" s="398"/>
      <c r="WMD363" s="393"/>
      <c r="WME363" s="398"/>
      <c r="WMF363" s="393"/>
      <c r="WMG363" s="398"/>
      <c r="WMH363" s="393"/>
      <c r="WMI363" s="398"/>
      <c r="WMJ363" s="393"/>
      <c r="WMK363" s="398"/>
      <c r="WML363" s="393"/>
      <c r="WMM363" s="398"/>
      <c r="WMN363" s="393"/>
      <c r="WMO363" s="398"/>
      <c r="WMP363" s="393"/>
      <c r="WMQ363" s="398"/>
      <c r="WMR363" s="393"/>
      <c r="WMS363" s="398"/>
      <c r="WMT363" s="393"/>
      <c r="WMU363" s="398"/>
      <c r="WMV363" s="393"/>
      <c r="WMW363" s="398"/>
      <c r="WMX363" s="393"/>
      <c r="WMY363" s="398"/>
      <c r="WMZ363" s="393"/>
      <c r="WNA363" s="398"/>
      <c r="WNB363" s="393"/>
      <c r="WNC363" s="398"/>
      <c r="WND363" s="393"/>
      <c r="WNE363" s="398"/>
      <c r="WNF363" s="393"/>
      <c r="WNG363" s="398"/>
      <c r="WNH363" s="393"/>
      <c r="WNI363" s="398"/>
      <c r="WNJ363" s="393"/>
      <c r="WNK363" s="398"/>
      <c r="WNL363" s="393"/>
      <c r="WNM363" s="398"/>
      <c r="WNN363" s="393"/>
      <c r="WNO363" s="398"/>
      <c r="WNP363" s="393"/>
      <c r="WNQ363" s="398"/>
      <c r="WNR363" s="393"/>
      <c r="WNS363" s="398"/>
      <c r="WNT363" s="393"/>
      <c r="WNU363" s="398"/>
      <c r="WNV363" s="393"/>
      <c r="WNW363" s="398"/>
      <c r="WNX363" s="393"/>
      <c r="WNY363" s="398"/>
      <c r="WNZ363" s="393"/>
      <c r="WOA363" s="398"/>
      <c r="WOB363" s="393"/>
      <c r="WOC363" s="398"/>
      <c r="WOD363" s="393"/>
      <c r="WOE363" s="398"/>
      <c r="WOF363" s="393"/>
      <c r="WOG363" s="398"/>
      <c r="WOH363" s="393"/>
      <c r="WOI363" s="398"/>
      <c r="WOJ363" s="393"/>
      <c r="WOK363" s="398"/>
      <c r="WOL363" s="393"/>
      <c r="WOM363" s="398"/>
      <c r="WON363" s="393"/>
      <c r="WOO363" s="398"/>
      <c r="WOP363" s="393"/>
      <c r="WOQ363" s="398"/>
      <c r="WOR363" s="393"/>
      <c r="WOS363" s="398"/>
      <c r="WOT363" s="393"/>
      <c r="WOU363" s="398"/>
      <c r="WOV363" s="393"/>
      <c r="WOW363" s="398"/>
      <c r="WOX363" s="393"/>
      <c r="WOY363" s="398"/>
      <c r="WOZ363" s="393"/>
      <c r="WPA363" s="398"/>
      <c r="WPB363" s="393"/>
      <c r="WPC363" s="398"/>
      <c r="WPD363" s="393"/>
      <c r="WPE363" s="398"/>
      <c r="WPF363" s="393"/>
      <c r="WPG363" s="398"/>
      <c r="WPH363" s="393"/>
      <c r="WPI363" s="398"/>
      <c r="WPJ363" s="393"/>
      <c r="WPK363" s="398"/>
      <c r="WPL363" s="393"/>
      <c r="WPM363" s="398"/>
      <c r="WPN363" s="393"/>
      <c r="WPO363" s="398"/>
      <c r="WPP363" s="393"/>
      <c r="WPQ363" s="398"/>
      <c r="WPR363" s="393"/>
      <c r="WPS363" s="398"/>
      <c r="WPT363" s="393"/>
      <c r="WPU363" s="398"/>
      <c r="WPV363" s="393"/>
      <c r="WPW363" s="398"/>
      <c r="WPX363" s="393"/>
      <c r="WPY363" s="398"/>
      <c r="WPZ363" s="393"/>
      <c r="WQA363" s="398"/>
      <c r="WQB363" s="393"/>
      <c r="WQC363" s="398"/>
      <c r="WQD363" s="393"/>
      <c r="WQE363" s="398"/>
      <c r="WQF363" s="393"/>
      <c r="WQG363" s="398"/>
      <c r="WQH363" s="393"/>
      <c r="WQI363" s="398"/>
      <c r="WQJ363" s="393"/>
      <c r="WQK363" s="398"/>
      <c r="WQL363" s="393"/>
      <c r="WQM363" s="398"/>
      <c r="WQN363" s="393"/>
      <c r="WQO363" s="398"/>
      <c r="WQP363" s="393"/>
      <c r="WQQ363" s="398"/>
      <c r="WQR363" s="393"/>
      <c r="WQS363" s="398"/>
      <c r="WQT363" s="393"/>
      <c r="WQU363" s="398"/>
      <c r="WQV363" s="393"/>
      <c r="WQW363" s="398"/>
      <c r="WQX363" s="393"/>
      <c r="WQY363" s="398"/>
      <c r="WQZ363" s="393"/>
      <c r="WRA363" s="398"/>
      <c r="WRB363" s="393"/>
      <c r="WRC363" s="398"/>
      <c r="WRD363" s="393"/>
      <c r="WRE363" s="398"/>
      <c r="WRF363" s="393"/>
      <c r="WRG363" s="398"/>
      <c r="WRH363" s="393"/>
      <c r="WRI363" s="398"/>
      <c r="WRJ363" s="393"/>
      <c r="WRK363" s="398"/>
      <c r="WRL363" s="393"/>
      <c r="WRM363" s="398"/>
      <c r="WRN363" s="393"/>
      <c r="WRO363" s="398"/>
      <c r="WRP363" s="393"/>
      <c r="WRQ363" s="398"/>
      <c r="WRR363" s="393"/>
      <c r="WRS363" s="398"/>
      <c r="WRT363" s="393"/>
      <c r="WRU363" s="398"/>
      <c r="WRV363" s="393"/>
      <c r="WRW363" s="398"/>
      <c r="WRX363" s="393"/>
      <c r="WRY363" s="398"/>
      <c r="WRZ363" s="393"/>
      <c r="WSA363" s="398"/>
      <c r="WSB363" s="393"/>
      <c r="WSC363" s="398"/>
      <c r="WSD363" s="393"/>
      <c r="WSE363" s="398"/>
      <c r="WSF363" s="393"/>
      <c r="WSG363" s="398"/>
      <c r="WSH363" s="393"/>
      <c r="WSI363" s="398"/>
      <c r="WSJ363" s="393"/>
      <c r="WSK363" s="398"/>
      <c r="WSL363" s="393"/>
      <c r="WSM363" s="398"/>
      <c r="WSN363" s="393"/>
      <c r="WSO363" s="398"/>
      <c r="WSP363" s="393"/>
      <c r="WSQ363" s="398"/>
      <c r="WSR363" s="393"/>
      <c r="WSS363" s="398"/>
      <c r="WST363" s="393"/>
      <c r="WSU363" s="398"/>
      <c r="WSV363" s="393"/>
      <c r="WSW363" s="398"/>
      <c r="WSX363" s="393"/>
      <c r="WSY363" s="398"/>
      <c r="WSZ363" s="393"/>
      <c r="WTA363" s="398"/>
      <c r="WTB363" s="393"/>
      <c r="WTC363" s="398"/>
      <c r="WTD363" s="393"/>
      <c r="WTE363" s="398"/>
      <c r="WTF363" s="393"/>
      <c r="WTG363" s="398"/>
      <c r="WTH363" s="393"/>
      <c r="WTI363" s="398"/>
      <c r="WTJ363" s="393"/>
      <c r="WTK363" s="398"/>
      <c r="WTL363" s="393"/>
      <c r="WTM363" s="398"/>
      <c r="WTN363" s="393"/>
      <c r="WTO363" s="398"/>
      <c r="WTP363" s="393"/>
      <c r="WTQ363" s="398"/>
      <c r="WTR363" s="393"/>
      <c r="WTS363" s="398"/>
      <c r="WTT363" s="393"/>
      <c r="WTU363" s="398"/>
      <c r="WTV363" s="393"/>
      <c r="WTW363" s="398"/>
      <c r="WTX363" s="393"/>
      <c r="WTY363" s="398"/>
      <c r="WTZ363" s="393"/>
      <c r="WUA363" s="398"/>
      <c r="WUB363" s="393"/>
      <c r="WUC363" s="398"/>
      <c r="WUD363" s="393"/>
      <c r="WUE363" s="398"/>
      <c r="WUF363" s="393"/>
      <c r="WUG363" s="398"/>
      <c r="WUH363" s="393"/>
      <c r="WUI363" s="398"/>
      <c r="WUJ363" s="393"/>
      <c r="WUK363" s="398"/>
      <c r="WUL363" s="393"/>
      <c r="WUM363" s="398"/>
      <c r="WUN363" s="393"/>
      <c r="WUO363" s="398"/>
      <c r="WUP363" s="393"/>
      <c r="WUQ363" s="398"/>
      <c r="WUR363" s="393"/>
      <c r="WUS363" s="398"/>
      <c r="WUT363" s="393"/>
      <c r="WUU363" s="398"/>
      <c r="WUV363" s="393"/>
      <c r="WUW363" s="398"/>
      <c r="WUX363" s="393"/>
      <c r="WUY363" s="398"/>
      <c r="WUZ363" s="393"/>
      <c r="WVA363" s="398"/>
      <c r="WVB363" s="393"/>
      <c r="WVC363" s="398"/>
      <c r="WVD363" s="393"/>
      <c r="WVE363" s="398"/>
      <c r="WVF363" s="393"/>
      <c r="WVG363" s="398"/>
      <c r="WVH363" s="393"/>
      <c r="WVI363" s="398"/>
      <c r="WVJ363" s="393"/>
      <c r="WVK363" s="398"/>
      <c r="WVL363" s="393"/>
      <c r="WVM363" s="398"/>
      <c r="WVN363" s="393"/>
      <c r="WVO363" s="398"/>
      <c r="WVP363" s="393"/>
      <c r="WVQ363" s="398"/>
      <c r="WVR363" s="393"/>
      <c r="WVS363" s="398"/>
      <c r="WVT363" s="393"/>
      <c r="WVU363" s="398"/>
      <c r="WVV363" s="393"/>
      <c r="WVW363" s="398"/>
      <c r="WVX363" s="393"/>
      <c r="WVY363" s="398"/>
      <c r="WVZ363" s="393"/>
      <c r="WWA363" s="398"/>
      <c r="WWB363" s="393"/>
      <c r="WWC363" s="398"/>
      <c r="WWD363" s="393"/>
      <c r="WWE363" s="398"/>
      <c r="WWF363" s="393"/>
      <c r="WWG363" s="398"/>
      <c r="WWH363" s="393"/>
      <c r="WWI363" s="398"/>
      <c r="WWJ363" s="393"/>
      <c r="WWK363" s="398"/>
      <c r="WWL363" s="393"/>
      <c r="WWM363" s="398"/>
      <c r="WWN363" s="393"/>
      <c r="WWO363" s="398"/>
      <c r="WWP363" s="393"/>
      <c r="WWQ363" s="398"/>
      <c r="WWR363" s="393"/>
      <c r="WWS363" s="398"/>
      <c r="WWT363" s="393"/>
      <c r="WWU363" s="398"/>
      <c r="WWV363" s="393"/>
      <c r="WWW363" s="398"/>
      <c r="WWX363" s="393"/>
      <c r="WWY363" s="398"/>
      <c r="WWZ363" s="393"/>
      <c r="WXA363" s="398"/>
      <c r="WXB363" s="393"/>
      <c r="WXC363" s="398"/>
      <c r="WXD363" s="393"/>
      <c r="WXE363" s="398"/>
      <c r="WXF363" s="393"/>
      <c r="WXG363" s="398"/>
      <c r="WXH363" s="393"/>
      <c r="WXI363" s="398"/>
      <c r="WXJ363" s="393"/>
      <c r="WXK363" s="398"/>
      <c r="WXL363" s="393"/>
      <c r="WXM363" s="398"/>
      <c r="WXN363" s="393"/>
      <c r="WXO363" s="398"/>
      <c r="WXP363" s="393"/>
      <c r="WXQ363" s="398"/>
      <c r="WXR363" s="393"/>
      <c r="WXS363" s="398"/>
      <c r="WXT363" s="393"/>
      <c r="WXU363" s="398"/>
      <c r="WXV363" s="393"/>
      <c r="WXW363" s="398"/>
      <c r="WXX363" s="393"/>
      <c r="WXY363" s="398"/>
      <c r="WXZ363" s="393"/>
      <c r="WYA363" s="398"/>
      <c r="WYB363" s="393"/>
      <c r="WYC363" s="398"/>
      <c r="WYD363" s="393"/>
      <c r="WYE363" s="398"/>
      <c r="WYF363" s="393"/>
      <c r="WYG363" s="398"/>
      <c r="WYH363" s="393"/>
      <c r="WYI363" s="398"/>
      <c r="WYJ363" s="393"/>
      <c r="WYK363" s="398"/>
      <c r="WYL363" s="393"/>
      <c r="WYM363" s="398"/>
      <c r="WYN363" s="393"/>
      <c r="WYO363" s="398"/>
      <c r="WYP363" s="393"/>
      <c r="WYQ363" s="398"/>
      <c r="WYR363" s="393"/>
      <c r="WYS363" s="398"/>
      <c r="WYT363" s="393"/>
      <c r="WYU363" s="398"/>
      <c r="WYV363" s="393"/>
      <c r="WYW363" s="398"/>
      <c r="WYX363" s="393"/>
      <c r="WYY363" s="398"/>
      <c r="WYZ363" s="393"/>
      <c r="WZA363" s="398"/>
      <c r="WZB363" s="393"/>
      <c r="WZC363" s="398"/>
      <c r="WZD363" s="393"/>
      <c r="WZE363" s="398"/>
      <c r="WZF363" s="393"/>
      <c r="WZG363" s="398"/>
      <c r="WZH363" s="393"/>
      <c r="WZI363" s="398"/>
      <c r="WZJ363" s="393"/>
      <c r="WZK363" s="398"/>
      <c r="WZL363" s="393"/>
      <c r="WZM363" s="398"/>
      <c r="WZN363" s="393"/>
      <c r="WZO363" s="398"/>
      <c r="WZP363" s="393"/>
      <c r="WZQ363" s="398"/>
      <c r="WZR363" s="393"/>
      <c r="WZS363" s="398"/>
      <c r="WZT363" s="393"/>
      <c r="WZU363" s="398"/>
      <c r="WZV363" s="393"/>
      <c r="WZW363" s="398"/>
      <c r="WZX363" s="393"/>
      <c r="WZY363" s="398"/>
      <c r="WZZ363" s="393"/>
      <c r="XAA363" s="398"/>
      <c r="XAB363" s="393"/>
      <c r="XAC363" s="398"/>
      <c r="XAD363" s="393"/>
      <c r="XAE363" s="398"/>
      <c r="XAF363" s="393"/>
      <c r="XAG363" s="398"/>
      <c r="XAH363" s="393"/>
      <c r="XAI363" s="398"/>
      <c r="XAJ363" s="393"/>
      <c r="XAK363" s="398"/>
      <c r="XAL363" s="393"/>
      <c r="XAM363" s="398"/>
      <c r="XAN363" s="393"/>
      <c r="XAO363" s="398"/>
      <c r="XAP363" s="393"/>
      <c r="XAQ363" s="398"/>
      <c r="XAR363" s="393"/>
      <c r="XAS363" s="398"/>
      <c r="XAT363" s="393"/>
      <c r="XAU363" s="398"/>
      <c r="XAV363" s="393"/>
      <c r="XAW363" s="398"/>
      <c r="XAX363" s="393"/>
      <c r="XAY363" s="398"/>
      <c r="XAZ363" s="393"/>
      <c r="XBA363" s="398"/>
      <c r="XBB363" s="393"/>
      <c r="XBC363" s="398"/>
      <c r="XBD363" s="393"/>
      <c r="XBE363" s="398"/>
      <c r="XBF363" s="393"/>
      <c r="XBG363" s="398"/>
      <c r="XBH363" s="393"/>
      <c r="XBI363" s="398"/>
      <c r="XBJ363" s="393"/>
      <c r="XBK363" s="398"/>
      <c r="XBL363" s="393"/>
      <c r="XBM363" s="398"/>
      <c r="XBN363" s="393"/>
      <c r="XBO363" s="398"/>
      <c r="XBP363" s="393"/>
      <c r="XBQ363" s="398"/>
      <c r="XBR363" s="393"/>
      <c r="XBS363" s="398"/>
      <c r="XBT363" s="393"/>
      <c r="XBU363" s="398"/>
      <c r="XBV363" s="393"/>
      <c r="XBW363" s="398"/>
      <c r="XBX363" s="393"/>
      <c r="XBY363" s="398"/>
      <c r="XBZ363" s="393"/>
      <c r="XCA363" s="398"/>
      <c r="XCB363" s="393"/>
      <c r="XCC363" s="398"/>
      <c r="XCD363" s="393"/>
      <c r="XCE363" s="398"/>
      <c r="XCF363" s="393"/>
      <c r="XCG363" s="398"/>
      <c r="XCH363" s="393"/>
      <c r="XCI363" s="398"/>
      <c r="XCJ363" s="393"/>
      <c r="XCK363" s="398"/>
      <c r="XCL363" s="393"/>
      <c r="XCM363" s="398"/>
      <c r="XCN363" s="393"/>
      <c r="XCO363" s="398"/>
      <c r="XCP363" s="393"/>
      <c r="XCQ363" s="398"/>
      <c r="XCR363" s="393"/>
      <c r="XCS363" s="398"/>
      <c r="XCT363" s="393"/>
      <c r="XCU363" s="398"/>
      <c r="XCV363" s="393"/>
      <c r="XCW363" s="398"/>
      <c r="XCX363" s="393"/>
      <c r="XCY363" s="398"/>
      <c r="XCZ363" s="393"/>
      <c r="XDA363" s="398"/>
      <c r="XDB363" s="393"/>
      <c r="XDC363" s="398"/>
      <c r="XDD363" s="393"/>
      <c r="XDE363" s="398"/>
      <c r="XDF363" s="393"/>
      <c r="XDG363" s="398"/>
      <c r="XDH363" s="393"/>
      <c r="XDI363" s="398"/>
      <c r="XDJ363" s="393"/>
      <c r="XDK363" s="398"/>
      <c r="XDL363" s="393"/>
      <c r="XDM363" s="398"/>
      <c r="XDN363" s="393"/>
      <c r="XDO363" s="398"/>
      <c r="XDP363" s="393"/>
      <c r="XDQ363" s="398"/>
      <c r="XDR363" s="393"/>
      <c r="XDS363" s="398"/>
      <c r="XDT363" s="393"/>
      <c r="XDU363" s="398"/>
      <c r="XDV363" s="393"/>
      <c r="XDW363" s="398"/>
      <c r="XDX363" s="393"/>
      <c r="XDY363" s="398"/>
      <c r="XDZ363" s="393"/>
      <c r="XEA363" s="398"/>
      <c r="XEB363" s="393"/>
      <c r="XEC363" s="398"/>
      <c r="XED363" s="393"/>
      <c r="XEE363" s="398"/>
      <c r="XEF363" s="393"/>
      <c r="XEG363" s="398"/>
      <c r="XEH363" s="393"/>
      <c r="XEI363" s="398"/>
      <c r="XEJ363" s="393"/>
      <c r="XEK363" s="398"/>
      <c r="XEL363" s="393"/>
      <c r="XEM363" s="398"/>
      <c r="XEN363" s="393"/>
      <c r="XEO363" s="398"/>
      <c r="XEP363" s="393"/>
      <c r="XEQ363" s="398"/>
      <c r="XER363" s="393"/>
      <c r="XES363" s="398"/>
      <c r="XET363" s="393"/>
      <c r="XEU363" s="398"/>
      <c r="XEV363" s="393"/>
      <c r="XEW363" s="398"/>
      <c r="XEX363" s="393"/>
      <c r="XEY363" s="398"/>
      <c r="XEZ363" s="393"/>
      <c r="XFA363" s="398"/>
      <c r="XFB363" s="393"/>
      <c r="XFC363" s="398"/>
      <c r="XFD363" s="393"/>
    </row>
    <row r="364" spans="1:16384" ht="15.75">
      <c r="A364" s="306">
        <v>344000</v>
      </c>
      <c r="B364" s="297" t="s">
        <v>437</v>
      </c>
      <c r="F364" s="264">
        <f t="shared" si="8"/>
        <v>144394</v>
      </c>
      <c r="G364" s="264">
        <v>0</v>
      </c>
      <c r="H364" s="264">
        <v>144394475</v>
      </c>
      <c r="I364" s="398"/>
      <c r="J364" s="393"/>
      <c r="K364" s="398"/>
      <c r="M364" s="393"/>
    </row>
    <row r="365" spans="1:16384" ht="15.75">
      <c r="A365" s="306">
        <v>344010</v>
      </c>
      <c r="B365" s="297" t="s">
        <v>612</v>
      </c>
      <c r="F365" s="264">
        <f t="shared" ref="F365:F383" si="9">ROUND(H365/1000,0)</f>
        <v>110</v>
      </c>
      <c r="G365" s="264">
        <v>0</v>
      </c>
      <c r="H365" s="264">
        <v>109926</v>
      </c>
      <c r="M365" s="393"/>
    </row>
    <row r="366" spans="1:16384" ht="15.75">
      <c r="A366" s="306">
        <v>345000</v>
      </c>
      <c r="B366" s="297" t="s">
        <v>439</v>
      </c>
      <c r="F366" s="264">
        <f t="shared" si="9"/>
        <v>14596</v>
      </c>
      <c r="G366" s="264">
        <v>0</v>
      </c>
      <c r="H366" s="264">
        <v>14596380</v>
      </c>
      <c r="M366" s="393"/>
    </row>
    <row r="367" spans="1:16384" ht="15.75">
      <c r="A367" s="306">
        <v>345010</v>
      </c>
      <c r="B367" s="297" t="s">
        <v>613</v>
      </c>
      <c r="F367" s="264">
        <f t="shared" si="9"/>
        <v>22</v>
      </c>
      <c r="G367" s="264">
        <v>0</v>
      </c>
      <c r="H367" s="264">
        <v>21799</v>
      </c>
      <c r="L367" s="393"/>
      <c r="M367" s="393"/>
      <c r="N367" s="393"/>
      <c r="O367" s="398"/>
      <c r="P367" s="393"/>
    </row>
    <row r="368" spans="1:16384" ht="15.75">
      <c r="A368" s="306">
        <v>346000</v>
      </c>
      <c r="B368" s="297" t="s">
        <v>440</v>
      </c>
      <c r="F368" s="264">
        <f t="shared" si="9"/>
        <v>1123</v>
      </c>
      <c r="G368" s="264">
        <v>0</v>
      </c>
      <c r="H368" s="264">
        <v>1122991</v>
      </c>
      <c r="M368" s="393"/>
    </row>
    <row r="369" spans="1:13" ht="15.75">
      <c r="A369" s="308"/>
      <c r="B369" s="297" t="s">
        <v>453</v>
      </c>
      <c r="F369" s="264">
        <f t="shared" si="9"/>
        <v>201559</v>
      </c>
      <c r="G369" s="264">
        <v>0</v>
      </c>
      <c r="H369" s="264">
        <v>201558954</v>
      </c>
      <c r="M369" s="393"/>
    </row>
    <row r="370" spans="1:13" ht="15.75">
      <c r="A370" s="306"/>
      <c r="B370" s="297" t="s">
        <v>454</v>
      </c>
      <c r="F370" s="264">
        <f t="shared" si="9"/>
        <v>930160</v>
      </c>
      <c r="G370" s="264">
        <v>0</v>
      </c>
      <c r="H370" s="693">
        <v>930160150</v>
      </c>
      <c r="M370" s="393"/>
    </row>
    <row r="371" spans="1:13" ht="15.75">
      <c r="A371" s="306"/>
      <c r="B371" s="297"/>
      <c r="F371" s="264">
        <f t="shared" si="9"/>
        <v>0</v>
      </c>
      <c r="G371" s="264">
        <v>0</v>
      </c>
      <c r="M371" s="393"/>
    </row>
    <row r="372" spans="1:13" ht="15.75">
      <c r="A372" s="310"/>
      <c r="B372" s="297" t="s">
        <v>455</v>
      </c>
      <c r="F372" s="264">
        <f t="shared" si="9"/>
        <v>0</v>
      </c>
      <c r="G372" s="264">
        <v>0</v>
      </c>
      <c r="M372" s="393"/>
    </row>
    <row r="373" spans="1:13" ht="15.75">
      <c r="A373" s="306" t="s">
        <v>456</v>
      </c>
      <c r="B373" s="297" t="s">
        <v>434</v>
      </c>
      <c r="F373" s="264">
        <f t="shared" si="9"/>
        <v>18838</v>
      </c>
      <c r="G373" s="264">
        <v>0</v>
      </c>
      <c r="H373" s="264">
        <v>18838216</v>
      </c>
      <c r="M373" s="393"/>
    </row>
    <row r="374" spans="1:13" ht="15.75">
      <c r="A374" s="398" t="s">
        <v>637</v>
      </c>
      <c r="B374" s="393" t="s">
        <v>638</v>
      </c>
      <c r="C374" s="398"/>
      <c r="D374" s="393"/>
      <c r="E374" s="398"/>
      <c r="F374" s="264">
        <f t="shared" si="9"/>
        <v>0</v>
      </c>
      <c r="G374" s="264">
        <v>0</v>
      </c>
      <c r="H374" s="264">
        <v>0</v>
      </c>
      <c r="M374" s="393"/>
    </row>
    <row r="375" spans="1:13" ht="15.75">
      <c r="A375" s="306" t="s">
        <v>457</v>
      </c>
      <c r="B375" s="297" t="s">
        <v>436</v>
      </c>
      <c r="F375" s="264">
        <f t="shared" si="9"/>
        <v>16957</v>
      </c>
      <c r="G375" s="264">
        <v>0</v>
      </c>
      <c r="H375" s="264">
        <v>16957184</v>
      </c>
      <c r="M375" s="393"/>
    </row>
    <row r="376" spans="1:13" ht="15.75">
      <c r="A376" s="306">
        <v>353000</v>
      </c>
      <c r="B376" s="297" t="s">
        <v>336</v>
      </c>
      <c r="F376" s="264">
        <f t="shared" si="9"/>
        <v>181282</v>
      </c>
      <c r="G376" s="264">
        <v>0</v>
      </c>
      <c r="H376" s="264">
        <v>181282161</v>
      </c>
      <c r="M376" s="393"/>
    </row>
    <row r="377" spans="1:13" ht="15.75">
      <c r="A377" s="306">
        <v>354000</v>
      </c>
      <c r="B377" s="297" t="s">
        <v>458</v>
      </c>
      <c r="F377" s="264">
        <f t="shared" si="9"/>
        <v>11245</v>
      </c>
      <c r="G377" s="264">
        <v>0</v>
      </c>
      <c r="H377" s="264">
        <v>11245122</v>
      </c>
      <c r="M377" s="393"/>
    </row>
    <row r="378" spans="1:13" ht="15.75">
      <c r="A378" s="306">
        <v>355000</v>
      </c>
      <c r="B378" s="297" t="s">
        <v>459</v>
      </c>
      <c r="F378" s="264">
        <f t="shared" si="9"/>
        <v>177116</v>
      </c>
      <c r="G378" s="264">
        <v>0</v>
      </c>
      <c r="H378" s="264">
        <v>177115896</v>
      </c>
      <c r="M378" s="393"/>
    </row>
    <row r="379" spans="1:13" ht="15.75">
      <c r="A379" s="306">
        <v>356000</v>
      </c>
      <c r="B379" s="297" t="s">
        <v>460</v>
      </c>
      <c r="F379" s="264">
        <f t="shared" si="9"/>
        <v>99445</v>
      </c>
      <c r="G379" s="264">
        <v>0</v>
      </c>
      <c r="H379" s="264">
        <v>99444995</v>
      </c>
      <c r="M379" s="393"/>
    </row>
    <row r="380" spans="1:13" ht="15.75">
      <c r="A380" s="306">
        <v>357000</v>
      </c>
      <c r="B380" s="297" t="s">
        <v>461</v>
      </c>
      <c r="F380" s="264">
        <f t="shared" si="9"/>
        <v>2028</v>
      </c>
      <c r="G380" s="264">
        <v>0</v>
      </c>
      <c r="H380" s="264">
        <v>2028210</v>
      </c>
      <c r="M380" s="393"/>
    </row>
    <row r="381" spans="1:13" ht="15.75">
      <c r="A381" s="306">
        <v>358000</v>
      </c>
      <c r="B381" s="297" t="s">
        <v>462</v>
      </c>
      <c r="F381" s="264">
        <f t="shared" si="9"/>
        <v>1601</v>
      </c>
      <c r="G381" s="264">
        <v>0</v>
      </c>
      <c r="H381" s="264">
        <v>1600777</v>
      </c>
      <c r="M381" s="393"/>
    </row>
    <row r="382" spans="1:13" ht="15.75">
      <c r="A382" s="306">
        <v>359000</v>
      </c>
      <c r="B382" s="297" t="s">
        <v>463</v>
      </c>
      <c r="F382" s="264">
        <f t="shared" si="9"/>
        <v>1384</v>
      </c>
      <c r="G382" s="264">
        <v>0</v>
      </c>
      <c r="H382" s="264">
        <v>1384351</v>
      </c>
      <c r="M382" s="393"/>
    </row>
    <row r="383" spans="1:13" ht="15.75">
      <c r="A383" s="308"/>
      <c r="B383" s="297" t="s">
        <v>464</v>
      </c>
      <c r="F383" s="264">
        <f t="shared" si="9"/>
        <v>509897</v>
      </c>
      <c r="G383" s="264">
        <v>0</v>
      </c>
      <c r="H383" s="264">
        <v>509896912</v>
      </c>
      <c r="M383" s="396"/>
    </row>
    <row r="384" spans="1:13" ht="15.75">
      <c r="A384" s="309"/>
      <c r="B384" s="297"/>
      <c r="G384" s="264">
        <v>0</v>
      </c>
      <c r="M384" s="396"/>
    </row>
    <row r="385" spans="1:13" ht="15.75">
      <c r="A385" s="309"/>
      <c r="B385" s="297" t="s">
        <v>465</v>
      </c>
      <c r="F385" s="264">
        <f>ROUND(H385/1000,0)</f>
        <v>0</v>
      </c>
      <c r="M385" s="393"/>
    </row>
    <row r="386" spans="1:13" ht="15.75">
      <c r="A386" s="306">
        <v>360200</v>
      </c>
      <c r="B386" s="297" t="s">
        <v>434</v>
      </c>
      <c r="F386" s="264">
        <f>ROUND(H386/1000,0)</f>
        <v>6249</v>
      </c>
      <c r="G386" s="264">
        <v>0</v>
      </c>
      <c r="H386" s="264">
        <v>6249478</v>
      </c>
      <c r="M386" s="397"/>
    </row>
    <row r="387" spans="1:13" ht="15.75">
      <c r="A387" s="305">
        <v>360400</v>
      </c>
      <c r="B387" s="300" t="s">
        <v>466</v>
      </c>
      <c r="F387" s="264">
        <f>ROUND(H387/1000,0)</f>
        <v>539</v>
      </c>
      <c r="G387" s="264">
        <v>0</v>
      </c>
      <c r="H387" s="264">
        <v>538580</v>
      </c>
      <c r="M387" s="393"/>
    </row>
    <row r="388" spans="1:13" ht="15.75">
      <c r="A388" s="513">
        <v>360500</v>
      </c>
      <c r="B388" s="396" t="s">
        <v>664</v>
      </c>
      <c r="F388" s="264">
        <f>ROUND(H388/1000,0)</f>
        <v>0</v>
      </c>
      <c r="H388" s="264">
        <v>0</v>
      </c>
      <c r="M388" s="393"/>
    </row>
    <row r="389" spans="1:13" ht="15.75">
      <c r="A389" s="306">
        <v>361000</v>
      </c>
      <c r="B389" s="297" t="s">
        <v>436</v>
      </c>
      <c r="F389" s="264">
        <f>ROUND(H389/1000,0)</f>
        <v>27284</v>
      </c>
      <c r="G389" s="264">
        <v>0</v>
      </c>
      <c r="H389" s="264">
        <v>27284016</v>
      </c>
      <c r="M389" s="393"/>
    </row>
    <row r="390" spans="1:13" ht="15.75">
      <c r="A390" s="306">
        <v>362000</v>
      </c>
      <c r="B390" s="296" t="s">
        <v>336</v>
      </c>
      <c r="F390" s="264">
        <f t="shared" ref="F390:F397" si="10">ROUND(H390/1000,0)</f>
        <v>94951</v>
      </c>
      <c r="G390" s="264">
        <v>0</v>
      </c>
      <c r="H390" s="264">
        <v>94950686</v>
      </c>
      <c r="M390" s="393"/>
    </row>
    <row r="391" spans="1:13" ht="15.75">
      <c r="A391" s="398">
        <v>363000</v>
      </c>
      <c r="B391" s="393" t="s">
        <v>633</v>
      </c>
      <c r="F391" s="264">
        <f t="shared" si="10"/>
        <v>2592</v>
      </c>
      <c r="G391" s="264">
        <v>0</v>
      </c>
      <c r="H391" s="264">
        <v>2592393</v>
      </c>
      <c r="M391" s="393"/>
    </row>
    <row r="392" spans="1:13" ht="15.75">
      <c r="A392" s="306">
        <v>364000</v>
      </c>
      <c r="B392" s="297" t="s">
        <v>467</v>
      </c>
      <c r="F392" s="264">
        <f t="shared" si="10"/>
        <v>274387</v>
      </c>
      <c r="G392" s="264">
        <v>0</v>
      </c>
      <c r="H392" s="264">
        <v>274387139</v>
      </c>
      <c r="M392" s="393"/>
    </row>
    <row r="393" spans="1:13" ht="15.75">
      <c r="A393" s="306">
        <v>365000</v>
      </c>
      <c r="B393" s="297" t="s">
        <v>460</v>
      </c>
      <c r="F393" s="264">
        <f t="shared" si="10"/>
        <v>174751</v>
      </c>
      <c r="G393" s="264">
        <v>0</v>
      </c>
      <c r="H393" s="264">
        <v>174751064</v>
      </c>
      <c r="M393" s="393"/>
    </row>
    <row r="394" spans="1:13" ht="15.75">
      <c r="A394" s="306">
        <v>366000</v>
      </c>
      <c r="B394" s="297" t="s">
        <v>461</v>
      </c>
      <c r="F394" s="264">
        <f t="shared" si="10"/>
        <v>79249</v>
      </c>
      <c r="G394" s="264">
        <v>0</v>
      </c>
      <c r="H394" s="264">
        <v>79249261</v>
      </c>
      <c r="M394" s="393"/>
    </row>
    <row r="395" spans="1:13" ht="15.75">
      <c r="A395" s="306">
        <v>367000</v>
      </c>
      <c r="B395" s="297" t="s">
        <v>462</v>
      </c>
      <c r="F395" s="264">
        <f t="shared" si="10"/>
        <v>141800</v>
      </c>
      <c r="G395" s="264">
        <v>0</v>
      </c>
      <c r="H395" s="264">
        <v>141799870</v>
      </c>
      <c r="M395" s="396"/>
    </row>
    <row r="396" spans="1:13" ht="15.75">
      <c r="A396" s="306">
        <v>368000</v>
      </c>
      <c r="B396" s="297" t="s">
        <v>372</v>
      </c>
      <c r="F396" s="264">
        <f t="shared" si="10"/>
        <v>189938</v>
      </c>
      <c r="G396" s="264">
        <v>0</v>
      </c>
      <c r="H396" s="264">
        <v>189938121</v>
      </c>
      <c r="M396" s="393"/>
    </row>
    <row r="397" spans="1:13" ht="15.75">
      <c r="A397" s="306" t="s">
        <v>468</v>
      </c>
      <c r="B397" s="297" t="s">
        <v>469</v>
      </c>
      <c r="F397" s="264">
        <f t="shared" si="10"/>
        <v>116033</v>
      </c>
      <c r="G397" s="264">
        <v>0</v>
      </c>
      <c r="H397" s="264">
        <v>116033074</v>
      </c>
      <c r="M397" s="393"/>
    </row>
    <row r="398" spans="1:13" ht="15.75">
      <c r="A398" s="513" t="s">
        <v>665</v>
      </c>
      <c r="B398" s="396" t="s">
        <v>666</v>
      </c>
      <c r="F398" s="264">
        <f>ROUND(H398/1000,0)</f>
        <v>1716</v>
      </c>
      <c r="G398" s="264">
        <v>0</v>
      </c>
      <c r="H398" s="264">
        <v>1716016</v>
      </c>
      <c r="M398" s="393"/>
    </row>
    <row r="399" spans="1:13" ht="15.75">
      <c r="A399" s="305">
        <v>370000</v>
      </c>
      <c r="B399" s="300" t="s">
        <v>374</v>
      </c>
      <c r="F399" s="264">
        <f>ROUND(H399/1000,0)</f>
        <v>43512</v>
      </c>
      <c r="G399" s="264">
        <v>0</v>
      </c>
      <c r="H399" s="264">
        <v>43512208</v>
      </c>
      <c r="M399" s="393"/>
    </row>
    <row r="400" spans="1:13" ht="15.75">
      <c r="A400" s="306" t="s">
        <v>470</v>
      </c>
      <c r="B400" s="297" t="s">
        <v>471</v>
      </c>
      <c r="F400" s="264">
        <f>ROUND(H400/1000,0)</f>
        <v>41475</v>
      </c>
      <c r="G400" s="264">
        <v>0</v>
      </c>
      <c r="H400" s="264">
        <v>41474507</v>
      </c>
      <c r="M400" s="393"/>
    </row>
    <row r="401" spans="1:13" ht="15.75">
      <c r="A401" s="308"/>
      <c r="B401" s="297" t="s">
        <v>472</v>
      </c>
      <c r="F401" s="264">
        <f>ROUND(H401/1000,0)</f>
        <v>1194476</v>
      </c>
      <c r="G401" s="264">
        <v>0</v>
      </c>
      <c r="H401" s="264">
        <v>1194476413</v>
      </c>
      <c r="M401" s="393"/>
    </row>
    <row r="402" spans="1:13" ht="15.75">
      <c r="A402" s="309"/>
      <c r="B402" s="297"/>
      <c r="M402" s="393"/>
    </row>
    <row r="403" spans="1:13" ht="15.75">
      <c r="A403" s="309"/>
      <c r="B403" s="297" t="s">
        <v>473</v>
      </c>
      <c r="F403" s="264">
        <f t="shared" ref="F403:F447" si="11">ROUND(H403/1000,0)</f>
        <v>0</v>
      </c>
      <c r="G403" s="264">
        <v>0</v>
      </c>
      <c r="M403" s="393"/>
    </row>
    <row r="404" spans="1:13" ht="15.75">
      <c r="A404" s="306" t="s">
        <v>474</v>
      </c>
      <c r="B404" s="297" t="s">
        <v>434</v>
      </c>
      <c r="F404" s="264">
        <f t="shared" si="11"/>
        <v>6168</v>
      </c>
      <c r="G404" s="264">
        <v>0</v>
      </c>
      <c r="H404" s="264">
        <v>6168368</v>
      </c>
      <c r="M404" s="393"/>
    </row>
    <row r="405" spans="1:13" ht="15.75">
      <c r="A405" s="306" t="s">
        <v>475</v>
      </c>
      <c r="B405" s="297" t="s">
        <v>436</v>
      </c>
      <c r="F405" s="264">
        <f t="shared" si="11"/>
        <v>74868</v>
      </c>
      <c r="G405" s="264">
        <v>0</v>
      </c>
      <c r="H405" s="264">
        <v>74868142</v>
      </c>
      <c r="M405" s="393"/>
    </row>
    <row r="406" spans="1:13" ht="15.75">
      <c r="A406" s="306" t="s">
        <v>476</v>
      </c>
      <c r="B406" s="297" t="s">
        <v>477</v>
      </c>
      <c r="F406" s="264">
        <f t="shared" si="11"/>
        <v>47863</v>
      </c>
      <c r="G406" s="264">
        <v>0</v>
      </c>
      <c r="H406" s="264">
        <v>47863071</v>
      </c>
      <c r="M406" s="393"/>
    </row>
    <row r="407" spans="1:13" ht="15.75">
      <c r="A407" s="306" t="s">
        <v>478</v>
      </c>
      <c r="B407" s="297" t="s">
        <v>479</v>
      </c>
      <c r="F407" s="264">
        <f t="shared" si="11"/>
        <v>40505</v>
      </c>
      <c r="G407" s="264">
        <v>0</v>
      </c>
      <c r="H407" s="264">
        <v>40505302</v>
      </c>
      <c r="M407" s="393"/>
    </row>
    <row r="408" spans="1:13" ht="15.75">
      <c r="A408" s="306">
        <v>393000</v>
      </c>
      <c r="B408" s="297" t="s">
        <v>480</v>
      </c>
      <c r="F408" s="264">
        <f t="shared" si="11"/>
        <v>2919</v>
      </c>
      <c r="G408" s="264">
        <v>0</v>
      </c>
      <c r="H408" s="264">
        <v>2918909</v>
      </c>
      <c r="M408" s="393"/>
    </row>
    <row r="409" spans="1:13" ht="15.75">
      <c r="A409" s="306">
        <v>394000</v>
      </c>
      <c r="B409" s="297" t="s">
        <v>481</v>
      </c>
      <c r="F409" s="264">
        <f t="shared" si="11"/>
        <v>10554</v>
      </c>
      <c r="G409" s="264">
        <v>0</v>
      </c>
      <c r="H409" s="264">
        <v>10554167</v>
      </c>
      <c r="M409" s="393"/>
    </row>
    <row r="410" spans="1:13" ht="15.75">
      <c r="A410" s="398">
        <v>394100</v>
      </c>
      <c r="B410" s="393" t="s">
        <v>667</v>
      </c>
      <c r="F410" s="264">
        <f t="shared" si="11"/>
        <v>80</v>
      </c>
      <c r="G410" s="264">
        <v>0</v>
      </c>
      <c r="H410" s="264">
        <v>80023</v>
      </c>
      <c r="M410" s="393"/>
    </row>
    <row r="411" spans="1:13" ht="15.75">
      <c r="A411" s="306">
        <v>395000</v>
      </c>
      <c r="B411" s="297" t="s">
        <v>482</v>
      </c>
      <c r="F411" s="264">
        <f t="shared" si="11"/>
        <v>1923</v>
      </c>
      <c r="G411" s="264">
        <v>0</v>
      </c>
      <c r="H411" s="264">
        <v>1923153</v>
      </c>
      <c r="M411" s="393"/>
    </row>
    <row r="412" spans="1:13" ht="15.75">
      <c r="A412" s="306" t="s">
        <v>483</v>
      </c>
      <c r="B412" s="297" t="s">
        <v>484</v>
      </c>
      <c r="F412" s="264">
        <f t="shared" si="11"/>
        <v>20715</v>
      </c>
      <c r="G412" s="264">
        <v>0</v>
      </c>
      <c r="H412" s="264">
        <v>20714670</v>
      </c>
      <c r="M412" s="393"/>
    </row>
    <row r="413" spans="1:13" ht="15.75">
      <c r="A413" s="306" t="s">
        <v>485</v>
      </c>
      <c r="B413" s="297" t="s">
        <v>486</v>
      </c>
      <c r="F413" s="264">
        <f t="shared" si="11"/>
        <v>73541</v>
      </c>
      <c r="G413" s="264">
        <v>0</v>
      </c>
      <c r="H413" s="264">
        <v>73540856</v>
      </c>
      <c r="M413" s="393"/>
    </row>
    <row r="414" spans="1:13" ht="15.75">
      <c r="A414" s="306">
        <v>398000</v>
      </c>
      <c r="B414" s="297" t="s">
        <v>487</v>
      </c>
      <c r="F414" s="264">
        <f t="shared" si="11"/>
        <v>420</v>
      </c>
      <c r="G414" s="264">
        <v>0</v>
      </c>
      <c r="H414" s="264">
        <v>419588</v>
      </c>
      <c r="M414" s="393"/>
    </row>
    <row r="415" spans="1:13" ht="15.75">
      <c r="A415" s="308"/>
      <c r="B415" s="297" t="s">
        <v>488</v>
      </c>
      <c r="F415" s="264">
        <f t="shared" si="11"/>
        <v>279556</v>
      </c>
      <c r="G415" s="264">
        <v>0</v>
      </c>
      <c r="H415" s="264">
        <v>279556249</v>
      </c>
      <c r="M415" s="393"/>
    </row>
    <row r="416" spans="1:13" ht="15.75">
      <c r="A416" s="309"/>
      <c r="B416" s="297"/>
      <c r="F416" s="264">
        <f t="shared" si="11"/>
        <v>0</v>
      </c>
      <c r="G416" s="264">
        <v>0</v>
      </c>
      <c r="M416" s="393"/>
    </row>
    <row r="417" spans="1:13" ht="15.75">
      <c r="A417" s="309"/>
      <c r="B417" s="297" t="s">
        <v>489</v>
      </c>
      <c r="F417" s="264">
        <f t="shared" si="11"/>
        <v>3125125</v>
      </c>
      <c r="G417" s="264">
        <v>0</v>
      </c>
      <c r="H417" s="264">
        <v>3125125013</v>
      </c>
      <c r="M417" s="393"/>
    </row>
    <row r="418" spans="1:13" ht="15.75">
      <c r="A418" s="309"/>
      <c r="B418" s="297"/>
      <c r="F418" s="264">
        <f t="shared" si="11"/>
        <v>0</v>
      </c>
      <c r="G418" s="264">
        <v>0</v>
      </c>
      <c r="M418" s="393"/>
    </row>
    <row r="419" spans="1:13" ht="15.75">
      <c r="A419" s="309"/>
      <c r="B419" s="297"/>
      <c r="F419" s="264">
        <f t="shared" si="11"/>
        <v>0</v>
      </c>
      <c r="G419" s="264">
        <v>0</v>
      </c>
      <c r="M419" s="393"/>
    </row>
    <row r="420" spans="1:13" ht="15.75">
      <c r="A420" s="309"/>
      <c r="B420" s="297" t="s">
        <v>73</v>
      </c>
      <c r="F420" s="264">
        <f t="shared" si="11"/>
        <v>0</v>
      </c>
      <c r="G420" s="264">
        <v>0</v>
      </c>
      <c r="M420" s="393"/>
    </row>
    <row r="421" spans="1:13" ht="15.75">
      <c r="A421" s="309"/>
      <c r="B421" s="297" t="s">
        <v>490</v>
      </c>
      <c r="F421" s="264">
        <f t="shared" si="11"/>
        <v>-202373</v>
      </c>
      <c r="G421" s="264">
        <v>0</v>
      </c>
      <c r="H421" s="264">
        <v>-202373415</v>
      </c>
      <c r="M421" s="393"/>
    </row>
    <row r="422" spans="1:13" ht="15.75">
      <c r="A422" s="306"/>
      <c r="B422" s="297" t="s">
        <v>491</v>
      </c>
      <c r="F422" s="264">
        <f t="shared" si="11"/>
        <v>-92485</v>
      </c>
      <c r="G422" s="264">
        <v>0</v>
      </c>
      <c r="H422" s="264">
        <v>-92485466</v>
      </c>
      <c r="M422" s="393"/>
    </row>
    <row r="423" spans="1:13" ht="15.75">
      <c r="A423" s="309"/>
      <c r="B423" s="297" t="s">
        <v>492</v>
      </c>
      <c r="F423" s="264">
        <f t="shared" si="11"/>
        <v>-87579</v>
      </c>
      <c r="G423" s="264">
        <v>0</v>
      </c>
      <c r="H423" s="264">
        <v>-87578970</v>
      </c>
      <c r="M423" s="393"/>
    </row>
    <row r="424" spans="1:13" ht="15.75">
      <c r="A424" s="309"/>
      <c r="B424" s="297" t="s">
        <v>493</v>
      </c>
      <c r="F424" s="264">
        <f t="shared" si="11"/>
        <v>-147016</v>
      </c>
      <c r="G424" s="264">
        <v>0</v>
      </c>
      <c r="H424" s="264">
        <v>-147015726</v>
      </c>
      <c r="M424" s="393"/>
    </row>
    <row r="425" spans="1:13" ht="15.75">
      <c r="A425" s="309"/>
      <c r="B425" s="297" t="s">
        <v>494</v>
      </c>
      <c r="F425" s="264">
        <f t="shared" si="11"/>
        <v>-358989</v>
      </c>
      <c r="G425" s="264">
        <v>0</v>
      </c>
      <c r="H425" s="264">
        <v>-358988795</v>
      </c>
      <c r="M425" s="393"/>
    </row>
    <row r="426" spans="1:13" ht="15.75">
      <c r="A426" s="309"/>
      <c r="B426" s="297" t="s">
        <v>495</v>
      </c>
      <c r="F426" s="264">
        <f t="shared" si="11"/>
        <v>-92748</v>
      </c>
      <c r="G426" s="264">
        <v>0</v>
      </c>
      <c r="H426" s="264">
        <v>-92747703</v>
      </c>
      <c r="M426" s="393"/>
    </row>
    <row r="427" spans="1:13" ht="15.75">
      <c r="A427" s="304"/>
      <c r="B427" s="297" t="s">
        <v>496</v>
      </c>
      <c r="F427" s="264">
        <f t="shared" si="11"/>
        <v>-981190</v>
      </c>
      <c r="G427" s="264">
        <v>0</v>
      </c>
      <c r="H427" s="264">
        <v>-981190075</v>
      </c>
      <c r="M427" s="393"/>
    </row>
    <row r="428" spans="1:13" ht="15.75">
      <c r="A428" s="304"/>
      <c r="B428" s="297"/>
      <c r="F428" s="264">
        <f t="shared" si="11"/>
        <v>0</v>
      </c>
      <c r="G428" s="264">
        <v>0</v>
      </c>
      <c r="M428" s="393"/>
    </row>
    <row r="429" spans="1:13" ht="15.75">
      <c r="A429" s="304"/>
      <c r="B429" s="297" t="s">
        <v>115</v>
      </c>
      <c r="F429" s="264">
        <f t="shared" si="11"/>
        <v>0</v>
      </c>
      <c r="G429" s="264">
        <v>0</v>
      </c>
      <c r="M429" s="393"/>
    </row>
    <row r="430" spans="1:13" ht="15.75">
      <c r="A430" s="309"/>
      <c r="B430" s="297" t="s">
        <v>497</v>
      </c>
      <c r="F430" s="264">
        <f t="shared" si="11"/>
        <v>-9454</v>
      </c>
      <c r="G430" s="264">
        <v>0</v>
      </c>
      <c r="H430" s="264">
        <v>-9454377</v>
      </c>
      <c r="M430" s="393"/>
    </row>
    <row r="431" spans="1:13" ht="15.75">
      <c r="A431" s="309"/>
      <c r="B431" s="297" t="s">
        <v>498</v>
      </c>
      <c r="F431" s="264">
        <f t="shared" si="11"/>
        <v>-274</v>
      </c>
      <c r="G431" s="264">
        <v>0</v>
      </c>
      <c r="H431" s="264">
        <v>-274217</v>
      </c>
      <c r="M431" s="393"/>
    </row>
    <row r="432" spans="1:13" ht="15.75">
      <c r="A432" s="309"/>
      <c r="B432" s="297" t="s">
        <v>499</v>
      </c>
      <c r="F432" s="264">
        <f t="shared" si="11"/>
        <v>-1767</v>
      </c>
      <c r="G432" s="264">
        <v>0</v>
      </c>
      <c r="H432" s="264">
        <v>-1767061</v>
      </c>
      <c r="M432" s="393"/>
    </row>
    <row r="433" spans="1:13" ht="15.75">
      <c r="A433" s="309"/>
      <c r="B433" s="297" t="s">
        <v>500</v>
      </c>
      <c r="F433" s="264">
        <f t="shared" si="11"/>
        <v>-45583</v>
      </c>
      <c r="G433" s="264">
        <v>0</v>
      </c>
      <c r="H433" s="264">
        <v>-45582816</v>
      </c>
      <c r="M433" s="393"/>
    </row>
    <row r="434" spans="1:13" ht="15.75">
      <c r="A434" s="309"/>
      <c r="B434" s="297" t="s">
        <v>501</v>
      </c>
      <c r="F434" s="264">
        <f t="shared" si="11"/>
        <v>-117</v>
      </c>
      <c r="G434" s="264">
        <v>0</v>
      </c>
      <c r="H434" s="264">
        <v>-116774</v>
      </c>
      <c r="M434" s="393"/>
    </row>
    <row r="435" spans="1:13" ht="15.75">
      <c r="A435" s="309"/>
      <c r="B435" s="297" t="s">
        <v>502</v>
      </c>
      <c r="F435" s="264">
        <f t="shared" si="11"/>
        <v>-57195</v>
      </c>
      <c r="G435" s="264">
        <v>0</v>
      </c>
      <c r="H435" s="264">
        <v>-57195245</v>
      </c>
      <c r="M435" s="393"/>
    </row>
    <row r="436" spans="1:13" ht="15.75">
      <c r="A436" s="309"/>
      <c r="B436" s="297"/>
      <c r="F436" s="264">
        <f t="shared" si="11"/>
        <v>0</v>
      </c>
      <c r="G436" s="264">
        <v>0</v>
      </c>
      <c r="M436" s="393"/>
    </row>
    <row r="437" spans="1:13" ht="15.75">
      <c r="A437" s="309"/>
      <c r="B437" s="297" t="s">
        <v>503</v>
      </c>
      <c r="F437" s="264">
        <f t="shared" si="11"/>
        <v>-1038385</v>
      </c>
      <c r="G437" s="264">
        <v>0</v>
      </c>
      <c r="H437" s="264">
        <v>-1038385320</v>
      </c>
      <c r="M437" s="400"/>
    </row>
    <row r="438" spans="1:13" ht="15.75">
      <c r="A438" s="309"/>
      <c r="B438" s="297"/>
      <c r="F438" s="264">
        <f t="shared" si="11"/>
        <v>0</v>
      </c>
      <c r="G438" s="264">
        <v>0</v>
      </c>
      <c r="M438" s="401"/>
    </row>
    <row r="439" spans="1:13" ht="15.75">
      <c r="A439" s="304"/>
      <c r="B439" s="297" t="s">
        <v>504</v>
      </c>
      <c r="F439" s="264">
        <f t="shared" si="11"/>
        <v>2086740</v>
      </c>
      <c r="G439" s="264">
        <v>0</v>
      </c>
      <c r="H439" s="264">
        <v>2086739693</v>
      </c>
      <c r="M439" s="400"/>
    </row>
    <row r="440" spans="1:13" ht="15.75">
      <c r="A440" s="304"/>
      <c r="B440" s="297"/>
      <c r="F440" s="264">
        <f t="shared" si="11"/>
        <v>0</v>
      </c>
      <c r="G440" s="264">
        <v>0</v>
      </c>
      <c r="M440" s="400"/>
    </row>
    <row r="441" spans="1:13" ht="15.75">
      <c r="A441" s="311"/>
      <c r="B441" s="312" t="s">
        <v>505</v>
      </c>
      <c r="F441" s="264">
        <f t="shared" si="11"/>
        <v>0</v>
      </c>
      <c r="G441" s="264">
        <v>0</v>
      </c>
      <c r="M441" s="400"/>
    </row>
    <row r="442" spans="1:13" ht="15.75">
      <c r="A442" s="313"/>
      <c r="B442" s="311" t="s">
        <v>506</v>
      </c>
      <c r="F442" s="264">
        <f t="shared" si="11"/>
        <v>0</v>
      </c>
      <c r="G442" s="264">
        <v>0</v>
      </c>
      <c r="H442" s="264">
        <v>0</v>
      </c>
      <c r="M442" s="400"/>
    </row>
    <row r="443" spans="1:13" ht="15.75">
      <c r="A443" s="313"/>
      <c r="B443" s="312" t="s">
        <v>507</v>
      </c>
      <c r="F443" s="264">
        <f t="shared" si="11"/>
        <v>59</v>
      </c>
      <c r="G443" s="264">
        <v>0</v>
      </c>
      <c r="H443" s="264">
        <v>58755</v>
      </c>
      <c r="M443" s="400"/>
    </row>
    <row r="444" spans="1:13" ht="15.75">
      <c r="A444" s="313"/>
      <c r="B444" s="312" t="s">
        <v>508</v>
      </c>
      <c r="F444" s="264">
        <f t="shared" si="11"/>
        <v>-370761</v>
      </c>
      <c r="G444" s="264">
        <v>0</v>
      </c>
      <c r="H444" s="264">
        <v>-370760698</v>
      </c>
      <c r="M444" s="400"/>
    </row>
    <row r="445" spans="1:13" ht="15.75">
      <c r="A445" s="313"/>
      <c r="B445" s="312" t="s">
        <v>509</v>
      </c>
      <c r="F445" s="264">
        <f t="shared" si="11"/>
        <v>-42552</v>
      </c>
      <c r="G445" s="264">
        <v>0</v>
      </c>
      <c r="H445" s="264">
        <v>-42552351</v>
      </c>
      <c r="M445" s="400"/>
    </row>
    <row r="446" spans="1:13" ht="15.75">
      <c r="A446" s="313"/>
      <c r="B446" s="400" t="s">
        <v>707</v>
      </c>
      <c r="F446" s="264">
        <f t="shared" si="11"/>
        <v>-716</v>
      </c>
      <c r="G446" s="264">
        <v>0</v>
      </c>
      <c r="H446" s="264">
        <v>-716236</v>
      </c>
      <c r="M446" s="400"/>
    </row>
    <row r="447" spans="1:13" ht="15.75">
      <c r="A447" s="313"/>
      <c r="B447" s="312" t="s">
        <v>614</v>
      </c>
      <c r="F447" s="264">
        <f t="shared" si="11"/>
        <v>-110</v>
      </c>
      <c r="G447" s="264">
        <v>0</v>
      </c>
      <c r="H447" s="264">
        <v>-110149</v>
      </c>
      <c r="M447" s="400"/>
    </row>
    <row r="448" spans="1:13" ht="15.75">
      <c r="A448" s="313"/>
      <c r="B448" s="312" t="s">
        <v>510</v>
      </c>
      <c r="F448" s="264">
        <f>ROUND(H448/1000,0)</f>
        <v>0</v>
      </c>
      <c r="G448" s="264">
        <v>0</v>
      </c>
      <c r="H448" s="264">
        <v>0</v>
      </c>
      <c r="M448" s="400"/>
    </row>
    <row r="449" spans="1:13" ht="15.75">
      <c r="A449" s="313"/>
      <c r="B449" s="312" t="s">
        <v>511</v>
      </c>
      <c r="F449" s="264">
        <f>ROUND(H449/1000,0)</f>
        <v>0</v>
      </c>
      <c r="G449" s="264">
        <v>0</v>
      </c>
      <c r="H449" s="264">
        <v>0</v>
      </c>
      <c r="M449" s="393"/>
    </row>
    <row r="450" spans="1:13" ht="15.75">
      <c r="A450" s="313"/>
      <c r="B450" s="312" t="s">
        <v>512</v>
      </c>
      <c r="F450" s="264">
        <f>ROUND(H450/1000,0)</f>
        <v>-4209</v>
      </c>
      <c r="G450" s="264">
        <v>0</v>
      </c>
      <c r="H450" s="264">
        <v>-4209451</v>
      </c>
      <c r="M450" s="393"/>
    </row>
    <row r="451" spans="1:13" ht="15.75">
      <c r="A451" s="313"/>
      <c r="B451" s="312" t="s">
        <v>615</v>
      </c>
      <c r="F451" s="264">
        <f>ROUND(H451/1000,0)</f>
        <v>166</v>
      </c>
      <c r="G451" s="264">
        <v>0</v>
      </c>
      <c r="H451" s="264">
        <v>165854</v>
      </c>
      <c r="M451" s="393"/>
    </row>
    <row r="452" spans="1:13" ht="12.75">
      <c r="A452" s="313"/>
      <c r="B452" s="312" t="s">
        <v>513</v>
      </c>
      <c r="F452" s="264">
        <f t="shared" ref="F452:F504" si="12">ROUND(H452/1000,0)</f>
        <v>-847</v>
      </c>
      <c r="G452" s="264">
        <v>0</v>
      </c>
      <c r="H452" s="264">
        <v>-846593</v>
      </c>
    </row>
    <row r="453" spans="1:13" ht="15.75">
      <c r="A453" s="309"/>
      <c r="B453" s="297" t="s">
        <v>514</v>
      </c>
      <c r="F453" s="264">
        <f t="shared" si="12"/>
        <v>-418971</v>
      </c>
      <c r="G453" s="264">
        <v>0</v>
      </c>
      <c r="H453" s="264">
        <v>-418970869</v>
      </c>
      <c r="M453" s="393"/>
    </row>
    <row r="454" spans="1:13" ht="15.75">
      <c r="A454" s="304"/>
      <c r="B454" s="297"/>
      <c r="F454" s="264">
        <f t="shared" si="12"/>
        <v>0</v>
      </c>
      <c r="G454" s="264">
        <v>0</v>
      </c>
      <c r="M454" s="393"/>
    </row>
    <row r="455" spans="1:13" ht="15.75">
      <c r="A455" s="304"/>
      <c r="B455" s="297" t="s">
        <v>515</v>
      </c>
      <c r="F455" s="264">
        <f t="shared" si="12"/>
        <v>1667769</v>
      </c>
      <c r="G455" s="264">
        <v>0</v>
      </c>
      <c r="H455" s="264">
        <v>1667768824</v>
      </c>
      <c r="M455" s="393"/>
    </row>
    <row r="456" spans="1:13" ht="15.75">
      <c r="F456" s="264">
        <f t="shared" si="12"/>
        <v>0</v>
      </c>
      <c r="G456" s="264">
        <v>0</v>
      </c>
      <c r="M456" s="402"/>
    </row>
    <row r="457" spans="1:13" ht="15.75">
      <c r="A457" s="296"/>
      <c r="B457" s="297" t="s">
        <v>516</v>
      </c>
      <c r="C457" s="296"/>
      <c r="F457" s="264">
        <f t="shared" si="12"/>
        <v>0</v>
      </c>
      <c r="G457" s="264">
        <v>0</v>
      </c>
      <c r="M457" s="402"/>
    </row>
    <row r="458" spans="1:13" ht="15.75">
      <c r="A458" s="314"/>
      <c r="B458" s="393" t="s">
        <v>708</v>
      </c>
      <c r="C458" s="297"/>
      <c r="F458" s="264">
        <f t="shared" si="12"/>
        <v>2498</v>
      </c>
      <c r="G458" s="264">
        <v>0</v>
      </c>
      <c r="H458" s="264">
        <v>2498264</v>
      </c>
      <c r="M458" s="393" t="s">
        <v>737</v>
      </c>
    </row>
    <row r="459" spans="1:13" ht="15.75">
      <c r="A459" s="314"/>
      <c r="B459" s="393" t="s">
        <v>709</v>
      </c>
      <c r="C459" s="297"/>
      <c r="F459" s="264">
        <f t="shared" si="12"/>
        <v>-192</v>
      </c>
      <c r="G459" s="264">
        <v>0</v>
      </c>
      <c r="H459" s="264">
        <v>-191882</v>
      </c>
      <c r="M459" s="393" t="s">
        <v>709</v>
      </c>
    </row>
    <row r="460" spans="1:13" ht="15.75">
      <c r="A460" s="314"/>
      <c r="B460" s="304" t="s">
        <v>517</v>
      </c>
      <c r="C460" s="297"/>
      <c r="F460" s="264">
        <f t="shared" si="12"/>
        <v>-65</v>
      </c>
      <c r="G460" s="264">
        <v>0</v>
      </c>
      <c r="H460" s="264">
        <v>-65332</v>
      </c>
      <c r="M460" s="402" t="s">
        <v>517</v>
      </c>
    </row>
    <row r="461" spans="1:13" ht="15.75">
      <c r="A461" s="314"/>
      <c r="B461" s="304" t="s">
        <v>518</v>
      </c>
      <c r="C461" s="297"/>
      <c r="F461" s="264">
        <f t="shared" si="12"/>
        <v>1111</v>
      </c>
      <c r="G461" s="264">
        <v>0</v>
      </c>
      <c r="H461" s="264">
        <v>1110999</v>
      </c>
      <c r="M461" s="402" t="s">
        <v>518</v>
      </c>
    </row>
    <row r="462" spans="1:13" ht="15.75">
      <c r="A462" s="314"/>
      <c r="B462" s="304" t="s">
        <v>519</v>
      </c>
      <c r="C462" s="297"/>
      <c r="F462" s="264">
        <f t="shared" si="12"/>
        <v>-1032</v>
      </c>
      <c r="G462" s="264">
        <v>0</v>
      </c>
      <c r="H462" s="264">
        <v>-1031642</v>
      </c>
      <c r="M462" s="402" t="s">
        <v>519</v>
      </c>
    </row>
    <row r="463" spans="1:13" ht="15.75">
      <c r="A463" s="314"/>
      <c r="B463" s="304" t="s">
        <v>616</v>
      </c>
      <c r="C463" s="297"/>
      <c r="F463" s="264">
        <f t="shared" si="12"/>
        <v>-1968</v>
      </c>
      <c r="G463" s="264">
        <v>0</v>
      </c>
      <c r="H463" s="264">
        <v>-1967897</v>
      </c>
      <c r="M463" s="402" t="s">
        <v>616</v>
      </c>
    </row>
    <row r="464" spans="1:13" ht="15.75">
      <c r="A464" s="314"/>
      <c r="B464" s="304" t="s">
        <v>520</v>
      </c>
      <c r="C464" s="297"/>
      <c r="F464" s="264">
        <f t="shared" si="12"/>
        <v>1968</v>
      </c>
      <c r="G464" s="264">
        <v>0</v>
      </c>
      <c r="H464" s="264">
        <v>1967897</v>
      </c>
      <c r="M464" s="402" t="s">
        <v>520</v>
      </c>
    </row>
    <row r="465" spans="1:13" ht="15.75">
      <c r="A465" s="314"/>
      <c r="B465" s="297" t="s">
        <v>521</v>
      </c>
      <c r="C465" s="297"/>
      <c r="F465" s="264">
        <f t="shared" si="12"/>
        <v>0</v>
      </c>
      <c r="G465" s="264">
        <v>0</v>
      </c>
      <c r="H465" s="264">
        <v>0</v>
      </c>
      <c r="M465" s="393" t="s">
        <v>521</v>
      </c>
    </row>
    <row r="466" spans="1:13" ht="15.75">
      <c r="A466" s="314"/>
      <c r="B466" s="304" t="s">
        <v>522</v>
      </c>
      <c r="C466" s="297"/>
      <c r="F466" s="264">
        <f t="shared" si="12"/>
        <v>0</v>
      </c>
      <c r="G466" s="264">
        <v>0</v>
      </c>
      <c r="H466" s="264">
        <v>0</v>
      </c>
      <c r="M466" s="402" t="s">
        <v>522</v>
      </c>
    </row>
    <row r="467" spans="1:13" ht="15.75">
      <c r="A467" s="314"/>
      <c r="B467" s="304" t="s">
        <v>523</v>
      </c>
      <c r="C467" s="297"/>
      <c r="F467" s="264">
        <f t="shared" si="12"/>
        <v>0</v>
      </c>
      <c r="G467" s="264">
        <v>0</v>
      </c>
      <c r="H467" s="264">
        <v>0</v>
      </c>
      <c r="M467" s="402" t="s">
        <v>523</v>
      </c>
    </row>
    <row r="468" spans="1:13" ht="15.75">
      <c r="A468" s="314"/>
      <c r="B468" s="297" t="s">
        <v>524</v>
      </c>
      <c r="C468" s="297"/>
      <c r="F468" s="264">
        <f t="shared" si="12"/>
        <v>0</v>
      </c>
      <c r="G468" s="264">
        <v>0</v>
      </c>
      <c r="H468" s="264">
        <v>0</v>
      </c>
      <c r="M468" s="393" t="s">
        <v>524</v>
      </c>
    </row>
    <row r="469" spans="1:13" ht="15.75">
      <c r="A469" s="314"/>
      <c r="B469" s="304" t="s">
        <v>525</v>
      </c>
      <c r="C469" s="297"/>
      <c r="F469" s="264">
        <f t="shared" si="12"/>
        <v>544</v>
      </c>
      <c r="G469" s="264">
        <v>0</v>
      </c>
      <c r="H469" s="264">
        <v>544173</v>
      </c>
      <c r="M469" s="402" t="s">
        <v>525</v>
      </c>
    </row>
    <row r="470" spans="1:13" ht="15.75">
      <c r="A470" s="315"/>
      <c r="B470" s="300" t="s">
        <v>526</v>
      </c>
      <c r="C470" s="300"/>
      <c r="F470" s="264">
        <f t="shared" si="12"/>
        <v>-98</v>
      </c>
      <c r="G470" s="264">
        <v>0</v>
      </c>
      <c r="H470" s="264">
        <v>-97837</v>
      </c>
      <c r="M470" s="396" t="s">
        <v>526</v>
      </c>
    </row>
    <row r="471" spans="1:13" ht="15.75">
      <c r="A471" s="315"/>
      <c r="B471" s="300" t="s">
        <v>527</v>
      </c>
      <c r="C471" s="300"/>
      <c r="F471" s="264">
        <f t="shared" si="12"/>
        <v>216</v>
      </c>
      <c r="G471" s="264">
        <v>0</v>
      </c>
      <c r="H471" s="264">
        <v>215500</v>
      </c>
      <c r="M471" s="396" t="s">
        <v>527</v>
      </c>
    </row>
    <row r="472" spans="1:13" ht="15.75">
      <c r="A472" s="315"/>
      <c r="B472" s="396" t="s">
        <v>725</v>
      </c>
      <c r="C472" s="300"/>
      <c r="F472" s="264">
        <f t="shared" si="12"/>
        <v>-2243</v>
      </c>
      <c r="G472" s="264">
        <v>0</v>
      </c>
      <c r="H472" s="264">
        <v>-2243369</v>
      </c>
      <c r="M472" s="396" t="s">
        <v>725</v>
      </c>
    </row>
    <row r="473" spans="1:13" ht="15.75">
      <c r="A473" s="316"/>
      <c r="B473" s="300" t="s">
        <v>528</v>
      </c>
      <c r="C473" s="300"/>
      <c r="F473" s="264">
        <f t="shared" si="12"/>
        <v>0</v>
      </c>
      <c r="G473" s="264">
        <v>0</v>
      </c>
      <c r="H473" s="264">
        <v>0</v>
      </c>
      <c r="M473" s="396" t="s">
        <v>528</v>
      </c>
    </row>
    <row r="474" spans="1:13" ht="15.75">
      <c r="A474" s="315"/>
      <c r="B474" s="312" t="s">
        <v>529</v>
      </c>
      <c r="C474" s="312"/>
      <c r="F474" s="264">
        <f t="shared" si="12"/>
        <v>-45</v>
      </c>
      <c r="G474" s="264">
        <v>0</v>
      </c>
      <c r="H474" s="264">
        <v>-45256</v>
      </c>
      <c r="M474" s="400" t="s">
        <v>529</v>
      </c>
    </row>
    <row r="475" spans="1:13" ht="15.75">
      <c r="A475" s="316"/>
      <c r="B475" s="300" t="s">
        <v>617</v>
      </c>
      <c r="C475" s="300"/>
      <c r="F475" s="264">
        <f t="shared" si="12"/>
        <v>16</v>
      </c>
      <c r="G475" s="264">
        <v>0</v>
      </c>
      <c r="H475" s="264">
        <v>15676</v>
      </c>
      <c r="M475" s="396" t="s">
        <v>617</v>
      </c>
    </row>
    <row r="476" spans="1:13" ht="15.75">
      <c r="A476" s="315"/>
      <c r="B476" s="312" t="s">
        <v>530</v>
      </c>
      <c r="C476" s="312"/>
      <c r="F476" s="264">
        <f t="shared" si="12"/>
        <v>0</v>
      </c>
      <c r="G476" s="264">
        <v>0</v>
      </c>
      <c r="H476" s="264">
        <v>0</v>
      </c>
      <c r="M476" s="400" t="s">
        <v>530</v>
      </c>
    </row>
    <row r="477" spans="1:13" ht="15.75">
      <c r="A477" s="315"/>
      <c r="B477" s="300" t="s">
        <v>531</v>
      </c>
      <c r="C477" s="300"/>
      <c r="F477" s="264">
        <f t="shared" si="12"/>
        <v>103</v>
      </c>
      <c r="G477" s="264">
        <v>0</v>
      </c>
      <c r="H477" s="264">
        <v>103331</v>
      </c>
      <c r="M477" s="396" t="s">
        <v>531</v>
      </c>
    </row>
    <row r="478" spans="1:13" ht="15.75">
      <c r="A478" s="315"/>
      <c r="B478" s="300" t="s">
        <v>532</v>
      </c>
      <c r="C478" s="300"/>
      <c r="F478" s="264">
        <f t="shared" si="12"/>
        <v>-22</v>
      </c>
      <c r="G478" s="264">
        <v>0</v>
      </c>
      <c r="H478" s="264">
        <v>-21688</v>
      </c>
      <c r="M478" s="396" t="s">
        <v>532</v>
      </c>
    </row>
    <row r="479" spans="1:13" ht="15.75">
      <c r="A479" s="315"/>
      <c r="B479" s="300" t="s">
        <v>533</v>
      </c>
      <c r="C479" s="300"/>
      <c r="F479" s="264">
        <f t="shared" si="12"/>
        <v>66</v>
      </c>
      <c r="G479" s="264">
        <v>0</v>
      </c>
      <c r="H479" s="264">
        <v>65615</v>
      </c>
      <c r="M479" s="396" t="s">
        <v>533</v>
      </c>
    </row>
    <row r="480" spans="1:13" ht="15.75">
      <c r="A480" s="315"/>
      <c r="B480" s="300" t="s">
        <v>534</v>
      </c>
      <c r="C480" s="300"/>
      <c r="F480" s="264">
        <f t="shared" si="12"/>
        <v>-14</v>
      </c>
      <c r="G480" s="264">
        <v>0</v>
      </c>
      <c r="H480" s="264">
        <v>-13794</v>
      </c>
      <c r="M480" s="396" t="s">
        <v>534</v>
      </c>
    </row>
    <row r="481" spans="1:13" ht="15.75">
      <c r="A481" s="315"/>
      <c r="B481" s="317" t="s">
        <v>535</v>
      </c>
      <c r="C481" s="300"/>
      <c r="F481" s="264">
        <f t="shared" si="12"/>
        <v>0</v>
      </c>
      <c r="G481" s="264">
        <v>0</v>
      </c>
      <c r="H481" s="264">
        <v>0</v>
      </c>
      <c r="M481" s="403" t="s">
        <v>535</v>
      </c>
    </row>
    <row r="482" spans="1:13" ht="15.75">
      <c r="A482" s="315"/>
      <c r="B482" s="300" t="s">
        <v>536</v>
      </c>
      <c r="C482" s="300"/>
      <c r="F482" s="264">
        <f t="shared" si="12"/>
        <v>0</v>
      </c>
      <c r="G482" s="264">
        <v>0</v>
      </c>
      <c r="H482" s="264">
        <v>0</v>
      </c>
      <c r="M482" s="396" t="s">
        <v>536</v>
      </c>
    </row>
    <row r="483" spans="1:13" ht="15.75">
      <c r="A483" s="315"/>
      <c r="B483" s="304" t="s">
        <v>537</v>
      </c>
      <c r="C483" s="300"/>
      <c r="F483" s="264">
        <f t="shared" si="12"/>
        <v>0</v>
      </c>
      <c r="G483" s="264">
        <v>0</v>
      </c>
      <c r="H483" s="264">
        <v>0</v>
      </c>
      <c r="M483" s="402" t="s">
        <v>537</v>
      </c>
    </row>
    <row r="484" spans="1:13" ht="15.75">
      <c r="A484" s="315"/>
      <c r="B484" s="300" t="s">
        <v>538</v>
      </c>
      <c r="C484" s="300"/>
      <c r="F484" s="264">
        <f t="shared" si="12"/>
        <v>0</v>
      </c>
      <c r="G484" s="264">
        <v>0</v>
      </c>
      <c r="H484" s="264">
        <v>0</v>
      </c>
      <c r="M484" s="396" t="s">
        <v>538</v>
      </c>
    </row>
    <row r="485" spans="1:13" ht="15.75">
      <c r="A485" s="315"/>
      <c r="B485" s="304" t="s">
        <v>539</v>
      </c>
      <c r="C485" s="300"/>
      <c r="F485" s="264">
        <f t="shared" si="12"/>
        <v>0</v>
      </c>
      <c r="G485" s="264">
        <v>0</v>
      </c>
      <c r="H485" s="264">
        <v>0</v>
      </c>
      <c r="M485" s="402" t="s">
        <v>539</v>
      </c>
    </row>
    <row r="486" spans="1:13" ht="15.75">
      <c r="A486" s="315"/>
      <c r="B486" s="304" t="s">
        <v>540</v>
      </c>
      <c r="C486" s="300"/>
      <c r="F486" s="264">
        <f t="shared" si="12"/>
        <v>-940</v>
      </c>
      <c r="G486" s="264">
        <v>0</v>
      </c>
      <c r="H486" s="264">
        <v>-940445</v>
      </c>
      <c r="M486" s="402" t="s">
        <v>540</v>
      </c>
    </row>
    <row r="487" spans="1:13" ht="15.75">
      <c r="A487" s="315"/>
      <c r="B487" s="402" t="s">
        <v>710</v>
      </c>
      <c r="C487" s="300"/>
      <c r="F487" s="264">
        <f t="shared" si="12"/>
        <v>0</v>
      </c>
      <c r="G487" s="264">
        <v>0</v>
      </c>
      <c r="H487" s="264">
        <v>0</v>
      </c>
      <c r="M487" s="402" t="s">
        <v>710</v>
      </c>
    </row>
    <row r="488" spans="1:13" ht="15.75">
      <c r="A488" s="315"/>
      <c r="B488" s="403" t="s">
        <v>726</v>
      </c>
      <c r="C488" s="300"/>
      <c r="F488" s="264">
        <f t="shared" si="12"/>
        <v>0</v>
      </c>
      <c r="G488" s="264">
        <v>0</v>
      </c>
      <c r="H488" s="264">
        <v>0</v>
      </c>
      <c r="M488" s="403" t="s">
        <v>726</v>
      </c>
    </row>
    <row r="489" spans="1:13" ht="15.75">
      <c r="A489" s="315"/>
      <c r="B489" s="396" t="s">
        <v>727</v>
      </c>
      <c r="C489" s="300"/>
      <c r="F489" s="264">
        <f t="shared" si="12"/>
        <v>0</v>
      </c>
      <c r="G489" s="264">
        <v>0</v>
      </c>
      <c r="H489" s="264">
        <v>0</v>
      </c>
      <c r="M489" s="396" t="s">
        <v>727</v>
      </c>
    </row>
    <row r="490" spans="1:13" ht="15.75">
      <c r="A490" s="314"/>
      <c r="B490" s="402" t="s">
        <v>728</v>
      </c>
      <c r="C490" s="300"/>
      <c r="F490" s="264">
        <f t="shared" si="12"/>
        <v>0</v>
      </c>
      <c r="G490" s="264">
        <v>0</v>
      </c>
      <c r="H490" s="264">
        <v>0</v>
      </c>
      <c r="M490" s="402" t="s">
        <v>728</v>
      </c>
    </row>
    <row r="491" spans="1:13" ht="15.75">
      <c r="A491" s="314"/>
      <c r="B491" s="396" t="s">
        <v>729</v>
      </c>
      <c r="C491" s="300"/>
      <c r="F491" s="264">
        <f t="shared" si="12"/>
        <v>0</v>
      </c>
      <c r="G491" s="264">
        <v>0</v>
      </c>
      <c r="H491" s="264">
        <v>0</v>
      </c>
      <c r="M491" s="396" t="s">
        <v>729</v>
      </c>
    </row>
    <row r="492" spans="1:13" ht="15.75">
      <c r="A492" s="314"/>
      <c r="B492" s="402" t="s">
        <v>730</v>
      </c>
      <c r="C492" s="300"/>
      <c r="F492" s="264">
        <f t="shared" si="12"/>
        <v>0</v>
      </c>
      <c r="G492" s="264">
        <v>0</v>
      </c>
      <c r="H492" s="264">
        <v>0</v>
      </c>
      <c r="M492" s="402" t="s">
        <v>730</v>
      </c>
    </row>
    <row r="493" spans="1:13" ht="15.75">
      <c r="B493" s="402" t="s">
        <v>731</v>
      </c>
      <c r="C493" s="300"/>
      <c r="F493" s="264">
        <f t="shared" si="12"/>
        <v>0</v>
      </c>
      <c r="G493" s="264">
        <v>0</v>
      </c>
      <c r="H493" s="264">
        <v>0</v>
      </c>
      <c r="M493" s="402" t="s">
        <v>731</v>
      </c>
    </row>
    <row r="494" spans="1:13" ht="15.75">
      <c r="B494" s="402" t="s">
        <v>732</v>
      </c>
      <c r="C494" s="300"/>
      <c r="F494" s="264">
        <f t="shared" si="12"/>
        <v>0</v>
      </c>
      <c r="G494" s="264">
        <v>0</v>
      </c>
      <c r="H494" s="264">
        <v>0</v>
      </c>
      <c r="M494" s="402" t="s">
        <v>732</v>
      </c>
    </row>
    <row r="495" spans="1:13" ht="15.75">
      <c r="B495" s="402" t="s">
        <v>733</v>
      </c>
      <c r="C495" s="300"/>
      <c r="F495" s="264">
        <f t="shared" si="12"/>
        <v>0</v>
      </c>
      <c r="G495" s="264">
        <v>0</v>
      </c>
      <c r="H495" s="264">
        <v>0</v>
      </c>
      <c r="M495" s="402" t="s">
        <v>733</v>
      </c>
    </row>
    <row r="496" spans="1:13" ht="15.75">
      <c r="B496" s="402" t="s">
        <v>734</v>
      </c>
      <c r="C496" s="300"/>
      <c r="F496" s="264">
        <f t="shared" si="12"/>
        <v>0</v>
      </c>
      <c r="G496" s="264">
        <v>0</v>
      </c>
      <c r="H496" s="264">
        <v>0</v>
      </c>
      <c r="M496" s="402" t="s">
        <v>734</v>
      </c>
    </row>
    <row r="497" spans="2:13" ht="15.75">
      <c r="B497" s="402" t="s">
        <v>735</v>
      </c>
      <c r="C497" s="300"/>
      <c r="F497" s="264">
        <f t="shared" si="12"/>
        <v>0</v>
      </c>
      <c r="G497" s="264">
        <v>0</v>
      </c>
      <c r="H497" s="264">
        <v>0</v>
      </c>
      <c r="M497" s="402" t="s">
        <v>735</v>
      </c>
    </row>
    <row r="498" spans="2:13" ht="15.75">
      <c r="B498" s="402" t="s">
        <v>736</v>
      </c>
      <c r="C498" s="300"/>
      <c r="F498" s="264">
        <f t="shared" si="12"/>
        <v>0</v>
      </c>
      <c r="G498" s="264">
        <v>0</v>
      </c>
      <c r="H498" s="264">
        <v>0</v>
      </c>
      <c r="M498" s="402" t="s">
        <v>736</v>
      </c>
    </row>
    <row r="499" spans="2:13" ht="15.75">
      <c r="B499" s="304" t="s">
        <v>541</v>
      </c>
      <c r="C499" s="300"/>
      <c r="F499" s="264">
        <f t="shared" si="12"/>
        <v>-1999</v>
      </c>
      <c r="G499" s="264">
        <v>0</v>
      </c>
      <c r="H499" s="264">
        <v>-1998549</v>
      </c>
      <c r="M499" s="402" t="s">
        <v>541</v>
      </c>
    </row>
    <row r="500" spans="2:13" ht="15.75">
      <c r="B500" s="304" t="s">
        <v>542</v>
      </c>
      <c r="C500" s="300"/>
      <c r="F500" s="264">
        <f t="shared" si="12"/>
        <v>44462</v>
      </c>
      <c r="G500" s="264">
        <v>0</v>
      </c>
      <c r="H500" s="264">
        <v>44462479</v>
      </c>
      <c r="M500" s="402" t="s">
        <v>542</v>
      </c>
    </row>
    <row r="501" spans="2:13" ht="15.75">
      <c r="B501" s="304" t="s">
        <v>543</v>
      </c>
      <c r="C501" s="300"/>
      <c r="F501" s="264">
        <f t="shared" si="12"/>
        <v>0</v>
      </c>
      <c r="G501" s="264">
        <v>0</v>
      </c>
      <c r="H501" s="264">
        <v>0</v>
      </c>
      <c r="M501" s="402" t="s">
        <v>543</v>
      </c>
    </row>
    <row r="502" spans="2:13" ht="12.75">
      <c r="B502" s="297" t="s">
        <v>544</v>
      </c>
      <c r="C502" s="297"/>
      <c r="F502" s="264">
        <f t="shared" si="12"/>
        <v>42366</v>
      </c>
      <c r="G502" s="264">
        <v>0</v>
      </c>
      <c r="H502" s="264">
        <v>42366243</v>
      </c>
    </row>
    <row r="503" spans="2:13" ht="12.75">
      <c r="B503" s="297"/>
      <c r="C503" s="297"/>
      <c r="F503" s="264">
        <f t="shared" si="12"/>
        <v>0</v>
      </c>
      <c r="G503" s="264">
        <v>0</v>
      </c>
    </row>
    <row r="504" spans="2:13" ht="12.75">
      <c r="B504" s="297" t="s">
        <v>545</v>
      </c>
      <c r="C504" s="297"/>
      <c r="F504" s="264">
        <f t="shared" si="12"/>
        <v>1710135</v>
      </c>
      <c r="G504" s="264">
        <v>0</v>
      </c>
      <c r="H504" s="264">
        <v>1710135067</v>
      </c>
    </row>
    <row r="505" spans="2:13">
      <c r="G505" s="26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workbookViewId="0">
      <selection sqref="A1:H1"/>
    </sheetView>
  </sheetViews>
  <sheetFormatPr defaultColWidth="10.5703125" defaultRowHeight="12.75"/>
  <cols>
    <col min="1" max="1" width="8.42578125" style="341"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1038" t="s">
        <v>116</v>
      </c>
      <c r="B1" s="1038"/>
      <c r="C1" s="1038"/>
      <c r="D1" s="1038"/>
      <c r="E1" s="1038"/>
      <c r="F1" s="1038"/>
      <c r="G1" s="1038"/>
      <c r="H1" s="1038"/>
    </row>
    <row r="2" spans="1:9">
      <c r="A2" s="1038" t="s">
        <v>558</v>
      </c>
      <c r="B2" s="1038"/>
      <c r="C2" s="1038"/>
      <c r="D2" s="1038"/>
      <c r="E2" s="1038"/>
      <c r="F2" s="1038"/>
      <c r="G2" s="1038"/>
      <c r="H2" s="1038"/>
    </row>
    <row r="3" spans="1:9">
      <c r="A3" s="1038" t="s">
        <v>164</v>
      </c>
      <c r="B3" s="1038"/>
      <c r="C3" s="1038"/>
      <c r="D3" s="1038"/>
      <c r="E3" s="1038"/>
      <c r="F3" s="1038"/>
      <c r="G3" s="1038"/>
      <c r="H3" s="1038"/>
    </row>
    <row r="4" spans="1:9">
      <c r="A4" s="1039" t="str">
        <f>'ADJ DETAIL-INPUT'!A4</f>
        <v>TWELVE MONTHS ENDED DECEMBER 31, 2019</v>
      </c>
      <c r="B4" s="1039"/>
      <c r="C4" s="1039"/>
      <c r="D4" s="1039"/>
      <c r="E4" s="1039"/>
      <c r="F4" s="1039"/>
      <c r="G4" s="1039"/>
      <c r="H4" s="1039"/>
    </row>
    <row r="5" spans="1:9">
      <c r="A5" s="1040" t="s">
        <v>143</v>
      </c>
      <c r="B5" s="1040"/>
      <c r="C5" s="1040"/>
      <c r="D5" s="1040"/>
      <c r="E5" s="1040"/>
      <c r="F5" s="1040"/>
      <c r="G5" s="1040"/>
      <c r="H5" s="1040"/>
    </row>
    <row r="6" spans="1:9" ht="13.5" thickBot="1">
      <c r="A6" s="340"/>
      <c r="B6" s="347"/>
      <c r="C6" s="64"/>
      <c r="D6" s="65"/>
      <c r="E6" s="65"/>
      <c r="F6" s="65"/>
      <c r="I6" s="67" t="s">
        <v>559</v>
      </c>
    </row>
    <row r="7" spans="1:9" ht="13.5" thickBot="1">
      <c r="C7" s="66"/>
      <c r="D7" s="66"/>
      <c r="E7" s="1035" t="s">
        <v>558</v>
      </c>
      <c r="F7" s="1036"/>
      <c r="G7" s="1037"/>
      <c r="I7" s="67" t="s">
        <v>560</v>
      </c>
    </row>
    <row r="8" spans="1:9">
      <c r="C8" s="66"/>
      <c r="D8" s="66"/>
      <c r="E8" s="341">
        <f>'ADJ DETAIL-INPUT'!W10</f>
        <v>2.139999999999997</v>
      </c>
      <c r="F8" s="369"/>
      <c r="G8" s="369"/>
      <c r="I8" s="67"/>
    </row>
    <row r="9" spans="1:9">
      <c r="C9" s="66"/>
      <c r="D9" s="66"/>
      <c r="E9" s="68" t="s">
        <v>25</v>
      </c>
      <c r="F9" s="67" t="s">
        <v>589</v>
      </c>
      <c r="I9" s="67" t="s">
        <v>561</v>
      </c>
    </row>
    <row r="10" spans="1:9">
      <c r="B10" s="348" t="s">
        <v>144</v>
      </c>
      <c r="C10" s="66"/>
      <c r="D10" s="66"/>
      <c r="E10" s="352" t="s">
        <v>264</v>
      </c>
      <c r="F10" s="69" t="s">
        <v>145</v>
      </c>
      <c r="G10" s="69" t="s">
        <v>33</v>
      </c>
      <c r="I10" s="69" t="str">
        <f>F10</f>
        <v>Adjustments</v>
      </c>
    </row>
    <row r="11" spans="1:9">
      <c r="A11" s="341">
        <v>1</v>
      </c>
      <c r="B11" s="85" t="str">
        <f>'ADJ SUMMARY'!C10</f>
        <v>Results of Operations</v>
      </c>
      <c r="C11" s="66"/>
      <c r="D11" s="66"/>
      <c r="E11" s="351">
        <f>'ADJ SUMMARY'!E10</f>
        <v>1710135</v>
      </c>
      <c r="F11" s="338"/>
      <c r="G11" s="63">
        <f>SUM(E11:F11)</f>
        <v>1710135</v>
      </c>
      <c r="I11" s="351">
        <f>ROUND(E11*$E$61*-$F$68,0)+(E65*0.21)</f>
        <v>934.18000000000029</v>
      </c>
    </row>
    <row r="12" spans="1:9">
      <c r="A12" s="341">
        <f>'ADJ SUMMARY'!A11</f>
        <v>1.01</v>
      </c>
      <c r="B12" s="349" t="str">
        <f>'ADJ SUMMARY'!C11</f>
        <v>Deferred FIT Rate Base</v>
      </c>
      <c r="C12" s="66"/>
      <c r="D12" s="66"/>
      <c r="E12" s="70"/>
      <c r="F12" s="351">
        <f>'ADJ SUMMARY'!E11</f>
        <v>47</v>
      </c>
      <c r="G12" s="63">
        <f>SUM(E12:F12)</f>
        <v>47</v>
      </c>
      <c r="I12" s="351">
        <f t="shared" ref="I12:I57" si="0">ROUND(F12*$E$61*-$F$68,0)</f>
        <v>0</v>
      </c>
    </row>
    <row r="13" spans="1:9">
      <c r="A13" s="341">
        <f>'ADJ SUMMARY'!A12</f>
        <v>1.02</v>
      </c>
      <c r="B13" s="349" t="str">
        <f>'ADJ SUMMARY'!C12</f>
        <v>Deferred Debits and Credits</v>
      </c>
      <c r="C13" s="66"/>
      <c r="D13" s="66"/>
      <c r="E13" s="70"/>
      <c r="F13" s="351">
        <f>'ADJ SUMMARY'!E12</f>
        <v>1</v>
      </c>
      <c r="G13" s="63">
        <f t="shared" ref="G13:G34" si="1">SUM(E13:F13)</f>
        <v>1</v>
      </c>
      <c r="I13" s="351">
        <f t="shared" si="0"/>
        <v>0</v>
      </c>
    </row>
    <row r="14" spans="1:9">
      <c r="A14" s="341">
        <f>'ADJ SUMMARY'!A13</f>
        <v>1.03</v>
      </c>
      <c r="B14" s="349" t="str">
        <f>'ADJ SUMMARY'!C13</f>
        <v>Working Capital</v>
      </c>
      <c r="C14" s="66"/>
      <c r="D14" s="66"/>
      <c r="E14" s="70"/>
      <c r="F14" s="351">
        <f>'ADJ SUMMARY'!E13</f>
        <v>-3752</v>
      </c>
      <c r="G14" s="63">
        <f t="shared" si="1"/>
        <v>-3752</v>
      </c>
      <c r="I14" s="351">
        <f t="shared" si="0"/>
        <v>20</v>
      </c>
    </row>
    <row r="15" spans="1:9">
      <c r="A15" s="341">
        <f>'ADJ SUMMARY'!A14</f>
        <v>1.04</v>
      </c>
      <c r="B15" s="349" t="str">
        <f>'ADJ SUMMARY'!C14</f>
        <v>Remove AMI Rate Base</v>
      </c>
      <c r="C15" s="66"/>
      <c r="D15" s="66"/>
      <c r="E15" s="70"/>
      <c r="F15" s="351">
        <f>'ADJ SUMMARY'!E14</f>
        <v>-48288</v>
      </c>
      <c r="G15" s="63">
        <f t="shared" si="1"/>
        <v>-48288</v>
      </c>
      <c r="I15" s="351">
        <f t="shared" si="0"/>
        <v>251</v>
      </c>
    </row>
    <row r="16" spans="1:9">
      <c r="A16" s="341">
        <f>'ADJ SUMMARY'!A15</f>
        <v>2.0099999999999998</v>
      </c>
      <c r="B16" s="349" t="str">
        <f>'ADJ SUMMARY'!C15</f>
        <v>Eliminate B &amp; O Taxes</v>
      </c>
      <c r="C16" s="66"/>
      <c r="D16" s="66"/>
      <c r="E16" s="70"/>
      <c r="F16" s="351">
        <f>'ADJ SUMMARY'!E15</f>
        <v>0</v>
      </c>
      <c r="G16" s="63">
        <f t="shared" si="1"/>
        <v>0</v>
      </c>
      <c r="I16" s="351">
        <f t="shared" si="0"/>
        <v>0</v>
      </c>
    </row>
    <row r="17" spans="1:9">
      <c r="A17" s="341">
        <f>'ADJ SUMMARY'!A16</f>
        <v>2.0199999999999996</v>
      </c>
      <c r="B17" s="349" t="str">
        <f>'ADJ SUMMARY'!C16</f>
        <v>Restate Property Tax</v>
      </c>
      <c r="C17" s="66"/>
      <c r="D17" s="66"/>
      <c r="E17" s="70"/>
      <c r="F17" s="351">
        <f>'ADJ SUMMARY'!E16</f>
        <v>0</v>
      </c>
      <c r="G17" s="63">
        <f t="shared" si="1"/>
        <v>0</v>
      </c>
      <c r="I17" s="351">
        <f t="shared" si="0"/>
        <v>0</v>
      </c>
    </row>
    <row r="18" spans="1:9">
      <c r="A18" s="341">
        <f>'ADJ SUMMARY'!A17</f>
        <v>2.0299999999999994</v>
      </c>
      <c r="B18" s="349" t="str">
        <f>'ADJ SUMMARY'!C17</f>
        <v>Uncollect. Expense</v>
      </c>
      <c r="C18" s="66"/>
      <c r="D18" s="66"/>
      <c r="E18" s="70"/>
      <c r="F18" s="351">
        <f>'ADJ SUMMARY'!E17</f>
        <v>0</v>
      </c>
      <c r="G18" s="63">
        <f t="shared" si="1"/>
        <v>0</v>
      </c>
      <c r="I18" s="351">
        <f t="shared" si="0"/>
        <v>0</v>
      </c>
    </row>
    <row r="19" spans="1:9">
      <c r="A19" s="341">
        <f>'ADJ SUMMARY'!A18</f>
        <v>2.0399999999999991</v>
      </c>
      <c r="B19" s="349" t="str">
        <f>'ADJ SUMMARY'!C18</f>
        <v>Regulatory Expense</v>
      </c>
      <c r="C19" s="66"/>
      <c r="D19" s="66"/>
      <c r="E19" s="70"/>
      <c r="F19" s="351">
        <f>'ADJ SUMMARY'!E18</f>
        <v>0</v>
      </c>
      <c r="G19" s="63">
        <f t="shared" si="1"/>
        <v>0</v>
      </c>
      <c r="I19" s="351">
        <f t="shared" si="0"/>
        <v>0</v>
      </c>
    </row>
    <row r="20" spans="1:9">
      <c r="A20" s="341">
        <f>'ADJ SUMMARY'!A19</f>
        <v>2.0499999999999989</v>
      </c>
      <c r="B20" s="349" t="str">
        <f>'ADJ SUMMARY'!C19</f>
        <v>Injuries and Damages</v>
      </c>
      <c r="C20" s="66"/>
      <c r="D20" s="66"/>
      <c r="E20" s="70"/>
      <c r="F20" s="351">
        <f>'ADJ SUMMARY'!E19</f>
        <v>0</v>
      </c>
      <c r="G20" s="63">
        <f t="shared" si="1"/>
        <v>0</v>
      </c>
      <c r="I20" s="351">
        <f t="shared" si="0"/>
        <v>0</v>
      </c>
    </row>
    <row r="21" spans="1:9">
      <c r="A21" s="341">
        <f>'ADJ SUMMARY'!A20</f>
        <v>2.0599999999999987</v>
      </c>
      <c r="B21" s="349" t="str">
        <f>'ADJ SUMMARY'!C20</f>
        <v>FIT/DFIT/ ITC Expense</v>
      </c>
      <c r="C21" s="66"/>
      <c r="D21" s="66"/>
      <c r="E21" s="70"/>
      <c r="F21" s="351">
        <f>'ADJ SUMMARY'!E20</f>
        <v>0</v>
      </c>
      <c r="G21" s="63">
        <f t="shared" si="1"/>
        <v>0</v>
      </c>
      <c r="I21" s="351">
        <f t="shared" si="0"/>
        <v>0</v>
      </c>
    </row>
    <row r="22" spans="1:9">
      <c r="A22" s="341">
        <f>'ADJ SUMMARY'!A21</f>
        <v>2.0699999999999985</v>
      </c>
      <c r="B22" s="349" t="str">
        <f>'ADJ SUMMARY'!C21</f>
        <v>Office Space Charges to Non-Utility</v>
      </c>
      <c r="C22" s="66"/>
      <c r="D22" s="66"/>
      <c r="E22" s="70"/>
      <c r="F22" s="351">
        <f>'ADJ SUMMARY'!E21</f>
        <v>0</v>
      </c>
      <c r="G22" s="63">
        <f t="shared" si="1"/>
        <v>0</v>
      </c>
      <c r="I22" s="351">
        <f t="shared" si="0"/>
        <v>0</v>
      </c>
    </row>
    <row r="23" spans="1:9">
      <c r="A23" s="341">
        <f>'ADJ SUMMARY'!A22</f>
        <v>2.0799999999999983</v>
      </c>
      <c r="B23" s="349" t="str">
        <f>'ADJ SUMMARY'!C22</f>
        <v>Restate Excise Taxes</v>
      </c>
      <c r="C23" s="66"/>
      <c r="D23" s="66"/>
      <c r="E23" s="70"/>
      <c r="F23" s="351">
        <f>'ADJ SUMMARY'!E22</f>
        <v>0</v>
      </c>
      <c r="G23" s="63">
        <f t="shared" si="1"/>
        <v>0</v>
      </c>
      <c r="I23" s="351">
        <f t="shared" si="0"/>
        <v>0</v>
      </c>
    </row>
    <row r="24" spans="1:9">
      <c r="A24" s="341">
        <f>'ADJ SUMMARY'!A23</f>
        <v>2.0899999999999981</v>
      </c>
      <c r="B24" s="349" t="str">
        <f>'ADJ SUMMARY'!C23</f>
        <v>Net Gains &amp; Losses</v>
      </c>
      <c r="C24" s="66"/>
      <c r="D24" s="66"/>
      <c r="E24" s="70"/>
      <c r="F24" s="351">
        <f>'ADJ SUMMARY'!E23</f>
        <v>0</v>
      </c>
      <c r="G24" s="63">
        <f t="shared" si="1"/>
        <v>0</v>
      </c>
      <c r="I24" s="351">
        <f t="shared" si="0"/>
        <v>0</v>
      </c>
    </row>
    <row r="25" spans="1:9">
      <c r="A25" s="341">
        <f>'ADJ SUMMARY'!A24</f>
        <v>2.0999999999999979</v>
      </c>
      <c r="B25" s="349" t="str">
        <f>'ADJ SUMMARY'!C24</f>
        <v>Weather Normalization</v>
      </c>
      <c r="C25" s="66"/>
      <c r="D25" s="66"/>
      <c r="E25" s="70"/>
      <c r="F25" s="351">
        <f>'ADJ SUMMARY'!E24</f>
        <v>0</v>
      </c>
      <c r="G25" s="63">
        <f t="shared" si="1"/>
        <v>0</v>
      </c>
      <c r="I25" s="351">
        <f t="shared" si="0"/>
        <v>0</v>
      </c>
    </row>
    <row r="26" spans="1:9">
      <c r="A26" s="341">
        <f>'ADJ SUMMARY'!A25</f>
        <v>2.1099999999999977</v>
      </c>
      <c r="B26" s="349" t="str">
        <f>'ADJ SUMMARY'!C25</f>
        <v>Eliminate Adder Schedules</v>
      </c>
      <c r="C26" s="66"/>
      <c r="D26" s="66"/>
      <c r="E26" s="70"/>
      <c r="F26" s="351">
        <f>'ADJ SUMMARY'!E25</f>
        <v>0</v>
      </c>
      <c r="G26" s="63">
        <f t="shared" si="1"/>
        <v>0</v>
      </c>
      <c r="I26" s="351">
        <f t="shared" si="0"/>
        <v>0</v>
      </c>
    </row>
    <row r="27" spans="1:9">
      <c r="A27" s="341">
        <f>'ADJ SUMMARY'!A26</f>
        <v>2.1199999999999974</v>
      </c>
      <c r="B27" s="349" t="str">
        <f>'ADJ SUMMARY'!C26</f>
        <v>Misc. Restating Non-Util / Non- Recurring Expenses</v>
      </c>
      <c r="C27" s="66"/>
      <c r="D27" s="66"/>
      <c r="E27" s="70"/>
      <c r="F27" s="351">
        <f>'ADJ SUMMARY'!E26</f>
        <v>0</v>
      </c>
      <c r="G27" s="63">
        <f t="shared" si="1"/>
        <v>0</v>
      </c>
      <c r="I27" s="351">
        <f t="shared" si="0"/>
        <v>0</v>
      </c>
    </row>
    <row r="28" spans="1:9">
      <c r="A28" s="341">
        <f>'ADJ SUMMARY'!A27</f>
        <v>2.1299999999999972</v>
      </c>
      <c r="B28" s="349" t="str">
        <f>'ADJ SUMMARY'!C27</f>
        <v>Restating Incentives</v>
      </c>
      <c r="C28" s="66"/>
      <c r="D28" s="66"/>
      <c r="E28" s="70"/>
      <c r="F28" s="351">
        <f>'ADJ SUMMARY'!E27</f>
        <v>0</v>
      </c>
      <c r="G28" s="63">
        <f t="shared" si="1"/>
        <v>0</v>
      </c>
      <c r="I28" s="351">
        <f t="shared" si="0"/>
        <v>0</v>
      </c>
    </row>
    <row r="29" spans="1:9">
      <c r="A29" s="341">
        <f>'ADJ SUMMARY'!A28</f>
        <v>2.139999999999997</v>
      </c>
      <c r="B29" s="349" t="str">
        <f>'ADJ SUMMARY'!C28</f>
        <v>Restate Debt Interest</v>
      </c>
      <c r="C29" s="66"/>
      <c r="D29" s="66"/>
      <c r="E29" s="70"/>
      <c r="F29" s="351">
        <f>'ADJ SUMMARY'!E28</f>
        <v>0</v>
      </c>
      <c r="G29" s="63">
        <f t="shared" si="1"/>
        <v>0</v>
      </c>
      <c r="I29" s="351">
        <f t="shared" si="0"/>
        <v>0</v>
      </c>
    </row>
    <row r="30" spans="1:9">
      <c r="A30" s="341">
        <f>'ADJ SUMMARY'!A29</f>
        <v>2.1499999999999968</v>
      </c>
      <c r="B30" s="349" t="str">
        <f>'ADJ SUMMARY'!C29</f>
        <v>Eliminate WA Power Cost Defer</v>
      </c>
      <c r="C30" s="66"/>
      <c r="D30" s="66"/>
      <c r="E30" s="70"/>
      <c r="F30" s="351">
        <f>'ADJ SUMMARY'!E29</f>
        <v>0</v>
      </c>
      <c r="G30" s="63">
        <f t="shared" si="1"/>
        <v>0</v>
      </c>
      <c r="I30" s="351">
        <f t="shared" si="0"/>
        <v>0</v>
      </c>
    </row>
    <row r="31" spans="1:9">
      <c r="A31" s="341">
        <f>'ADJ SUMMARY'!A30</f>
        <v>2.1599999999999966</v>
      </c>
      <c r="B31" s="349" t="str">
        <f>'ADJ SUMMARY'!C30</f>
        <v>Nez Perce Settlement Adjustment</v>
      </c>
      <c r="C31" s="66"/>
      <c r="D31" s="66"/>
      <c r="E31" s="70"/>
      <c r="F31" s="351">
        <f>'ADJ SUMMARY'!E30</f>
        <v>0</v>
      </c>
      <c r="G31" s="63">
        <f t="shared" si="1"/>
        <v>0</v>
      </c>
      <c r="I31" s="351">
        <f t="shared" si="0"/>
        <v>0</v>
      </c>
    </row>
    <row r="32" spans="1:9">
      <c r="A32" s="341">
        <f>'ADJ SUMMARY'!A31</f>
        <v>2.1699999999999964</v>
      </c>
      <c r="B32" s="349" t="str">
        <f>'ADJ SUMMARY'!C31</f>
        <v>Normalize CS2/Colstrip Major Maint</v>
      </c>
      <c r="C32" s="66"/>
      <c r="D32" s="66"/>
      <c r="E32" s="70"/>
      <c r="F32" s="351">
        <f>'ADJ SUMMARY'!E31</f>
        <v>0</v>
      </c>
      <c r="G32" s="63">
        <f t="shared" si="1"/>
        <v>0</v>
      </c>
      <c r="I32" s="351">
        <f t="shared" si="0"/>
        <v>0</v>
      </c>
    </row>
    <row r="33" spans="1:9">
      <c r="A33" s="341">
        <f>'ADJ SUMMARY'!A32</f>
        <v>2.1799999999999962</v>
      </c>
      <c r="B33" s="349" t="str">
        <f>'ADJ SUMMARY'!C32</f>
        <v>Authorized Power Supply</v>
      </c>
      <c r="C33" s="66"/>
      <c r="D33" s="66"/>
      <c r="E33" s="70"/>
      <c r="F33" s="351">
        <f>'ADJ SUMMARY'!E32</f>
        <v>0</v>
      </c>
      <c r="G33" s="63">
        <f t="shared" si="1"/>
        <v>0</v>
      </c>
      <c r="I33" s="351">
        <f t="shared" si="0"/>
        <v>0</v>
      </c>
    </row>
    <row r="34" spans="1:9">
      <c r="A34" s="341">
        <f>'ADJ SUMMARY'!A33</f>
        <v>2.1899999999999959</v>
      </c>
      <c r="B34" s="349" t="str">
        <f>'ADJ SUMMARY'!C33</f>
        <v>Restate 2019 AMA Rate Base to EOP</v>
      </c>
      <c r="C34" s="66"/>
      <c r="D34" s="66"/>
      <c r="E34" s="70"/>
      <c r="F34" s="351">
        <f>'ADJ SUMMARY'!E33</f>
        <v>20145.862985405809</v>
      </c>
      <c r="G34" s="63">
        <f t="shared" si="1"/>
        <v>20145.862985405809</v>
      </c>
      <c r="I34" s="351">
        <f t="shared" si="0"/>
        <v>-105</v>
      </c>
    </row>
    <row r="35" spans="1:9">
      <c r="A35" s="341" t="str">
        <f>'ADJ SUMMARY'!A37</f>
        <v>3.00P</v>
      </c>
      <c r="B35" s="349" t="str">
        <f>'ADJ SUMMARY'!C37</f>
        <v>Pro Forma Power Supply</v>
      </c>
      <c r="C35" s="66"/>
      <c r="D35" s="66"/>
      <c r="E35" s="70"/>
      <c r="F35" s="351">
        <f>'ADJ SUMMARY'!E37</f>
        <v>0</v>
      </c>
      <c r="G35" s="63">
        <f t="shared" ref="G35" si="2">SUM(E35:F35)</f>
        <v>0</v>
      </c>
      <c r="I35" s="351">
        <f t="shared" si="0"/>
        <v>0</v>
      </c>
    </row>
    <row r="36" spans="1:9">
      <c r="A36" s="341" t="str">
        <f>'ADJ SUMMARY'!A38</f>
        <v>3.00T</v>
      </c>
      <c r="B36" s="349" t="str">
        <f>'ADJ SUMMARY'!C38</f>
        <v>Pro Forma Transmission Revenue/Expense</v>
      </c>
      <c r="C36" s="66"/>
      <c r="D36" s="66"/>
      <c r="E36" s="70"/>
      <c r="F36" s="351">
        <f>'ADJ SUMMARY'!E38</f>
        <v>0</v>
      </c>
      <c r="G36" s="63">
        <f t="shared" ref="G36:G53" si="3">SUM(E36:F36)</f>
        <v>0</v>
      </c>
      <c r="I36" s="351">
        <f t="shared" si="0"/>
        <v>0</v>
      </c>
    </row>
    <row r="37" spans="1:9">
      <c r="A37" s="341">
        <f>'ADJ SUMMARY'!A39</f>
        <v>3.01</v>
      </c>
      <c r="B37" s="349" t="str">
        <f>'ADJ SUMMARY'!C39</f>
        <v>Pro Forma Revenue Normalization</v>
      </c>
      <c r="C37" s="66"/>
      <c r="D37" s="66"/>
      <c r="E37" s="70"/>
      <c r="F37" s="351">
        <f>'ADJ SUMMARY'!E39</f>
        <v>0</v>
      </c>
      <c r="G37" s="63">
        <f t="shared" si="3"/>
        <v>0</v>
      </c>
      <c r="I37" s="351">
        <f t="shared" si="0"/>
        <v>0</v>
      </c>
    </row>
    <row r="38" spans="1:9">
      <c r="A38" s="341">
        <f>'ADJ SUMMARY'!A40</f>
        <v>3.0199999999999996</v>
      </c>
      <c r="B38" s="349" t="str">
        <f>'ADJ SUMMARY'!C40</f>
        <v>Pro Forma Def. Debits, Credits &amp; Regulatory Amorts</v>
      </c>
      <c r="C38" s="66"/>
      <c r="D38" s="66"/>
      <c r="E38" s="70"/>
      <c r="F38" s="351">
        <f>'ADJ SUMMARY'!E40</f>
        <v>-766</v>
      </c>
      <c r="G38" s="63">
        <f t="shared" si="3"/>
        <v>-766</v>
      </c>
      <c r="I38" s="351">
        <f t="shared" si="0"/>
        <v>4</v>
      </c>
    </row>
    <row r="39" spans="1:9">
      <c r="A39" s="341">
        <f>'ADJ SUMMARY'!A41</f>
        <v>3.0299999999999994</v>
      </c>
      <c r="B39" s="349" t="str">
        <f>'ADJ SUMMARY'!C41</f>
        <v>Pro Forma ARAM DFIT</v>
      </c>
      <c r="C39" s="66"/>
      <c r="D39" s="66"/>
      <c r="E39" s="70"/>
      <c r="F39" s="351">
        <f>'ADJ SUMMARY'!E41</f>
        <v>0</v>
      </c>
      <c r="G39" s="63">
        <f t="shared" ref="G39" si="4">SUM(E39:F39)</f>
        <v>0</v>
      </c>
      <c r="I39" s="351">
        <f t="shared" si="0"/>
        <v>0</v>
      </c>
    </row>
    <row r="40" spans="1:9">
      <c r="A40" s="341">
        <f>'ADJ SUMMARY'!A42</f>
        <v>3.0399999999999991</v>
      </c>
      <c r="B40" s="349" t="str">
        <f>'ADJ SUMMARY'!C42</f>
        <v>Pro Forma Labor Non-Exec</v>
      </c>
      <c r="C40" s="66"/>
      <c r="D40" s="66"/>
      <c r="E40" s="70"/>
      <c r="F40" s="351">
        <f>'ADJ SUMMARY'!E42</f>
        <v>0</v>
      </c>
      <c r="G40" s="63">
        <f t="shared" si="3"/>
        <v>0</v>
      </c>
      <c r="I40" s="351">
        <f t="shared" si="0"/>
        <v>0</v>
      </c>
    </row>
    <row r="41" spans="1:9">
      <c r="A41" s="341">
        <f>'ADJ SUMMARY'!A43</f>
        <v>3.0499999999999989</v>
      </c>
      <c r="B41" s="349" t="str">
        <f>'ADJ SUMMARY'!C43</f>
        <v>Pro Forma Labor Exec</v>
      </c>
      <c r="C41" s="66"/>
      <c r="D41" s="66"/>
      <c r="E41" s="70"/>
      <c r="F41" s="351">
        <f>'ADJ SUMMARY'!E43</f>
        <v>0</v>
      </c>
      <c r="G41" s="63">
        <f t="shared" si="3"/>
        <v>0</v>
      </c>
      <c r="I41" s="351">
        <f t="shared" si="0"/>
        <v>0</v>
      </c>
    </row>
    <row r="42" spans="1:9">
      <c r="A42" s="341">
        <f>'ADJ SUMMARY'!A44</f>
        <v>3.0599999999999987</v>
      </c>
      <c r="B42" s="349" t="str">
        <f>'ADJ SUMMARY'!C44</f>
        <v>Pro Forma Employee Benefits</v>
      </c>
      <c r="C42" s="66"/>
      <c r="D42" s="66"/>
      <c r="E42" s="70"/>
      <c r="F42" s="351">
        <f>'ADJ SUMMARY'!E44</f>
        <v>0</v>
      </c>
      <c r="G42" s="63">
        <f t="shared" si="3"/>
        <v>0</v>
      </c>
      <c r="I42" s="351">
        <f t="shared" si="0"/>
        <v>0</v>
      </c>
    </row>
    <row r="43" spans="1:9">
      <c r="A43" s="341">
        <f>'ADJ SUMMARY'!A45</f>
        <v>3.0699999999999985</v>
      </c>
      <c r="B43" s="349" t="str">
        <f>'ADJ SUMMARY'!C45</f>
        <v>Pro Forma Insurance Expense</v>
      </c>
      <c r="C43" s="66"/>
      <c r="D43" s="66"/>
      <c r="E43" s="70"/>
      <c r="F43" s="351">
        <f>'ADJ SUMMARY'!E45</f>
        <v>0</v>
      </c>
      <c r="G43" s="63">
        <f t="shared" si="3"/>
        <v>0</v>
      </c>
      <c r="I43" s="351">
        <f t="shared" si="0"/>
        <v>0</v>
      </c>
    </row>
    <row r="44" spans="1:9">
      <c r="A44" s="341">
        <f>'ADJ SUMMARY'!A46</f>
        <v>3.0799999999999983</v>
      </c>
      <c r="B44" s="349" t="str">
        <f>'ADJ SUMMARY'!C46</f>
        <v>Pro Forma IS/IT Expense</v>
      </c>
      <c r="C44" s="66"/>
      <c r="D44" s="66"/>
      <c r="E44" s="70"/>
      <c r="F44" s="351">
        <f>'ADJ SUMMARY'!E46</f>
        <v>0</v>
      </c>
      <c r="G44" s="63">
        <f t="shared" si="3"/>
        <v>0</v>
      </c>
      <c r="I44" s="351">
        <f t="shared" si="0"/>
        <v>0</v>
      </c>
    </row>
    <row r="45" spans="1:9">
      <c r="A45" s="341">
        <f>'ADJ SUMMARY'!A47</f>
        <v>3.0899999999999981</v>
      </c>
      <c r="B45" s="349" t="str">
        <f>'ADJ SUMMARY'!C47</f>
        <v>Pro Forma Property Tax</v>
      </c>
      <c r="C45" s="66"/>
      <c r="D45" s="66"/>
      <c r="E45" s="70"/>
      <c r="F45" s="351">
        <f>'ADJ SUMMARY'!E47</f>
        <v>0</v>
      </c>
      <c r="G45" s="63">
        <f t="shared" si="3"/>
        <v>0</v>
      </c>
      <c r="I45" s="351">
        <f t="shared" si="0"/>
        <v>0</v>
      </c>
    </row>
    <row r="46" spans="1:9">
      <c r="A46" s="341">
        <f>'ADJ SUMMARY'!A48</f>
        <v>3.0999999999999979</v>
      </c>
      <c r="B46" s="349" t="str">
        <f>'ADJ SUMMARY'!C48</f>
        <v>Pro Forma Fee Free Amortization</v>
      </c>
      <c r="C46" s="66"/>
      <c r="D46" s="66"/>
      <c r="E46" s="70"/>
      <c r="F46" s="351">
        <f>'ADJ SUMMARY'!E48</f>
        <v>0</v>
      </c>
      <c r="G46" s="63">
        <f t="shared" si="3"/>
        <v>0</v>
      </c>
      <c r="I46" s="351">
        <f t="shared" si="0"/>
        <v>0</v>
      </c>
    </row>
    <row r="47" spans="1:9">
      <c r="A47" s="341">
        <f>'ADJ SUMMARY'!A49</f>
        <v>3.1099999999999977</v>
      </c>
      <c r="B47" s="349" t="str">
        <f>'ADJ SUMMARY'!C49</f>
        <v>Pro Forma 2020 Customer At Center</v>
      </c>
      <c r="C47" s="66"/>
      <c r="D47" s="66"/>
      <c r="E47" s="70"/>
      <c r="F47" s="351">
        <f>'ADJ SUMMARY'!E49</f>
        <v>10279</v>
      </c>
      <c r="G47" s="63">
        <f t="shared" si="3"/>
        <v>10279</v>
      </c>
      <c r="I47" s="351">
        <f t="shared" si="0"/>
        <v>-54</v>
      </c>
    </row>
    <row r="48" spans="1:9">
      <c r="A48" s="341">
        <f>'ADJ SUMMARY'!A50</f>
        <v>3.1199999999999974</v>
      </c>
      <c r="B48" s="349" t="str">
        <f>'ADJ SUMMARY'!C50</f>
        <v>Pro Forma 2020 Large &amp; Distinct</v>
      </c>
      <c r="C48" s="66"/>
      <c r="D48" s="66"/>
      <c r="E48" s="70"/>
      <c r="F48" s="351">
        <f>'ADJ SUMMARY'!E50</f>
        <v>18005</v>
      </c>
      <c r="G48" s="63">
        <f t="shared" si="3"/>
        <v>18005</v>
      </c>
      <c r="I48" s="351">
        <f t="shared" si="0"/>
        <v>-94</v>
      </c>
    </row>
    <row r="49" spans="1:16">
      <c r="A49" s="341">
        <f>'ADJ SUMMARY'!A51</f>
        <v>3.1299999999999972</v>
      </c>
      <c r="B49" s="349" t="str">
        <f>'ADJ SUMMARY'!C51</f>
        <v>Pro Forma 2020 Programmatic</v>
      </c>
      <c r="C49" s="66"/>
      <c r="D49" s="66"/>
      <c r="E49" s="70"/>
      <c r="F49" s="351">
        <f>'ADJ SUMMARY'!E51</f>
        <v>47479</v>
      </c>
      <c r="G49" s="63">
        <f t="shared" si="3"/>
        <v>47479</v>
      </c>
      <c r="I49" s="351">
        <f t="shared" si="0"/>
        <v>-247</v>
      </c>
    </row>
    <row r="50" spans="1:16">
      <c r="A50" s="341">
        <f>'ADJ SUMMARY'!A52</f>
        <v>3.139999999999997</v>
      </c>
      <c r="B50" s="349" t="str">
        <f>'ADJ SUMMARY'!C52</f>
        <v>Pro Forma 2020 Mandatory &amp; Compliance</v>
      </c>
      <c r="C50" s="66"/>
      <c r="D50" s="66"/>
      <c r="E50" s="70"/>
      <c r="F50" s="351">
        <f>'ADJ SUMMARY'!E52</f>
        <v>36826</v>
      </c>
      <c r="G50" s="63">
        <f t="shared" ref="G50:G51" si="5">SUM(E50:F50)</f>
        <v>36826</v>
      </c>
      <c r="I50" s="351">
        <f t="shared" si="0"/>
        <v>-192</v>
      </c>
    </row>
    <row r="51" spans="1:16">
      <c r="A51" s="341">
        <f>'ADJ SUMMARY'!A53</f>
        <v>3.1499999999999968</v>
      </c>
      <c r="B51" s="349" t="str">
        <f>'ADJ SUMMARY'!C53</f>
        <v>Pro Forma 2020 Short Lived</v>
      </c>
      <c r="C51" s="66"/>
      <c r="D51" s="66"/>
      <c r="E51" s="70"/>
      <c r="F51" s="351">
        <f>'ADJ SUMMARY'!E53</f>
        <v>10180</v>
      </c>
      <c r="G51" s="63">
        <f t="shared" si="5"/>
        <v>10180</v>
      </c>
      <c r="I51" s="351">
        <f t="shared" si="0"/>
        <v>-53</v>
      </c>
    </row>
    <row r="52" spans="1:16">
      <c r="A52" s="341">
        <f>'ADJ SUMMARY'!A54</f>
        <v>3.1599999999999966</v>
      </c>
      <c r="B52" s="349" t="str">
        <f>'ADJ SUMMARY'!C54</f>
        <v>Pro Forma AMI Capital</v>
      </c>
      <c r="C52" s="66"/>
      <c r="D52" s="66"/>
      <c r="E52" s="70"/>
      <c r="F52" s="351">
        <f>'ADJ SUMMARY'!E54</f>
        <v>87585</v>
      </c>
      <c r="G52" s="63">
        <f t="shared" si="3"/>
        <v>87585</v>
      </c>
      <c r="I52" s="351">
        <f t="shared" si="0"/>
        <v>-456</v>
      </c>
    </row>
    <row r="53" spans="1:16">
      <c r="A53" s="341" t="str">
        <f>'ADJ SUMMARY'!A55</f>
        <v>3.17PF</v>
      </c>
      <c r="B53" s="349" t="str">
        <f>'ADJ SUMMARY'!C55</f>
        <v>Pro Forma WildFire Plan</v>
      </c>
      <c r="C53" s="66"/>
      <c r="D53" s="66"/>
      <c r="E53" s="70"/>
      <c r="F53" s="351">
        <f>'ADJ SUMMARY'!E55</f>
        <v>9405.4718156527888</v>
      </c>
      <c r="G53" s="63">
        <f t="shared" si="3"/>
        <v>9405.4718156527888</v>
      </c>
      <c r="I53" s="351">
        <f t="shared" si="0"/>
        <v>-49</v>
      </c>
    </row>
    <row r="54" spans="1:16">
      <c r="A54" s="341" t="str">
        <f>'ADJ SUMMARY'!A57</f>
        <v>3.18PF</v>
      </c>
      <c r="B54" s="349" t="str">
        <f>'ADJ SUMMARY'!C57</f>
        <v>Pro Forma EIM Expenditures</v>
      </c>
      <c r="C54" s="66"/>
      <c r="D54" s="66"/>
      <c r="E54" s="70"/>
      <c r="F54" s="351">
        <f>'ADJ SUMMARY'!E57</f>
        <v>8724.836860609852</v>
      </c>
      <c r="G54" s="63">
        <f t="shared" ref="G54:G55" si="6">SUM(E54:F54)</f>
        <v>8724.836860609852</v>
      </c>
      <c r="I54" s="351">
        <f t="shared" si="0"/>
        <v>-45</v>
      </c>
    </row>
    <row r="55" spans="1:16">
      <c r="A55" s="341" t="str">
        <f>'ADJ SUMMARY'!A59</f>
        <v>3.19PF</v>
      </c>
      <c r="B55" s="349" t="str">
        <f>'ADJ SUMMARY'!C59</f>
        <v>Pro Forma Colstrip Cap &amp; Amortization</v>
      </c>
      <c r="C55" s="66"/>
      <c r="D55" s="66"/>
      <c r="E55" s="70"/>
      <c r="F55" s="351">
        <f>'ADJ SUMMARY'!E59</f>
        <v>-21448</v>
      </c>
      <c r="G55" s="63">
        <f t="shared" si="6"/>
        <v>-21448</v>
      </c>
      <c r="I55" s="351">
        <f t="shared" si="0"/>
        <v>112</v>
      </c>
    </row>
    <row r="56" spans="1:16">
      <c r="A56" s="341">
        <f>'ADJ SUMMARY'!A61</f>
        <v>3.2</v>
      </c>
      <c r="B56" s="349" t="str">
        <f>'ADJ SUMMARY'!C61</f>
        <v>PF Normalize CS2/Colstrip Major Maint</v>
      </c>
      <c r="C56" s="66"/>
      <c r="D56" s="66"/>
      <c r="E56" s="70"/>
      <c r="F56" s="351">
        <f>'ADJ SUMMARY'!E61</f>
        <v>0</v>
      </c>
      <c r="G56" s="63">
        <f>SUM(E56:F56)</f>
        <v>0</v>
      </c>
      <c r="I56" s="351">
        <f t="shared" si="0"/>
        <v>0</v>
      </c>
    </row>
    <row r="57" spans="1:16">
      <c r="A57" s="341">
        <f>'ADJ SUMMARY'!A62</f>
        <v>3.21</v>
      </c>
      <c r="B57" s="349" t="str">
        <f>'ADJ SUMMARY'!C62</f>
        <v>Restate 2019 ADFIT</v>
      </c>
      <c r="C57" s="66"/>
      <c r="D57" s="66"/>
      <c r="E57" s="478"/>
      <c r="F57" s="700">
        <f>'ADJ SUMMARY'!E62</f>
        <v>-30542</v>
      </c>
      <c r="G57" s="479">
        <f>SUM(E57:F57)</f>
        <v>-30542</v>
      </c>
      <c r="H57" s="479"/>
      <c r="I57" s="700">
        <f t="shared" si="0"/>
        <v>159</v>
      </c>
    </row>
    <row r="58" spans="1:16" hidden="1">
      <c r="A58" s="341">
        <f>'ADJ SUMMARY'!A63</f>
        <v>3.2199999999999998</v>
      </c>
      <c r="B58" s="349" t="str">
        <f>'ADJ SUMMARY'!C63</f>
        <v>Pro Forma Open</v>
      </c>
      <c r="C58" s="66"/>
      <c r="D58" s="66"/>
      <c r="E58" s="478"/>
      <c r="F58" s="700">
        <f>'ADJ SUMMARY'!E63</f>
        <v>0</v>
      </c>
      <c r="G58" s="479">
        <f t="shared" ref="G58" si="7">SUM(E58:F58)</f>
        <v>0</v>
      </c>
      <c r="H58" s="479"/>
      <c r="I58" s="700">
        <f t="shared" ref="I58" si="8">ROUND(F58*$E$61*-$F$68,0)</f>
        <v>0</v>
      </c>
    </row>
    <row r="59" spans="1:16">
      <c r="B59" s="349" t="s">
        <v>594</v>
      </c>
      <c r="C59" s="66"/>
      <c r="D59" s="66"/>
      <c r="E59" s="99">
        <f>SUM(E11:E58)</f>
        <v>1710135</v>
      </c>
      <c r="F59" s="99">
        <f>SUM(F11:F58)</f>
        <v>143882.17166166846</v>
      </c>
      <c r="G59" s="99">
        <f>SUM(G11:G58)</f>
        <v>1854017.1716616685</v>
      </c>
      <c r="H59" s="70"/>
      <c r="I59" s="99"/>
      <c r="K59" s="480">
        <f>G59-'ADJ SUMMARY'!E65</f>
        <v>-6586.8283584574237</v>
      </c>
      <c r="L59" s="367" t="s">
        <v>586</v>
      </c>
      <c r="P59" s="147"/>
    </row>
    <row r="60" spans="1:16" ht="5.25" customHeight="1">
      <c r="C60" s="66"/>
      <c r="D60" s="66"/>
      <c r="E60" s="99"/>
      <c r="F60" s="99"/>
      <c r="G60" s="99"/>
    </row>
    <row r="61" spans="1:16">
      <c r="B61" s="85" t="s">
        <v>165</v>
      </c>
      <c r="C61" s="66"/>
      <c r="D61" s="66"/>
      <c r="E61" s="260">
        <f>'RR SUMMARY'!O12</f>
        <v>2.4799999999999999E-2</v>
      </c>
      <c r="F61" s="260">
        <f>E61-I61</f>
        <v>2.4799999999999999E-2</v>
      </c>
      <c r="G61" s="106"/>
      <c r="I61" s="260"/>
    </row>
    <row r="62" spans="1:16" ht="6" customHeight="1">
      <c r="C62" s="66"/>
      <c r="D62" s="66"/>
      <c r="E62" s="99"/>
      <c r="F62" s="99"/>
      <c r="G62" s="99"/>
    </row>
    <row r="63" spans="1:16">
      <c r="B63" s="85" t="s">
        <v>146</v>
      </c>
      <c r="C63" s="66"/>
      <c r="D63" s="66"/>
      <c r="E63" s="99">
        <f>E59*E61</f>
        <v>42411.347999999998</v>
      </c>
      <c r="F63" s="99">
        <f>F59*F61</f>
        <v>3568.2778572093775</v>
      </c>
      <c r="G63" s="99">
        <f>SUM(E63:F63)</f>
        <v>45979.625857209379</v>
      </c>
      <c r="I63" s="99">
        <f>SUM(I11:I58)</f>
        <v>185.18000000000029</v>
      </c>
    </row>
    <row r="64" spans="1:16">
      <c r="C64" s="66"/>
      <c r="D64" s="66"/>
      <c r="E64" s="99"/>
      <c r="F64" s="99"/>
      <c r="G64" s="99"/>
      <c r="I64" s="99"/>
    </row>
    <row r="65" spans="1:11">
      <c r="B65" s="85" t="s">
        <v>557</v>
      </c>
      <c r="C65" s="66"/>
      <c r="D65" s="66"/>
      <c r="E65" s="557">
        <v>46858</v>
      </c>
      <c r="F65" s="353"/>
      <c r="G65" s="106">
        <f>SUM(E65:F65)</f>
        <v>46858</v>
      </c>
      <c r="I65" s="353"/>
    </row>
    <row r="66" spans="1:11" ht="5.25" customHeight="1">
      <c r="C66" s="66"/>
      <c r="D66" s="66"/>
      <c r="E66" s="99"/>
      <c r="F66" s="99"/>
      <c r="G66" s="99"/>
      <c r="I66" s="99"/>
    </row>
    <row r="67" spans="1:11">
      <c r="B67" s="85" t="s">
        <v>148</v>
      </c>
      <c r="C67" s="66"/>
      <c r="D67" s="66"/>
      <c r="E67" s="99">
        <f>E63-E65</f>
        <v>-4446.6520000000019</v>
      </c>
      <c r="F67" s="99">
        <f>F63-F65</f>
        <v>3568.2778572093775</v>
      </c>
      <c r="G67" s="99">
        <f>SUM(E67:F67)</f>
        <v>-878.37414279062432</v>
      </c>
      <c r="I67" s="99"/>
    </row>
    <row r="68" spans="1:11" ht="18" customHeight="1">
      <c r="B68" s="85" t="s">
        <v>149</v>
      </c>
      <c r="D68" s="66"/>
      <c r="E68" s="355">
        <v>0.21</v>
      </c>
      <c r="F68" s="355">
        <v>0.21</v>
      </c>
      <c r="G68" s="106"/>
      <c r="I68" s="355"/>
    </row>
    <row r="69" spans="1:11" ht="5.25" customHeight="1" thickBot="1">
      <c r="D69" s="66"/>
      <c r="E69" s="99"/>
      <c r="F69" s="99"/>
      <c r="G69" s="99"/>
      <c r="I69" s="99"/>
    </row>
    <row r="70" spans="1:11" ht="13.5" thickBot="1">
      <c r="B70" s="85" t="s">
        <v>150</v>
      </c>
      <c r="D70" s="66"/>
      <c r="E70" s="371">
        <f>ROUND(E67*-E68,0)</f>
        <v>934</v>
      </c>
      <c r="F70" s="132">
        <f>ROUND(F67*-F68,0)</f>
        <v>-749</v>
      </c>
      <c r="G70" s="132">
        <f>SUM(E70:F70)</f>
        <v>185</v>
      </c>
      <c r="I70" s="132">
        <f>I63</f>
        <v>185.18000000000029</v>
      </c>
      <c r="J70" s="370" t="s">
        <v>590</v>
      </c>
      <c r="K70" s="63">
        <f>'ADJ DETAIL-INPUT'!BF53+'ADJ DETAIL-INPUT'!W52-I70</f>
        <v>-34.822552104815372</v>
      </c>
    </row>
    <row r="71" spans="1:11" ht="13.5" thickTop="1">
      <c r="D71" s="66"/>
      <c r="E71" s="372">
        <f>E8</f>
        <v>2.139999999999997</v>
      </c>
      <c r="F71" s="105"/>
      <c r="G71" s="105"/>
      <c r="I71" s="105"/>
    </row>
    <row r="72" spans="1:11" ht="13.5" thickBot="1">
      <c r="E72" s="373" t="s">
        <v>25</v>
      </c>
      <c r="F72" s="354"/>
    </row>
    <row r="73" spans="1:11" hidden="1">
      <c r="A73" s="342" t="s">
        <v>233</v>
      </c>
      <c r="B73" s="350" t="s">
        <v>232</v>
      </c>
    </row>
    <row r="74" spans="1:11" hidden="1">
      <c r="B74" s="348" t="s">
        <v>147</v>
      </c>
    </row>
    <row r="75" spans="1:11" hidden="1">
      <c r="B75" s="85" t="s">
        <v>151</v>
      </c>
      <c r="C75" s="118">
        <v>2430</v>
      </c>
      <c r="H75" s="63" t="s">
        <v>226</v>
      </c>
    </row>
    <row r="76" spans="1:11" hidden="1">
      <c r="B76" s="85" t="s">
        <v>152</v>
      </c>
      <c r="C76" s="117">
        <v>2935</v>
      </c>
      <c r="H76" s="63" t="s">
        <v>226</v>
      </c>
    </row>
    <row r="77" spans="1:11" hidden="1">
      <c r="B77" s="85" t="s">
        <v>153</v>
      </c>
      <c r="C77" s="71">
        <f>C75+C76</f>
        <v>5365</v>
      </c>
    </row>
    <row r="78" spans="1:11" hidden="1">
      <c r="C78" s="70"/>
    </row>
    <row r="79" spans="1:11" hidden="1">
      <c r="C79" s="75"/>
      <c r="D79" s="67"/>
      <c r="E79" s="67" t="s">
        <v>154</v>
      </c>
    </row>
    <row r="80" spans="1:11" hidden="1">
      <c r="C80" s="69" t="s">
        <v>126</v>
      </c>
      <c r="D80" s="69" t="s">
        <v>155</v>
      </c>
      <c r="E80" s="69" t="s">
        <v>31</v>
      </c>
    </row>
    <row r="81" spans="1:6" hidden="1">
      <c r="B81" s="85" t="s">
        <v>156</v>
      </c>
      <c r="C81" s="86" t="e">
        <f>#REF!</f>
        <v>#REF!</v>
      </c>
      <c r="D81" s="87" t="e">
        <f>ROUND(C81/$C$84,4)</f>
        <v>#REF!</v>
      </c>
      <c r="E81" s="86" t="e">
        <f>D81*E84</f>
        <v>#REF!</v>
      </c>
      <c r="F81" s="123"/>
    </row>
    <row r="82" spans="1:6" hidden="1">
      <c r="B82" s="85" t="s">
        <v>157</v>
      </c>
      <c r="C82" s="88" t="e">
        <f>#REF!</f>
        <v>#REF!</v>
      </c>
      <c r="D82" s="87" t="e">
        <f>ROUND(C82/$C$84,4)</f>
        <v>#REF!</v>
      </c>
      <c r="E82" s="88" t="e">
        <f>D82*E84</f>
        <v>#REF!</v>
      </c>
    </row>
    <row r="83" spans="1:6" hidden="1">
      <c r="B83" s="85" t="s">
        <v>158</v>
      </c>
      <c r="C83" s="88" t="e">
        <f>#REF!</f>
        <v>#REF!</v>
      </c>
      <c r="D83" s="87" t="e">
        <f>ROUND(C83/$C$84,4)-0.0001</f>
        <v>#REF!</v>
      </c>
      <c r="E83" s="88" t="e">
        <f>E84*D83</f>
        <v>#REF!</v>
      </c>
    </row>
    <row r="84" spans="1:6" hidden="1">
      <c r="B84" s="85" t="s">
        <v>159</v>
      </c>
      <c r="C84" s="89" t="e">
        <f>C81+C82+C83</f>
        <v>#REF!</v>
      </c>
      <c r="D84" s="90" t="e">
        <f>D81+D82+D83</f>
        <v>#REF!</v>
      </c>
      <c r="E84" s="89">
        <f>C77</f>
        <v>5365</v>
      </c>
    </row>
    <row r="85" spans="1:6" hidden="1">
      <c r="C85" s="91"/>
      <c r="D85" s="91"/>
      <c r="E85" s="91"/>
    </row>
    <row r="86" spans="1:6" hidden="1">
      <c r="B86" s="85" t="s">
        <v>160</v>
      </c>
      <c r="C86" s="86" t="e">
        <f>#REF!</f>
        <v>#REF!</v>
      </c>
      <c r="D86" s="87" t="e">
        <f>C86/C88</f>
        <v>#REF!</v>
      </c>
      <c r="E86" s="86" t="e">
        <f>D86*E88</f>
        <v>#REF!</v>
      </c>
    </row>
    <row r="87" spans="1:6" hidden="1">
      <c r="B87" s="85" t="s">
        <v>161</v>
      </c>
      <c r="C87" s="91" t="e">
        <f>#REF!</f>
        <v>#REF!</v>
      </c>
      <c r="D87" s="87" t="e">
        <f>C87/C88</f>
        <v>#REF!</v>
      </c>
      <c r="E87" s="91" t="e">
        <f>D87*E88</f>
        <v>#REF!</v>
      </c>
    </row>
    <row r="88" spans="1:6" hidden="1">
      <c r="B88" s="85" t="s">
        <v>159</v>
      </c>
      <c r="C88" s="89" t="e">
        <f>C86+C87</f>
        <v>#REF!</v>
      </c>
      <c r="D88" s="90" t="e">
        <f>D86+D87</f>
        <v>#REF!</v>
      </c>
      <c r="E88" s="89" t="e">
        <f>E81</f>
        <v>#REF!</v>
      </c>
    </row>
    <row r="89" spans="1:6" hidden="1">
      <c r="C89" s="91"/>
      <c r="D89" s="91"/>
      <c r="E89" s="91"/>
    </row>
    <row r="90" spans="1:6" hidden="1">
      <c r="B90" s="85" t="s">
        <v>162</v>
      </c>
      <c r="C90" s="86" t="e">
        <f>#REF!</f>
        <v>#REF!</v>
      </c>
      <c r="D90" s="92" t="e">
        <f>C90/C92</f>
        <v>#REF!</v>
      </c>
      <c r="E90" s="86" t="e">
        <f>E92*D90</f>
        <v>#REF!</v>
      </c>
    </row>
    <row r="91" spans="1:6" hidden="1">
      <c r="B91" s="85" t="s">
        <v>163</v>
      </c>
      <c r="C91" s="91" t="e">
        <f>#REF!</f>
        <v>#REF!</v>
      </c>
      <c r="D91" s="93" t="e">
        <f>C91/C92</f>
        <v>#REF!</v>
      </c>
      <c r="E91" s="91" t="e">
        <f>E92*D91</f>
        <v>#REF!</v>
      </c>
    </row>
    <row r="92" spans="1:6" hidden="1">
      <c r="B92" s="85" t="s">
        <v>159</v>
      </c>
      <c r="C92" s="89" t="e">
        <f>SUM(C90:C91)</f>
        <v>#REF!</v>
      </c>
      <c r="D92" s="94" t="e">
        <f>SUM(D90:D91)</f>
        <v>#REF!</v>
      </c>
      <c r="E92" s="89" t="e">
        <f>E82</f>
        <v>#REF!</v>
      </c>
    </row>
    <row r="93" spans="1:6" hidden="1">
      <c r="A93" s="343" t="str">
        <f>A1</f>
        <v>AVISTA UTILITIES</v>
      </c>
      <c r="C93" s="61"/>
      <c r="D93" s="62"/>
      <c r="E93" s="61"/>
      <c r="F93" s="62"/>
    </row>
    <row r="94" spans="1:6" hidden="1">
      <c r="A94" s="343" t="str">
        <f>A2</f>
        <v>Restate Debt Interest</v>
      </c>
      <c r="C94" s="61"/>
      <c r="D94" s="62"/>
      <c r="E94" s="61"/>
      <c r="F94" s="62"/>
    </row>
    <row r="95" spans="1:6" hidden="1">
      <c r="A95" s="343" t="s">
        <v>166</v>
      </c>
      <c r="C95" s="61"/>
      <c r="D95" s="62"/>
      <c r="E95" s="61"/>
      <c r="F95" s="62"/>
    </row>
    <row r="96" spans="1:6" hidden="1">
      <c r="A96" s="344" t="str">
        <f>A4</f>
        <v>TWELVE MONTHS ENDED DECEMBER 31, 2019</v>
      </c>
      <c r="C96" s="64"/>
      <c r="D96" s="62"/>
      <c r="E96" s="64"/>
      <c r="F96" s="62"/>
    </row>
    <row r="97" spans="1:6" hidden="1">
      <c r="A97" s="345" t="s">
        <v>143</v>
      </c>
      <c r="C97" s="61"/>
      <c r="D97" s="62"/>
      <c r="E97" s="62"/>
      <c r="F97" s="62"/>
    </row>
    <row r="98" spans="1:6" hidden="1">
      <c r="C98" s="66"/>
      <c r="D98" s="66"/>
      <c r="E98" s="68"/>
      <c r="F98" s="67" t="s">
        <v>24</v>
      </c>
    </row>
    <row r="99" spans="1:6" hidden="1">
      <c r="B99" s="348" t="s">
        <v>144</v>
      </c>
      <c r="C99" s="66"/>
      <c r="D99" s="66"/>
      <c r="E99" s="68"/>
      <c r="F99" s="69" t="s">
        <v>145</v>
      </c>
    </row>
    <row r="100" spans="1:6" hidden="1">
      <c r="A100" s="341" t="e">
        <f>'ADJ SUMMARY'!#REF!</f>
        <v>#REF!</v>
      </c>
      <c r="B100" s="85" t="e">
        <f>'ADJ SUMMARY'!#REF!</f>
        <v>#REF!</v>
      </c>
      <c r="C100" s="66"/>
      <c r="D100" s="66"/>
      <c r="E100" s="70"/>
      <c r="F100" s="121" t="e">
        <f>'ADJ SUMMARY'!#REF!</f>
        <v>#REF!</v>
      </c>
    </row>
    <row r="101" spans="1:6" hidden="1">
      <c r="A101" s="341" t="e">
        <f>'ADJ SUMMARY'!#REF!</f>
        <v>#REF!</v>
      </c>
      <c r="B101" s="85" t="e">
        <f>'ADJ SUMMARY'!#REF!</f>
        <v>#REF!</v>
      </c>
      <c r="C101" s="66"/>
      <c r="D101" s="66"/>
      <c r="E101" s="70"/>
      <c r="F101" s="121" t="e">
        <f>'ADJ SUMMARY'!#REF!</f>
        <v>#REF!</v>
      </c>
    </row>
    <row r="102" spans="1:6" hidden="1">
      <c r="A102" s="341" t="e">
        <f>'ADJ SUMMARY'!#REF!</f>
        <v>#REF!</v>
      </c>
      <c r="B102" s="85" t="e">
        <f>'ADJ SUMMARY'!#REF!</f>
        <v>#REF!</v>
      </c>
      <c r="C102" s="66"/>
      <c r="D102" s="66"/>
      <c r="E102" s="70"/>
      <c r="F102" s="121" t="e">
        <f>'ADJ SUMMARY'!#REF!</f>
        <v>#REF!</v>
      </c>
    </row>
    <row r="103" spans="1:6" hidden="1">
      <c r="A103" s="341" t="e">
        <f>'ADJ SUMMARY'!#REF!</f>
        <v>#REF!</v>
      </c>
      <c r="B103" s="85" t="e">
        <f>'ADJ SUMMARY'!#REF!</f>
        <v>#REF!</v>
      </c>
      <c r="C103" s="66"/>
      <c r="D103" s="66"/>
      <c r="E103" s="70"/>
      <c r="F103" s="121" t="e">
        <f>'ADJ SUMMARY'!#REF!</f>
        <v>#REF!</v>
      </c>
    </row>
    <row r="104" spans="1:6" hidden="1">
      <c r="A104" s="341" t="e">
        <f>'ADJ SUMMARY'!#REF!</f>
        <v>#REF!</v>
      </c>
      <c r="B104" s="85" t="e">
        <f>'ADJ SUMMARY'!#REF!</f>
        <v>#REF!</v>
      </c>
      <c r="C104" s="66"/>
      <c r="D104" s="66"/>
      <c r="E104" s="70"/>
      <c r="F104" s="121" t="e">
        <f>'ADJ SUMMARY'!#REF!</f>
        <v>#REF!</v>
      </c>
    </row>
    <row r="105" spans="1:6" hidden="1">
      <c r="A105" s="341" t="e">
        <f>'ADJ SUMMARY'!#REF!</f>
        <v>#REF!</v>
      </c>
      <c r="B105" s="85" t="e">
        <f>'ADJ SUMMARY'!#REF!</f>
        <v>#REF!</v>
      </c>
      <c r="C105" s="66"/>
      <c r="D105" s="66"/>
      <c r="E105" s="70"/>
      <c r="F105" s="121" t="e">
        <f>'ADJ SUMMARY'!#REF!</f>
        <v>#REF!</v>
      </c>
    </row>
    <row r="106" spans="1:6" hidden="1">
      <c r="A106" s="341" t="e">
        <f>'ADJ SUMMARY'!#REF!</f>
        <v>#REF!</v>
      </c>
      <c r="B106" s="85" t="e">
        <f>'ADJ SUMMARY'!#REF!</f>
        <v>#REF!</v>
      </c>
      <c r="C106" s="66"/>
      <c r="D106" s="66"/>
      <c r="E106" s="70"/>
      <c r="F106" s="121" t="e">
        <f>'ADJ SUMMARY'!#REF!</f>
        <v>#REF!</v>
      </c>
    </row>
    <row r="107" spans="1:6" hidden="1">
      <c r="A107" s="341" t="e">
        <f>'ADJ SUMMARY'!#REF!</f>
        <v>#REF!</v>
      </c>
      <c r="B107" s="85" t="e">
        <f>'ADJ SUMMARY'!#REF!</f>
        <v>#REF!</v>
      </c>
      <c r="C107" s="66"/>
      <c r="D107" s="66"/>
      <c r="E107" s="70"/>
      <c r="F107" s="121" t="e">
        <f>'ADJ SUMMARY'!#REF!</f>
        <v>#REF!</v>
      </c>
    </row>
    <row r="108" spans="1:6" hidden="1">
      <c r="A108" s="341" t="e">
        <f>'ADJ SUMMARY'!#REF!</f>
        <v>#REF!</v>
      </c>
      <c r="B108" s="85" t="e">
        <f>'ADJ SUMMARY'!#REF!</f>
        <v>#REF!</v>
      </c>
      <c r="C108" s="66"/>
      <c r="D108" s="66"/>
      <c r="E108" s="70"/>
      <c r="F108" s="121" t="e">
        <f>'ADJ SUMMARY'!#REF!</f>
        <v>#REF!</v>
      </c>
    </row>
    <row r="109" spans="1:6" hidden="1">
      <c r="A109" s="341" t="e">
        <f>'ADJ SUMMARY'!#REF!</f>
        <v>#REF!</v>
      </c>
      <c r="B109" s="85" t="e">
        <f>'ADJ SUMMARY'!#REF!</f>
        <v>#REF!</v>
      </c>
      <c r="C109" s="66"/>
      <c r="D109" s="66"/>
      <c r="E109" s="70"/>
      <c r="F109" s="121" t="e">
        <f>'ADJ SUMMARY'!#REF!</f>
        <v>#REF!</v>
      </c>
    </row>
    <row r="110" spans="1:6" hidden="1">
      <c r="A110" s="341" t="e">
        <f>'ADJ SUMMARY'!#REF!</f>
        <v>#REF!</v>
      </c>
      <c r="B110" s="85" t="e">
        <f>'ADJ SUMMARY'!#REF!</f>
        <v>#REF!</v>
      </c>
      <c r="C110" s="66"/>
      <c r="D110" s="66"/>
      <c r="E110" s="70"/>
      <c r="F110" s="121" t="e">
        <f>'ADJ SUMMARY'!#REF!</f>
        <v>#REF!</v>
      </c>
    </row>
    <row r="111" spans="1:6" hidden="1">
      <c r="A111" s="341" t="e">
        <f>'ADJ SUMMARY'!#REF!</f>
        <v>#REF!</v>
      </c>
      <c r="B111" s="85" t="e">
        <f>'ADJ SUMMARY'!#REF!</f>
        <v>#REF!</v>
      </c>
      <c r="C111" s="66"/>
      <c r="D111" s="66"/>
      <c r="E111" s="70"/>
      <c r="F111" s="121" t="e">
        <f>'ADJ SUMMARY'!#REF!</f>
        <v>#REF!</v>
      </c>
    </row>
    <row r="112" spans="1:6" hidden="1">
      <c r="A112" s="341" t="e">
        <f>'ADJ SUMMARY'!#REF!</f>
        <v>#REF!</v>
      </c>
      <c r="B112" s="85" t="e">
        <f>'ADJ SUMMARY'!#REF!</f>
        <v>#REF!</v>
      </c>
      <c r="C112" s="66"/>
      <c r="D112" s="66"/>
      <c r="E112" s="70"/>
      <c r="F112" s="121" t="e">
        <f>'ADJ SUMMARY'!#REF!</f>
        <v>#REF!</v>
      </c>
    </row>
    <row r="113" spans="1:6" hidden="1">
      <c r="A113" s="341" t="e">
        <f>'ADJ SUMMARY'!#REF!</f>
        <v>#REF!</v>
      </c>
      <c r="B113" s="85" t="e">
        <f>'ADJ SUMMARY'!#REF!</f>
        <v>#REF!</v>
      </c>
      <c r="C113" s="66"/>
      <c r="D113" s="66"/>
      <c r="E113" s="70"/>
      <c r="F113" s="121" t="e">
        <f>'ADJ SUMMARY'!#REF!</f>
        <v>#REF!</v>
      </c>
    </row>
    <row r="114" spans="1:6" hidden="1">
      <c r="A114" s="341" t="e">
        <f>'ADJ SUMMARY'!#REF!</f>
        <v>#REF!</v>
      </c>
      <c r="B114" s="85" t="e">
        <f>'ADJ SUMMARY'!#REF!</f>
        <v>#REF!</v>
      </c>
      <c r="C114" s="66"/>
      <c r="D114" s="66"/>
      <c r="E114" s="70"/>
      <c r="F114" s="121" t="e">
        <f>'ADJ SUMMARY'!#REF!</f>
        <v>#REF!</v>
      </c>
    </row>
    <row r="115" spans="1:6" hidden="1">
      <c r="A115" s="341" t="e">
        <f>'ADJ SUMMARY'!#REF!</f>
        <v>#REF!</v>
      </c>
      <c r="B115" s="85" t="e">
        <f>'ADJ SUMMARY'!#REF!</f>
        <v>#REF!</v>
      </c>
      <c r="C115" s="66"/>
      <c r="D115" s="66"/>
      <c r="E115" s="70"/>
      <c r="F115" s="121" t="e">
        <f>'ADJ SUMMARY'!#REF!</f>
        <v>#REF!</v>
      </c>
    </row>
    <row r="116" spans="1:6" hidden="1">
      <c r="A116" s="341" t="e">
        <f>'ADJ SUMMARY'!#REF!</f>
        <v>#REF!</v>
      </c>
      <c r="B116" s="85" t="e">
        <f>'ADJ SUMMARY'!#REF!</f>
        <v>#REF!</v>
      </c>
      <c r="C116" s="66"/>
      <c r="D116" s="66"/>
      <c r="E116" s="70"/>
      <c r="F116" s="121" t="e">
        <f>'ADJ SUMMARY'!#REF!</f>
        <v>#REF!</v>
      </c>
    </row>
    <row r="117" spans="1:6" hidden="1">
      <c r="A117" s="341" t="e">
        <f>'ADJ SUMMARY'!#REF!</f>
        <v>#REF!</v>
      </c>
      <c r="B117" s="85" t="e">
        <f>'ADJ SUMMARY'!#REF!</f>
        <v>#REF!</v>
      </c>
      <c r="C117" s="66"/>
      <c r="D117" s="66"/>
      <c r="E117" s="70"/>
      <c r="F117" s="121" t="e">
        <f>'ADJ SUMMARY'!#REF!</f>
        <v>#REF!</v>
      </c>
    </row>
    <row r="118" spans="1:6" hidden="1">
      <c r="A118" s="341" t="e">
        <f>'ADJ SUMMARY'!#REF!</f>
        <v>#REF!</v>
      </c>
      <c r="B118" s="85" t="e">
        <f>'ADJ SUMMARY'!#REF!</f>
        <v>#REF!</v>
      </c>
      <c r="C118" s="66"/>
      <c r="D118" s="66"/>
      <c r="E118" s="70"/>
      <c r="F118" s="121" t="e">
        <f>'ADJ SUMMARY'!#REF!</f>
        <v>#REF!</v>
      </c>
    </row>
    <row r="119" spans="1:6" hidden="1">
      <c r="A119" s="341" t="e">
        <f>'ADJ SUMMARY'!#REF!</f>
        <v>#REF!</v>
      </c>
      <c r="B119" s="85" t="e">
        <f>'ADJ SUMMARY'!#REF!</f>
        <v>#REF!</v>
      </c>
      <c r="C119" s="66"/>
      <c r="D119" s="66"/>
      <c r="E119" s="70"/>
      <c r="F119" s="121" t="e">
        <f>'ADJ SUMMARY'!#REF!</f>
        <v>#REF!</v>
      </c>
    </row>
    <row r="120" spans="1:6" hidden="1">
      <c r="A120" s="341" t="e">
        <f>'ADJ SUMMARY'!#REF!</f>
        <v>#REF!</v>
      </c>
      <c r="B120" s="85" t="e">
        <f>'ADJ SUMMARY'!#REF!</f>
        <v>#REF!</v>
      </c>
      <c r="C120" s="66"/>
      <c r="D120" s="66"/>
      <c r="E120" s="70"/>
      <c r="F120" s="121" t="e">
        <f>'ADJ SUMMARY'!#REF!</f>
        <v>#REF!</v>
      </c>
    </row>
    <row r="121" spans="1:6" ht="5.25" hidden="1" customHeight="1">
      <c r="C121" s="66"/>
      <c r="D121" s="66"/>
      <c r="E121" s="70"/>
      <c r="F121" s="121"/>
    </row>
    <row r="122" spans="1:6" ht="13.5" hidden="1" customHeight="1">
      <c r="A122" s="341" t="e">
        <f>'ADJ SUMMARY'!#REF!</f>
        <v>#REF!</v>
      </c>
      <c r="B122" s="85" t="e">
        <f>'ADJ SUMMARY'!#REF!</f>
        <v>#REF!</v>
      </c>
      <c r="C122" s="66"/>
      <c r="D122" s="66"/>
      <c r="E122" s="70"/>
      <c r="F122" s="121" t="e">
        <f>'ADJ SUMMARY'!#REF!</f>
        <v>#REF!</v>
      </c>
    </row>
    <row r="123" spans="1:6" hidden="1">
      <c r="A123" s="341" t="e">
        <f>'ADJ SUMMARY'!#REF!</f>
        <v>#REF!</v>
      </c>
      <c r="B123" s="85" t="e">
        <f>'ADJ SUMMARY'!#REF!</f>
        <v>#REF!</v>
      </c>
      <c r="C123" s="66"/>
      <c r="D123" s="66"/>
      <c r="E123" s="70"/>
      <c r="F123" s="121" t="e">
        <f>'ADJ SUMMARY'!#REF!</f>
        <v>#REF!</v>
      </c>
    </row>
    <row r="124" spans="1:6" hidden="1">
      <c r="A124" s="341" t="e">
        <f>'ADJ SUMMARY'!#REF!</f>
        <v>#REF!</v>
      </c>
      <c r="B124" s="85" t="e">
        <f>'ADJ SUMMARY'!#REF!</f>
        <v>#REF!</v>
      </c>
      <c r="C124" s="66"/>
      <c r="D124" s="66"/>
      <c r="E124" s="70"/>
      <c r="F124" s="121" t="e">
        <f>'ADJ SUMMARY'!#REF!</f>
        <v>#REF!</v>
      </c>
    </row>
    <row r="125" spans="1:6" hidden="1">
      <c r="A125" s="341" t="e">
        <f>'ADJ SUMMARY'!#REF!</f>
        <v>#REF!</v>
      </c>
      <c r="B125" s="85" t="e">
        <f>'ADJ SUMMARY'!#REF!</f>
        <v>#REF!</v>
      </c>
      <c r="C125" s="66"/>
      <c r="D125" s="66"/>
      <c r="E125" s="70"/>
      <c r="F125" s="121" t="e">
        <f>'ADJ SUMMARY'!#REF!</f>
        <v>#REF!</v>
      </c>
    </row>
    <row r="126" spans="1:6" hidden="1">
      <c r="A126" s="341" t="e">
        <f>'ADJ SUMMARY'!#REF!</f>
        <v>#REF!</v>
      </c>
      <c r="B126" s="85" t="e">
        <f>'ADJ SUMMARY'!#REF!</f>
        <v>#REF!</v>
      </c>
      <c r="C126" s="66"/>
      <c r="D126" s="66"/>
      <c r="E126" s="70"/>
      <c r="F126" s="121" t="e">
        <f>'ADJ SUMMARY'!#REF!</f>
        <v>#REF!</v>
      </c>
    </row>
    <row r="127" spans="1:6" hidden="1">
      <c r="A127" s="341" t="e">
        <f>'ADJ SUMMARY'!#REF!</f>
        <v>#REF!</v>
      </c>
      <c r="B127" s="85" t="e">
        <f>'ADJ SUMMARY'!#REF!</f>
        <v>#REF!</v>
      </c>
      <c r="C127" s="66"/>
      <c r="D127" s="66"/>
      <c r="E127" s="70"/>
      <c r="F127" s="121" t="e">
        <f>'ADJ SUMMARY'!#REF!</f>
        <v>#REF!</v>
      </c>
    </row>
    <row r="128" spans="1:6" hidden="1">
      <c r="A128" s="341" t="e">
        <f>'ADJ SUMMARY'!#REF!</f>
        <v>#REF!</v>
      </c>
      <c r="B128" s="85" t="e">
        <f>'ADJ SUMMARY'!#REF!</f>
        <v>#REF!</v>
      </c>
      <c r="C128" s="66"/>
      <c r="D128" s="66"/>
      <c r="E128" s="70"/>
      <c r="F128" s="121" t="e">
        <f>'ADJ SUMMARY'!#REF!</f>
        <v>#REF!</v>
      </c>
    </row>
    <row r="129" spans="1:9" hidden="1">
      <c r="A129" s="341" t="e">
        <f>'ADJ SUMMARY'!#REF!</f>
        <v>#REF!</v>
      </c>
      <c r="B129" s="85" t="e">
        <f>'ADJ SUMMARY'!#REF!</f>
        <v>#REF!</v>
      </c>
      <c r="C129" s="66"/>
      <c r="D129" s="66"/>
      <c r="E129" s="70"/>
      <c r="F129" s="121" t="e">
        <f>'ADJ SUMMARY'!#REF!</f>
        <v>#REF!</v>
      </c>
    </row>
    <row r="130" spans="1:9" hidden="1">
      <c r="A130" s="341" t="e">
        <f>'ADJ SUMMARY'!#REF!</f>
        <v>#REF!</v>
      </c>
      <c r="B130" s="85" t="e">
        <f>'ADJ SUMMARY'!#REF!</f>
        <v>#REF!</v>
      </c>
      <c r="C130" s="66"/>
      <c r="D130" s="66"/>
      <c r="E130" s="70"/>
      <c r="F130" s="121" t="e">
        <f>'ADJ SUMMARY'!#REF!</f>
        <v>#REF!</v>
      </c>
    </row>
    <row r="131" spans="1:9" hidden="1">
      <c r="A131" s="341" t="e">
        <f>'ADJ SUMMARY'!#REF!</f>
        <v>#REF!</v>
      </c>
      <c r="B131" s="85" t="e">
        <f>'ADJ SUMMARY'!#REF!</f>
        <v>#REF!</v>
      </c>
      <c r="C131" s="66"/>
      <c r="D131" s="66"/>
      <c r="E131" s="70"/>
      <c r="F131" s="121" t="e">
        <f>'ADJ SUMMARY'!#REF!</f>
        <v>#REF!</v>
      </c>
    </row>
    <row r="132" spans="1:9" hidden="1">
      <c r="A132" s="341" t="e">
        <f>'ADJ SUMMARY'!#REF!</f>
        <v>#REF!</v>
      </c>
      <c r="B132" s="85" t="e">
        <f>'ADJ SUMMARY'!#REF!</f>
        <v>#REF!</v>
      </c>
      <c r="C132" s="66"/>
      <c r="D132" s="66"/>
      <c r="E132" s="70"/>
      <c r="F132" s="121" t="e">
        <f>'ADJ SUMMARY'!#REF!</f>
        <v>#REF!</v>
      </c>
    </row>
    <row r="133" spans="1:9" hidden="1">
      <c r="A133" s="341" t="e">
        <f>'ADJ SUMMARY'!#REF!</f>
        <v>#REF!</v>
      </c>
      <c r="B133" s="85" t="e">
        <f>'ADJ SUMMARY'!#REF!</f>
        <v>#REF!</v>
      </c>
      <c r="C133" s="66"/>
      <c r="D133" s="66"/>
      <c r="E133" s="70"/>
      <c r="F133" s="121" t="e">
        <f>'ADJ SUMMARY'!#REF!</f>
        <v>#REF!</v>
      </c>
    </row>
    <row r="134" spans="1:9" hidden="1">
      <c r="A134" s="341" t="e">
        <f>'ADJ SUMMARY'!#REF!</f>
        <v>#REF!</v>
      </c>
      <c r="B134" s="85" t="e">
        <f>'ADJ SUMMARY'!#REF!</f>
        <v>#REF!</v>
      </c>
      <c r="C134" s="66"/>
      <c r="D134" s="66"/>
      <c r="E134" s="70"/>
      <c r="F134" s="121" t="e">
        <f>'ADJ SUMMARY'!#REF!</f>
        <v>#REF!</v>
      </c>
    </row>
    <row r="135" spans="1:9" hidden="1">
      <c r="A135" s="341" t="e">
        <f>'ADJ SUMMARY'!#REF!</f>
        <v>#REF!</v>
      </c>
      <c r="B135" s="85" t="e">
        <f>'ADJ SUMMARY'!#REF!</f>
        <v>#REF!</v>
      </c>
      <c r="C135" s="66"/>
      <c r="D135" s="66"/>
      <c r="E135" s="70"/>
      <c r="F135" s="121" t="e">
        <f>'ADJ SUMMARY'!#REF!</f>
        <v>#REF!</v>
      </c>
    </row>
    <row r="136" spans="1:9" ht="13.5" hidden="1" customHeight="1">
      <c r="A136" s="341" t="e">
        <f>'ADJ SUMMARY'!#REF!</f>
        <v>#REF!</v>
      </c>
      <c r="B136" s="85" t="e">
        <f>'ADJ SUMMARY'!#REF!</f>
        <v>#REF!</v>
      </c>
      <c r="C136" s="66"/>
      <c r="D136" s="66"/>
      <c r="E136" s="70"/>
      <c r="F136" s="121" t="e">
        <f>'ADJ SUMMARY'!#REF!</f>
        <v>#REF!</v>
      </c>
    </row>
    <row r="137" spans="1:9" ht="0.75" hidden="1" customHeight="1">
      <c r="A137" s="341" t="e">
        <f>'ADJ SUMMARY'!#REF!</f>
        <v>#REF!</v>
      </c>
      <c r="B137" s="85" t="e">
        <f>'ADJ SUMMARY'!#REF!</f>
        <v>#REF!</v>
      </c>
      <c r="C137" s="66"/>
      <c r="D137" s="66"/>
      <c r="E137" s="70"/>
      <c r="F137" s="121" t="e">
        <f>'ADJ SUMMARY'!#REF!</f>
        <v>#REF!</v>
      </c>
    </row>
    <row r="138" spans="1:9" ht="13.5" hidden="1" customHeight="1">
      <c r="B138" s="85" t="s">
        <v>183</v>
      </c>
      <c r="C138" s="66"/>
      <c r="D138" s="66"/>
      <c r="E138" s="70"/>
      <c r="F138" s="71" t="e">
        <f>SUM(F100:F137)</f>
        <v>#REF!</v>
      </c>
    </row>
    <row r="139" spans="1:9" hidden="1">
      <c r="C139" s="66"/>
      <c r="D139" s="66"/>
      <c r="E139" s="66"/>
      <c r="F139" s="63"/>
      <c r="G139" s="133"/>
    </row>
    <row r="140" spans="1:9" hidden="1">
      <c r="B140" s="85" t="str">
        <f>B61</f>
        <v>Weighted Average Cost of Debt</v>
      </c>
      <c r="C140" s="82"/>
      <c r="D140" s="82"/>
      <c r="E140" s="83"/>
      <c r="F140" s="157" t="e">
        <f>'RR SUMMARY'!#REF!</f>
        <v>#REF!</v>
      </c>
      <c r="H140" s="158" t="s">
        <v>230</v>
      </c>
      <c r="I140" s="91"/>
    </row>
    <row r="141" spans="1:9" hidden="1">
      <c r="C141" s="66"/>
      <c r="D141" s="66"/>
      <c r="F141" s="63"/>
    </row>
    <row r="142" spans="1:9" hidden="1">
      <c r="B142" s="85" t="s">
        <v>146</v>
      </c>
      <c r="C142" s="66"/>
      <c r="D142" s="66"/>
      <c r="E142" s="70"/>
      <c r="F142" s="70" t="e">
        <f>F138*F140</f>
        <v>#REF!</v>
      </c>
    </row>
    <row r="143" spans="1:9" hidden="1">
      <c r="C143" s="66"/>
      <c r="D143" s="66"/>
      <c r="E143" s="66"/>
      <c r="F143" s="63"/>
    </row>
    <row r="144" spans="1:9" hidden="1">
      <c r="B144" s="85" t="s">
        <v>234</v>
      </c>
      <c r="C144" s="66"/>
      <c r="D144" s="66"/>
      <c r="F144" s="140">
        <v>21469</v>
      </c>
      <c r="H144" s="142" t="s">
        <v>237</v>
      </c>
    </row>
    <row r="145" spans="1:7" hidden="1">
      <c r="C145" s="66"/>
      <c r="D145" s="66"/>
      <c r="E145" s="66"/>
      <c r="F145" s="63"/>
    </row>
    <row r="146" spans="1:7" hidden="1">
      <c r="B146" s="85" t="s">
        <v>148</v>
      </c>
      <c r="C146" s="66"/>
      <c r="D146" s="66"/>
      <c r="E146" s="70"/>
      <c r="F146" s="70" t="e">
        <f>F142-F144</f>
        <v>#REF!</v>
      </c>
    </row>
    <row r="147" spans="1:7" hidden="1">
      <c r="B147" s="85" t="s">
        <v>149</v>
      </c>
      <c r="D147" s="66"/>
      <c r="E147" s="73"/>
      <c r="F147" s="74">
        <v>0.35</v>
      </c>
    </row>
    <row r="148" spans="1:7" hidden="1">
      <c r="D148" s="66"/>
      <c r="E148" s="66"/>
      <c r="F148" s="63"/>
    </row>
    <row r="149" spans="1:7" hidden="1">
      <c r="B149" s="85" t="s">
        <v>150</v>
      </c>
      <c r="D149" s="66"/>
      <c r="E149" s="70"/>
      <c r="F149" s="70" t="e">
        <f>F146*-F147</f>
        <v>#REF!</v>
      </c>
      <c r="G149" s="70"/>
    </row>
    <row r="150" spans="1:7" ht="13.5" hidden="1" thickTop="1">
      <c r="D150" s="66"/>
      <c r="E150" s="70"/>
      <c r="F150" s="84"/>
    </row>
    <row r="151" spans="1:7" hidden="1">
      <c r="A151" s="346"/>
      <c r="F151" s="63"/>
    </row>
    <row r="152" spans="1:7" hidden="1">
      <c r="A152" s="346"/>
      <c r="B152" s="348" t="s">
        <v>147</v>
      </c>
      <c r="F152" s="63"/>
    </row>
    <row r="153" spans="1:7" hidden="1">
      <c r="A153" s="346"/>
      <c r="B153" s="85" t="s">
        <v>151</v>
      </c>
      <c r="C153" s="70">
        <f>C75</f>
        <v>2430</v>
      </c>
      <c r="F153" s="63"/>
    </row>
    <row r="154" spans="1:7" hidden="1">
      <c r="A154" s="346"/>
      <c r="B154" s="85" t="s">
        <v>152</v>
      </c>
      <c r="C154" s="63">
        <f>C76</f>
        <v>2935</v>
      </c>
      <c r="F154" s="63"/>
    </row>
    <row r="155" spans="1:7" hidden="1">
      <c r="A155" s="346"/>
      <c r="B155" s="85" t="s">
        <v>153</v>
      </c>
      <c r="C155" s="71">
        <f>C153+C154</f>
        <v>5365</v>
      </c>
      <c r="F155" s="63"/>
    </row>
    <row r="156" spans="1:7" hidden="1">
      <c r="A156" s="346"/>
      <c r="C156" s="70"/>
      <c r="F156" s="63"/>
    </row>
    <row r="157" spans="1:7" hidden="1">
      <c r="A157" s="346"/>
      <c r="C157" s="75"/>
      <c r="D157" s="67"/>
      <c r="E157" s="67" t="s">
        <v>154</v>
      </c>
      <c r="F157" s="63"/>
    </row>
    <row r="158" spans="1:7" hidden="1">
      <c r="A158" s="346"/>
      <c r="C158" s="69" t="s">
        <v>126</v>
      </c>
      <c r="D158" s="69" t="s">
        <v>155</v>
      </c>
      <c r="E158" s="69" t="s">
        <v>31</v>
      </c>
      <c r="F158" s="63"/>
    </row>
    <row r="159" spans="1:7" hidden="1">
      <c r="A159" s="346"/>
      <c r="B159" s="85" t="s">
        <v>156</v>
      </c>
      <c r="C159" s="70" t="e">
        <f>$C$81</f>
        <v>#REF!</v>
      </c>
      <c r="D159" s="72" t="e">
        <f>C159/C162</f>
        <v>#REF!</v>
      </c>
      <c r="E159" s="70" t="e">
        <f>D159*E162</f>
        <v>#REF!</v>
      </c>
      <c r="F159" s="63"/>
    </row>
    <row r="160" spans="1:7" hidden="1">
      <c r="A160" s="346"/>
      <c r="B160" s="85" t="s">
        <v>157</v>
      </c>
      <c r="C160" s="63" t="e">
        <f>$C$82</f>
        <v>#REF!</v>
      </c>
      <c r="D160" s="81" t="e">
        <f>C160/C162</f>
        <v>#REF!</v>
      </c>
      <c r="E160" s="76" t="e">
        <f>D160*E162</f>
        <v>#REF!</v>
      </c>
      <c r="F160" s="63"/>
    </row>
    <row r="161" spans="1:6" hidden="1">
      <c r="A161" s="346"/>
      <c r="B161" s="85" t="s">
        <v>158</v>
      </c>
      <c r="C161" s="63" t="e">
        <f>$C$83</f>
        <v>#REF!</v>
      </c>
      <c r="D161" s="81" t="e">
        <f>C161/C162</f>
        <v>#REF!</v>
      </c>
      <c r="E161" s="76" t="e">
        <f>E162*D161</f>
        <v>#REF!</v>
      </c>
      <c r="F161" s="63"/>
    </row>
    <row r="162" spans="1:6" hidden="1">
      <c r="A162" s="346"/>
      <c r="B162" s="85" t="s">
        <v>159</v>
      </c>
      <c r="C162" s="71" t="e">
        <f>C159+C160+C161</f>
        <v>#REF!</v>
      </c>
      <c r="D162" s="77" t="e">
        <f>D159+D160+D161</f>
        <v>#REF!</v>
      </c>
      <c r="E162" s="71">
        <f>C155</f>
        <v>5365</v>
      </c>
      <c r="F162" s="63"/>
    </row>
    <row r="163" spans="1:6" hidden="1">
      <c r="A163" s="346"/>
      <c r="F163" s="63"/>
    </row>
    <row r="164" spans="1:6" hidden="1">
      <c r="A164" s="346"/>
      <c r="B164" s="85" t="s">
        <v>160</v>
      </c>
      <c r="C164" s="70" t="e">
        <f>$C$86</f>
        <v>#REF!</v>
      </c>
      <c r="D164" s="72" t="e">
        <f>C164/C166</f>
        <v>#REF!</v>
      </c>
      <c r="E164" s="70" t="e">
        <f>D164*E166</f>
        <v>#REF!</v>
      </c>
      <c r="F164" s="63"/>
    </row>
    <row r="165" spans="1:6" hidden="1">
      <c r="A165" s="346"/>
      <c r="B165" s="85" t="s">
        <v>161</v>
      </c>
      <c r="C165" s="63" t="e">
        <f>$C$87</f>
        <v>#REF!</v>
      </c>
      <c r="D165" s="72" t="e">
        <f>C165/C166</f>
        <v>#REF!</v>
      </c>
      <c r="E165" s="63" t="e">
        <f>D165*E166</f>
        <v>#REF!</v>
      </c>
      <c r="F165" s="63"/>
    </row>
    <row r="166" spans="1:6" hidden="1">
      <c r="A166" s="346"/>
      <c r="B166" s="85" t="s">
        <v>159</v>
      </c>
      <c r="C166" s="71" t="e">
        <f>C164+C165</f>
        <v>#REF!</v>
      </c>
      <c r="D166" s="77" t="e">
        <f>D164+D165</f>
        <v>#REF!</v>
      </c>
      <c r="E166" s="71" t="e">
        <f>E159</f>
        <v>#REF!</v>
      </c>
      <c r="F166" s="63"/>
    </row>
    <row r="167" spans="1:6" hidden="1">
      <c r="A167" s="346"/>
      <c r="F167" s="63"/>
    </row>
    <row r="168" spans="1:6" hidden="1">
      <c r="A168" s="346"/>
      <c r="B168" s="85" t="s">
        <v>162</v>
      </c>
      <c r="C168" s="70" t="e">
        <f>$C$90</f>
        <v>#REF!</v>
      </c>
      <c r="D168" s="78" t="e">
        <f>C168/C170</f>
        <v>#REF!</v>
      </c>
      <c r="E168" s="70" t="e">
        <f>E170*D168</f>
        <v>#REF!</v>
      </c>
      <c r="F168" s="63"/>
    </row>
    <row r="169" spans="1:6" hidden="1">
      <c r="A169" s="346"/>
      <c r="B169" s="85" t="s">
        <v>163</v>
      </c>
      <c r="C169" s="63" t="e">
        <f>C$91</f>
        <v>#REF!</v>
      </c>
      <c r="D169" s="79" t="e">
        <f>C169/C170</f>
        <v>#REF!</v>
      </c>
      <c r="E169" s="63" t="e">
        <f>E170*D169</f>
        <v>#REF!</v>
      </c>
      <c r="F169" s="63"/>
    </row>
    <row r="170" spans="1:6" hidden="1">
      <c r="A170" s="346"/>
      <c r="B170" s="85" t="s">
        <v>159</v>
      </c>
      <c r="C170" s="71" t="e">
        <f>SUM(C168:C169)</f>
        <v>#REF!</v>
      </c>
      <c r="D170" s="80" t="e">
        <f>SUM(D168:D169)</f>
        <v>#REF!</v>
      </c>
      <c r="E170" s="71" t="e">
        <f>E160</f>
        <v>#REF!</v>
      </c>
      <c r="F170"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Y91"/>
  <sheetViews>
    <sheetView workbookViewId="0">
      <selection activeCell="D38" sqref="D38"/>
    </sheetView>
  </sheetViews>
  <sheetFormatPr defaultColWidth="9.140625" defaultRowHeight="12.75"/>
  <cols>
    <col min="1" max="1" width="4.5703125" style="3" customWidth="1"/>
    <col min="2" max="3" width="1.5703125" style="2" customWidth="1"/>
    <col min="4" max="4" width="38.42578125" style="2" customWidth="1"/>
    <col min="5" max="5" width="11.5703125" style="233" customWidth="1"/>
    <col min="6" max="6" width="13.5703125" style="233" customWidth="1"/>
    <col min="7" max="7" width="12.42578125" style="233" customWidth="1"/>
    <col min="8" max="8" width="14.42578125" style="233" customWidth="1"/>
    <col min="9" max="9" width="13.42578125" style="233"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74" t="str">
        <f>'ADJ DETAIL-INPUT'!A2</f>
        <v xml:space="preserve">AVISTA UTILITIES  </v>
      </c>
      <c r="D1" s="3"/>
      <c r="E1" s="979"/>
      <c r="F1" s="979"/>
    </row>
    <row r="2" spans="1:22" ht="15">
      <c r="A2" s="574" t="str">
        <f>'ADJ DETAIL-INPUT'!A3</f>
        <v xml:space="preserve">WASHINGTON ELECTRIC RESULTS </v>
      </c>
      <c r="D2" s="3"/>
    </row>
    <row r="3" spans="1:22" ht="15" customHeight="1">
      <c r="A3" s="518" t="str">
        <f>'ADJ DETAIL-INPUT'!A4</f>
        <v>TWELVE MONTHS ENDED DECEMBER 31, 2019</v>
      </c>
      <c r="D3" s="3"/>
    </row>
    <row r="4" spans="1:22" ht="15">
      <c r="A4" s="574" t="str">
        <f>'ADJ DETAIL-INPUT'!A5</f>
        <v xml:space="preserve">(000'S OF DOLLARS)  </v>
      </c>
      <c r="D4" s="3"/>
      <c r="E4" s="974" t="s">
        <v>767</v>
      </c>
      <c r="F4" s="976"/>
      <c r="G4" s="976"/>
      <c r="H4" s="976"/>
      <c r="I4" s="977"/>
    </row>
    <row r="5" spans="1:22">
      <c r="A5" s="1"/>
      <c r="B5" s="5"/>
      <c r="C5" s="5"/>
      <c r="D5" s="4"/>
      <c r="E5" s="243" t="s">
        <v>167</v>
      </c>
      <c r="F5" s="244"/>
      <c r="G5" s="245"/>
      <c r="H5" s="243" t="s">
        <v>741</v>
      </c>
      <c r="I5" s="245"/>
      <c r="V5" s="544"/>
    </row>
    <row r="6" spans="1:22">
      <c r="A6" s="6"/>
      <c r="B6" s="7"/>
      <c r="C6" s="8"/>
      <c r="D6" s="9"/>
      <c r="E6" s="246" t="s">
        <v>168</v>
      </c>
      <c r="F6" s="246"/>
      <c r="G6" s="505" t="s">
        <v>768</v>
      </c>
      <c r="H6" s="247" t="s">
        <v>169</v>
      </c>
      <c r="I6" s="505" t="s">
        <v>768</v>
      </c>
    </row>
    <row r="7" spans="1:22">
      <c r="A7" s="10" t="s">
        <v>8</v>
      </c>
      <c r="B7" s="11"/>
      <c r="C7" s="12"/>
      <c r="D7" s="13"/>
      <c r="E7" s="248" t="s">
        <v>9</v>
      </c>
      <c r="F7" s="248" t="s">
        <v>135</v>
      </c>
      <c r="G7" s="248" t="s">
        <v>655</v>
      </c>
      <c r="H7" s="249" t="s">
        <v>170</v>
      </c>
      <c r="I7" s="248" t="s">
        <v>169</v>
      </c>
    </row>
    <row r="8" spans="1:22">
      <c r="A8" s="14" t="s">
        <v>21</v>
      </c>
      <c r="B8" s="15"/>
      <c r="C8" s="16"/>
      <c r="D8" s="17" t="s">
        <v>22</v>
      </c>
      <c r="E8" s="250" t="s">
        <v>23</v>
      </c>
      <c r="F8" s="250" t="s">
        <v>145</v>
      </c>
      <c r="G8" s="250" t="s">
        <v>656</v>
      </c>
      <c r="H8" s="251" t="s">
        <v>171</v>
      </c>
      <c r="I8" s="250" t="s">
        <v>135</v>
      </c>
    </row>
    <row r="9" spans="1:22">
      <c r="A9" s="18"/>
      <c r="B9" s="19"/>
      <c r="C9" s="19"/>
      <c r="D9" s="19" t="s">
        <v>34</v>
      </c>
      <c r="E9" s="252" t="s">
        <v>35</v>
      </c>
      <c r="F9" s="252" t="s">
        <v>36</v>
      </c>
      <c r="G9" s="252" t="s">
        <v>37</v>
      </c>
      <c r="H9" s="252" t="s">
        <v>38</v>
      </c>
      <c r="I9" s="252" t="s">
        <v>39</v>
      </c>
    </row>
    <row r="10" spans="1:22" ht="5.25" customHeight="1"/>
    <row r="11" spans="1:22" ht="5.25" customHeight="1"/>
    <row r="12" spans="1:22" ht="1.5" customHeight="1"/>
    <row r="13" spans="1:22">
      <c r="B13" s="2" t="s">
        <v>40</v>
      </c>
    </row>
    <row r="14" spans="1:22">
      <c r="A14" s="20">
        <v>1</v>
      </c>
      <c r="B14" s="21" t="s">
        <v>41</v>
      </c>
      <c r="C14" s="21"/>
      <c r="D14" s="21"/>
      <c r="E14" s="21">
        <f>'ADJ DETAIL-INPUT'!E14</f>
        <v>546549</v>
      </c>
      <c r="F14" s="21">
        <f>G14-E14</f>
        <v>-17198</v>
      </c>
      <c r="G14" s="423">
        <f>'ADJ DETAIL-INPUT'!BF14</f>
        <v>529351</v>
      </c>
      <c r="H14" s="240">
        <f>'CF '!J9</f>
        <v>40154.597875655294</v>
      </c>
      <c r="I14" s="21">
        <f>G14+H14</f>
        <v>569505.59787565528</v>
      </c>
    </row>
    <row r="15" spans="1:22">
      <c r="A15" s="20">
        <v>2</v>
      </c>
      <c r="B15" s="22" t="s">
        <v>42</v>
      </c>
      <c r="C15" s="22"/>
      <c r="D15" s="22"/>
      <c r="E15" s="234">
        <f>'ADJ DETAIL-INPUT'!E15</f>
        <v>1228</v>
      </c>
      <c r="F15" s="234">
        <f>G15-E15</f>
        <v>0</v>
      </c>
      <c r="G15" s="435">
        <f>'ADJ DETAIL-INPUT'!BF15</f>
        <v>1228</v>
      </c>
      <c r="H15" s="234"/>
      <c r="I15" s="234">
        <f t="shared" ref="I15:I16" si="0">G15+H15</f>
        <v>1228</v>
      </c>
    </row>
    <row r="16" spans="1:22">
      <c r="A16" s="20">
        <v>3</v>
      </c>
      <c r="B16" s="22" t="s">
        <v>43</v>
      </c>
      <c r="C16" s="22"/>
      <c r="D16" s="22"/>
      <c r="E16" s="236">
        <f>'ADJ DETAIL-INPUT'!E16</f>
        <v>53430</v>
      </c>
      <c r="F16" s="236">
        <f>G16-E16</f>
        <v>2259.8199999999997</v>
      </c>
      <c r="G16" s="444">
        <f>'ADJ DETAIL-INPUT'!BF16</f>
        <v>55689.82</v>
      </c>
      <c r="H16" s="236"/>
      <c r="I16" s="236">
        <f t="shared" si="0"/>
        <v>55689.82</v>
      </c>
    </row>
    <row r="17" spans="1:12">
      <c r="A17" s="20">
        <v>4</v>
      </c>
      <c r="B17" s="22"/>
      <c r="C17" s="22" t="s">
        <v>44</v>
      </c>
      <c r="D17" s="22"/>
      <c r="E17" s="234">
        <f>SUM(E14:E16)</f>
        <v>601207</v>
      </c>
      <c r="F17" s="234">
        <f>SUM(F14:F16)</f>
        <v>-14938.18</v>
      </c>
      <c r="G17" s="435">
        <f t="shared" ref="G17:I17" si="1">SUM(G14:G16)</f>
        <v>586268.81999999995</v>
      </c>
      <c r="H17" s="234">
        <f t="shared" si="1"/>
        <v>40154.597875655294</v>
      </c>
      <c r="I17" s="234">
        <f t="shared" si="1"/>
        <v>626423.41787565523</v>
      </c>
    </row>
    <row r="18" spans="1:12">
      <c r="A18" s="20">
        <v>5</v>
      </c>
      <c r="B18" s="22" t="s">
        <v>45</v>
      </c>
      <c r="C18" s="22"/>
      <c r="D18" s="22"/>
      <c r="E18" s="236">
        <f>'ADJ DETAIL-INPUT'!E18</f>
        <v>60250</v>
      </c>
      <c r="F18" s="236">
        <f>G18-E18</f>
        <v>-43369</v>
      </c>
      <c r="G18" s="444">
        <f>'ADJ DETAIL-INPUT'!BF18</f>
        <v>16881</v>
      </c>
      <c r="H18" s="236"/>
      <c r="I18" s="236">
        <f>G18+H18</f>
        <v>16881</v>
      </c>
    </row>
    <row r="19" spans="1:12">
      <c r="A19" s="20">
        <v>6</v>
      </c>
      <c r="B19" s="22"/>
      <c r="C19" s="22" t="s">
        <v>46</v>
      </c>
      <c r="D19" s="22"/>
      <c r="E19" s="234">
        <f>SUM(E17:E18)</f>
        <v>661457</v>
      </c>
      <c r="F19" s="234">
        <f t="shared" ref="F19:I19" si="2">SUM(F17:F18)</f>
        <v>-58307.18</v>
      </c>
      <c r="G19" s="435">
        <f t="shared" si="2"/>
        <v>603149.81999999995</v>
      </c>
      <c r="H19" s="234">
        <f t="shared" si="2"/>
        <v>40154.597875655294</v>
      </c>
      <c r="I19" s="234">
        <f t="shared" si="2"/>
        <v>643304.41787565523</v>
      </c>
    </row>
    <row r="20" spans="1:12" ht="5.25" customHeight="1">
      <c r="A20" s="20"/>
      <c r="B20" s="22"/>
      <c r="C20" s="22"/>
      <c r="D20" s="22"/>
      <c r="E20" s="234"/>
      <c r="F20" s="234"/>
      <c r="G20" s="435"/>
      <c r="H20" s="234"/>
      <c r="I20" s="234"/>
    </row>
    <row r="21" spans="1:12">
      <c r="A21" s="20"/>
      <c r="B21" s="22" t="s">
        <v>47</v>
      </c>
      <c r="C21" s="22"/>
      <c r="D21" s="22"/>
      <c r="E21" s="234"/>
      <c r="F21" s="234"/>
      <c r="G21" s="435"/>
      <c r="H21" s="234"/>
      <c r="I21" s="234"/>
      <c r="L21" s="253"/>
    </row>
    <row r="22" spans="1:12">
      <c r="A22" s="20"/>
      <c r="B22" s="22" t="s">
        <v>48</v>
      </c>
      <c r="C22" s="22"/>
      <c r="D22" s="22"/>
      <c r="E22" s="234"/>
      <c r="F22" s="234"/>
      <c r="G22" s="435"/>
      <c r="H22" s="234"/>
      <c r="I22" s="234"/>
    </row>
    <row r="23" spans="1:12">
      <c r="A23" s="20">
        <v>7</v>
      </c>
      <c r="B23" s="22"/>
      <c r="C23" s="22" t="s">
        <v>49</v>
      </c>
      <c r="D23" s="22"/>
      <c r="E23" s="234">
        <f>'ADJ DETAIL-INPUT'!E23</f>
        <v>170553</v>
      </c>
      <c r="F23" s="234">
        <f>G23-E23</f>
        <v>-22294</v>
      </c>
      <c r="G23" s="558">
        <f>'ADJ DETAIL-INPUT'!BF23</f>
        <v>148259</v>
      </c>
      <c r="H23" s="234"/>
      <c r="I23" s="234">
        <f>G23+H23</f>
        <v>148259</v>
      </c>
    </row>
    <row r="24" spans="1:12">
      <c r="A24" s="20">
        <v>8</v>
      </c>
      <c r="B24" s="22"/>
      <c r="C24" s="22" t="s">
        <v>50</v>
      </c>
      <c r="D24" s="22"/>
      <c r="E24" s="234">
        <f>'ADJ DETAIL-INPUT'!E24</f>
        <v>89083</v>
      </c>
      <c r="F24" s="234">
        <f>G24-E24</f>
        <v>-18300</v>
      </c>
      <c r="G24" s="558">
        <f>'ADJ DETAIL-INPUT'!BF24</f>
        <v>70783</v>
      </c>
      <c r="H24" s="234"/>
      <c r="I24" s="234">
        <f t="shared" ref="I24:I27" si="3">G24+H24</f>
        <v>70783</v>
      </c>
    </row>
    <row r="25" spans="1:12">
      <c r="A25" s="20">
        <v>9</v>
      </c>
      <c r="B25" s="22"/>
      <c r="C25" s="22" t="s">
        <v>548</v>
      </c>
      <c r="D25" s="22"/>
      <c r="E25" s="234">
        <f>'ADJ DETAIL-INPUT'!E25</f>
        <v>32447</v>
      </c>
      <c r="F25" s="234">
        <f>G25-E25</f>
        <v>6578</v>
      </c>
      <c r="G25" s="558">
        <f>'ADJ DETAIL-INPUT'!BF25</f>
        <v>39025</v>
      </c>
      <c r="H25" s="234"/>
      <c r="I25" s="234">
        <f t="shared" si="3"/>
        <v>39025</v>
      </c>
      <c r="L25" s="234"/>
    </row>
    <row r="26" spans="1:12">
      <c r="A26" s="20">
        <v>10</v>
      </c>
      <c r="B26" s="22"/>
      <c r="C26" s="22" t="s">
        <v>695</v>
      </c>
      <c r="D26" s="22"/>
      <c r="E26" s="234">
        <f>'ADJ DETAIL-INPUT'!E26</f>
        <v>-712</v>
      </c>
      <c r="F26" s="234">
        <f>G26-E26</f>
        <v>-1071</v>
      </c>
      <c r="G26" s="558">
        <f>'ADJ DETAIL-INPUT'!BF26</f>
        <v>-1783</v>
      </c>
      <c r="H26" s="234"/>
      <c r="I26" s="234">
        <f t="shared" si="3"/>
        <v>-1783</v>
      </c>
    </row>
    <row r="27" spans="1:12">
      <c r="A27" s="20">
        <v>11</v>
      </c>
      <c r="B27" s="22"/>
      <c r="C27" s="22" t="s">
        <v>27</v>
      </c>
      <c r="D27" s="22"/>
      <c r="E27" s="236">
        <f>'ADJ DETAIL-INPUT'!E27</f>
        <v>16489</v>
      </c>
      <c r="F27" s="236">
        <f>G27-E27</f>
        <v>786</v>
      </c>
      <c r="G27" s="559">
        <f>'ADJ DETAIL-INPUT'!BF27</f>
        <v>17275</v>
      </c>
      <c r="H27" s="236"/>
      <c r="I27" s="236">
        <f t="shared" si="3"/>
        <v>17275</v>
      </c>
    </row>
    <row r="28" spans="1:12">
      <c r="A28" s="20">
        <v>12</v>
      </c>
      <c r="B28" s="22"/>
      <c r="C28" s="22"/>
      <c r="D28" s="22" t="s">
        <v>51</v>
      </c>
      <c r="E28" s="234">
        <f>SUM(E23:E27)</f>
        <v>307860</v>
      </c>
      <c r="F28" s="234">
        <f t="shared" ref="F28:I28" si="4">SUM(F23:F27)</f>
        <v>-34301</v>
      </c>
      <c r="G28" s="435">
        <f t="shared" si="4"/>
        <v>273559</v>
      </c>
      <c r="H28" s="234">
        <f t="shared" si="4"/>
        <v>0</v>
      </c>
      <c r="I28" s="234">
        <f t="shared" si="4"/>
        <v>273559</v>
      </c>
    </row>
    <row r="29" spans="1:12" ht="7.5" customHeight="1">
      <c r="A29" s="20"/>
      <c r="B29" s="22"/>
      <c r="C29" s="22"/>
      <c r="D29" s="22"/>
      <c r="E29" s="234"/>
      <c r="F29" s="234"/>
      <c r="G29" s="435"/>
      <c r="H29" s="234"/>
      <c r="I29" s="234"/>
    </row>
    <row r="30" spans="1:12">
      <c r="A30" s="20"/>
      <c r="B30" s="22" t="s">
        <v>52</v>
      </c>
      <c r="C30" s="22"/>
      <c r="D30" s="22"/>
      <c r="E30" s="234"/>
      <c r="F30" s="234"/>
      <c r="G30" s="435"/>
      <c r="H30" s="234"/>
      <c r="I30" s="234"/>
    </row>
    <row r="31" spans="1:12">
      <c r="A31" s="20">
        <v>13</v>
      </c>
      <c r="B31" s="22"/>
      <c r="C31" s="22" t="s">
        <v>49</v>
      </c>
      <c r="D31" s="22"/>
      <c r="E31" s="234">
        <f>'ADJ DETAIL-INPUT'!E31</f>
        <v>26747</v>
      </c>
      <c r="F31" s="234">
        <f>G31-E31</f>
        <v>3805</v>
      </c>
      <c r="G31" s="446">
        <f>'ADJ DETAIL-INPUT'!BF31</f>
        <v>30552</v>
      </c>
      <c r="H31" s="234"/>
      <c r="I31" s="234">
        <f>G31+H31</f>
        <v>30552</v>
      </c>
    </row>
    <row r="32" spans="1:12">
      <c r="A32" s="20">
        <v>14</v>
      </c>
      <c r="B32" s="22"/>
      <c r="C32" s="22" t="s">
        <v>548</v>
      </c>
      <c r="D32" s="22"/>
      <c r="E32" s="234">
        <f>'ADJ DETAIL-INPUT'!E32</f>
        <v>31132</v>
      </c>
      <c r="F32" s="234">
        <f>G32-E32</f>
        <v>1450</v>
      </c>
      <c r="G32" s="446">
        <f>'ADJ DETAIL-INPUT'!BF32</f>
        <v>32582</v>
      </c>
      <c r="H32" s="234"/>
      <c r="I32" s="234">
        <f t="shared" ref="I32:I33" si="5">G32+H32</f>
        <v>32582</v>
      </c>
    </row>
    <row r="33" spans="1:9">
      <c r="A33" s="20">
        <v>15</v>
      </c>
      <c r="B33" s="22"/>
      <c r="C33" s="22" t="s">
        <v>27</v>
      </c>
      <c r="D33" s="22"/>
      <c r="E33" s="236">
        <f>'ADJ DETAIL-INPUT'!E34</f>
        <v>47422</v>
      </c>
      <c r="F33" s="236">
        <f>G33-E33</f>
        <v>-17858</v>
      </c>
      <c r="G33" s="444">
        <f>'ADJ DETAIL-INPUT'!BF34</f>
        <v>29564</v>
      </c>
      <c r="H33" s="236">
        <f>'CF '!J16</f>
        <v>1550</v>
      </c>
      <c r="I33" s="236">
        <f t="shared" si="5"/>
        <v>31114</v>
      </c>
    </row>
    <row r="34" spans="1:9">
      <c r="A34" s="20">
        <v>16</v>
      </c>
      <c r="B34" s="22"/>
      <c r="C34" s="22"/>
      <c r="D34" s="22" t="s">
        <v>53</v>
      </c>
      <c r="E34" s="234">
        <f>SUM(E31:E33)</f>
        <v>105301</v>
      </c>
      <c r="F34" s="234">
        <f>SUM(F31:F33)</f>
        <v>-12603</v>
      </c>
      <c r="G34" s="435">
        <f>SUM(G31:G33)</f>
        <v>92698</v>
      </c>
      <c r="H34" s="234">
        <f>SUM(H31:H33)</f>
        <v>1550</v>
      </c>
      <c r="I34" s="234">
        <f>SUM(I31:I33)</f>
        <v>94248</v>
      </c>
    </row>
    <row r="35" spans="1:9" ht="6.75" customHeight="1">
      <c r="A35" s="20"/>
      <c r="B35" s="22"/>
      <c r="C35" s="22"/>
      <c r="D35" s="22"/>
      <c r="E35" s="234"/>
      <c r="F35" s="234"/>
      <c r="G35" s="435"/>
      <c r="H35" s="234"/>
      <c r="I35" s="234"/>
    </row>
    <row r="36" spans="1:9">
      <c r="A36" s="20">
        <v>17</v>
      </c>
      <c r="B36" s="22" t="s">
        <v>54</v>
      </c>
      <c r="C36" s="22"/>
      <c r="D36" s="22"/>
      <c r="E36" s="234">
        <f>'ADJ DETAIL-INPUT'!E37</f>
        <v>9916</v>
      </c>
      <c r="F36" s="234">
        <f>G36-E36</f>
        <v>2034</v>
      </c>
      <c r="G36" s="446">
        <f>'ADJ DETAIL-INPUT'!BF37</f>
        <v>11950</v>
      </c>
      <c r="H36" s="234">
        <f>'CF '!J12</f>
        <v>134</v>
      </c>
      <c r="I36" s="234">
        <f>G36+H36</f>
        <v>12084</v>
      </c>
    </row>
    <row r="37" spans="1:9">
      <c r="A37" s="20">
        <v>18</v>
      </c>
      <c r="B37" s="22" t="s">
        <v>55</v>
      </c>
      <c r="C37" s="22"/>
      <c r="D37" s="22"/>
      <c r="E37" s="234">
        <f>'ADJ DETAIL-INPUT'!E38</f>
        <v>28425</v>
      </c>
      <c r="F37" s="234">
        <f>G37-E37</f>
        <v>-26790</v>
      </c>
      <c r="G37" s="446">
        <f>'ADJ DETAIL-INPUT'!BF38</f>
        <v>1635</v>
      </c>
      <c r="H37" s="234"/>
      <c r="I37" s="234">
        <f t="shared" ref="I37:I38" si="6">G37+H37</f>
        <v>1635</v>
      </c>
    </row>
    <row r="38" spans="1:9">
      <c r="A38" s="20">
        <v>19</v>
      </c>
      <c r="B38" s="22" t="s">
        <v>56</v>
      </c>
      <c r="C38" s="22"/>
      <c r="D38" s="22"/>
      <c r="E38" s="234">
        <f>'ADJ DETAIL-INPUT'!E39</f>
        <v>0</v>
      </c>
      <c r="F38" s="234">
        <f>G38-E38</f>
        <v>0</v>
      </c>
      <c r="G38" s="446">
        <f>'ADJ DETAIL-INPUT'!BF39</f>
        <v>0</v>
      </c>
      <c r="H38" s="234"/>
      <c r="I38" s="234">
        <f t="shared" si="6"/>
        <v>0</v>
      </c>
    </row>
    <row r="39" spans="1:9" ht="6.75" customHeight="1">
      <c r="A39" s="22"/>
      <c r="B39" s="22"/>
      <c r="C39" s="22"/>
      <c r="D39" s="22"/>
      <c r="E39" s="234"/>
      <c r="F39" s="234"/>
      <c r="G39" s="435"/>
      <c r="H39" s="234"/>
      <c r="I39" s="234"/>
    </row>
    <row r="40" spans="1:9">
      <c r="A40" s="20"/>
      <c r="B40" s="22" t="s">
        <v>57</v>
      </c>
      <c r="C40" s="22"/>
      <c r="D40" s="22"/>
      <c r="E40" s="234"/>
      <c r="F40" s="234"/>
      <c r="G40" s="435"/>
      <c r="H40" s="234"/>
      <c r="I40" s="234"/>
    </row>
    <row r="41" spans="1:9">
      <c r="A41" s="20">
        <v>20</v>
      </c>
      <c r="B41" s="22"/>
      <c r="C41" s="22" t="s">
        <v>49</v>
      </c>
      <c r="D41" s="22"/>
      <c r="E41" s="234">
        <f>'ADJ DETAIL-INPUT'!E42</f>
        <v>55880</v>
      </c>
      <c r="F41" s="234">
        <f>G41-E41</f>
        <v>2314</v>
      </c>
      <c r="G41" s="446">
        <f>'ADJ DETAIL-INPUT'!BF42</f>
        <v>58194</v>
      </c>
      <c r="H41" s="234">
        <f>'CF '!J14</f>
        <v>80</v>
      </c>
      <c r="I41" s="234">
        <f t="shared" ref="I41:I44" si="7">G41+H41</f>
        <v>58274</v>
      </c>
    </row>
    <row r="42" spans="1:9">
      <c r="A42" s="20">
        <v>21</v>
      </c>
      <c r="B42" s="22"/>
      <c r="C42" s="22" t="s">
        <v>548</v>
      </c>
      <c r="D42" s="22"/>
      <c r="E42" s="234">
        <f>'ADJ DETAIL-INPUT'!E43</f>
        <v>35595</v>
      </c>
      <c r="F42" s="234">
        <f>G42-E42</f>
        <v>5962</v>
      </c>
      <c r="G42" s="446">
        <f>'ADJ DETAIL-INPUT'!BF43</f>
        <v>41557</v>
      </c>
      <c r="H42" s="234"/>
      <c r="I42" s="234">
        <f t="shared" si="7"/>
        <v>41557</v>
      </c>
    </row>
    <row r="43" spans="1:9">
      <c r="A43" s="422">
        <v>22</v>
      </c>
      <c r="B43" s="424"/>
      <c r="C43" s="424" t="s">
        <v>695</v>
      </c>
      <c r="D43" s="424"/>
      <c r="E43" s="435">
        <f>'ADJ DETAIL-INPUT'!E44</f>
        <v>-9018</v>
      </c>
      <c r="F43" s="435">
        <f>G43-E43</f>
        <v>14503</v>
      </c>
      <c r="G43" s="446">
        <f>'ADJ DETAIL-INPUT'!BF44</f>
        <v>5485</v>
      </c>
      <c r="H43" s="435"/>
      <c r="I43" s="435">
        <f t="shared" ref="I43" si="8">G43+H43</f>
        <v>5485</v>
      </c>
    </row>
    <row r="44" spans="1:9">
      <c r="A44" s="239">
        <v>23</v>
      </c>
      <c r="B44" s="22"/>
      <c r="C44" s="22" t="s">
        <v>27</v>
      </c>
      <c r="D44" s="22"/>
      <c r="E44" s="236">
        <f>'ADJ DETAIL-INPUT'!E45</f>
        <v>0</v>
      </c>
      <c r="F44" s="236">
        <f>G44-E44</f>
        <v>0</v>
      </c>
      <c r="G44" s="444">
        <f>'ADJ DETAIL-INPUT'!BF45</f>
        <v>0</v>
      </c>
      <c r="H44" s="236"/>
      <c r="I44" s="236">
        <f t="shared" si="7"/>
        <v>0</v>
      </c>
    </row>
    <row r="45" spans="1:9">
      <c r="A45" s="20">
        <v>24</v>
      </c>
      <c r="B45" s="22"/>
      <c r="C45" s="22"/>
      <c r="D45" s="22" t="s">
        <v>58</v>
      </c>
      <c r="E45" s="236">
        <f>SUM(E41:E44)</f>
        <v>82457</v>
      </c>
      <c r="F45" s="236">
        <f>SUM(F41:F44)</f>
        <v>22779</v>
      </c>
      <c r="G45" s="444">
        <f>SUM(G41:G44)</f>
        <v>105236</v>
      </c>
      <c r="H45" s="236">
        <f>SUM(H41:H44)</f>
        <v>80</v>
      </c>
      <c r="I45" s="236">
        <f>SUM(I41:I44)</f>
        <v>105316</v>
      </c>
    </row>
    <row r="46" spans="1:9">
      <c r="A46" s="20">
        <v>25</v>
      </c>
      <c r="B46" s="22" t="s">
        <v>59</v>
      </c>
      <c r="C46" s="22"/>
      <c r="D46" s="22"/>
      <c r="E46" s="236">
        <f>E28+E34+E36+E37+E38+E45</f>
        <v>533959</v>
      </c>
      <c r="F46" s="236">
        <f>F28+F34+F36+F37+F38+F45</f>
        <v>-48881</v>
      </c>
      <c r="G46" s="444">
        <f>G28+G34+G36+G37+G38+G45</f>
        <v>485078</v>
      </c>
      <c r="H46" s="236">
        <f>H28+H34+H36+H37+H38+H45</f>
        <v>1764</v>
      </c>
      <c r="I46" s="236">
        <f>I28+I34+I36+I37+I38+I45</f>
        <v>486842</v>
      </c>
    </row>
    <row r="47" spans="1:9" ht="7.5" customHeight="1">
      <c r="A47" s="20"/>
      <c r="B47" s="22"/>
      <c r="C47" s="22"/>
      <c r="D47" s="22"/>
      <c r="E47" s="234"/>
      <c r="F47" s="234"/>
      <c r="G47" s="435"/>
      <c r="H47" s="234"/>
      <c r="I47" s="234"/>
    </row>
    <row r="48" spans="1:9">
      <c r="A48" s="20">
        <v>26</v>
      </c>
      <c r="B48" s="22" t="s">
        <v>60</v>
      </c>
      <c r="C48" s="22"/>
      <c r="D48" s="22"/>
      <c r="E48" s="234">
        <f>E19-E46</f>
        <v>127498</v>
      </c>
      <c r="F48" s="234">
        <f>F19-F46</f>
        <v>-9426.18</v>
      </c>
      <c r="G48" s="435">
        <f>G19-G46</f>
        <v>118071.81999999995</v>
      </c>
      <c r="H48" s="234">
        <f>H19-H46</f>
        <v>38390.597875655294</v>
      </c>
      <c r="I48" s="234">
        <f>I19-I46</f>
        <v>156462.41787565523</v>
      </c>
    </row>
    <row r="49" spans="1:25" ht="5.25" customHeight="1">
      <c r="A49" s="20"/>
      <c r="B49" s="22"/>
      <c r="C49" s="22"/>
      <c r="D49" s="22"/>
      <c r="E49" s="234"/>
      <c r="F49" s="234"/>
      <c r="G49" s="435"/>
      <c r="H49" s="234"/>
      <c r="I49" s="234"/>
    </row>
    <row r="50" spans="1:25">
      <c r="A50" s="20"/>
      <c r="B50" s="22" t="s">
        <v>61</v>
      </c>
      <c r="C50" s="22"/>
      <c r="D50" s="22"/>
      <c r="E50" s="234"/>
      <c r="F50" s="234"/>
      <c r="G50" s="435"/>
      <c r="H50" s="234"/>
      <c r="I50" s="234"/>
    </row>
    <row r="51" spans="1:25">
      <c r="A51" s="422">
        <v>27</v>
      </c>
      <c r="B51" s="22" t="s">
        <v>62</v>
      </c>
      <c r="C51" s="22"/>
      <c r="D51" s="22"/>
      <c r="E51" s="234">
        <f>'ADJ DETAIL-INPUT'!E52</f>
        <v>4963</v>
      </c>
      <c r="F51" s="234">
        <f>G51-E51</f>
        <v>-981.88779999999815</v>
      </c>
      <c r="G51" s="446">
        <f>'ADJ DETAIL-INPUT'!BF52</f>
        <v>3981.1122000000018</v>
      </c>
      <c r="H51" s="234">
        <f>'CF '!J22</f>
        <v>8062</v>
      </c>
      <c r="I51" s="234">
        <f>G51+H51</f>
        <v>12043.112200000001</v>
      </c>
      <c r="M51" s="146"/>
      <c r="N51" s="146"/>
      <c r="Y51" s="146"/>
    </row>
    <row r="52" spans="1:25">
      <c r="A52" s="422">
        <v>28</v>
      </c>
      <c r="B52" s="2" t="s">
        <v>263</v>
      </c>
      <c r="E52" s="234">
        <f>'ADJ DETAIL-INPUT'!E53</f>
        <v>0</v>
      </c>
      <c r="F52" s="234">
        <f>G52-E52</f>
        <v>-783.64255210481508</v>
      </c>
      <c r="G52" s="446">
        <f>'ADJ DETAIL-INPUT'!BF53</f>
        <v>-783.64255210481508</v>
      </c>
      <c r="H52" s="234"/>
      <c r="I52" s="234">
        <f>G52+H52</f>
        <v>-783.64255210481508</v>
      </c>
    </row>
    <row r="53" spans="1:25">
      <c r="A53" s="422">
        <v>29</v>
      </c>
      <c r="B53" s="22" t="s">
        <v>63</v>
      </c>
      <c r="C53" s="22"/>
      <c r="D53" s="22"/>
      <c r="E53" s="234">
        <f>'ADJ DETAIL-INPUT'!E54</f>
        <v>7830</v>
      </c>
      <c r="F53" s="234">
        <f>G53-E53</f>
        <v>-552</v>
      </c>
      <c r="G53" s="446">
        <f>'ADJ DETAIL-INPUT'!BF54</f>
        <v>7278</v>
      </c>
      <c r="H53" s="234"/>
      <c r="I53" s="234">
        <f>G53+H53</f>
        <v>7278</v>
      </c>
      <c r="N53" s="146"/>
    </row>
    <row r="54" spans="1:25">
      <c r="A54" s="20">
        <v>30</v>
      </c>
      <c r="B54" s="22" t="s">
        <v>64</v>
      </c>
      <c r="C54" s="22"/>
      <c r="D54" s="22"/>
      <c r="E54" s="236">
        <f>'ADJ DETAIL-INPUT'!E55</f>
        <v>-318</v>
      </c>
      <c r="F54" s="236">
        <f>G54-E54</f>
        <v>0</v>
      </c>
      <c r="G54" s="444">
        <f>'ADJ DETAIL-INPUT'!BF55</f>
        <v>-318</v>
      </c>
      <c r="H54" s="236"/>
      <c r="I54" s="236">
        <f>G54+H54</f>
        <v>-318</v>
      </c>
    </row>
    <row r="55" spans="1:25" ht="6.75" customHeight="1">
      <c r="A55" s="20"/>
      <c r="E55" s="234"/>
      <c r="F55" s="234"/>
      <c r="G55" s="435"/>
      <c r="H55" s="234"/>
      <c r="I55" s="234"/>
    </row>
    <row r="56" spans="1:25" ht="13.5" thickBot="1">
      <c r="A56" s="3">
        <v>31</v>
      </c>
      <c r="B56" s="21" t="s">
        <v>65</v>
      </c>
      <c r="C56" s="21"/>
      <c r="D56" s="21"/>
      <c r="E56" s="335">
        <f>E48-SUM(E51:E54)</f>
        <v>115023</v>
      </c>
      <c r="F56" s="335">
        <f>F48-SUM(F51:F54)</f>
        <v>-7108.6496478951867</v>
      </c>
      <c r="G56" s="456">
        <f>G48-SUM(G51:G54)</f>
        <v>107914.35035210477</v>
      </c>
      <c r="H56" s="556">
        <f>H48-SUM(H51:H54)</f>
        <v>30328.597875655294</v>
      </c>
      <c r="I56" s="335">
        <f>I48-SUM(I51:I54)</f>
        <v>138242.94822776003</v>
      </c>
      <c r="M56" s="36"/>
    </row>
    <row r="57" spans="1:25" ht="5.25" customHeight="1" thickTop="1">
      <c r="E57" s="234"/>
      <c r="F57" s="234"/>
      <c r="G57" s="435"/>
      <c r="H57" s="234"/>
      <c r="I57" s="234"/>
      <c r="M57" s="99"/>
      <c r="P57" s="99"/>
    </row>
    <row r="58" spans="1:25">
      <c r="B58" s="2" t="s">
        <v>66</v>
      </c>
      <c r="E58" s="234"/>
      <c r="F58" s="234"/>
      <c r="G58" s="435"/>
      <c r="H58" s="234"/>
      <c r="I58" s="234"/>
      <c r="M58" s="36"/>
    </row>
    <row r="59" spans="1:25">
      <c r="A59" s="20"/>
      <c r="B59" s="2" t="s">
        <v>67</v>
      </c>
      <c r="E59" s="234"/>
      <c r="F59" s="234"/>
      <c r="G59" s="435"/>
      <c r="H59" s="234"/>
      <c r="I59" s="234"/>
      <c r="M59" s="36"/>
    </row>
    <row r="60" spans="1:25">
      <c r="A60" s="422">
        <v>32</v>
      </c>
      <c r="B60" s="21"/>
      <c r="C60" s="21" t="s">
        <v>68</v>
      </c>
      <c r="D60" s="21"/>
      <c r="E60" s="21">
        <f>'ADJ DETAIL-INPUT'!E61</f>
        <v>211035</v>
      </c>
      <c r="F60" s="21">
        <f t="shared" ref="F60:F69" si="9">G60-E60</f>
        <v>25470.534486498334</v>
      </c>
      <c r="G60" s="555">
        <f>'ADJ DETAIL-INPUT'!BF61</f>
        <v>236505.53448649833</v>
      </c>
      <c r="H60" s="21"/>
      <c r="I60" s="21">
        <f>G60+H60</f>
        <v>236505.53448649833</v>
      </c>
    </row>
    <row r="61" spans="1:25">
      <c r="A61" s="422">
        <v>33</v>
      </c>
      <c r="B61" s="22"/>
      <c r="C61" s="22" t="s">
        <v>69</v>
      </c>
      <c r="D61" s="22"/>
      <c r="E61" s="234">
        <f>'ADJ DETAIL-INPUT'!E62</f>
        <v>930160</v>
      </c>
      <c r="F61" s="234">
        <f t="shared" si="9"/>
        <v>18103.821956691798</v>
      </c>
      <c r="G61" s="446">
        <f>'ADJ DETAIL-INPUT'!BF62</f>
        <v>948263.8219566918</v>
      </c>
      <c r="H61" s="234"/>
      <c r="I61" s="234">
        <f t="shared" ref="I61:I64" si="10">G61+H61</f>
        <v>948263.8219566918</v>
      </c>
      <c r="M61" s="147"/>
    </row>
    <row r="62" spans="1:25">
      <c r="A62" s="422">
        <v>34</v>
      </c>
      <c r="B62" s="22"/>
      <c r="C62" s="22" t="s">
        <v>70</v>
      </c>
      <c r="D62" s="22"/>
      <c r="E62" s="234">
        <f>'ADJ DETAIL-INPUT'!E63</f>
        <v>509897</v>
      </c>
      <c r="F62" s="234">
        <f t="shared" si="9"/>
        <v>61274.589871264878</v>
      </c>
      <c r="G62" s="446">
        <f>'ADJ DETAIL-INPUT'!BF63</f>
        <v>571171.58987126488</v>
      </c>
      <c r="H62" s="234"/>
      <c r="I62" s="234">
        <f t="shared" si="10"/>
        <v>571171.58987126488</v>
      </c>
    </row>
    <row r="63" spans="1:25">
      <c r="A63" s="422">
        <v>35</v>
      </c>
      <c r="B63" s="22"/>
      <c r="C63" s="22" t="s">
        <v>52</v>
      </c>
      <c r="D63" s="22"/>
      <c r="E63" s="234">
        <f>'ADJ DETAIL-INPUT'!E64</f>
        <v>1194477</v>
      </c>
      <c r="F63" s="234">
        <f t="shared" si="9"/>
        <v>60091.890459633898</v>
      </c>
      <c r="G63" s="446">
        <f>'ADJ DETAIL-INPUT'!BF64</f>
        <v>1254568.8904596339</v>
      </c>
      <c r="H63" s="234"/>
      <c r="I63" s="234">
        <f t="shared" si="10"/>
        <v>1254568.8904596339</v>
      </c>
    </row>
    <row r="64" spans="1:25">
      <c r="A64" s="422">
        <v>36</v>
      </c>
      <c r="B64" s="22"/>
      <c r="C64" s="22" t="s">
        <v>71</v>
      </c>
      <c r="D64" s="22"/>
      <c r="E64" s="236">
        <f>'ADJ DETAIL-INPUT'!E65</f>
        <v>279556</v>
      </c>
      <c r="F64" s="236">
        <f t="shared" si="9"/>
        <v>12972.63803573366</v>
      </c>
      <c r="G64" s="444">
        <f>'ADJ DETAIL-INPUT'!BF65</f>
        <v>292528.63803573366</v>
      </c>
      <c r="H64" s="236"/>
      <c r="I64" s="236">
        <f t="shared" si="10"/>
        <v>292528.63803573366</v>
      </c>
    </row>
    <row r="65" spans="1:9">
      <c r="A65" s="20">
        <v>37</v>
      </c>
      <c r="B65" s="22"/>
      <c r="C65" s="22"/>
      <c r="D65" s="22" t="s">
        <v>72</v>
      </c>
      <c r="E65" s="234">
        <f>SUM(E60:E64)</f>
        <v>3125125</v>
      </c>
      <c r="F65" s="234">
        <f t="shared" ref="F65:H65" si="11">SUM(F60:F64)</f>
        <v>177913.47480982257</v>
      </c>
      <c r="G65" s="435">
        <f t="shared" si="11"/>
        <v>3303038.4748098226</v>
      </c>
      <c r="H65" s="234">
        <f t="shared" si="11"/>
        <v>0</v>
      </c>
      <c r="I65" s="234">
        <f>SUM(I60:I64)</f>
        <v>3303038.4748098226</v>
      </c>
    </row>
    <row r="66" spans="1:9">
      <c r="A66" s="23"/>
      <c r="B66" s="22" t="s">
        <v>219</v>
      </c>
      <c r="C66" s="22"/>
      <c r="D66" s="22"/>
      <c r="E66" s="234"/>
      <c r="F66" s="234"/>
      <c r="G66" s="435"/>
      <c r="H66" s="234"/>
      <c r="I66" s="234"/>
    </row>
    <row r="67" spans="1:9">
      <c r="A67" s="23">
        <v>38</v>
      </c>
      <c r="B67" s="22"/>
      <c r="C67" s="21" t="s">
        <v>214</v>
      </c>
      <c r="D67" s="22"/>
      <c r="E67" s="234">
        <f>'ADJ DETAIL-INPUT'!E68</f>
        <v>-57078</v>
      </c>
      <c r="F67" s="234">
        <f t="shared" si="9"/>
        <v>-14797.372641395137</v>
      </c>
      <c r="G67" s="446">
        <f>'ADJ DETAIL-INPUT'!BF68</f>
        <v>-71875.372641395137</v>
      </c>
      <c r="H67" s="238"/>
      <c r="I67" s="238">
        <f>G67+H67</f>
        <v>-71875.372641395137</v>
      </c>
    </row>
    <row r="68" spans="1:9">
      <c r="A68" s="23">
        <v>39</v>
      </c>
      <c r="B68" s="22"/>
      <c r="C68" s="22" t="s">
        <v>215</v>
      </c>
      <c r="D68" s="22"/>
      <c r="E68" s="234">
        <f>'ADJ DETAIL-INPUT'!E69</f>
        <v>-382437</v>
      </c>
      <c r="F68" s="234">
        <f t="shared" si="9"/>
        <v>-31438.349768487387</v>
      </c>
      <c r="G68" s="446">
        <f>'ADJ DETAIL-INPUT'!BF69</f>
        <v>-413875.34976848739</v>
      </c>
      <c r="H68" s="234"/>
      <c r="I68" s="238">
        <f t="shared" ref="I68:I71" si="12">G68+H68</f>
        <v>-413875.34976848739</v>
      </c>
    </row>
    <row r="69" spans="1:9">
      <c r="A69" s="23">
        <v>40</v>
      </c>
      <c r="B69" s="22"/>
      <c r="C69" s="22" t="s">
        <v>216</v>
      </c>
      <c r="D69" s="22"/>
      <c r="E69" s="234">
        <f>'ADJ DETAIL-INPUT'!E70</f>
        <v>-147016</v>
      </c>
      <c r="F69" s="234">
        <f t="shared" si="9"/>
        <v>-665.43365765258204</v>
      </c>
      <c r="G69" s="446">
        <f>'ADJ DETAIL-INPUT'!BF70</f>
        <v>-147681.43365765258</v>
      </c>
      <c r="H69" s="234"/>
      <c r="I69" s="238">
        <f t="shared" si="12"/>
        <v>-147681.43365765258</v>
      </c>
    </row>
    <row r="70" spans="1:9">
      <c r="A70" s="23">
        <v>41</v>
      </c>
      <c r="B70" s="22"/>
      <c r="C70" s="22" t="s">
        <v>200</v>
      </c>
      <c r="D70" s="22"/>
      <c r="E70" s="234">
        <f>'ADJ DETAIL-INPUT'!E71</f>
        <v>-358989</v>
      </c>
      <c r="F70" s="234">
        <f>G70-E70</f>
        <v>7682.3229237275082</v>
      </c>
      <c r="G70" s="446">
        <f>'ADJ DETAIL-INPUT'!BF71</f>
        <v>-351306.67707627249</v>
      </c>
      <c r="H70" s="234"/>
      <c r="I70" s="238">
        <f t="shared" si="12"/>
        <v>-351306.67707627249</v>
      </c>
    </row>
    <row r="71" spans="1:9">
      <c r="A71" s="23">
        <v>42</v>
      </c>
      <c r="B71" s="22"/>
      <c r="C71" s="22" t="s">
        <v>217</v>
      </c>
      <c r="D71" s="22"/>
      <c r="E71" s="234">
        <f>'ADJ DETAIL-INPUT'!E72</f>
        <v>-92865</v>
      </c>
      <c r="F71" s="236">
        <f>G71-E71</f>
        <v>11972.100025791398</v>
      </c>
      <c r="G71" s="446">
        <f>'ADJ DETAIL-INPUT'!BF72</f>
        <v>-80892.899974208602</v>
      </c>
      <c r="H71" s="236"/>
      <c r="I71" s="238">
        <f t="shared" si="12"/>
        <v>-80892.899974208602</v>
      </c>
    </row>
    <row r="72" spans="1:9">
      <c r="A72" s="23">
        <v>43</v>
      </c>
      <c r="B72" s="22" t="s">
        <v>267</v>
      </c>
      <c r="C72" s="22"/>
      <c r="D72" s="22"/>
      <c r="E72" s="263">
        <f>SUM(E67:E71)</f>
        <v>-1038385</v>
      </c>
      <c r="F72" s="263">
        <f t="shared" ref="F72" si="13">SUM(F67:F71)</f>
        <v>-27246.7331180162</v>
      </c>
      <c r="G72" s="263">
        <f>SUM(G67:G71)</f>
        <v>-1065631.733118016</v>
      </c>
      <c r="H72" s="263">
        <f>SUM(H67:H71)</f>
        <v>0</v>
      </c>
      <c r="I72" s="263">
        <f>SUM(I67:I71)</f>
        <v>-1065631.733118016</v>
      </c>
    </row>
    <row r="73" spans="1:9">
      <c r="A73" s="23">
        <v>44</v>
      </c>
      <c r="B73" s="22" t="s">
        <v>553</v>
      </c>
      <c r="C73" s="22"/>
      <c r="D73" s="21"/>
      <c r="E73" s="238">
        <f>E65+E72</f>
        <v>2086740</v>
      </c>
      <c r="F73" s="238">
        <f t="shared" ref="F73:H73" si="14">F65+F72</f>
        <v>150666.74169180635</v>
      </c>
      <c r="G73" s="446">
        <f t="shared" si="14"/>
        <v>2237406.7416918064</v>
      </c>
      <c r="H73" s="238">
        <f t="shared" si="14"/>
        <v>0</v>
      </c>
      <c r="I73" s="238">
        <f>I65+I72</f>
        <v>2237406.7416918064</v>
      </c>
    </row>
    <row r="74" spans="1:9" ht="5.25" customHeight="1">
      <c r="A74" s="23"/>
      <c r="B74" s="22"/>
      <c r="C74" s="22"/>
      <c r="E74" s="334"/>
      <c r="F74" s="334"/>
      <c r="G74" s="334"/>
      <c r="H74" s="334"/>
      <c r="I74" s="334"/>
    </row>
    <row r="75" spans="1:9">
      <c r="A75" s="24">
        <v>45</v>
      </c>
      <c r="B75" s="22" t="s">
        <v>220</v>
      </c>
      <c r="C75" s="22"/>
      <c r="D75" s="22"/>
      <c r="E75" s="236">
        <f>'ADJ DETAIL-INPUT'!E76</f>
        <v>-418971</v>
      </c>
      <c r="F75" s="236">
        <f t="shared" ref="F75" si="15">G75-E75</f>
        <v>-44387.741671680356</v>
      </c>
      <c r="G75" s="444">
        <f>'ADJ DETAIL-INPUT'!BF76</f>
        <v>-463358.74167168036</v>
      </c>
      <c r="H75" s="294"/>
      <c r="I75" s="236">
        <f>G75+H75</f>
        <v>-463358.74167168036</v>
      </c>
    </row>
    <row r="76" spans="1:9">
      <c r="A76" s="24">
        <v>46</v>
      </c>
      <c r="B76" s="22"/>
      <c r="C76" s="22" t="s">
        <v>552</v>
      </c>
      <c r="D76" s="22"/>
      <c r="E76" s="238">
        <f>SUM(E73:E75)</f>
        <v>1667769</v>
      </c>
      <c r="F76" s="238">
        <f t="shared" ref="F76:H76" si="16">SUM(F73:F75)</f>
        <v>106279.000020126</v>
      </c>
      <c r="G76" s="446">
        <f>SUM(G73:G75)</f>
        <v>1774048.0000201259</v>
      </c>
      <c r="H76" s="238">
        <f t="shared" si="16"/>
        <v>0</v>
      </c>
      <c r="I76" s="446">
        <f>G76+H76</f>
        <v>1774048.0000201259</v>
      </c>
    </row>
    <row r="77" spans="1:9">
      <c r="A77" s="23">
        <v>47</v>
      </c>
      <c r="B77" s="22" t="s">
        <v>269</v>
      </c>
      <c r="C77" s="22"/>
      <c r="E77" s="234">
        <f>'ADJ DETAIL-INPUT'!E78</f>
        <v>-2096</v>
      </c>
      <c r="F77" s="234">
        <f t="shared" ref="F77:F78" si="17">G77-E77</f>
        <v>47942</v>
      </c>
      <c r="G77" s="446">
        <f>'ADJ DETAIL-INPUT'!BF78</f>
        <v>45846</v>
      </c>
      <c r="I77" s="238">
        <f>G77+H77</f>
        <v>45846</v>
      </c>
    </row>
    <row r="78" spans="1:9">
      <c r="A78" s="23">
        <v>48</v>
      </c>
      <c r="B78" s="22" t="s">
        <v>256</v>
      </c>
      <c r="C78" s="22"/>
      <c r="E78" s="236">
        <f>'ADJ DETAIL-INPUT'!E79</f>
        <v>44462</v>
      </c>
      <c r="F78" s="236">
        <f t="shared" si="17"/>
        <v>-3752</v>
      </c>
      <c r="G78" s="444">
        <f>'ADJ DETAIL-INPUT'!BF79</f>
        <v>40710</v>
      </c>
      <c r="H78" s="294"/>
      <c r="I78" s="236">
        <f t="shared" ref="I78" si="18">G78+H78</f>
        <v>40710</v>
      </c>
    </row>
    <row r="79" spans="1:9" ht="2.25" customHeight="1">
      <c r="A79" s="24">
        <v>49</v>
      </c>
      <c r="B79" s="22"/>
      <c r="C79" s="22"/>
      <c r="D79" s="22"/>
    </row>
    <row r="80" spans="1:9" ht="13.5" thickBot="1">
      <c r="A80" s="20">
        <v>50</v>
      </c>
      <c r="B80" s="21" t="s">
        <v>221</v>
      </c>
      <c r="C80" s="21"/>
      <c r="D80" s="21"/>
      <c r="E80" s="337">
        <f>SUM(E76:E78)</f>
        <v>1710135</v>
      </c>
      <c r="F80" s="337">
        <f t="shared" ref="F80:I80" si="19">SUM(F76:F78)</f>
        <v>150469.000020126</v>
      </c>
      <c r="G80" s="337">
        <f t="shared" si="19"/>
        <v>1860604.0000201259</v>
      </c>
      <c r="H80" s="337">
        <f t="shared" si="19"/>
        <v>0</v>
      </c>
      <c r="I80" s="337">
        <f t="shared" si="19"/>
        <v>1860604.0000201259</v>
      </c>
    </row>
    <row r="81" spans="1:9" ht="13.5" thickTop="1">
      <c r="A81" s="20">
        <v>51</v>
      </c>
      <c r="B81" s="2" t="s">
        <v>624</v>
      </c>
      <c r="E81" s="261">
        <f>ROUND(E56/E80,4)</f>
        <v>6.7299999999999999E-2</v>
      </c>
      <c r="G81" s="261">
        <f>ROUND(G56/G80,4)</f>
        <v>5.8000000000000003E-2</v>
      </c>
      <c r="I81" s="261">
        <f>ROUND(I56/I80,4)</f>
        <v>7.4300000000000005E-2</v>
      </c>
    </row>
    <row r="82" spans="1:9" ht="6.75" customHeight="1">
      <c r="A82" s="978"/>
      <c r="B82" s="978"/>
      <c r="C82" s="978"/>
      <c r="D82" s="978"/>
      <c r="E82" s="978"/>
      <c r="F82" s="978"/>
      <c r="G82" s="978"/>
      <c r="H82" s="978"/>
      <c r="I82" s="978"/>
    </row>
    <row r="84" spans="1:9">
      <c r="E84" s="379"/>
    </row>
    <row r="85" spans="1:9">
      <c r="E85" s="379"/>
    </row>
    <row r="89" spans="1:9">
      <c r="I89" s="375"/>
    </row>
    <row r="90" spans="1:9">
      <c r="I90" s="375"/>
    </row>
    <row r="91" spans="1:9">
      <c r="I91" s="375"/>
    </row>
  </sheetData>
  <mergeCells count="3">
    <mergeCell ref="E4:I4"/>
    <mergeCell ref="A82:I82"/>
    <mergeCell ref="E1:F1"/>
  </mergeCells>
  <phoneticPr fontId="0" type="noConversion"/>
  <pageMargins left="0.75" right="0.51" top="1" bottom="0.5" header="0.5" footer="0.35"/>
  <pageSetup scale="74" orientation="portrait" r:id="rId1"/>
  <headerFooter scaleWithDoc="0" alignWithMargins="0">
    <oddHeader>&amp;R Exh. EMA-8</oddHeader>
    <oddFooter>&amp;RPage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pageSetUpPr fitToPage="1"/>
  </sheetPr>
  <dimension ref="A1:AB55"/>
  <sheetViews>
    <sheetView zoomScaleNormal="100" workbookViewId="0">
      <selection activeCell="AC29" sqref="AC29"/>
    </sheetView>
  </sheetViews>
  <sheetFormatPr defaultColWidth="9.140625" defaultRowHeight="14.25" customHeight="1"/>
  <cols>
    <col min="1" max="1" width="5.140625" style="643" bestFit="1" customWidth="1"/>
    <col min="2" max="2" width="1.5703125" style="643" customWidth="1"/>
    <col min="3" max="3" width="46.42578125" style="643" customWidth="1"/>
    <col min="4" max="4" width="3" style="643" customWidth="1"/>
    <col min="5" max="5" width="20.140625" style="643" customWidth="1"/>
    <col min="6" max="6" width="4.5703125" style="643" hidden="1" customWidth="1"/>
    <col min="7" max="7" width="12.28515625" style="643" customWidth="1"/>
    <col min="8" max="8" width="16.140625" style="643" customWidth="1"/>
    <col min="9" max="9" width="5.42578125" style="643" customWidth="1"/>
    <col min="10" max="10" width="6.85546875" style="576" customWidth="1"/>
    <col min="11" max="11" width="14.140625" style="576" customWidth="1"/>
    <col min="12" max="12" width="12.85546875" style="576" customWidth="1"/>
    <col min="13" max="13" width="15.140625" style="612" customWidth="1"/>
    <col min="14" max="14" width="14.140625" style="576" customWidth="1"/>
    <col min="15" max="15" width="11.85546875" style="576" customWidth="1"/>
    <col min="16" max="16" width="8.5703125" style="576" hidden="1" customWidth="1"/>
    <col min="17" max="17" width="14.5703125" style="576" hidden="1" customWidth="1"/>
    <col min="18" max="18" width="9.140625" style="576" hidden="1" customWidth="1"/>
    <col min="19" max="19" width="10.42578125" style="576" hidden="1" customWidth="1"/>
    <col min="20" max="21" width="9.5703125" style="576" hidden="1" customWidth="1"/>
    <col min="22" max="22" width="11.42578125" style="576" hidden="1" customWidth="1"/>
    <col min="23" max="23" width="10.42578125" style="576" hidden="1" customWidth="1"/>
    <col min="24" max="24" width="9.140625" style="576" hidden="1" customWidth="1"/>
    <col min="25" max="25" width="17" style="576" hidden="1" customWidth="1"/>
    <col min="26" max="16384" width="9.140625" style="576"/>
  </cols>
  <sheetData>
    <row r="1" spans="1:28" ht="19.5" customHeight="1">
      <c r="A1" s="992" t="s">
        <v>116</v>
      </c>
      <c r="B1" s="992"/>
      <c r="C1" s="992"/>
      <c r="D1" s="992"/>
      <c r="E1" s="992"/>
      <c r="F1" s="992"/>
      <c r="G1" s="992"/>
      <c r="H1" s="575"/>
      <c r="I1" s="575"/>
      <c r="J1" s="983" t="s">
        <v>116</v>
      </c>
      <c r="K1" s="984"/>
      <c r="L1" s="984"/>
      <c r="M1" s="984"/>
      <c r="N1" s="985"/>
      <c r="O1" s="577"/>
    </row>
    <row r="2" spans="1:28" ht="14.25" customHeight="1">
      <c r="A2" s="992" t="s">
        <v>685</v>
      </c>
      <c r="B2" s="992"/>
      <c r="C2" s="992"/>
      <c r="D2" s="992"/>
      <c r="E2" s="992"/>
      <c r="F2" s="992"/>
      <c r="G2" s="992"/>
      <c r="H2" s="577"/>
      <c r="I2" s="577"/>
      <c r="J2" s="986" t="s">
        <v>621</v>
      </c>
      <c r="K2" s="987"/>
      <c r="L2" s="987"/>
      <c r="M2" s="987"/>
      <c r="N2" s="988"/>
      <c r="O2" s="578"/>
    </row>
    <row r="3" spans="1:28" ht="14.25" customHeight="1">
      <c r="A3" s="992" t="s">
        <v>241</v>
      </c>
      <c r="B3" s="992"/>
      <c r="C3" s="992"/>
      <c r="D3" s="992"/>
      <c r="E3" s="992"/>
      <c r="F3" s="992"/>
      <c r="G3" s="992"/>
      <c r="H3" s="577"/>
      <c r="I3" s="577"/>
      <c r="J3" s="986" t="s">
        <v>241</v>
      </c>
      <c r="K3" s="987"/>
      <c r="L3" s="987"/>
      <c r="M3" s="987"/>
      <c r="N3" s="988"/>
      <c r="O3" s="578"/>
    </row>
    <row r="4" spans="1:28" ht="14.25" customHeight="1">
      <c r="A4" s="992" t="str">
        <f>'ADJ DETAIL-INPUT'!A4</f>
        <v>TWELVE MONTHS ENDED DECEMBER 31, 2019</v>
      </c>
      <c r="B4" s="992"/>
      <c r="C4" s="992"/>
      <c r="D4" s="992"/>
      <c r="E4" s="992"/>
      <c r="F4" s="992"/>
      <c r="G4" s="992"/>
      <c r="H4" s="577"/>
      <c r="I4" s="577"/>
      <c r="J4" s="989"/>
      <c r="K4" s="990"/>
      <c r="L4" s="990"/>
      <c r="M4" s="990"/>
      <c r="N4" s="991"/>
      <c r="O4" s="580"/>
    </row>
    <row r="5" spans="1:28" ht="14.25" customHeight="1" thickBot="1">
      <c r="A5" s="578"/>
      <c r="B5" s="578"/>
      <c r="C5" s="578"/>
      <c r="D5" s="578"/>
      <c r="E5" s="578"/>
      <c r="F5" s="578"/>
      <c r="G5" s="578"/>
      <c r="H5" s="577"/>
      <c r="I5" s="577"/>
      <c r="J5" s="570"/>
      <c r="K5" s="571"/>
      <c r="L5" s="571"/>
      <c r="M5" s="571"/>
      <c r="N5" s="572"/>
      <c r="O5" s="580"/>
    </row>
    <row r="6" spans="1:28" ht="14.25" customHeight="1">
      <c r="A6" s="577"/>
      <c r="B6" s="577"/>
      <c r="C6" s="577"/>
      <c r="D6" s="577"/>
      <c r="E6" s="581" t="s">
        <v>679</v>
      </c>
      <c r="F6" s="577"/>
      <c r="G6" s="582"/>
      <c r="H6" s="583"/>
      <c r="I6" s="583"/>
      <c r="J6" s="483" t="s">
        <v>712</v>
      </c>
      <c r="K6" s="484"/>
      <c r="L6" s="484"/>
      <c r="M6" s="484"/>
      <c r="N6" s="485"/>
      <c r="O6" s="571"/>
      <c r="T6" s="579" t="s">
        <v>619</v>
      </c>
      <c r="Y6" s="584"/>
    </row>
    <row r="7" spans="1:28" ht="14.25" customHeight="1">
      <c r="A7" s="578"/>
      <c r="B7" s="578"/>
      <c r="C7" s="982"/>
      <c r="D7" s="982"/>
      <c r="E7" s="581" t="s">
        <v>674</v>
      </c>
      <c r="F7" s="578"/>
      <c r="G7" s="580"/>
      <c r="H7" s="571"/>
      <c r="I7" s="682"/>
      <c r="J7" s="486"/>
      <c r="K7" s="487"/>
      <c r="L7" s="568"/>
      <c r="M7" s="488"/>
      <c r="N7" s="569"/>
      <c r="O7" s="571"/>
      <c r="T7" s="579"/>
      <c r="Y7" s="584"/>
    </row>
    <row r="8" spans="1:28" ht="14.25" customHeight="1">
      <c r="A8" s="578"/>
      <c r="B8" s="578"/>
      <c r="C8" s="578"/>
      <c r="D8" s="578"/>
      <c r="E8" s="585">
        <v>44470</v>
      </c>
      <c r="F8" s="586"/>
      <c r="G8" s="980" t="s">
        <v>800</v>
      </c>
      <c r="H8" s="980" t="s">
        <v>799</v>
      </c>
      <c r="I8" s="587"/>
      <c r="J8" s="486"/>
      <c r="K8" s="489"/>
      <c r="L8" s="568" t="s">
        <v>122</v>
      </c>
      <c r="M8" s="568"/>
      <c r="N8" s="569" t="s">
        <v>123</v>
      </c>
      <c r="O8" s="571"/>
      <c r="T8" s="579"/>
      <c r="Y8" s="584"/>
    </row>
    <row r="9" spans="1:28" ht="18" customHeight="1">
      <c r="A9" s="578" t="s">
        <v>120</v>
      </c>
      <c r="B9" s="578"/>
      <c r="C9" s="578"/>
      <c r="D9" s="578"/>
      <c r="E9" s="581" t="s">
        <v>121</v>
      </c>
      <c r="F9" s="578" t="s">
        <v>121</v>
      </c>
      <c r="G9" s="980"/>
      <c r="H9" s="980"/>
      <c r="I9" s="682"/>
      <c r="J9" s="486"/>
      <c r="K9" s="490" t="s">
        <v>125</v>
      </c>
      <c r="L9" s="490" t="s">
        <v>127</v>
      </c>
      <c r="M9" s="490" t="s">
        <v>128</v>
      </c>
      <c r="N9" s="491" t="s">
        <v>128</v>
      </c>
      <c r="O9" s="588"/>
      <c r="Y9" s="584"/>
      <c r="AB9" s="945"/>
    </row>
    <row r="10" spans="1:28" ht="14.25" customHeight="1">
      <c r="A10" s="586" t="s">
        <v>21</v>
      </c>
      <c r="B10" s="578"/>
      <c r="C10" s="586" t="s">
        <v>80</v>
      </c>
      <c r="D10" s="580"/>
      <c r="E10" s="589" t="s">
        <v>124</v>
      </c>
      <c r="F10" s="586" t="s">
        <v>124</v>
      </c>
      <c r="G10" s="981"/>
      <c r="H10" s="981"/>
      <c r="I10" s="682"/>
      <c r="J10" s="486"/>
      <c r="K10" s="487"/>
      <c r="L10" s="487"/>
      <c r="M10" s="488"/>
      <c r="N10" s="492"/>
      <c r="O10" s="588"/>
    </row>
    <row r="11" spans="1:28" ht="14.25" customHeight="1">
      <c r="A11" s="576"/>
      <c r="B11" s="576"/>
      <c r="C11" s="576"/>
      <c r="D11" s="576"/>
      <c r="E11" s="576"/>
      <c r="F11" s="576"/>
      <c r="G11" s="584"/>
      <c r="H11" s="590"/>
      <c r="I11" s="590"/>
      <c r="J11" s="486"/>
      <c r="K11" s="489" t="s">
        <v>18</v>
      </c>
      <c r="L11" s="493">
        <f>100%-L13</f>
        <v>0.5</v>
      </c>
      <c r="M11" s="744">
        <v>4.965E-2</v>
      </c>
      <c r="N11" s="495">
        <f>ROUND(L11*M11,4)</f>
        <v>2.4799999999999999E-2</v>
      </c>
      <c r="O11" s="591" t="s">
        <v>228</v>
      </c>
      <c r="Q11" s="592" t="s">
        <v>235</v>
      </c>
      <c r="R11" s="593"/>
      <c r="S11" s="594" t="s">
        <v>142</v>
      </c>
      <c r="T11" s="595"/>
      <c r="U11" s="578" t="s">
        <v>141</v>
      </c>
    </row>
    <row r="12" spans="1:28" ht="14.25" customHeight="1">
      <c r="A12" s="596">
        <v>1</v>
      </c>
      <c r="B12" s="576"/>
      <c r="C12" s="576" t="s">
        <v>180</v>
      </c>
      <c r="D12" s="576"/>
      <c r="E12" s="597">
        <f>'ADJ DETAIL-INPUT'!BF81</f>
        <v>1860604.0000201254</v>
      </c>
      <c r="F12" s="597" t="e">
        <f>'ADJ DETAIL-INPUT'!#REF!</f>
        <v>#REF!</v>
      </c>
      <c r="G12" s="598"/>
      <c r="H12" s="599"/>
      <c r="I12" s="599"/>
      <c r="J12" s="486"/>
      <c r="K12" s="489"/>
      <c r="L12" s="493"/>
      <c r="M12" s="494"/>
      <c r="N12" s="495"/>
      <c r="O12" s="601">
        <f>SUM(N11:N12)</f>
        <v>2.4799999999999999E-2</v>
      </c>
      <c r="Q12" s="602" t="s">
        <v>236</v>
      </c>
      <c r="R12" s="580"/>
      <c r="S12" s="578" t="s">
        <v>122</v>
      </c>
      <c r="T12" s="578" t="s">
        <v>141</v>
      </c>
      <c r="U12" s="578" t="s">
        <v>123</v>
      </c>
    </row>
    <row r="13" spans="1:28" ht="14.25" customHeight="1">
      <c r="A13" s="596"/>
      <c r="B13" s="576"/>
      <c r="C13" s="576"/>
      <c r="D13" s="576"/>
      <c r="E13" s="600"/>
      <c r="F13" s="600"/>
      <c r="G13" s="603"/>
      <c r="H13" s="603"/>
      <c r="I13" s="603"/>
      <c r="J13" s="486"/>
      <c r="K13" s="489" t="s">
        <v>11</v>
      </c>
      <c r="L13" s="493">
        <v>0.5</v>
      </c>
      <c r="M13" s="744">
        <v>9.9000000000000005E-2</v>
      </c>
      <c r="N13" s="495">
        <f>ROUND(L13*M13,4)</f>
        <v>4.9500000000000002E-2</v>
      </c>
      <c r="Q13" s="586" t="s">
        <v>125</v>
      </c>
      <c r="R13" s="580"/>
      <c r="S13" s="586" t="s">
        <v>127</v>
      </c>
      <c r="T13" s="586" t="s">
        <v>128</v>
      </c>
      <c r="U13" s="586" t="s">
        <v>128</v>
      </c>
    </row>
    <row r="14" spans="1:28" ht="14.25" customHeight="1">
      <c r="A14" s="596">
        <v>2</v>
      </c>
      <c r="B14" s="576"/>
      <c r="C14" s="576" t="s">
        <v>130</v>
      </c>
      <c r="D14" s="576"/>
      <c r="E14" s="604">
        <f>$N$15</f>
        <v>7.4300000000000005E-2</v>
      </c>
      <c r="F14" s="605"/>
      <c r="G14" s="606"/>
      <c r="H14" s="606"/>
      <c r="I14" s="606"/>
      <c r="J14" s="486"/>
      <c r="K14" s="489"/>
      <c r="L14" s="496"/>
      <c r="M14" s="497"/>
      <c r="N14" s="495"/>
      <c r="Q14" s="595"/>
      <c r="R14" s="593"/>
      <c r="S14" s="595"/>
      <c r="T14" s="595"/>
      <c r="U14" s="595"/>
    </row>
    <row r="15" spans="1:28" ht="14.25" customHeight="1" thickBot="1">
      <c r="A15" s="596"/>
      <c r="B15" s="576"/>
      <c r="C15" s="576"/>
      <c r="D15" s="576"/>
      <c r="E15" s="605"/>
      <c r="F15" s="605"/>
      <c r="G15" s="605"/>
      <c r="H15" s="605"/>
      <c r="I15" s="605"/>
      <c r="J15" s="486"/>
      <c r="K15" s="489" t="s">
        <v>135</v>
      </c>
      <c r="L15" s="498">
        <f>SUM(L11:L13)</f>
        <v>1</v>
      </c>
      <c r="M15" s="497"/>
      <c r="N15" s="499">
        <f>SUM(N11:N13)</f>
        <v>7.4300000000000005E-2</v>
      </c>
      <c r="O15" s="590"/>
      <c r="Q15" s="576" t="s">
        <v>129</v>
      </c>
      <c r="R15" s="603"/>
      <c r="S15" s="607">
        <v>0.4415</v>
      </c>
      <c r="T15" s="607">
        <v>7.7499999999999999E-2</v>
      </c>
      <c r="U15" s="607">
        <f>ROUND(S15*T15,4)</f>
        <v>3.4200000000000001E-2</v>
      </c>
    </row>
    <row r="16" spans="1:28" ht="14.25" customHeight="1" thickTop="1" thickBot="1">
      <c r="A16" s="596">
        <v>3</v>
      </c>
      <c r="B16" s="576"/>
      <c r="C16" s="576" t="s">
        <v>131</v>
      </c>
      <c r="D16" s="576"/>
      <c r="E16" s="608">
        <f>ROUND(E12*E14,4)</f>
        <v>138242.87719999999</v>
      </c>
      <c r="F16" s="608" t="e">
        <f t="shared" ref="F16" si="0">ROUND(F12*F14,4)</f>
        <v>#REF!</v>
      </c>
      <c r="G16" s="609"/>
      <c r="H16" s="609"/>
      <c r="I16" s="609"/>
      <c r="J16" s="500"/>
      <c r="K16" s="501"/>
      <c r="L16" s="502"/>
      <c r="M16" s="503"/>
      <c r="N16" s="504"/>
      <c r="O16" s="588"/>
      <c r="R16" s="610"/>
      <c r="S16" s="607"/>
      <c r="T16" s="607"/>
      <c r="U16" s="607"/>
    </row>
    <row r="17" spans="1:25" ht="14.25" customHeight="1">
      <c r="A17" s="596"/>
      <c r="B17" s="576"/>
      <c r="C17" s="576"/>
      <c r="D17" s="576"/>
      <c r="E17" s="600"/>
      <c r="F17" s="600"/>
      <c r="G17" s="603"/>
      <c r="H17" s="603"/>
      <c r="I17" s="603"/>
      <c r="J17" s="611"/>
      <c r="O17" s="588"/>
      <c r="Q17" s="613" t="s">
        <v>132</v>
      </c>
      <c r="R17" s="614"/>
      <c r="S17" s="615">
        <v>3.39E-2</v>
      </c>
      <c r="T17" s="615">
        <v>7.0800000000000002E-2</v>
      </c>
      <c r="U17" s="615">
        <f>ROUND(S17*T17,4)</f>
        <v>2.3999999999999998E-3</v>
      </c>
    </row>
    <row r="18" spans="1:25" ht="14.25" customHeight="1">
      <c r="A18" s="596">
        <v>4</v>
      </c>
      <c r="B18" s="576"/>
      <c r="C18" s="576" t="s">
        <v>133</v>
      </c>
      <c r="D18" s="576"/>
      <c r="E18" s="616">
        <f>'ADJ DETAIL-INPUT'!BF57</f>
        <v>107914.3503521048</v>
      </c>
      <c r="F18" s="617" t="e">
        <f>'ADJ DETAIL-INPUT'!#REF!</f>
        <v>#REF!</v>
      </c>
      <c r="G18" s="603"/>
      <c r="H18" s="618"/>
      <c r="I18" s="618"/>
      <c r="L18" s="619"/>
      <c r="M18" s="619"/>
      <c r="O18" s="588"/>
      <c r="P18" s="619"/>
      <c r="R18" s="610"/>
      <c r="S18" s="607"/>
      <c r="T18" s="607"/>
      <c r="U18" s="607"/>
      <c r="V18" s="620" t="s">
        <v>228</v>
      </c>
      <c r="W18" s="620" t="s">
        <v>229</v>
      </c>
    </row>
    <row r="19" spans="1:25" ht="14.25" customHeight="1">
      <c r="A19" s="596"/>
      <c r="B19" s="576"/>
      <c r="C19" s="576"/>
      <c r="D19" s="576"/>
      <c r="E19" s="576"/>
      <c r="F19" s="576"/>
      <c r="G19" s="584"/>
      <c r="H19" s="584"/>
      <c r="I19" s="584"/>
      <c r="O19" s="588"/>
      <c r="P19" s="621"/>
      <c r="R19" s="610"/>
      <c r="S19" s="607"/>
      <c r="T19" s="607"/>
      <c r="U19" s="607"/>
      <c r="V19" s="622"/>
      <c r="W19" s="622"/>
    </row>
    <row r="20" spans="1:25" ht="14.25" customHeight="1">
      <c r="A20" s="596">
        <v>5</v>
      </c>
      <c r="B20" s="576"/>
      <c r="C20" s="576" t="s">
        <v>134</v>
      </c>
      <c r="D20" s="576"/>
      <c r="E20" s="600">
        <f>E16-E18</f>
        <v>30328.526847895191</v>
      </c>
      <c r="F20" s="600" t="e">
        <f t="shared" ref="F20" si="1">F16-F18</f>
        <v>#REF!</v>
      </c>
      <c r="G20" s="603"/>
      <c r="H20" s="603"/>
      <c r="I20" s="603"/>
      <c r="K20" s="584"/>
      <c r="L20" s="707"/>
      <c r="M20" s="712"/>
      <c r="N20" s="584"/>
      <c r="O20" s="584"/>
      <c r="P20" s="584"/>
      <c r="Q20" s="584"/>
      <c r="R20" s="610"/>
      <c r="S20" s="606"/>
      <c r="T20" s="606"/>
      <c r="U20" s="606"/>
      <c r="V20" s="584"/>
      <c r="W20" s="686"/>
      <c r="X20" s="584"/>
      <c r="Y20" s="584"/>
    </row>
    <row r="21" spans="1:25" ht="14.25" customHeight="1">
      <c r="A21" s="596"/>
      <c r="B21" s="576"/>
      <c r="C21" s="576"/>
      <c r="D21" s="576"/>
      <c r="E21" s="576"/>
      <c r="F21" s="576"/>
      <c r="G21" s="590"/>
      <c r="H21" s="590"/>
      <c r="I21" s="590"/>
      <c r="J21" s="590"/>
      <c r="K21" s="708"/>
      <c r="L21" s="707"/>
      <c r="M21" s="712"/>
      <c r="N21" s="584"/>
      <c r="O21" s="584"/>
      <c r="P21" s="584"/>
      <c r="Q21" s="584"/>
      <c r="R21" s="610"/>
      <c r="S21" s="606"/>
      <c r="T21" s="606"/>
      <c r="U21" s="606"/>
      <c r="V21" s="584"/>
      <c r="W21" s="584"/>
      <c r="X21" s="584"/>
      <c r="Y21" s="584"/>
    </row>
    <row r="22" spans="1:25" ht="14.25" customHeight="1">
      <c r="A22" s="596">
        <v>6</v>
      </c>
      <c r="B22" s="576"/>
      <c r="C22" s="576" t="s">
        <v>136</v>
      </c>
      <c r="D22" s="576"/>
      <c r="E22" s="624">
        <f>'CF '!E24</f>
        <v>0.75529400000000002</v>
      </c>
      <c r="F22" s="624">
        <f>'CF '!F24</f>
        <v>0</v>
      </c>
      <c r="G22" s="625"/>
      <c r="H22" s="625"/>
      <c r="I22" s="625"/>
      <c r="J22" s="590"/>
      <c r="K22" s="708"/>
      <c r="L22" s="707"/>
      <c r="M22" s="707"/>
      <c r="N22" s="709"/>
      <c r="O22" s="590"/>
      <c r="P22" s="584"/>
      <c r="Q22" s="584"/>
      <c r="R22" s="610"/>
      <c r="S22" s="606"/>
      <c r="T22" s="606"/>
      <c r="U22" s="606"/>
      <c r="V22" s="584"/>
      <c r="W22" s="584"/>
      <c r="X22" s="584"/>
      <c r="Y22" s="584"/>
    </row>
    <row r="23" spans="1:25" ht="13.5" customHeight="1" thickBot="1">
      <c r="A23" s="596"/>
      <c r="B23" s="576"/>
      <c r="C23" s="576"/>
      <c r="D23" s="576"/>
      <c r="E23" s="627"/>
      <c r="F23" s="627">
        <v>2017</v>
      </c>
      <c r="G23" s="628"/>
      <c r="H23" s="628"/>
      <c r="I23" s="628"/>
      <c r="J23" s="590"/>
      <c r="K23" s="708"/>
      <c r="O23" s="584"/>
      <c r="P23" s="584"/>
      <c r="Q23" s="584"/>
      <c r="R23" s="610"/>
      <c r="S23" s="606"/>
      <c r="T23" s="606"/>
      <c r="U23" s="606"/>
      <c r="V23" s="584"/>
      <c r="W23" s="584"/>
      <c r="X23" s="584"/>
      <c r="Y23" s="584"/>
    </row>
    <row r="24" spans="1:25" ht="14.25" customHeight="1" thickBot="1">
      <c r="A24" s="596">
        <v>7</v>
      </c>
      <c r="B24" s="576"/>
      <c r="C24" s="576" t="s">
        <v>653</v>
      </c>
      <c r="D24" s="576"/>
      <c r="E24" s="629">
        <f>E20/E22</f>
        <v>40154.597875655294</v>
      </c>
      <c r="F24" s="630" t="e">
        <f t="shared" ref="F24" si="2">ROUND(F20/F22,0)</f>
        <v>#REF!</v>
      </c>
      <c r="G24" s="798">
        <f>-E24</f>
        <v>-40154.597875655294</v>
      </c>
      <c r="H24" s="799">
        <v>0</v>
      </c>
      <c r="I24" s="631"/>
      <c r="J24" s="590"/>
      <c r="K24" s="603"/>
      <c r="L24" s="707"/>
      <c r="M24" s="707"/>
      <c r="N24" s="710"/>
      <c r="O24" s="632"/>
      <c r="P24" s="584"/>
      <c r="Q24" s="584"/>
      <c r="R24" s="610"/>
      <c r="S24" s="605"/>
      <c r="T24" s="605"/>
      <c r="U24" s="606"/>
      <c r="V24" s="584"/>
      <c r="W24" s="584"/>
      <c r="X24" s="584"/>
      <c r="Y24" s="584"/>
    </row>
    <row r="25" spans="1:25" ht="14.25" customHeight="1">
      <c r="A25" s="596"/>
      <c r="B25" s="595"/>
      <c r="C25" s="576"/>
      <c r="D25" s="576"/>
      <c r="E25" s="600"/>
      <c r="F25" s="576"/>
      <c r="G25" s="590"/>
      <c r="H25" s="633"/>
      <c r="I25" s="633"/>
      <c r="J25" s="634"/>
      <c r="K25" s="609"/>
      <c r="L25" s="609"/>
      <c r="M25" s="635"/>
      <c r="N25" s="609"/>
      <c r="O25" s="635"/>
      <c r="P25" s="590"/>
      <c r="Q25" s="590"/>
      <c r="R25" s="633"/>
      <c r="S25" s="636"/>
      <c r="T25" s="636"/>
      <c r="U25" s="524"/>
      <c r="V25" s="590"/>
      <c r="W25" s="590"/>
      <c r="X25" s="590"/>
      <c r="Y25" s="584"/>
    </row>
    <row r="26" spans="1:25" ht="14.25" customHeight="1">
      <c r="A26" s="596">
        <v>8</v>
      </c>
      <c r="B26" s="595"/>
      <c r="C26" s="576" t="s">
        <v>654</v>
      </c>
      <c r="D26" s="576"/>
      <c r="E26" s="603">
        <f>'ADJ DETAIL-INPUT'!BF14+'ADJ DETAIL-INPUT'!BF15</f>
        <v>530579</v>
      </c>
      <c r="F26" s="603" t="e">
        <f>'ADJ DETAIL-INPUT'!#REF!+'ADJ DETAIL-INPUT'!#REF!</f>
        <v>#REF!</v>
      </c>
      <c r="G26" s="609"/>
      <c r="H26" s="637"/>
      <c r="I26" s="637"/>
      <c r="J26" s="590"/>
      <c r="K26" s="609"/>
      <c r="L26" s="609"/>
      <c r="M26" s="609"/>
      <c r="N26" s="609"/>
      <c r="O26" s="635"/>
      <c r="P26" s="590"/>
      <c r="Q26" s="590"/>
      <c r="R26" s="633"/>
      <c r="S26" s="636"/>
      <c r="T26" s="636"/>
      <c r="U26" s="524"/>
      <c r="V26" s="590"/>
      <c r="W26" s="590"/>
      <c r="X26" s="590"/>
      <c r="Y26" s="584"/>
    </row>
    <row r="27" spans="1:25" ht="14.25" customHeight="1">
      <c r="A27" s="596"/>
      <c r="B27" s="595"/>
      <c r="C27" s="576"/>
      <c r="D27" s="576"/>
      <c r="E27" s="576"/>
      <c r="F27" s="576"/>
      <c r="G27" s="590"/>
      <c r="H27" s="638"/>
      <c r="I27" s="638"/>
      <c r="J27" s="639"/>
      <c r="K27" s="684"/>
      <c r="L27" s="684"/>
      <c r="M27" s="687"/>
      <c r="N27" s="684"/>
      <c r="O27" s="684"/>
      <c r="P27" s="590"/>
      <c r="Q27" s="590"/>
      <c r="R27" s="633"/>
      <c r="S27" s="636"/>
      <c r="T27" s="636"/>
      <c r="U27" s="524"/>
      <c r="V27" s="590"/>
      <c r="W27" s="590"/>
      <c r="X27" s="590"/>
      <c r="Y27" s="584"/>
    </row>
    <row r="28" spans="1:25" ht="14.25" customHeight="1" thickBot="1">
      <c r="A28" s="596">
        <v>9</v>
      </c>
      <c r="B28" s="595"/>
      <c r="C28" s="576" t="s">
        <v>137</v>
      </c>
      <c r="D28" s="576"/>
      <c r="E28" s="640">
        <f>ROUND(E24/E26,4)</f>
        <v>7.5700000000000003E-2</v>
      </c>
      <c r="F28" s="640" t="e">
        <f t="shared" ref="F28" si="3">ROUND(F24/F26,4)</f>
        <v>#REF!</v>
      </c>
      <c r="G28" s="800">
        <f>G24/E26</f>
        <v>-7.5680714607354024E-2</v>
      </c>
      <c r="H28" s="801">
        <v>0</v>
      </c>
      <c r="I28" s="641"/>
      <c r="J28" s="588"/>
      <c r="K28" s="588"/>
      <c r="L28" s="684"/>
      <c r="M28" s="609"/>
      <c r="N28" s="684"/>
      <c r="O28" s="642"/>
      <c r="P28" s="590"/>
      <c r="Q28" s="590"/>
      <c r="R28" s="609"/>
      <c r="S28" s="524"/>
      <c r="T28" s="636"/>
      <c r="U28" s="524"/>
      <c r="V28" s="590"/>
      <c r="W28" s="590"/>
      <c r="X28" s="590"/>
      <c r="Y28" s="584"/>
    </row>
    <row r="29" spans="1:25" ht="14.25" customHeight="1" thickTop="1">
      <c r="E29" s="644"/>
      <c r="F29" s="644"/>
      <c r="G29" s="595"/>
      <c r="H29" s="594"/>
      <c r="I29" s="645"/>
      <c r="J29" s="588"/>
      <c r="K29" s="590"/>
      <c r="L29" s="646"/>
      <c r="M29" s="684"/>
      <c r="N29" s="646"/>
      <c r="O29" s="684"/>
      <c r="P29" s="590"/>
      <c r="Q29" s="590"/>
      <c r="R29" s="590"/>
      <c r="S29" s="590"/>
      <c r="T29" s="590"/>
      <c r="U29" s="590"/>
      <c r="V29" s="590"/>
      <c r="W29" s="590"/>
      <c r="X29" s="590"/>
      <c r="Y29" s="584"/>
    </row>
    <row r="30" spans="1:25" ht="14.25" customHeight="1">
      <c r="A30" s="596">
        <v>10</v>
      </c>
      <c r="B30" s="595"/>
      <c r="C30" s="576" t="s">
        <v>711</v>
      </c>
      <c r="D30" s="576"/>
      <c r="E30" s="609">
        <v>530123</v>
      </c>
      <c r="F30" s="603">
        <v>505346</v>
      </c>
      <c r="G30" s="802"/>
      <c r="H30" s="803"/>
      <c r="I30" s="609"/>
      <c r="J30" s="588"/>
      <c r="K30" s="684"/>
      <c r="L30" s="588"/>
      <c r="M30" s="642"/>
      <c r="N30" s="588"/>
      <c r="O30" s="642"/>
      <c r="P30" s="590"/>
      <c r="Q30" s="590"/>
      <c r="R30" s="590"/>
      <c r="S30" s="590"/>
      <c r="T30" s="590"/>
      <c r="U30" s="590"/>
      <c r="V30" s="590"/>
      <c r="W30" s="590"/>
      <c r="X30" s="590"/>
      <c r="Y30" s="584"/>
    </row>
    <row r="31" spans="1:25" ht="14.25" customHeight="1">
      <c r="A31" s="596"/>
      <c r="B31" s="595"/>
      <c r="C31" s="576"/>
      <c r="D31" s="576"/>
      <c r="E31" s="647"/>
      <c r="F31" s="576"/>
      <c r="G31" s="576"/>
      <c r="H31" s="803"/>
      <c r="I31" s="524"/>
      <c r="J31" s="588"/>
      <c r="K31" s="588"/>
      <c r="L31" s="648"/>
      <c r="M31" s="635"/>
      <c r="N31" s="648"/>
      <c r="O31" s="635"/>
      <c r="P31" s="590"/>
      <c r="Q31" s="590"/>
      <c r="R31" s="590"/>
      <c r="S31" s="590"/>
      <c r="T31" s="590"/>
      <c r="U31" s="590"/>
      <c r="V31" s="590"/>
      <c r="W31" s="590"/>
      <c r="X31" s="590"/>
      <c r="Y31" s="584"/>
    </row>
    <row r="32" spans="1:25" ht="14.25" customHeight="1" thickBot="1">
      <c r="A32" s="596">
        <v>11</v>
      </c>
      <c r="B32" s="595"/>
      <c r="C32" s="576" t="s">
        <v>137</v>
      </c>
      <c r="D32" s="576"/>
      <c r="E32" s="649">
        <f>ROUND(E24/E30,4)</f>
        <v>7.5700000000000003E-2</v>
      </c>
      <c r="F32" s="640" t="e">
        <f t="shared" ref="F32" si="4">ROUND(F24/F30,4)</f>
        <v>#REF!</v>
      </c>
      <c r="G32" s="800">
        <f>G24/F30</f>
        <v>-7.9459613563093986E-2</v>
      </c>
      <c r="H32" s="801">
        <v>0</v>
      </c>
      <c r="I32" s="641"/>
      <c r="J32" s="588"/>
      <c r="K32" s="590"/>
      <c r="L32" s="584"/>
      <c r="M32" s="623"/>
      <c r="N32" s="584"/>
      <c r="O32" s="584"/>
      <c r="P32" s="590"/>
      <c r="Q32" s="590"/>
      <c r="R32" s="590"/>
      <c r="S32" s="590"/>
      <c r="T32" s="590"/>
      <c r="U32" s="590"/>
      <c r="V32" s="590"/>
      <c r="W32" s="590"/>
      <c r="X32" s="590"/>
      <c r="Y32" s="584"/>
    </row>
    <row r="33" spans="1:25" ht="14.25" customHeight="1" thickTop="1">
      <c r="A33" s="644"/>
      <c r="B33" s="644"/>
      <c r="C33" s="644"/>
      <c r="D33" s="644"/>
      <c r="E33" s="650"/>
      <c r="F33" s="644"/>
      <c r="G33" s="644"/>
      <c r="H33" s="644"/>
      <c r="I33" s="644"/>
      <c r="J33" s="588"/>
      <c r="K33" s="590"/>
      <c r="L33" s="524"/>
      <c r="M33" s="623"/>
    </row>
    <row r="34" spans="1:25" ht="14.25" customHeight="1">
      <c r="J34" s="590"/>
      <c r="K34" s="590"/>
      <c r="L34" s="590"/>
      <c r="M34" s="626"/>
      <c r="N34" s="821"/>
    </row>
    <row r="35" spans="1:25" ht="14.25" customHeight="1">
      <c r="J35" s="590"/>
      <c r="K35" s="590"/>
      <c r="L35" s="590"/>
      <c r="M35" s="626"/>
      <c r="N35" s="524"/>
      <c r="O35" s="590"/>
      <c r="P35" s="590"/>
      <c r="Q35" s="590"/>
      <c r="R35" s="590"/>
      <c r="S35" s="590"/>
      <c r="T35" s="590"/>
      <c r="U35" s="590"/>
      <c r="V35" s="590"/>
      <c r="W35" s="590"/>
      <c r="X35" s="590"/>
      <c r="Y35" s="584"/>
    </row>
    <row r="36" spans="1:25" ht="14.25" customHeight="1">
      <c r="J36" s="590"/>
      <c r="K36" s="590"/>
      <c r="L36" s="590"/>
      <c r="M36" s="626"/>
      <c r="N36" s="590"/>
      <c r="O36" s="590"/>
      <c r="P36" s="651"/>
      <c r="Q36" s="590"/>
      <c r="R36" s="590"/>
      <c r="S36" s="590"/>
      <c r="T36" s="590"/>
      <c r="U36" s="590"/>
      <c r="V36" s="590"/>
      <c r="W36" s="590"/>
      <c r="X36" s="590"/>
      <c r="Y36" s="819" t="s">
        <v>809</v>
      </c>
    </row>
    <row r="37" spans="1:25" ht="14.25" customHeight="1">
      <c r="J37" s="590"/>
      <c r="K37" s="590"/>
      <c r="L37" s="590"/>
      <c r="M37" s="626"/>
      <c r="N37" s="590"/>
      <c r="O37" s="590"/>
      <c r="P37" s="651"/>
      <c r="Q37" s="590"/>
      <c r="R37" s="590"/>
      <c r="S37" s="590"/>
      <c r="T37" s="590"/>
      <c r="U37" s="590"/>
      <c r="V37" s="590"/>
      <c r="W37" s="590"/>
      <c r="X37" s="590"/>
    </row>
    <row r="38" spans="1:25" ht="14.25" customHeight="1">
      <c r="J38" s="590"/>
      <c r="K38" s="590"/>
      <c r="L38" s="590"/>
      <c r="M38" s="626"/>
    </row>
    <row r="39" spans="1:25" ht="14.25" customHeight="1">
      <c r="J39" s="590"/>
      <c r="K39" s="590"/>
      <c r="L39" s="590"/>
      <c r="M39" s="626"/>
    </row>
    <row r="40" spans="1:25" ht="14.25" customHeight="1">
      <c r="J40" s="590"/>
      <c r="K40" s="590"/>
      <c r="L40" s="590"/>
      <c r="M40" s="626"/>
    </row>
    <row r="41" spans="1:25" ht="14.25" customHeight="1">
      <c r="J41" s="590"/>
      <c r="K41" s="590"/>
      <c r="L41" s="590"/>
      <c r="M41" s="626"/>
    </row>
    <row r="42" spans="1:25" ht="14.25" customHeight="1">
      <c r="J42" s="590"/>
      <c r="K42" s="590"/>
      <c r="L42" s="590"/>
      <c r="M42" s="626"/>
      <c r="N42" s="590"/>
      <c r="O42" s="590"/>
      <c r="P42" s="651"/>
      <c r="Q42" s="590"/>
      <c r="R42" s="590"/>
      <c r="S42" s="590"/>
      <c r="T42" s="590"/>
      <c r="U42" s="590"/>
      <c r="V42" s="590"/>
      <c r="W42" s="590"/>
      <c r="X42" s="590"/>
    </row>
    <row r="43" spans="1:25" ht="14.25" customHeight="1">
      <c r="J43" s="590"/>
      <c r="K43" s="590"/>
      <c r="L43" s="590"/>
      <c r="M43" s="626"/>
      <c r="N43" s="590"/>
      <c r="O43" s="590"/>
      <c r="P43" s="651"/>
      <c r="Q43" s="590"/>
      <c r="R43" s="590"/>
      <c r="S43" s="590"/>
      <c r="T43" s="590"/>
      <c r="U43" s="590"/>
      <c r="V43" s="590"/>
      <c r="W43" s="590"/>
      <c r="X43" s="590"/>
    </row>
    <row r="44" spans="1:25" ht="14.25" customHeight="1">
      <c r="E44" s="823"/>
      <c r="G44" s="822"/>
    </row>
    <row r="45" spans="1:25" ht="14.25" customHeight="1">
      <c r="G45" s="822"/>
    </row>
    <row r="46" spans="1:25" ht="14.25" customHeight="1">
      <c r="E46" s="652"/>
      <c r="N46" s="590"/>
      <c r="O46" s="590"/>
      <c r="P46" s="651"/>
      <c r="Q46" s="590"/>
      <c r="R46" s="590"/>
      <c r="S46" s="590"/>
      <c r="T46" s="590"/>
      <c r="U46" s="590"/>
      <c r="V46" s="590"/>
      <c r="W46" s="590"/>
      <c r="X46" s="590"/>
    </row>
    <row r="47" spans="1:25" ht="14.25" customHeight="1">
      <c r="E47" s="652"/>
      <c r="N47" s="590"/>
      <c r="O47" s="590"/>
      <c r="P47" s="651"/>
      <c r="Q47" s="590"/>
      <c r="R47" s="590"/>
      <c r="S47" s="590"/>
      <c r="T47" s="590"/>
      <c r="U47" s="590"/>
      <c r="V47" s="590"/>
      <c r="W47" s="590"/>
      <c r="X47" s="590"/>
    </row>
    <row r="48" spans="1:25" ht="14.25" customHeight="1">
      <c r="N48" s="590"/>
      <c r="O48" s="590"/>
      <c r="P48" s="651"/>
      <c r="Q48" s="590"/>
      <c r="R48" s="590"/>
      <c r="S48" s="590"/>
      <c r="T48" s="590"/>
      <c r="U48" s="590"/>
      <c r="V48" s="590"/>
      <c r="W48" s="590"/>
      <c r="X48" s="590"/>
    </row>
    <row r="49" spans="14:24" ht="14.25" customHeight="1">
      <c r="N49" s="590"/>
      <c r="O49" s="590"/>
      <c r="P49" s="651"/>
      <c r="Q49" s="590"/>
      <c r="R49" s="590"/>
      <c r="S49" s="590"/>
      <c r="T49" s="590"/>
      <c r="U49" s="590"/>
      <c r="V49" s="590"/>
      <c r="W49" s="590"/>
      <c r="X49" s="590"/>
    </row>
    <row r="50" spans="14:24" ht="14.25" customHeight="1">
      <c r="N50" s="590"/>
      <c r="O50" s="590"/>
      <c r="P50" s="590"/>
      <c r="Q50" s="590"/>
      <c r="R50" s="590"/>
      <c r="S50" s="590"/>
      <c r="T50" s="590"/>
      <c r="U50" s="590"/>
      <c r="V50" s="590"/>
      <c r="W50" s="590"/>
      <c r="X50" s="590"/>
    </row>
    <row r="51" spans="14:24" ht="14.25" customHeight="1">
      <c r="N51" s="590"/>
      <c r="O51" s="590"/>
      <c r="P51" s="590"/>
      <c r="Q51" s="590"/>
      <c r="R51" s="590"/>
      <c r="S51" s="590"/>
      <c r="T51" s="590"/>
      <c r="U51" s="590"/>
      <c r="V51" s="590"/>
      <c r="W51" s="590"/>
      <c r="X51" s="590"/>
    </row>
    <row r="52" spans="14:24" ht="14.25" customHeight="1">
      <c r="O52" s="590"/>
      <c r="P52" s="590"/>
      <c r="Q52" s="590"/>
      <c r="R52" s="590"/>
      <c r="S52" s="590"/>
      <c r="T52" s="590"/>
      <c r="U52" s="590"/>
      <c r="V52" s="590"/>
      <c r="W52" s="590"/>
      <c r="X52" s="590"/>
    </row>
    <row r="53" spans="14:24" ht="14.25" customHeight="1">
      <c r="O53" s="590"/>
      <c r="P53" s="590"/>
      <c r="Q53" s="590"/>
      <c r="R53" s="590"/>
      <c r="S53" s="590"/>
      <c r="T53" s="590"/>
      <c r="U53" s="590"/>
      <c r="V53" s="590"/>
      <c r="W53" s="590"/>
      <c r="X53" s="590"/>
    </row>
    <row r="54" spans="14:24" ht="14.25" customHeight="1">
      <c r="N54" s="820"/>
    </row>
    <row r="55" spans="14:24" ht="14.25" customHeight="1">
      <c r="N55" s="820"/>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1.25" right="0.51" top="1.25" bottom="0.5" header="0.5" footer="0.5"/>
  <pageSetup scale="83" firstPageNumber="4" orientation="portrait" r:id="rId1"/>
  <headerFooter scaleWithDoc="0" alignWithMargins="0">
    <oddHeader xml:space="preserve">&amp;R Exh. EMA-8
</oddHeader>
    <oddFooter>&amp;RPage &amp;P of &amp;N</oddFooter>
  </headerFooter>
  <colBreaks count="1" manualBreakCount="1">
    <brk id="5" max="56"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pageSetUpPr fitToPage="1"/>
  </sheetPr>
  <dimension ref="A1:BI51"/>
  <sheetViews>
    <sheetView workbookViewId="0">
      <selection activeCell="L29" sqref="L29"/>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116</v>
      </c>
      <c r="B1" s="98"/>
      <c r="C1" s="98"/>
      <c r="D1" s="98"/>
      <c r="E1" s="111"/>
      <c r="G1" s="99"/>
    </row>
    <row r="2" spans="1:52" ht="13.5" customHeight="1">
      <c r="A2" s="994" t="s">
        <v>179</v>
      </c>
      <c r="B2" s="994"/>
      <c r="C2" s="994"/>
      <c r="D2" s="994"/>
      <c r="E2" s="994"/>
      <c r="G2" s="99"/>
    </row>
    <row r="3" spans="1:52">
      <c r="A3" s="993" t="s">
        <v>241</v>
      </c>
      <c r="B3" s="993"/>
      <c r="C3" s="993"/>
      <c r="D3" s="993"/>
      <c r="E3" s="993"/>
      <c r="F3" s="391"/>
      <c r="G3" s="391"/>
      <c r="K3" s="27"/>
      <c r="L3" s="27"/>
      <c r="X3" s="27"/>
      <c r="Y3" s="27"/>
      <c r="Z3" s="27"/>
      <c r="AA3" s="27"/>
      <c r="AB3" s="27"/>
      <c r="AC3" s="27"/>
      <c r="AD3" s="27"/>
      <c r="AE3" s="27"/>
      <c r="AF3" s="27"/>
      <c r="AG3" s="27"/>
      <c r="AH3" s="27"/>
      <c r="AI3" s="27"/>
      <c r="AJ3" s="27"/>
      <c r="AK3" s="27"/>
      <c r="AL3" s="27"/>
      <c r="AM3" s="27"/>
      <c r="AN3" s="27"/>
      <c r="AO3" s="27"/>
      <c r="AP3" s="27"/>
      <c r="AQ3" s="508"/>
      <c r="AR3" s="27"/>
      <c r="AS3" s="27"/>
      <c r="AT3" s="27"/>
    </row>
    <row r="4" spans="1:52">
      <c r="A4" s="993" t="str">
        <f>'RR SUMMARY'!A4:H4</f>
        <v>TWELVE MONTHS ENDED DECEMBER 31, 2019</v>
      </c>
      <c r="B4" s="993"/>
      <c r="C4" s="993"/>
      <c r="D4" s="993"/>
      <c r="E4" s="993"/>
      <c r="G4" s="99"/>
      <c r="J4" s="535"/>
      <c r="K4" s="29"/>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545"/>
      <c r="E5" s="512"/>
      <c r="G5" s="99"/>
      <c r="J5" s="532" t="s">
        <v>181</v>
      </c>
      <c r="K5" s="531"/>
      <c r="L5" s="27"/>
      <c r="V5" s="392"/>
      <c r="X5" s="27"/>
      <c r="Y5" s="27"/>
      <c r="Z5" s="27"/>
      <c r="AA5" s="27"/>
      <c r="AB5" s="27"/>
      <c r="AC5" s="27"/>
      <c r="AD5" s="27"/>
      <c r="AE5" s="27"/>
      <c r="AF5" s="27"/>
      <c r="AG5" s="27"/>
      <c r="AH5" s="27"/>
      <c r="AI5" s="27"/>
      <c r="AJ5" s="27"/>
      <c r="AK5" s="27"/>
      <c r="AL5" s="27"/>
      <c r="AM5" s="27"/>
      <c r="AN5" s="27"/>
      <c r="AO5" s="27"/>
      <c r="AP5" s="27"/>
      <c r="AQ5" s="27"/>
      <c r="AR5" s="27"/>
      <c r="AS5" s="27"/>
      <c r="AT5" s="508"/>
    </row>
    <row r="6" spans="1:52" s="26" customFormat="1" ht="13.5">
      <c r="A6" s="545" t="s">
        <v>120</v>
      </c>
      <c r="B6" s="545"/>
      <c r="C6" s="545"/>
      <c r="D6" s="545"/>
      <c r="E6" s="112"/>
      <c r="G6" s="100"/>
      <c r="J6" s="533" t="s">
        <v>171</v>
      </c>
      <c r="K6" s="531"/>
      <c r="L6" s="531"/>
      <c r="Q6" s="131"/>
      <c r="X6" s="507"/>
      <c r="Y6" s="507"/>
      <c r="Z6" s="507"/>
      <c r="AA6" s="507"/>
      <c r="AB6" s="507"/>
      <c r="AC6" s="507"/>
      <c r="AD6" s="507"/>
      <c r="AE6" s="507"/>
      <c r="AF6" s="507"/>
      <c r="AG6" s="507"/>
      <c r="AH6" s="507"/>
      <c r="AI6" s="507"/>
      <c r="AJ6" s="507"/>
      <c r="AK6" s="507"/>
      <c r="AL6" s="507"/>
      <c r="AM6" s="507"/>
      <c r="AN6" s="507"/>
      <c r="AO6" s="507"/>
      <c r="AP6" s="507"/>
      <c r="AQ6" s="507"/>
      <c r="AR6" s="507"/>
      <c r="AS6" s="507"/>
      <c r="AT6" s="507"/>
      <c r="AZ6" s="392" t="s">
        <v>622</v>
      </c>
    </row>
    <row r="7" spans="1:52" s="26" customFormat="1" ht="13.5">
      <c r="A7" s="101" t="s">
        <v>21</v>
      </c>
      <c r="B7" s="545"/>
      <c r="C7" s="101" t="s">
        <v>80</v>
      </c>
      <c r="D7" s="537"/>
      <c r="E7" s="113" t="s">
        <v>172</v>
      </c>
      <c r="G7" s="100"/>
      <c r="K7" s="531"/>
      <c r="L7" s="531"/>
      <c r="Q7" s="131"/>
      <c r="X7" s="507"/>
      <c r="Y7" s="507"/>
      <c r="Z7" s="507"/>
      <c r="AA7" s="507"/>
      <c r="AB7" s="507"/>
      <c r="AC7" s="507"/>
      <c r="AD7" s="507"/>
      <c r="AE7" s="507"/>
      <c r="AF7" s="507"/>
      <c r="AG7" s="507"/>
      <c r="AH7" s="507"/>
      <c r="AI7" s="507"/>
      <c r="AJ7" s="507"/>
      <c r="AK7" s="507"/>
      <c r="AL7" s="507"/>
      <c r="AM7" s="507"/>
      <c r="AN7" s="507"/>
      <c r="AO7" s="507"/>
      <c r="AP7" s="507"/>
      <c r="AQ7" s="507"/>
      <c r="AR7" s="507"/>
      <c r="AS7" s="507"/>
      <c r="AT7" s="507"/>
    </row>
    <row r="8" spans="1:52">
      <c r="G8" s="99"/>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546">
        <v>1</v>
      </c>
      <c r="C9" s="102" t="s">
        <v>32</v>
      </c>
      <c r="E9" s="114">
        <v>1</v>
      </c>
      <c r="J9" s="103">
        <f>'RR SUMMARY'!E24</f>
        <v>40154.597875655294</v>
      </c>
      <c r="K9" s="165"/>
      <c r="L9" s="27"/>
    </row>
    <row r="10" spans="1:52">
      <c r="A10" s="546"/>
      <c r="E10" s="114"/>
      <c r="J10" s="99"/>
      <c r="K10" s="105"/>
      <c r="L10" s="27"/>
    </row>
    <row r="11" spans="1:52">
      <c r="A11" s="546"/>
      <c r="C11" s="97" t="s">
        <v>173</v>
      </c>
      <c r="D11" s="386"/>
      <c r="E11" s="547"/>
      <c r="F11" s="96"/>
      <c r="J11" s="99"/>
      <c r="K11" s="105"/>
      <c r="L11" s="27"/>
    </row>
    <row r="12" spans="1:52">
      <c r="A12" s="546">
        <v>2</v>
      </c>
      <c r="C12" s="386" t="s">
        <v>174</v>
      </c>
      <c r="D12" s="528"/>
      <c r="E12" s="548">
        <v>3.3262885794710221E-3</v>
      </c>
      <c r="F12" s="526"/>
      <c r="J12" s="99">
        <f>ROUND($J$9*E12,0)</f>
        <v>134</v>
      </c>
      <c r="K12" s="105"/>
      <c r="L12" s="27"/>
    </row>
    <row r="13" spans="1:52">
      <c r="A13" s="546"/>
      <c r="C13" s="386"/>
      <c r="D13" s="386"/>
      <c r="E13" s="548"/>
      <c r="J13" s="99"/>
      <c r="K13" s="105"/>
      <c r="L13" s="27"/>
    </row>
    <row r="14" spans="1:52">
      <c r="A14" s="546">
        <v>3</v>
      </c>
      <c r="C14" s="386" t="s">
        <v>175</v>
      </c>
      <c r="D14" s="386"/>
      <c r="E14" s="548">
        <v>2E-3</v>
      </c>
      <c r="J14" s="99">
        <f>ROUND($J$9*E14,0)</f>
        <v>80</v>
      </c>
      <c r="K14" s="105"/>
      <c r="L14" s="27"/>
    </row>
    <row r="15" spans="1:52">
      <c r="A15" s="546"/>
      <c r="C15" s="386"/>
      <c r="D15" s="386"/>
      <c r="E15" s="548"/>
      <c r="J15" s="99"/>
      <c r="K15" s="105"/>
      <c r="L15" s="27"/>
      <c r="AP15" s="201"/>
    </row>
    <row r="16" spans="1:52">
      <c r="A16" s="546">
        <v>4</v>
      </c>
      <c r="C16" s="386" t="s">
        <v>176</v>
      </c>
      <c r="D16" s="528"/>
      <c r="E16" s="548">
        <v>3.8605159538162764E-2</v>
      </c>
      <c r="F16" s="527"/>
      <c r="J16" s="99">
        <f>ROUND($J$9*E16,0)</f>
        <v>1550</v>
      </c>
      <c r="K16" s="105"/>
      <c r="L16" s="27"/>
    </row>
    <row r="17" spans="1:61">
      <c r="A17" s="546"/>
      <c r="C17" s="386"/>
      <c r="D17" s="386"/>
      <c r="E17" s="549"/>
      <c r="J17" s="99"/>
      <c r="K17" s="105"/>
      <c r="L17" s="27"/>
    </row>
    <row r="18" spans="1:61">
      <c r="A18" s="546">
        <v>6</v>
      </c>
      <c r="C18" s="386" t="s">
        <v>177</v>
      </c>
      <c r="D18" s="386"/>
      <c r="E18" s="116">
        <f>SUM(E12:E16)</f>
        <v>4.393144811763379E-2</v>
      </c>
      <c r="J18" s="104">
        <f>SUM(J12:J16)</f>
        <v>1764</v>
      </c>
      <c r="K18" s="105"/>
      <c r="L18" s="27"/>
    </row>
    <row r="19" spans="1:61">
      <c r="C19" s="386"/>
      <c r="D19" s="386"/>
      <c r="E19" s="115"/>
      <c r="J19" s="99"/>
      <c r="K19" s="105"/>
      <c r="L19" s="529"/>
    </row>
    <row r="20" spans="1:61">
      <c r="A20" s="546">
        <v>7</v>
      </c>
      <c r="C20" s="386" t="s">
        <v>178</v>
      </c>
      <c r="D20" s="386"/>
      <c r="E20" s="115">
        <f>E9-E18</f>
        <v>0.95606855188236617</v>
      </c>
      <c r="J20" s="105">
        <f>J9-J18</f>
        <v>38390.597875655294</v>
      </c>
      <c r="K20" s="105"/>
      <c r="L20" s="27"/>
      <c r="AP20" s="201"/>
    </row>
    <row r="21" spans="1:61">
      <c r="C21" s="386"/>
      <c r="D21" s="386"/>
      <c r="E21" s="115"/>
      <c r="J21" s="105"/>
      <c r="K21" s="105"/>
      <c r="L21" s="27"/>
      <c r="BC21" s="25">
        <v>109</v>
      </c>
      <c r="BI21" s="25">
        <v>-2</v>
      </c>
    </row>
    <row r="22" spans="1:61">
      <c r="A22" s="516">
        <v>8</v>
      </c>
      <c r="B22" s="146"/>
      <c r="C22" s="549" t="s">
        <v>684</v>
      </c>
      <c r="D22" s="550"/>
      <c r="E22" s="551">
        <v>0.20077439589529689</v>
      </c>
      <c r="G22" s="99"/>
      <c r="J22" s="106">
        <f>ROUND(J20*0.21,0)</f>
        <v>8062</v>
      </c>
      <c r="K22" s="105"/>
      <c r="L22" s="27"/>
    </row>
    <row r="23" spans="1:61">
      <c r="A23" s="146"/>
      <c r="B23" s="146"/>
      <c r="C23" s="549"/>
      <c r="D23" s="549"/>
      <c r="E23" s="548"/>
      <c r="G23" s="99"/>
      <c r="K23" s="27"/>
      <c r="L23" s="115"/>
    </row>
    <row r="24" spans="1:61" ht="13.5" thickBot="1">
      <c r="A24" s="516">
        <v>9</v>
      </c>
      <c r="B24" s="146"/>
      <c r="C24" s="552" t="s">
        <v>179</v>
      </c>
      <c r="D24" s="549"/>
      <c r="E24" s="553">
        <f>ROUND(E20-E22,6)</f>
        <v>0.75529400000000002</v>
      </c>
      <c r="J24" s="132">
        <f>J20-J22</f>
        <v>30328.597875655294</v>
      </c>
      <c r="K24" s="105"/>
      <c r="L24" s="27"/>
    </row>
    <row r="25" spans="1:61" ht="13.5" thickTop="1">
      <c r="K25" s="27"/>
      <c r="L25" s="27"/>
      <c r="BG25" s="25">
        <v>622</v>
      </c>
    </row>
    <row r="26" spans="1:61">
      <c r="J26" s="139">
        <f>J24/E24</f>
        <v>40154.691915539239</v>
      </c>
      <c r="K26" s="534"/>
      <c r="L26" s="27"/>
    </row>
    <row r="28" spans="1:61">
      <c r="J28" s="139">
        <f>J26-'RR SUMMARY'!E24</f>
        <v>9.4039883944788016E-2</v>
      </c>
    </row>
    <row r="30" spans="1:61">
      <c r="AP30" s="200"/>
    </row>
    <row r="35" spans="42:42">
      <c r="AP35" s="200"/>
    </row>
    <row r="50" spans="5:5">
      <c r="E50" s="378"/>
    </row>
    <row r="51" spans="5:5">
      <c r="E51" s="378"/>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EMA-8</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514"/>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BN98"/>
  <sheetViews>
    <sheetView view="pageBreakPreview" zoomScaleNormal="100" zoomScaleSheetLayoutView="100" workbookViewId="0">
      <pane xSplit="5" ySplit="12" topLeftCell="AK13" activePane="bottomRight" state="frozen"/>
      <selection activeCell="L29" sqref="L29"/>
      <selection pane="topRight" activeCell="L29" sqref="L29"/>
      <selection pane="bottomLeft" activeCell="L29" sqref="L29"/>
      <selection pane="bottomRight" activeCell="AO2" sqref="AO2:AO5"/>
    </sheetView>
  </sheetViews>
  <sheetFormatPr defaultColWidth="10.5703125" defaultRowHeight="12"/>
  <cols>
    <col min="1" max="1" width="4.5703125" style="410" customWidth="1"/>
    <col min="2" max="3" width="1.5703125" style="409" customWidth="1"/>
    <col min="4" max="4" width="35.42578125" style="409" customWidth="1"/>
    <col min="5" max="5" width="12.5703125" style="436" customWidth="1"/>
    <col min="6" max="6" width="10.5703125" style="435" customWidth="1"/>
    <col min="7" max="7" width="11.28515625" style="435" customWidth="1"/>
    <col min="8" max="8" width="9.5703125" style="435" customWidth="1"/>
    <col min="9" max="9" width="11.7109375" style="435" customWidth="1"/>
    <col min="10" max="10" width="10.42578125" style="435" customWidth="1"/>
    <col min="11" max="11" width="10.7109375" style="435" bestFit="1" customWidth="1"/>
    <col min="12" max="12" width="9.140625" style="435" customWidth="1"/>
    <col min="13" max="13" width="11.5703125" style="435" customWidth="1"/>
    <col min="14" max="14" width="9" style="435" bestFit="1" customWidth="1"/>
    <col min="15" max="15" width="9.7109375" style="435" bestFit="1" customWidth="1"/>
    <col min="16" max="16" width="11.7109375" style="435" bestFit="1" customWidth="1"/>
    <col min="17" max="17" width="7.7109375" style="435" bestFit="1" customWidth="1"/>
    <col min="18" max="18" width="8.42578125" style="435" bestFit="1" customWidth="1"/>
    <col min="19" max="19" width="13.28515625" style="435" bestFit="1" customWidth="1"/>
    <col min="20" max="20" width="9.85546875" style="436" bestFit="1" customWidth="1"/>
    <col min="21" max="21" width="17.28515625" style="436" bestFit="1" customWidth="1"/>
    <col min="22" max="22" width="11.5703125" style="713" customWidth="1"/>
    <col min="23" max="23" width="11.140625" style="436" customWidth="1"/>
    <col min="24" max="24" width="10.42578125" style="435" bestFit="1" customWidth="1"/>
    <col min="25" max="25" width="10.85546875" style="435" bestFit="1" customWidth="1"/>
    <col min="26" max="26" width="13" style="436" customWidth="1"/>
    <col min="27" max="27" width="11" style="436" bestFit="1" customWidth="1"/>
    <col min="28" max="28" width="11.5703125" style="728" bestFit="1" customWidth="1"/>
    <col min="29" max="29" width="11" style="434" customWidth="1"/>
    <col min="30" max="30" width="11" style="436" customWidth="1"/>
    <col min="31" max="31" width="15.28515625" style="436" bestFit="1" customWidth="1"/>
    <col min="32" max="32" width="12.5703125" style="436" customWidth="1"/>
    <col min="33" max="33" width="17.42578125" style="435" customWidth="1"/>
    <col min="34" max="34" width="12" style="435" customWidth="1"/>
    <col min="35" max="36" width="10.42578125" style="728" bestFit="1" customWidth="1"/>
    <col min="37" max="37" width="11.28515625" style="728" customWidth="1"/>
    <col min="38" max="38" width="11.85546875" style="436" customWidth="1"/>
    <col min="39" max="39" width="11" style="435" customWidth="1"/>
    <col min="40" max="40" width="13.5703125" style="435" customWidth="1"/>
    <col min="41" max="41" width="13.140625" style="436" customWidth="1"/>
    <col min="42" max="42" width="13" style="436" customWidth="1"/>
    <col min="43" max="43" width="10.42578125" style="435" bestFit="1" customWidth="1"/>
    <col min="44" max="44" width="12.7109375" style="435" bestFit="1" customWidth="1"/>
    <col min="45" max="45" width="14.7109375" style="435" bestFit="1" customWidth="1"/>
    <col min="46" max="49" width="13.5703125" style="435" customWidth="1"/>
    <col min="50" max="50" width="13.5703125" style="436" customWidth="1"/>
    <col min="51" max="51" width="10.5703125" style="436" bestFit="1" customWidth="1"/>
    <col min="52" max="52" width="13.7109375" style="436" bestFit="1" customWidth="1"/>
    <col min="53" max="53" width="13.7109375" style="436" customWidth="1"/>
    <col min="54" max="54" width="12.5703125" style="436" customWidth="1"/>
    <col min="55" max="55" width="13.7109375" style="436" customWidth="1"/>
    <col min="56" max="56" width="9" style="435" hidden="1" customWidth="1"/>
    <col min="57" max="57" width="9" style="436" hidden="1" customWidth="1"/>
    <col min="58" max="58" width="16.140625" style="437" customWidth="1"/>
    <col min="59" max="60" width="16.140625" style="436" customWidth="1"/>
    <col min="61" max="16384" width="10.5703125" style="409"/>
  </cols>
  <sheetData>
    <row r="1" spans="1:60" ht="12.75" customHeight="1">
      <c r="D1" s="979"/>
      <c r="E1" s="979"/>
      <c r="F1" s="997" t="s">
        <v>966</v>
      </c>
      <c r="G1" s="997"/>
      <c r="H1" s="997"/>
      <c r="I1" s="997"/>
      <c r="J1" s="997"/>
      <c r="K1" s="997"/>
      <c r="L1" s="997"/>
      <c r="M1" s="997"/>
      <c r="N1" s="436"/>
      <c r="O1" s="436"/>
      <c r="P1" s="436"/>
      <c r="Q1" s="436"/>
      <c r="R1" s="436"/>
      <c r="AD1" s="947" t="s">
        <v>965</v>
      </c>
      <c r="AE1" s="948"/>
      <c r="AF1" s="948"/>
      <c r="AG1" s="948"/>
      <c r="AH1" s="948"/>
      <c r="AI1" s="949"/>
      <c r="AJ1" s="950"/>
      <c r="AK1" s="950"/>
      <c r="AV1" s="959"/>
      <c r="AW1" s="960"/>
      <c r="AX1" s="998" t="s">
        <v>984</v>
      </c>
      <c r="AY1" s="999"/>
      <c r="AZ1" s="881"/>
      <c r="BA1" s="882"/>
      <c r="BC1" s="474"/>
      <c r="BG1" s="474"/>
    </row>
    <row r="2" spans="1:60" ht="18" customHeight="1">
      <c r="A2" s="573" t="s">
        <v>185</v>
      </c>
      <c r="D2" s="410"/>
      <c r="E2" s="562" t="s">
        <v>678</v>
      </c>
      <c r="F2" s="653" t="s">
        <v>644</v>
      </c>
      <c r="G2" s="434"/>
      <c r="H2" s="434"/>
      <c r="J2" s="434"/>
      <c r="K2" s="438"/>
      <c r="L2" s="434"/>
      <c r="M2" s="434"/>
      <c r="N2" s="434"/>
      <c r="O2" s="434"/>
      <c r="P2" s="434"/>
      <c r="Q2" s="434"/>
      <c r="R2" s="434"/>
      <c r="S2" s="436"/>
      <c r="V2" s="434"/>
      <c r="W2" s="670"/>
      <c r="X2" s="436"/>
      <c r="Y2" s="436"/>
      <c r="Z2" s="661"/>
      <c r="AA2" s="673"/>
      <c r="AB2" s="743"/>
      <c r="AD2" s="436" t="s">
        <v>970</v>
      </c>
      <c r="AE2" s="434"/>
      <c r="AG2" s="434" t="s">
        <v>645</v>
      </c>
      <c r="AH2" s="711"/>
      <c r="AI2" s="755"/>
      <c r="AJ2" s="713"/>
      <c r="AK2" s="435" t="s">
        <v>964</v>
      </c>
      <c r="AL2" s="434"/>
      <c r="AM2" s="436"/>
      <c r="AN2" s="436"/>
      <c r="AO2" s="1005" t="s">
        <v>983</v>
      </c>
      <c r="AP2" s="757"/>
      <c r="AQ2" s="436"/>
      <c r="AR2" s="436"/>
      <c r="AS2" s="436"/>
      <c r="AT2" s="436"/>
      <c r="AV2" s="961"/>
      <c r="AW2" s="962"/>
      <c r="AX2" s="1000"/>
      <c r="AY2" s="1001"/>
      <c r="AZ2" s="883"/>
      <c r="BA2" s="884"/>
      <c r="BB2" s="661"/>
      <c r="BC2" s="764"/>
      <c r="BD2" s="436"/>
      <c r="BE2" s="681"/>
      <c r="BF2" s="434"/>
      <c r="BG2" s="438" t="s">
        <v>792</v>
      </c>
    </row>
    <row r="3" spans="1:60" ht="14.25" customHeight="1">
      <c r="A3" s="573" t="s">
        <v>680</v>
      </c>
      <c r="D3" s="410"/>
      <c r="E3" s="563"/>
      <c r="F3" s="436"/>
      <c r="G3" s="437"/>
      <c r="H3" s="673"/>
      <c r="I3" s="434"/>
      <c r="J3" s="434"/>
      <c r="K3" s="434"/>
      <c r="L3" s="434"/>
      <c r="M3" s="435" t="s">
        <v>964</v>
      </c>
      <c r="N3" s="434"/>
      <c r="O3" s="670"/>
      <c r="P3" s="434"/>
      <c r="Q3" s="674"/>
      <c r="R3" s="674"/>
      <c r="S3" s="436"/>
      <c r="T3" s="673"/>
      <c r="U3" s="673"/>
      <c r="V3" s="714"/>
      <c r="W3" s="670"/>
      <c r="X3" s="436"/>
      <c r="Y3" s="436"/>
      <c r="Z3" s="510"/>
      <c r="AA3" s="678"/>
      <c r="AB3" s="435" t="s">
        <v>964</v>
      </c>
      <c r="AD3" s="1041" t="s">
        <v>982</v>
      </c>
      <c r="AE3" s="1041"/>
      <c r="AG3" s="711"/>
      <c r="AH3" s="435" t="s">
        <v>964</v>
      </c>
      <c r="AI3" s="755"/>
      <c r="AJ3" s="714"/>
      <c r="AK3" s="1008" t="s">
        <v>817</v>
      </c>
      <c r="AL3" s="435" t="s">
        <v>964</v>
      </c>
      <c r="AM3" s="510"/>
      <c r="AN3" s="435" t="s">
        <v>964</v>
      </c>
      <c r="AO3" s="1005"/>
      <c r="AP3" s="435" t="s">
        <v>964</v>
      </c>
      <c r="AQ3" s="435" t="s">
        <v>964</v>
      </c>
      <c r="AR3" s="435" t="s">
        <v>964</v>
      </c>
      <c r="AS3" s="435" t="s">
        <v>964</v>
      </c>
      <c r="AT3" s="435" t="s">
        <v>964</v>
      </c>
      <c r="AU3" s="435" t="s">
        <v>964</v>
      </c>
      <c r="AV3" s="867" t="s">
        <v>964</v>
      </c>
      <c r="AW3" s="868"/>
      <c r="AX3" s="1000"/>
      <c r="AY3" s="1001"/>
      <c r="AZ3" s="435" t="s">
        <v>964</v>
      </c>
      <c r="BA3" s="885"/>
      <c r="BB3" s="435" t="s">
        <v>964</v>
      </c>
      <c r="BC3" s="438" t="s">
        <v>821</v>
      </c>
      <c r="BD3" s="756"/>
      <c r="BE3" s="674"/>
      <c r="BF3" s="510"/>
      <c r="BG3" s="438" t="s">
        <v>793</v>
      </c>
      <c r="BH3" s="783"/>
    </row>
    <row r="4" spans="1:60" ht="17.25" customHeight="1">
      <c r="A4" s="573" t="s">
        <v>738</v>
      </c>
      <c r="D4" s="410"/>
      <c r="E4" s="564"/>
      <c r="F4" s="995" t="s">
        <v>963</v>
      </c>
      <c r="G4" s="996"/>
      <c r="H4" s="996"/>
      <c r="I4" s="996"/>
      <c r="J4" s="996"/>
      <c r="K4" s="996"/>
      <c r="L4" s="474"/>
      <c r="M4" s="1002" t="s">
        <v>813</v>
      </c>
      <c r="N4" s="436"/>
      <c r="O4" s="670"/>
      <c r="P4" s="436"/>
      <c r="Q4" s="667"/>
      <c r="R4" s="667"/>
      <c r="S4" s="438"/>
      <c r="T4" s="673"/>
      <c r="U4" s="673"/>
      <c r="V4" s="740"/>
      <c r="X4" s="438"/>
      <c r="Y4" s="438"/>
      <c r="Z4" s="662"/>
      <c r="AA4" s="678"/>
      <c r="AB4" s="1002" t="s">
        <v>814</v>
      </c>
      <c r="AD4" s="1041"/>
      <c r="AE4" s="1041"/>
      <c r="AF4" s="838"/>
      <c r="AG4" s="711"/>
      <c r="AH4" s="1002" t="s">
        <v>816</v>
      </c>
      <c r="AI4" s="755"/>
      <c r="AJ4" s="738"/>
      <c r="AK4" s="1008"/>
      <c r="AL4" s="1002" t="s">
        <v>818</v>
      </c>
      <c r="AM4" s="711"/>
      <c r="AN4" s="1002" t="s">
        <v>819</v>
      </c>
      <c r="AO4" s="1005"/>
      <c r="AP4" s="1002" t="s">
        <v>820</v>
      </c>
      <c r="AQ4" s="1002" t="s">
        <v>820</v>
      </c>
      <c r="AR4" s="1002" t="s">
        <v>820</v>
      </c>
      <c r="AS4" s="1002" t="s">
        <v>820</v>
      </c>
      <c r="AT4" s="1002" t="s">
        <v>820</v>
      </c>
      <c r="AU4" s="1002" t="s">
        <v>820</v>
      </c>
      <c r="AV4" s="1003" t="s">
        <v>836</v>
      </c>
      <c r="AW4" s="1004"/>
      <c r="AX4" s="1003" t="s">
        <v>836</v>
      </c>
      <c r="AY4" s="1004"/>
      <c r="AZ4" s="1003" t="s">
        <v>836</v>
      </c>
      <c r="BA4" s="1004"/>
      <c r="BB4" s="1002" t="s">
        <v>811</v>
      </c>
      <c r="BC4" s="390" t="s">
        <v>790</v>
      </c>
      <c r="BD4" s="756"/>
      <c r="BE4" s="674"/>
      <c r="BF4" s="434"/>
      <c r="BG4" s="390" t="s">
        <v>789</v>
      </c>
    </row>
    <row r="5" spans="1:60" ht="17.25" customHeight="1">
      <c r="A5" s="573" t="s">
        <v>186</v>
      </c>
      <c r="D5" s="410"/>
      <c r="E5" s="440"/>
      <c r="F5" s="995"/>
      <c r="G5" s="996"/>
      <c r="H5" s="996"/>
      <c r="I5" s="996"/>
      <c r="J5" s="996"/>
      <c r="K5" s="996"/>
      <c r="L5" s="946"/>
      <c r="M5" s="1002"/>
      <c r="N5" s="946"/>
      <c r="O5" s="946"/>
      <c r="P5" s="946"/>
      <c r="Q5" s="946"/>
      <c r="R5" s="667"/>
      <c r="S5" s="474"/>
      <c r="T5" s="673"/>
      <c r="U5" s="671"/>
      <c r="V5" s="737"/>
      <c r="W5" s="753"/>
      <c r="X5" s="474"/>
      <c r="Y5" s="474"/>
      <c r="Z5" s="474"/>
      <c r="AA5" s="678"/>
      <c r="AB5" s="1002"/>
      <c r="AC5" s="474"/>
      <c r="AD5" s="1041"/>
      <c r="AE5" s="1041"/>
      <c r="AF5" s="829" t="s">
        <v>815</v>
      </c>
      <c r="AG5" s="671"/>
      <c r="AH5" s="1002"/>
      <c r="AI5" s="737"/>
      <c r="AJ5" s="745"/>
      <c r="AK5" s="1008"/>
      <c r="AL5" s="1002"/>
      <c r="AM5" s="671"/>
      <c r="AN5" s="1002"/>
      <c r="AO5" s="1005"/>
      <c r="AP5" s="1002"/>
      <c r="AQ5" s="1002"/>
      <c r="AR5" s="1002"/>
      <c r="AS5" s="1002"/>
      <c r="AT5" s="1002"/>
      <c r="AU5" s="1002"/>
      <c r="AV5" s="1003"/>
      <c r="AW5" s="1004"/>
      <c r="AX5" s="1003"/>
      <c r="AY5" s="1004"/>
      <c r="AZ5" s="1003"/>
      <c r="BA5" s="1004"/>
      <c r="BB5" s="1002"/>
      <c r="BC5" s="438" t="s">
        <v>778</v>
      </c>
      <c r="BD5" s="756"/>
      <c r="BE5" s="674"/>
      <c r="BF5" s="434"/>
      <c r="BG5" s="438" t="s">
        <v>798</v>
      </c>
    </row>
    <row r="6" spans="1:60" s="412" customFormat="1" ht="12" customHeight="1">
      <c r="A6" s="506"/>
      <c r="D6" s="411"/>
      <c r="F6" s="439"/>
      <c r="G6" s="436"/>
      <c r="H6" s="474"/>
      <c r="I6" s="474"/>
      <c r="J6" s="669"/>
      <c r="K6" s="474"/>
      <c r="L6" s="474"/>
      <c r="M6" s="669"/>
      <c r="N6" s="669"/>
      <c r="O6" s="669"/>
      <c r="P6" s="669"/>
      <c r="Q6" s="668"/>
      <c r="R6" s="668"/>
      <c r="S6" s="671"/>
      <c r="T6" s="671"/>
      <c r="U6" s="669"/>
      <c r="V6" s="739"/>
      <c r="W6" s="685"/>
      <c r="X6" s="671"/>
      <c r="Y6" s="669"/>
      <c r="Z6" s="663"/>
      <c r="AA6" s="679"/>
      <c r="AB6" s="739"/>
      <c r="AC6" s="390"/>
      <c r="AD6" s="829" t="s">
        <v>815</v>
      </c>
      <c r="AE6" s="833"/>
      <c r="AF6" s="677"/>
      <c r="AG6" s="677"/>
      <c r="AH6" s="739"/>
      <c r="AI6" s="739"/>
      <c r="AJ6" s="739"/>
      <c r="AK6" s="677"/>
      <c r="AL6" s="668"/>
      <c r="AM6" s="750"/>
      <c r="AN6" s="668"/>
      <c r="AO6" s="668"/>
      <c r="AP6" s="840"/>
      <c r="AQ6" s="840"/>
      <c r="AR6" s="840"/>
      <c r="AS6" s="840"/>
      <c r="AT6" s="840"/>
      <c r="AU6" s="840"/>
      <c r="AV6" s="849"/>
      <c r="AW6" s="963"/>
      <c r="AX6" s="849"/>
      <c r="AY6" s="952" t="s">
        <v>971</v>
      </c>
      <c r="AZ6" s="849"/>
      <c r="BA6" s="951" t="s">
        <v>971</v>
      </c>
      <c r="BB6" s="668"/>
      <c r="BC6" s="474"/>
      <c r="BD6" s="750"/>
      <c r="BE6" s="668"/>
      <c r="BF6" s="520"/>
      <c r="BG6" s="474"/>
      <c r="BH6" s="784"/>
    </row>
    <row r="7" spans="1:60" s="412" customFormat="1" ht="12" customHeight="1">
      <c r="A7" s="413"/>
      <c r="B7" s="414"/>
      <c r="C7" s="415"/>
      <c r="D7" s="415"/>
      <c r="E7" s="565"/>
      <c r="F7" s="654" t="s">
        <v>1</v>
      </c>
      <c r="G7" s="658" t="s">
        <v>1</v>
      </c>
      <c r="H7" s="658" t="s">
        <v>257</v>
      </c>
      <c r="I7" s="658" t="s">
        <v>688</v>
      </c>
      <c r="J7" s="658" t="s">
        <v>3</v>
      </c>
      <c r="K7" s="658" t="s">
        <v>5</v>
      </c>
      <c r="L7" s="658" t="s">
        <v>15</v>
      </c>
      <c r="M7" s="658" t="s">
        <v>16</v>
      </c>
      <c r="N7" s="658" t="s">
        <v>4</v>
      </c>
      <c r="O7" s="658" t="s">
        <v>592</v>
      </c>
      <c r="P7" s="658" t="s">
        <v>6</v>
      </c>
      <c r="Q7" s="658" t="s">
        <v>5</v>
      </c>
      <c r="R7" s="658" t="s">
        <v>224</v>
      </c>
      <c r="S7" s="672" t="s">
        <v>625</v>
      </c>
      <c r="T7" s="672" t="s">
        <v>3</v>
      </c>
      <c r="U7" s="672" t="s">
        <v>649</v>
      </c>
      <c r="V7" s="741" t="s">
        <v>677</v>
      </c>
      <c r="W7" s="235" t="s">
        <v>5</v>
      </c>
      <c r="X7" s="235" t="s">
        <v>3</v>
      </c>
      <c r="Y7" s="235" t="s">
        <v>119</v>
      </c>
      <c r="Z7" s="664" t="s">
        <v>650</v>
      </c>
      <c r="AA7" s="664" t="s">
        <v>658</v>
      </c>
      <c r="AB7" s="830" t="s">
        <v>739</v>
      </c>
      <c r="AC7" s="235" t="s">
        <v>20</v>
      </c>
      <c r="AD7" s="834" t="s">
        <v>7</v>
      </c>
      <c r="AE7" s="834" t="s">
        <v>7</v>
      </c>
      <c r="AF7" s="701" t="s">
        <v>7</v>
      </c>
      <c r="AG7" s="235" t="s">
        <v>231</v>
      </c>
      <c r="AH7" s="235" t="s">
        <v>231</v>
      </c>
      <c r="AI7" s="729" t="s">
        <v>231</v>
      </c>
      <c r="AJ7" s="729" t="s">
        <v>231</v>
      </c>
      <c r="AK7" s="235" t="s">
        <v>231</v>
      </c>
      <c r="AL7" s="701" t="s">
        <v>7</v>
      </c>
      <c r="AM7" s="235" t="s">
        <v>231</v>
      </c>
      <c r="AN7" s="235" t="s">
        <v>231</v>
      </c>
      <c r="AO7" s="701" t="s">
        <v>7</v>
      </c>
      <c r="AP7" s="658" t="s">
        <v>231</v>
      </c>
      <c r="AQ7" s="658" t="s">
        <v>231</v>
      </c>
      <c r="AR7" s="658" t="s">
        <v>231</v>
      </c>
      <c r="AS7" s="658" t="s">
        <v>231</v>
      </c>
      <c r="AT7" s="658" t="s">
        <v>231</v>
      </c>
      <c r="AU7" s="847" t="s">
        <v>7</v>
      </c>
      <c r="AV7" s="850" t="s">
        <v>7</v>
      </c>
      <c r="AW7" s="886" t="s">
        <v>822</v>
      </c>
      <c r="AX7" s="850" t="s">
        <v>7</v>
      </c>
      <c r="AY7" s="886" t="s">
        <v>822</v>
      </c>
      <c r="AZ7" s="850" t="s">
        <v>7</v>
      </c>
      <c r="BA7" s="886" t="s">
        <v>822</v>
      </c>
      <c r="BB7" s="848" t="s">
        <v>672</v>
      </c>
      <c r="BC7" s="235" t="s">
        <v>5</v>
      </c>
      <c r="BD7" s="696" t="s">
        <v>7</v>
      </c>
      <c r="BE7" s="696" t="s">
        <v>7</v>
      </c>
      <c r="BF7" s="521" t="s">
        <v>787</v>
      </c>
      <c r="BG7" s="767" t="s">
        <v>781</v>
      </c>
      <c r="BH7" s="767" t="s">
        <v>788</v>
      </c>
    </row>
    <row r="8" spans="1:60" s="412" customFormat="1">
      <c r="A8" s="416" t="s">
        <v>8</v>
      </c>
      <c r="B8" s="417"/>
      <c r="C8" s="418"/>
      <c r="D8" s="418"/>
      <c r="E8" s="440" t="s">
        <v>261</v>
      </c>
      <c r="F8" s="655" t="s">
        <v>10</v>
      </c>
      <c r="G8" s="659" t="s">
        <v>259</v>
      </c>
      <c r="H8" s="659" t="s">
        <v>122</v>
      </c>
      <c r="I8" s="659" t="s">
        <v>689</v>
      </c>
      <c r="J8" s="659" t="s">
        <v>13</v>
      </c>
      <c r="K8" s="659" t="s">
        <v>14</v>
      </c>
      <c r="L8" s="659" t="s">
        <v>29</v>
      </c>
      <c r="M8" s="659" t="s">
        <v>29</v>
      </c>
      <c r="N8" s="659" t="s">
        <v>17</v>
      </c>
      <c r="O8" s="659" t="s">
        <v>670</v>
      </c>
      <c r="P8" s="659" t="s">
        <v>19</v>
      </c>
      <c r="Q8" s="659" t="s">
        <v>225</v>
      </c>
      <c r="R8" s="659" t="s">
        <v>713</v>
      </c>
      <c r="S8" s="440" t="s">
        <v>182</v>
      </c>
      <c r="T8" s="675" t="s">
        <v>627</v>
      </c>
      <c r="U8" s="675" t="s">
        <v>675</v>
      </c>
      <c r="V8" s="730" t="s">
        <v>671</v>
      </c>
      <c r="W8" s="440" t="s">
        <v>18</v>
      </c>
      <c r="X8" s="440" t="s">
        <v>117</v>
      </c>
      <c r="Y8" s="440" t="s">
        <v>2</v>
      </c>
      <c r="Z8" s="440" t="s">
        <v>651</v>
      </c>
      <c r="AA8" s="680" t="s">
        <v>12</v>
      </c>
      <c r="AB8" s="831" t="s">
        <v>682</v>
      </c>
      <c r="AC8" s="440" t="s">
        <v>33</v>
      </c>
      <c r="AD8" s="835" t="s">
        <v>742</v>
      </c>
      <c r="AE8" s="835" t="s">
        <v>70</v>
      </c>
      <c r="AF8" s="702" t="s">
        <v>629</v>
      </c>
      <c r="AG8" s="440" t="s">
        <v>669</v>
      </c>
      <c r="AH8" s="440" t="s">
        <v>755</v>
      </c>
      <c r="AI8" s="730" t="s">
        <v>222</v>
      </c>
      <c r="AJ8" s="730" t="s">
        <v>222</v>
      </c>
      <c r="AK8" s="440" t="s">
        <v>239</v>
      </c>
      <c r="AL8" s="702" t="s">
        <v>694</v>
      </c>
      <c r="AM8" s="440" t="s">
        <v>659</v>
      </c>
      <c r="AN8" s="440" t="s">
        <v>14</v>
      </c>
      <c r="AO8" s="702" t="s">
        <v>690</v>
      </c>
      <c r="AP8" s="659" t="s">
        <v>757</v>
      </c>
      <c r="AQ8" s="659" t="s">
        <v>770</v>
      </c>
      <c r="AR8" s="839" t="s">
        <v>760</v>
      </c>
      <c r="AS8" s="839" t="s">
        <v>772</v>
      </c>
      <c r="AT8" s="839" t="s">
        <v>760</v>
      </c>
      <c r="AU8" s="702" t="s">
        <v>743</v>
      </c>
      <c r="AV8" s="851" t="s">
        <v>744</v>
      </c>
      <c r="AW8" s="852" t="s">
        <v>744</v>
      </c>
      <c r="AX8" s="851" t="s">
        <v>747</v>
      </c>
      <c r="AY8" s="852" t="s">
        <v>747</v>
      </c>
      <c r="AZ8" s="851" t="s">
        <v>769</v>
      </c>
      <c r="BA8" s="852" t="s">
        <v>769</v>
      </c>
      <c r="BB8" s="515" t="s">
        <v>651</v>
      </c>
      <c r="BC8" s="765" t="s">
        <v>779</v>
      </c>
      <c r="BD8" s="697" t="s">
        <v>746</v>
      </c>
      <c r="BE8" s="697" t="s">
        <v>746</v>
      </c>
      <c r="BF8" s="519" t="s">
        <v>231</v>
      </c>
      <c r="BG8" s="771" t="s">
        <v>782</v>
      </c>
      <c r="BH8" s="768" t="s">
        <v>784</v>
      </c>
    </row>
    <row r="9" spans="1:60" s="412" customFormat="1">
      <c r="A9" s="419" t="s">
        <v>21</v>
      </c>
      <c r="B9" s="420"/>
      <c r="C9" s="421"/>
      <c r="D9" s="421" t="s">
        <v>22</v>
      </c>
      <c r="E9" s="441" t="s">
        <v>262</v>
      </c>
      <c r="F9" s="656" t="s">
        <v>24</v>
      </c>
      <c r="G9" s="660" t="s">
        <v>260</v>
      </c>
      <c r="H9" s="660" t="s">
        <v>76</v>
      </c>
      <c r="I9" s="660" t="s">
        <v>24</v>
      </c>
      <c r="J9" s="660" t="s">
        <v>27</v>
      </c>
      <c r="K9" s="660" t="s">
        <v>28</v>
      </c>
      <c r="L9" s="660" t="s">
        <v>76</v>
      </c>
      <c r="M9" s="660" t="s">
        <v>76</v>
      </c>
      <c r="N9" s="660" t="s">
        <v>30</v>
      </c>
      <c r="O9" s="660" t="s">
        <v>29</v>
      </c>
      <c r="P9" s="660" t="s">
        <v>648</v>
      </c>
      <c r="Q9" s="660" t="s">
        <v>27</v>
      </c>
      <c r="R9" s="660" t="s">
        <v>258</v>
      </c>
      <c r="S9" s="441" t="s">
        <v>76</v>
      </c>
      <c r="T9" s="676" t="s">
        <v>628</v>
      </c>
      <c r="U9" s="676" t="s">
        <v>676</v>
      </c>
      <c r="V9" s="731"/>
      <c r="W9" s="441" t="s">
        <v>31</v>
      </c>
      <c r="X9" s="441" t="s">
        <v>118</v>
      </c>
      <c r="Y9" s="441" t="s">
        <v>25</v>
      </c>
      <c r="Z9" s="441" t="s">
        <v>657</v>
      </c>
      <c r="AA9" s="441" t="s">
        <v>26</v>
      </c>
      <c r="AB9" s="832" t="s">
        <v>683</v>
      </c>
      <c r="AC9" s="441" t="s">
        <v>76</v>
      </c>
      <c r="AD9" s="836" t="s">
        <v>26</v>
      </c>
      <c r="AE9" s="836" t="s">
        <v>751</v>
      </c>
      <c r="AF9" s="703" t="s">
        <v>182</v>
      </c>
      <c r="AG9" s="441" t="s">
        <v>668</v>
      </c>
      <c r="AH9" s="441" t="s">
        <v>551</v>
      </c>
      <c r="AI9" s="731" t="s">
        <v>238</v>
      </c>
      <c r="AJ9" s="731" t="s">
        <v>223</v>
      </c>
      <c r="AK9" s="441" t="s">
        <v>240</v>
      </c>
      <c r="AL9" s="703" t="s">
        <v>29</v>
      </c>
      <c r="AM9" s="441" t="s">
        <v>29</v>
      </c>
      <c r="AN9" s="441" t="s">
        <v>28</v>
      </c>
      <c r="AO9" s="703" t="s">
        <v>691</v>
      </c>
      <c r="AP9" s="660" t="s">
        <v>758</v>
      </c>
      <c r="AQ9" s="660" t="s">
        <v>771</v>
      </c>
      <c r="AR9" s="660" t="s">
        <v>759</v>
      </c>
      <c r="AS9" s="660" t="s">
        <v>773</v>
      </c>
      <c r="AT9" s="660" t="s">
        <v>766</v>
      </c>
      <c r="AU9" s="703" t="s">
        <v>122</v>
      </c>
      <c r="AV9" s="853" t="s">
        <v>796</v>
      </c>
      <c r="AW9" s="854" t="s">
        <v>796</v>
      </c>
      <c r="AX9" s="853" t="s">
        <v>797</v>
      </c>
      <c r="AY9" s="854" t="s">
        <v>797</v>
      </c>
      <c r="AZ9" s="853" t="s">
        <v>691</v>
      </c>
      <c r="BA9" s="854" t="s">
        <v>691</v>
      </c>
      <c r="BB9" s="359" t="s">
        <v>657</v>
      </c>
      <c r="BC9" s="441" t="s">
        <v>776</v>
      </c>
      <c r="BD9" s="698"/>
      <c r="BE9" s="698"/>
      <c r="BF9" s="466" t="s">
        <v>135</v>
      </c>
      <c r="BG9" s="769" t="s">
        <v>783</v>
      </c>
      <c r="BH9" s="769" t="s">
        <v>785</v>
      </c>
    </row>
    <row r="10" spans="1:60" s="458" customFormat="1">
      <c r="B10" s="461" t="s">
        <v>563</v>
      </c>
      <c r="E10" s="459">
        <v>1</v>
      </c>
      <c r="F10" s="459">
        <f>1+0.01</f>
        <v>1.01</v>
      </c>
      <c r="G10" s="459">
        <f>F10+0.01</f>
        <v>1.02</v>
      </c>
      <c r="H10" s="460">
        <f>G10+0.01</f>
        <v>1.03</v>
      </c>
      <c r="I10" s="460">
        <f>H10+0.01</f>
        <v>1.04</v>
      </c>
      <c r="J10" s="460">
        <v>2.0099999999999998</v>
      </c>
      <c r="K10" s="460">
        <f>J10+0.01</f>
        <v>2.0199999999999996</v>
      </c>
      <c r="L10" s="460">
        <f t="shared" ref="L10:S10" si="0">K10+0.01</f>
        <v>2.0299999999999994</v>
      </c>
      <c r="M10" s="460">
        <f t="shared" si="0"/>
        <v>2.0399999999999991</v>
      </c>
      <c r="N10" s="460">
        <f t="shared" si="0"/>
        <v>2.0499999999999989</v>
      </c>
      <c r="O10" s="460">
        <f t="shared" si="0"/>
        <v>2.0599999999999987</v>
      </c>
      <c r="P10" s="460">
        <f t="shared" si="0"/>
        <v>2.0699999999999985</v>
      </c>
      <c r="Q10" s="460">
        <f t="shared" si="0"/>
        <v>2.0799999999999983</v>
      </c>
      <c r="R10" s="460">
        <f t="shared" si="0"/>
        <v>2.0899999999999981</v>
      </c>
      <c r="S10" s="460">
        <f t="shared" si="0"/>
        <v>2.0999999999999979</v>
      </c>
      <c r="T10" s="460">
        <f t="shared" ref="T10" si="1">S10+0.01</f>
        <v>2.1099999999999977</v>
      </c>
      <c r="U10" s="460">
        <f t="shared" ref="U10" si="2">T10+0.01</f>
        <v>2.1199999999999974</v>
      </c>
      <c r="V10" s="715">
        <f t="shared" ref="V10" si="3">U10+0.01</f>
        <v>2.1299999999999972</v>
      </c>
      <c r="W10" s="460">
        <f t="shared" ref="W10" si="4">V10+0.01</f>
        <v>2.139999999999997</v>
      </c>
      <c r="X10" s="460">
        <f t="shared" ref="X10" si="5">W10+0.01</f>
        <v>2.1499999999999968</v>
      </c>
      <c r="Y10" s="460">
        <f t="shared" ref="Y10" si="6">X10+0.01</f>
        <v>2.1599999999999966</v>
      </c>
      <c r="Z10" s="460">
        <f t="shared" ref="Z10" si="7">Y10+0.01</f>
        <v>2.1699999999999964</v>
      </c>
      <c r="AA10" s="460">
        <f t="shared" ref="AA10" si="8">Z10+0.01</f>
        <v>2.1799999999999962</v>
      </c>
      <c r="AB10" s="715">
        <f t="shared" ref="AB10" si="9">AA10+0.01</f>
        <v>2.1899999999999959</v>
      </c>
      <c r="AC10" s="460" t="s">
        <v>591</v>
      </c>
      <c r="AD10" s="837" t="s">
        <v>749</v>
      </c>
      <c r="AE10" s="837" t="s">
        <v>750</v>
      </c>
      <c r="AF10" s="460">
        <v>3.01</v>
      </c>
      <c r="AG10" s="460">
        <f>AF10+0.01</f>
        <v>3.0199999999999996</v>
      </c>
      <c r="AH10" s="460">
        <f>AG10+0.01</f>
        <v>3.0299999999999994</v>
      </c>
      <c r="AI10" s="715">
        <f>AH10+0.01</f>
        <v>3.0399999999999991</v>
      </c>
      <c r="AJ10" s="715">
        <f t="shared" ref="AJ10:AN10" si="10">AI10+0.01</f>
        <v>3.0499999999999989</v>
      </c>
      <c r="AK10" s="460">
        <f t="shared" si="10"/>
        <v>3.0599999999999987</v>
      </c>
      <c r="AL10" s="460">
        <f>AK10+0.01</f>
        <v>3.0699999999999985</v>
      </c>
      <c r="AM10" s="460">
        <f t="shared" si="10"/>
        <v>3.0799999999999983</v>
      </c>
      <c r="AN10" s="460">
        <f t="shared" si="10"/>
        <v>3.0899999999999981</v>
      </c>
      <c r="AO10" s="460">
        <f t="shared" ref="AO10" si="11">AN10+0.01</f>
        <v>3.0999999999999979</v>
      </c>
      <c r="AP10" s="460">
        <f t="shared" ref="AP10" si="12">AO10+0.01</f>
        <v>3.1099999999999977</v>
      </c>
      <c r="AQ10" s="460">
        <f t="shared" ref="AQ10:AT10" si="13">AP10+0.01</f>
        <v>3.1199999999999974</v>
      </c>
      <c r="AR10" s="460">
        <f t="shared" si="13"/>
        <v>3.1299999999999972</v>
      </c>
      <c r="AS10" s="460">
        <f t="shared" si="13"/>
        <v>3.139999999999997</v>
      </c>
      <c r="AT10" s="460">
        <f t="shared" si="13"/>
        <v>3.1499999999999968</v>
      </c>
      <c r="AU10" s="460">
        <f>AT10+0.01</f>
        <v>3.1599999999999966</v>
      </c>
      <c r="AV10" s="855" t="s">
        <v>972</v>
      </c>
      <c r="AW10" s="856" t="s">
        <v>973</v>
      </c>
      <c r="AX10" s="855" t="s">
        <v>837</v>
      </c>
      <c r="AY10" s="856" t="s">
        <v>839</v>
      </c>
      <c r="AZ10" s="855" t="s">
        <v>838</v>
      </c>
      <c r="BA10" s="856" t="s">
        <v>840</v>
      </c>
      <c r="BB10" s="460">
        <v>3.2</v>
      </c>
      <c r="BC10" s="460">
        <f>BB10+0.01</f>
        <v>3.21</v>
      </c>
      <c r="BD10" s="699">
        <f>BC10+0.01</f>
        <v>3.2199999999999998</v>
      </c>
      <c r="BE10" s="699">
        <f>BD10+0.01</f>
        <v>3.2299999999999995</v>
      </c>
      <c r="BF10" s="467" t="s">
        <v>673</v>
      </c>
      <c r="BG10" s="772" t="s">
        <v>791</v>
      </c>
      <c r="BH10" s="770" t="s">
        <v>786</v>
      </c>
    </row>
    <row r="11" spans="1:60" s="458" customFormat="1">
      <c r="B11" s="461" t="s">
        <v>564</v>
      </c>
      <c r="E11" s="459" t="s">
        <v>565</v>
      </c>
      <c r="F11" s="459" t="s">
        <v>566</v>
      </c>
      <c r="G11" s="459" t="s">
        <v>567</v>
      </c>
      <c r="H11" s="460" t="s">
        <v>568</v>
      </c>
      <c r="I11" s="460" t="s">
        <v>686</v>
      </c>
      <c r="J11" s="460" t="s">
        <v>569</v>
      </c>
      <c r="K11" s="460" t="s">
        <v>597</v>
      </c>
      <c r="L11" s="460" t="s">
        <v>570</v>
      </c>
      <c r="M11" s="460" t="s">
        <v>571</v>
      </c>
      <c r="N11" s="460" t="s">
        <v>572</v>
      </c>
      <c r="O11" s="460" t="s">
        <v>573</v>
      </c>
      <c r="P11" s="460" t="s">
        <v>595</v>
      </c>
      <c r="Q11" s="460" t="s">
        <v>576</v>
      </c>
      <c r="R11" s="460" t="s">
        <v>577</v>
      </c>
      <c r="S11" s="460" t="s">
        <v>626</v>
      </c>
      <c r="T11" s="460" t="s">
        <v>631</v>
      </c>
      <c r="U11" s="460" t="s">
        <v>578</v>
      </c>
      <c r="V11" s="716" t="s">
        <v>579</v>
      </c>
      <c r="W11" s="460" t="s">
        <v>580</v>
      </c>
      <c r="X11" s="460" t="s">
        <v>574</v>
      </c>
      <c r="Y11" s="460" t="s">
        <v>575</v>
      </c>
      <c r="Z11" s="665" t="s">
        <v>639</v>
      </c>
      <c r="AA11" s="460" t="s">
        <v>660</v>
      </c>
      <c r="AB11" s="716" t="s">
        <v>740</v>
      </c>
      <c r="AC11" s="460"/>
      <c r="AD11" s="837" t="s">
        <v>752</v>
      </c>
      <c r="AE11" s="837" t="s">
        <v>753</v>
      </c>
      <c r="AF11" s="460" t="s">
        <v>630</v>
      </c>
      <c r="AG11" s="460" t="s">
        <v>646</v>
      </c>
      <c r="AH11" s="460" t="s">
        <v>756</v>
      </c>
      <c r="AI11" s="715" t="s">
        <v>581</v>
      </c>
      <c r="AJ11" s="715" t="s">
        <v>582</v>
      </c>
      <c r="AK11" s="460" t="s">
        <v>583</v>
      </c>
      <c r="AL11" s="665" t="s">
        <v>716</v>
      </c>
      <c r="AM11" s="460" t="s">
        <v>692</v>
      </c>
      <c r="AN11" s="460" t="s">
        <v>596</v>
      </c>
      <c r="AO11" s="665" t="s">
        <v>715</v>
      </c>
      <c r="AP11" s="665" t="s">
        <v>761</v>
      </c>
      <c r="AQ11" s="460" t="s">
        <v>762</v>
      </c>
      <c r="AR11" s="460" t="s">
        <v>763</v>
      </c>
      <c r="AS11" s="460" t="s">
        <v>764</v>
      </c>
      <c r="AT11" s="460" t="s">
        <v>765</v>
      </c>
      <c r="AU11" s="460" t="s">
        <v>686</v>
      </c>
      <c r="AV11" s="855" t="s">
        <v>745</v>
      </c>
      <c r="AW11" s="856" t="s">
        <v>974</v>
      </c>
      <c r="AX11" s="855" t="s">
        <v>748</v>
      </c>
      <c r="AY11" s="856" t="s">
        <v>823</v>
      </c>
      <c r="AZ11" s="855" t="s">
        <v>693</v>
      </c>
      <c r="BA11" s="856" t="s">
        <v>824</v>
      </c>
      <c r="BB11" s="665" t="s">
        <v>639</v>
      </c>
      <c r="BC11" s="665" t="s">
        <v>777</v>
      </c>
      <c r="BD11" s="460"/>
      <c r="BE11" s="665"/>
      <c r="BF11" s="467"/>
      <c r="BG11" s="773" t="s">
        <v>780</v>
      </c>
      <c r="BH11" s="770" t="s">
        <v>135</v>
      </c>
    </row>
    <row r="12" spans="1:60" s="458" customFormat="1" ht="5.25" customHeight="1">
      <c r="B12" s="461"/>
      <c r="E12" s="459"/>
      <c r="F12" s="459"/>
      <c r="G12" s="459"/>
      <c r="H12" s="460"/>
      <c r="I12" s="459"/>
      <c r="J12" s="459"/>
      <c r="K12" s="460"/>
      <c r="L12" s="459"/>
      <c r="M12" s="459"/>
      <c r="N12" s="459"/>
      <c r="O12" s="459"/>
      <c r="P12" s="459"/>
      <c r="Q12" s="459"/>
      <c r="R12" s="459"/>
      <c r="S12" s="459"/>
      <c r="T12" s="460"/>
      <c r="U12" s="460"/>
      <c r="V12" s="716"/>
      <c r="W12" s="459"/>
      <c r="X12" s="459"/>
      <c r="Y12" s="459"/>
      <c r="Z12" s="665"/>
      <c r="AA12" s="460"/>
      <c r="AB12" s="716"/>
      <c r="AC12" s="460"/>
      <c r="AD12" s="460"/>
      <c r="AE12" s="460"/>
      <c r="AF12" s="460"/>
      <c r="AG12" s="460"/>
      <c r="AH12" s="460"/>
      <c r="AI12" s="732"/>
      <c r="AJ12" s="732"/>
      <c r="AK12" s="460"/>
      <c r="AL12" s="665"/>
      <c r="AM12" s="459"/>
      <c r="AN12" s="460"/>
      <c r="AO12" s="665"/>
      <c r="AP12" s="665"/>
      <c r="AQ12" s="459"/>
      <c r="AR12" s="459"/>
      <c r="AS12" s="459"/>
      <c r="AT12" s="459"/>
      <c r="AU12" s="459"/>
      <c r="AV12" s="964"/>
      <c r="AW12" s="965"/>
      <c r="AX12" s="855"/>
      <c r="AY12" s="856"/>
      <c r="AZ12" s="855"/>
      <c r="BA12" s="856"/>
      <c r="BB12" s="665"/>
      <c r="BC12" s="665"/>
      <c r="BD12" s="459"/>
      <c r="BE12" s="665"/>
      <c r="BF12" s="467"/>
      <c r="BG12" s="773"/>
      <c r="BH12" s="785"/>
    </row>
    <row r="13" spans="1:60">
      <c r="B13" s="409" t="s">
        <v>187</v>
      </c>
      <c r="H13" s="436"/>
      <c r="V13" s="717"/>
      <c r="W13" s="442"/>
      <c r="Z13" s="442"/>
      <c r="AA13" s="442"/>
      <c r="AB13" s="717"/>
      <c r="AG13" s="436"/>
      <c r="AH13" s="436"/>
      <c r="AK13" s="436"/>
      <c r="AL13" s="442"/>
      <c r="AO13" s="442"/>
      <c r="AP13" s="442"/>
      <c r="AV13" s="867"/>
      <c r="AW13" s="868"/>
      <c r="AX13" s="857"/>
      <c r="AY13" s="858"/>
      <c r="AZ13" s="857"/>
      <c r="BA13" s="858"/>
      <c r="BB13" s="442"/>
      <c r="BC13" s="442"/>
      <c r="BE13" s="442"/>
      <c r="BF13" s="468"/>
      <c r="BG13" s="774"/>
      <c r="BH13" s="786"/>
    </row>
    <row r="14" spans="1:60" s="423" customFormat="1">
      <c r="A14" s="422">
        <v>1</v>
      </c>
      <c r="B14" s="423" t="s">
        <v>188</v>
      </c>
      <c r="E14" s="449">
        <f>'ROO INPUT'!F14</f>
        <v>546549</v>
      </c>
      <c r="F14" s="457">
        <v>0</v>
      </c>
      <c r="G14" s="457">
        <v>0</v>
      </c>
      <c r="H14" s="457">
        <v>0</v>
      </c>
      <c r="I14" s="457">
        <v>0</v>
      </c>
      <c r="J14" s="457">
        <v>-18871</v>
      </c>
      <c r="K14" s="457">
        <v>0</v>
      </c>
      <c r="L14" s="457">
        <v>0</v>
      </c>
      <c r="M14" s="457">
        <v>0</v>
      </c>
      <c r="N14" s="457">
        <v>0</v>
      </c>
      <c r="O14" s="457">
        <v>0</v>
      </c>
      <c r="P14" s="457">
        <v>0</v>
      </c>
      <c r="Q14" s="457">
        <v>0</v>
      </c>
      <c r="R14" s="457">
        <v>0</v>
      </c>
      <c r="S14" s="457">
        <v>-3836</v>
      </c>
      <c r="T14" s="457">
        <v>-21727</v>
      </c>
      <c r="U14" s="457">
        <v>0</v>
      </c>
      <c r="V14" s="718">
        <v>0</v>
      </c>
      <c r="W14" s="457">
        <v>0</v>
      </c>
      <c r="X14" s="457">
        <v>1740</v>
      </c>
      <c r="Y14" s="457">
        <v>0</v>
      </c>
      <c r="Z14" s="457">
        <v>0</v>
      </c>
      <c r="AA14" s="457">
        <v>0</v>
      </c>
      <c r="AB14" s="718">
        <v>0</v>
      </c>
      <c r="AC14" s="293">
        <f>SUM(E14:AB14)</f>
        <v>503855</v>
      </c>
      <c r="AD14" s="457">
        <v>0</v>
      </c>
      <c r="AE14" s="457">
        <v>0</v>
      </c>
      <c r="AF14" s="457">
        <v>25496</v>
      </c>
      <c r="AG14" s="457">
        <v>0</v>
      </c>
      <c r="AH14" s="457">
        <v>0</v>
      </c>
      <c r="AI14" s="718">
        <v>0</v>
      </c>
      <c r="AJ14" s="718">
        <v>0</v>
      </c>
      <c r="AK14" s="457">
        <v>0</v>
      </c>
      <c r="AL14" s="457">
        <v>0</v>
      </c>
      <c r="AM14" s="457">
        <v>0</v>
      </c>
      <c r="AN14" s="457">
        <v>0</v>
      </c>
      <c r="AO14" s="457">
        <v>0</v>
      </c>
      <c r="AP14" s="457">
        <v>0</v>
      </c>
      <c r="AQ14" s="457">
        <v>0</v>
      </c>
      <c r="AR14" s="457">
        <v>0</v>
      </c>
      <c r="AS14" s="457">
        <v>0</v>
      </c>
      <c r="AT14" s="457">
        <v>0</v>
      </c>
      <c r="AU14" s="457">
        <v>0</v>
      </c>
      <c r="AV14" s="859">
        <v>0</v>
      </c>
      <c r="AW14" s="860">
        <v>0</v>
      </c>
      <c r="AX14" s="859">
        <v>0</v>
      </c>
      <c r="AY14" s="860"/>
      <c r="AZ14" s="859">
        <v>0</v>
      </c>
      <c r="BA14" s="860">
        <v>0</v>
      </c>
      <c r="BB14" s="457">
        <v>0</v>
      </c>
      <c r="BC14" s="457">
        <v>0</v>
      </c>
      <c r="BD14" s="457">
        <v>0</v>
      </c>
      <c r="BE14" s="457">
        <v>0</v>
      </c>
      <c r="BF14" s="469">
        <f>SUM(AC14:BE14)</f>
        <v>529351</v>
      </c>
      <c r="BG14" s="775"/>
      <c r="BH14" s="787">
        <f t="shared" ref="BH14:BH19" si="14">SUM(BF14:BG14)</f>
        <v>529351</v>
      </c>
    </row>
    <row r="15" spans="1:60" s="424" customFormat="1">
      <c r="A15" s="422">
        <v>2</v>
      </c>
      <c r="B15" s="424" t="s">
        <v>189</v>
      </c>
      <c r="E15" s="427">
        <f>'ROO INPUT'!F15</f>
        <v>1228</v>
      </c>
      <c r="F15" s="435">
        <v>0</v>
      </c>
      <c r="G15" s="435">
        <v>0</v>
      </c>
      <c r="H15" s="436">
        <v>0</v>
      </c>
      <c r="I15" s="435">
        <v>0</v>
      </c>
      <c r="J15" s="435">
        <v>0</v>
      </c>
      <c r="K15" s="436">
        <v>0</v>
      </c>
      <c r="L15" s="435">
        <v>0</v>
      </c>
      <c r="M15" s="435">
        <v>0</v>
      </c>
      <c r="N15" s="435">
        <v>0</v>
      </c>
      <c r="O15" s="435">
        <v>0</v>
      </c>
      <c r="P15" s="435">
        <v>0</v>
      </c>
      <c r="Q15" s="435">
        <v>0</v>
      </c>
      <c r="R15" s="435">
        <v>0</v>
      </c>
      <c r="S15" s="435">
        <v>0</v>
      </c>
      <c r="T15" s="436">
        <v>0</v>
      </c>
      <c r="U15" s="436">
        <v>0</v>
      </c>
      <c r="V15" s="717">
        <v>0</v>
      </c>
      <c r="W15" s="436">
        <v>0</v>
      </c>
      <c r="X15" s="435" t="s">
        <v>593</v>
      </c>
      <c r="Y15" s="435">
        <v>0</v>
      </c>
      <c r="Z15" s="442">
        <v>0</v>
      </c>
      <c r="AA15" s="436">
        <v>0</v>
      </c>
      <c r="AB15" s="717">
        <v>0</v>
      </c>
      <c r="AC15" s="434">
        <f>SUM(E15:AB15)</f>
        <v>1228</v>
      </c>
      <c r="AD15" s="436">
        <v>0</v>
      </c>
      <c r="AE15" s="436">
        <v>0</v>
      </c>
      <c r="AF15" s="436">
        <v>0</v>
      </c>
      <c r="AG15" s="436">
        <v>0</v>
      </c>
      <c r="AH15" s="436">
        <v>0</v>
      </c>
      <c r="AI15" s="713">
        <v>0</v>
      </c>
      <c r="AJ15" s="713">
        <v>0</v>
      </c>
      <c r="AK15" s="713">
        <v>0</v>
      </c>
      <c r="AL15" s="442">
        <v>0</v>
      </c>
      <c r="AM15" s="436">
        <v>0</v>
      </c>
      <c r="AN15" s="436">
        <v>0</v>
      </c>
      <c r="AO15" s="442">
        <v>0</v>
      </c>
      <c r="AP15" s="442">
        <v>0</v>
      </c>
      <c r="AQ15" s="435">
        <v>0</v>
      </c>
      <c r="AR15" s="435">
        <v>0</v>
      </c>
      <c r="AS15" s="435">
        <v>0</v>
      </c>
      <c r="AT15" s="435">
        <v>0</v>
      </c>
      <c r="AU15" s="435">
        <v>0</v>
      </c>
      <c r="AV15" s="867">
        <v>0</v>
      </c>
      <c r="AW15" s="868">
        <v>0</v>
      </c>
      <c r="AX15" s="857">
        <v>0</v>
      </c>
      <c r="AY15" s="858">
        <v>0</v>
      </c>
      <c r="AZ15" s="857">
        <v>0</v>
      </c>
      <c r="BA15" s="858">
        <v>0</v>
      </c>
      <c r="BB15" s="442">
        <v>0</v>
      </c>
      <c r="BC15" s="442">
        <v>0</v>
      </c>
      <c r="BD15" s="435">
        <v>0</v>
      </c>
      <c r="BE15" s="442">
        <v>0</v>
      </c>
      <c r="BF15" s="468">
        <f t="shared" ref="BF15:BF19" si="15">SUM(AC15:BE15)</f>
        <v>1228</v>
      </c>
      <c r="BG15" s="774">
        <v>0</v>
      </c>
      <c r="BH15" s="786">
        <f t="shared" si="14"/>
        <v>1228</v>
      </c>
    </row>
    <row r="16" spans="1:60" s="424" customFormat="1">
      <c r="A16" s="422">
        <v>3</v>
      </c>
      <c r="B16" s="424" t="s">
        <v>190</v>
      </c>
      <c r="E16" s="454">
        <f>'ROO INPUT'!F16</f>
        <v>53430</v>
      </c>
      <c r="F16" s="444">
        <v>0</v>
      </c>
      <c r="G16" s="444">
        <v>0</v>
      </c>
      <c r="H16" s="444">
        <v>0</v>
      </c>
      <c r="I16" s="444">
        <v>0</v>
      </c>
      <c r="J16" s="444">
        <v>0</v>
      </c>
      <c r="K16" s="443">
        <v>0</v>
      </c>
      <c r="L16" s="444">
        <v>0</v>
      </c>
      <c r="M16" s="444">
        <v>0</v>
      </c>
      <c r="N16" s="444">
        <v>0</v>
      </c>
      <c r="O16" s="444">
        <v>0</v>
      </c>
      <c r="P16" s="444">
        <v>0</v>
      </c>
      <c r="Q16" s="444">
        <v>0</v>
      </c>
      <c r="R16" s="444">
        <v>0</v>
      </c>
      <c r="S16" s="444">
        <v>0</v>
      </c>
      <c r="T16" s="443">
        <v>0</v>
      </c>
      <c r="U16" s="443">
        <v>0</v>
      </c>
      <c r="V16" s="719">
        <v>0</v>
      </c>
      <c r="W16" s="443">
        <v>0</v>
      </c>
      <c r="X16" s="444">
        <v>0</v>
      </c>
      <c r="Y16" s="444">
        <v>0</v>
      </c>
      <c r="Z16" s="443">
        <v>0</v>
      </c>
      <c r="AA16" s="443">
        <v>-17144</v>
      </c>
      <c r="AB16" s="719">
        <v>0</v>
      </c>
      <c r="AC16" s="237">
        <f>SUM(E16:AB16)</f>
        <v>36286</v>
      </c>
      <c r="AD16" s="1042">
        <f>17183+(5800/12*7*0.6564)</f>
        <v>19403.82</v>
      </c>
      <c r="AE16" s="443">
        <v>0</v>
      </c>
      <c r="AF16" s="443">
        <v>0</v>
      </c>
      <c r="AG16" s="443">
        <v>0</v>
      </c>
      <c r="AH16" s="443">
        <v>0</v>
      </c>
      <c r="AI16" s="719">
        <v>0</v>
      </c>
      <c r="AJ16" s="719">
        <v>0</v>
      </c>
      <c r="AK16" s="719">
        <v>0</v>
      </c>
      <c r="AL16" s="443">
        <v>0</v>
      </c>
      <c r="AM16" s="443">
        <v>0</v>
      </c>
      <c r="AN16" s="443">
        <v>0</v>
      </c>
      <c r="AO16" s="443">
        <v>0</v>
      </c>
      <c r="AP16" s="443">
        <v>0</v>
      </c>
      <c r="AQ16" s="444">
        <v>0</v>
      </c>
      <c r="AR16" s="444">
        <v>0</v>
      </c>
      <c r="AS16" s="444">
        <v>0</v>
      </c>
      <c r="AT16" s="444">
        <v>0</v>
      </c>
      <c r="AU16" s="444">
        <v>0</v>
      </c>
      <c r="AV16" s="869">
        <v>0</v>
      </c>
      <c r="AW16" s="870">
        <v>0</v>
      </c>
      <c r="AX16" s="861">
        <v>0</v>
      </c>
      <c r="AY16" s="862">
        <v>0</v>
      </c>
      <c r="AZ16" s="861">
        <v>0</v>
      </c>
      <c r="BA16" s="862">
        <v>0</v>
      </c>
      <c r="BB16" s="443">
        <v>0</v>
      </c>
      <c r="BC16" s="443">
        <v>0</v>
      </c>
      <c r="BD16" s="444">
        <v>0</v>
      </c>
      <c r="BE16" s="443">
        <v>0</v>
      </c>
      <c r="BF16" s="470">
        <f t="shared" si="15"/>
        <v>55689.82</v>
      </c>
      <c r="BG16" s="776">
        <v>0</v>
      </c>
      <c r="BH16" s="788">
        <f t="shared" si="14"/>
        <v>55689.82</v>
      </c>
    </row>
    <row r="17" spans="1:60" s="424" customFormat="1">
      <c r="A17" s="422">
        <v>4</v>
      </c>
      <c r="B17" s="424" t="s">
        <v>191</v>
      </c>
      <c r="E17" s="427">
        <f t="shared" ref="E17:AJ17" si="16">SUM(E14:E16)</f>
        <v>601207</v>
      </c>
      <c r="F17" s="435">
        <f t="shared" si="16"/>
        <v>0</v>
      </c>
      <c r="G17" s="435">
        <f t="shared" si="16"/>
        <v>0</v>
      </c>
      <c r="H17" s="435">
        <f t="shared" si="16"/>
        <v>0</v>
      </c>
      <c r="I17" s="435">
        <f t="shared" ref="I17" si="17">SUM(I14:I16)</f>
        <v>0</v>
      </c>
      <c r="J17" s="435">
        <f t="shared" si="16"/>
        <v>-18871</v>
      </c>
      <c r="K17" s="436">
        <f t="shared" ref="K17" si="18">SUM(K14:K16)</f>
        <v>0</v>
      </c>
      <c r="L17" s="435">
        <f t="shared" si="16"/>
        <v>0</v>
      </c>
      <c r="M17" s="435">
        <f t="shared" si="16"/>
        <v>0</v>
      </c>
      <c r="N17" s="435">
        <f t="shared" si="16"/>
        <v>0</v>
      </c>
      <c r="O17" s="435">
        <f t="shared" si="16"/>
        <v>0</v>
      </c>
      <c r="P17" s="435">
        <f t="shared" si="16"/>
        <v>0</v>
      </c>
      <c r="Q17" s="435">
        <f t="shared" si="16"/>
        <v>0</v>
      </c>
      <c r="R17" s="435">
        <f t="shared" si="16"/>
        <v>0</v>
      </c>
      <c r="S17" s="435">
        <f t="shared" si="16"/>
        <v>-3836</v>
      </c>
      <c r="T17" s="436">
        <f t="shared" ref="T17" si="19">SUM(T14:T16)</f>
        <v>-21727</v>
      </c>
      <c r="U17" s="436">
        <f>SUM(U14:U16)</f>
        <v>0</v>
      </c>
      <c r="V17" s="717">
        <f t="shared" ref="V17" si="20">SUM(V14:V16)</f>
        <v>0</v>
      </c>
      <c r="W17" s="436">
        <f>SUM(W14:W16)</f>
        <v>0</v>
      </c>
      <c r="X17" s="435">
        <f>SUM(X14:X16)</f>
        <v>1740</v>
      </c>
      <c r="Y17" s="435">
        <f>SUM(Y14:Y16)</f>
        <v>0</v>
      </c>
      <c r="Z17" s="442">
        <f t="shared" ref="Z17" si="21">SUM(Z14:Z16)</f>
        <v>0</v>
      </c>
      <c r="AA17" s="436">
        <f t="shared" ref="AA17" si="22">SUM(AA14:AA16)</f>
        <v>-17144</v>
      </c>
      <c r="AB17" s="717">
        <f>SUM(AB14:AB16)</f>
        <v>0</v>
      </c>
      <c r="AC17" s="434">
        <f t="shared" si="16"/>
        <v>541369</v>
      </c>
      <c r="AD17" s="436">
        <f t="shared" si="16"/>
        <v>19403.82</v>
      </c>
      <c r="AE17" s="436">
        <f t="shared" ref="AE17" si="23">SUM(AE14:AE16)</f>
        <v>0</v>
      </c>
      <c r="AF17" s="436">
        <f t="shared" ref="AF17" si="24">SUM(AF14:AF16)</f>
        <v>25496</v>
      </c>
      <c r="AG17" s="436">
        <f>SUM(AG14:AG16)</f>
        <v>0</v>
      </c>
      <c r="AH17" s="436">
        <f>SUM(AH14:AH16)</f>
        <v>0</v>
      </c>
      <c r="AI17" s="713">
        <f>SUM(AI14:AI16)</f>
        <v>0</v>
      </c>
      <c r="AJ17" s="713">
        <f t="shared" si="16"/>
        <v>0</v>
      </c>
      <c r="AK17" s="713">
        <f t="shared" ref="AK17" si="25">SUM(AK14:AK16)</f>
        <v>0</v>
      </c>
      <c r="AL17" s="442">
        <f>SUM(AL14:AL16)</f>
        <v>0</v>
      </c>
      <c r="AM17" s="436">
        <f t="shared" ref="AM17" si="26">SUM(AM14:AM16)</f>
        <v>0</v>
      </c>
      <c r="AN17" s="436">
        <f>SUM(AN14:AN16)</f>
        <v>0</v>
      </c>
      <c r="AO17" s="442">
        <f>SUM(AO14:AO16)</f>
        <v>0</v>
      </c>
      <c r="AP17" s="442">
        <f t="shared" ref="AP17" si="27">SUM(AP14:AP16)</f>
        <v>0</v>
      </c>
      <c r="AQ17" s="435">
        <f t="shared" ref="AQ17:AV17" si="28">SUM(AQ14:AQ16)</f>
        <v>0</v>
      </c>
      <c r="AR17" s="435">
        <f t="shared" si="28"/>
        <v>0</v>
      </c>
      <c r="AS17" s="435">
        <f t="shared" si="28"/>
        <v>0</v>
      </c>
      <c r="AT17" s="435">
        <f t="shared" si="28"/>
        <v>0</v>
      </c>
      <c r="AU17" s="435">
        <f t="shared" si="28"/>
        <v>0</v>
      </c>
      <c r="AV17" s="867">
        <f t="shared" si="28"/>
        <v>0</v>
      </c>
      <c r="AW17" s="868">
        <f t="shared" ref="AW17" si="29">SUM(AW14:AW16)</f>
        <v>0</v>
      </c>
      <c r="AX17" s="857">
        <f t="shared" ref="AX17:AZ17" si="30">SUM(AX14:AX16)</f>
        <v>0</v>
      </c>
      <c r="AY17" s="858">
        <f t="shared" ref="AY17" si="31">SUM(AY14:AY16)</f>
        <v>0</v>
      </c>
      <c r="AZ17" s="857">
        <f t="shared" si="30"/>
        <v>0</v>
      </c>
      <c r="BA17" s="858">
        <f t="shared" ref="BA17" si="32">SUM(BA14:BA16)</f>
        <v>0</v>
      </c>
      <c r="BB17" s="442">
        <f>SUM(BB14:BB16)</f>
        <v>0</v>
      </c>
      <c r="BC17" s="442">
        <f>SUM(BC14:BC16)</f>
        <v>0</v>
      </c>
      <c r="BD17" s="435">
        <f>SUM(BD14:BD16)</f>
        <v>0</v>
      </c>
      <c r="BE17" s="442">
        <f>SUM(BE14:BE16)</f>
        <v>0</v>
      </c>
      <c r="BF17" s="468">
        <f t="shared" si="15"/>
        <v>586268.81999999995</v>
      </c>
      <c r="BG17" s="774">
        <f>SUM(BG14:BG16)</f>
        <v>0</v>
      </c>
      <c r="BH17" s="786">
        <f t="shared" si="14"/>
        <v>586268.81999999995</v>
      </c>
    </row>
    <row r="18" spans="1:60" s="424" customFormat="1">
      <c r="A18" s="422">
        <v>5</v>
      </c>
      <c r="B18" s="424" t="s">
        <v>192</v>
      </c>
      <c r="E18" s="454">
        <f>'ROO INPUT'!F18</f>
        <v>60250</v>
      </c>
      <c r="F18" s="444">
        <v>0</v>
      </c>
      <c r="G18" s="444">
        <v>0</v>
      </c>
      <c r="H18" s="444">
        <v>0</v>
      </c>
      <c r="I18" s="444">
        <v>0</v>
      </c>
      <c r="J18" s="444">
        <v>-14</v>
      </c>
      <c r="K18" s="443">
        <v>0</v>
      </c>
      <c r="L18" s="444">
        <v>0</v>
      </c>
      <c r="M18" s="444">
        <v>0</v>
      </c>
      <c r="N18" s="444">
        <v>0</v>
      </c>
      <c r="O18" s="444">
        <v>0</v>
      </c>
      <c r="P18" s="444">
        <v>0</v>
      </c>
      <c r="Q18" s="444">
        <v>0</v>
      </c>
      <c r="R18" s="444">
        <v>0</v>
      </c>
      <c r="S18" s="444">
        <v>2883</v>
      </c>
      <c r="T18" s="443">
        <v>-213</v>
      </c>
      <c r="U18" s="443">
        <v>0</v>
      </c>
      <c r="V18" s="719">
        <v>0</v>
      </c>
      <c r="W18" s="443">
        <v>0</v>
      </c>
      <c r="X18" s="444">
        <v>0</v>
      </c>
      <c r="Y18" s="444">
        <v>0</v>
      </c>
      <c r="Z18" s="443">
        <v>0</v>
      </c>
      <c r="AA18" s="443">
        <v>-39208</v>
      </c>
      <c r="AB18" s="719">
        <v>0</v>
      </c>
      <c r="AC18" s="237">
        <f>SUM(E18:AB18)</f>
        <v>23698</v>
      </c>
      <c r="AD18" s="443">
        <f>3133</f>
        <v>3133</v>
      </c>
      <c r="AE18" s="443">
        <f>658</f>
        <v>658</v>
      </c>
      <c r="AF18" s="443">
        <f>-10789+181</f>
        <v>-10608</v>
      </c>
      <c r="AG18" s="443">
        <v>0</v>
      </c>
      <c r="AH18" s="443">
        <v>0</v>
      </c>
      <c r="AI18" s="719">
        <v>0</v>
      </c>
      <c r="AJ18" s="719">
        <v>0</v>
      </c>
      <c r="AK18" s="719">
        <v>0</v>
      </c>
      <c r="AL18" s="443">
        <v>0</v>
      </c>
      <c r="AM18" s="443">
        <v>0</v>
      </c>
      <c r="AN18" s="443">
        <v>0</v>
      </c>
      <c r="AO18" s="443">
        <v>0</v>
      </c>
      <c r="AP18" s="443">
        <v>0</v>
      </c>
      <c r="AQ18" s="444">
        <v>0</v>
      </c>
      <c r="AR18" s="444">
        <v>0</v>
      </c>
      <c r="AS18" s="444">
        <v>0</v>
      </c>
      <c r="AT18" s="444">
        <v>0</v>
      </c>
      <c r="AU18" s="444">
        <v>0</v>
      </c>
      <c r="AV18" s="869">
        <v>0</v>
      </c>
      <c r="AW18" s="870">
        <v>0</v>
      </c>
      <c r="AX18" s="861">
        <v>0</v>
      </c>
      <c r="AY18" s="862">
        <v>0</v>
      </c>
      <c r="AZ18" s="861">
        <v>0</v>
      </c>
      <c r="BA18" s="862">
        <v>0</v>
      </c>
      <c r="BB18" s="443">
        <v>0</v>
      </c>
      <c r="BC18" s="443">
        <v>0</v>
      </c>
      <c r="BD18" s="444">
        <v>0</v>
      </c>
      <c r="BE18" s="443">
        <v>0</v>
      </c>
      <c r="BF18" s="470">
        <f t="shared" si="15"/>
        <v>16881</v>
      </c>
      <c r="BG18" s="776">
        <v>0</v>
      </c>
      <c r="BH18" s="788">
        <f t="shared" si="14"/>
        <v>16881</v>
      </c>
    </row>
    <row r="19" spans="1:60" s="424" customFormat="1">
      <c r="A19" s="422">
        <v>6</v>
      </c>
      <c r="B19" s="424" t="s">
        <v>193</v>
      </c>
      <c r="E19" s="427">
        <f t="shared" ref="E19:AL19" si="33">SUM(E17:E18)</f>
        <v>661457</v>
      </c>
      <c r="F19" s="435">
        <f t="shared" si="33"/>
        <v>0</v>
      </c>
      <c r="G19" s="435">
        <f t="shared" si="33"/>
        <v>0</v>
      </c>
      <c r="H19" s="435">
        <f t="shared" si="33"/>
        <v>0</v>
      </c>
      <c r="I19" s="435">
        <f t="shared" ref="I19" si="34">SUM(I17:I18)</f>
        <v>0</v>
      </c>
      <c r="J19" s="435">
        <f t="shared" si="33"/>
        <v>-18885</v>
      </c>
      <c r="K19" s="436">
        <f t="shared" ref="K19" si="35">SUM(K17:K18)</f>
        <v>0</v>
      </c>
      <c r="L19" s="435">
        <f t="shared" si="33"/>
        <v>0</v>
      </c>
      <c r="M19" s="435">
        <f t="shared" si="33"/>
        <v>0</v>
      </c>
      <c r="N19" s="435">
        <f t="shared" si="33"/>
        <v>0</v>
      </c>
      <c r="O19" s="435">
        <f t="shared" si="33"/>
        <v>0</v>
      </c>
      <c r="P19" s="435">
        <f t="shared" si="33"/>
        <v>0</v>
      </c>
      <c r="Q19" s="435">
        <f t="shared" si="33"/>
        <v>0</v>
      </c>
      <c r="R19" s="435">
        <f t="shared" si="33"/>
        <v>0</v>
      </c>
      <c r="S19" s="435">
        <f t="shared" si="33"/>
        <v>-953</v>
      </c>
      <c r="T19" s="436">
        <f t="shared" ref="T19" si="36">SUM(T17:T18)</f>
        <v>-21940</v>
      </c>
      <c r="U19" s="436">
        <f>SUM(U17:U18)</f>
        <v>0</v>
      </c>
      <c r="V19" s="717">
        <f>SUM(V17:V18)</f>
        <v>0</v>
      </c>
      <c r="W19" s="436">
        <f>SUM(W17:W18)</f>
        <v>0</v>
      </c>
      <c r="X19" s="435">
        <f>SUM(X17:X18)</f>
        <v>1740</v>
      </c>
      <c r="Y19" s="435">
        <f>SUM(Y17:Y18)</f>
        <v>0</v>
      </c>
      <c r="Z19" s="442">
        <f t="shared" ref="Z19" si="37">SUM(Z17:Z18)</f>
        <v>0</v>
      </c>
      <c r="AA19" s="436">
        <f t="shared" ref="AA19" si="38">SUM(AA17:AA18)</f>
        <v>-56352</v>
      </c>
      <c r="AB19" s="717">
        <f>SUM(AB17:AB18)</f>
        <v>0</v>
      </c>
      <c r="AC19" s="434">
        <f t="shared" si="33"/>
        <v>565067</v>
      </c>
      <c r="AD19" s="436">
        <f t="shared" ref="AD19:AI19" si="39">SUM(AD17:AD18)</f>
        <v>22536.82</v>
      </c>
      <c r="AE19" s="436">
        <f t="shared" si="39"/>
        <v>658</v>
      </c>
      <c r="AF19" s="436">
        <f t="shared" si="39"/>
        <v>14888</v>
      </c>
      <c r="AG19" s="436">
        <f t="shared" si="39"/>
        <v>0</v>
      </c>
      <c r="AH19" s="436">
        <f t="shared" si="39"/>
        <v>0</v>
      </c>
      <c r="AI19" s="713">
        <f t="shared" si="39"/>
        <v>0</v>
      </c>
      <c r="AJ19" s="713">
        <f t="shared" si="33"/>
        <v>0</v>
      </c>
      <c r="AK19" s="713">
        <f t="shared" si="33"/>
        <v>0</v>
      </c>
      <c r="AL19" s="442">
        <f t="shared" si="33"/>
        <v>0</v>
      </c>
      <c r="AM19" s="436">
        <f t="shared" ref="AM19" si="40">SUM(AM17:AM18)</f>
        <v>0</v>
      </c>
      <c r="AN19" s="436">
        <f t="shared" ref="AN19:AP19" si="41">SUM(AN17:AN18)</f>
        <v>0</v>
      </c>
      <c r="AO19" s="442">
        <f>SUM(AO17:AO18)</f>
        <v>0</v>
      </c>
      <c r="AP19" s="442">
        <f t="shared" si="41"/>
        <v>0</v>
      </c>
      <c r="AQ19" s="435">
        <f t="shared" ref="AQ19:AV19" si="42">SUM(AQ17:AQ18)</f>
        <v>0</v>
      </c>
      <c r="AR19" s="435">
        <f t="shared" si="42"/>
        <v>0</v>
      </c>
      <c r="AS19" s="435">
        <f t="shared" si="42"/>
        <v>0</v>
      </c>
      <c r="AT19" s="435">
        <f t="shared" si="42"/>
        <v>0</v>
      </c>
      <c r="AU19" s="435">
        <f t="shared" si="42"/>
        <v>0</v>
      </c>
      <c r="AV19" s="867">
        <f t="shared" si="42"/>
        <v>0</v>
      </c>
      <c r="AW19" s="868">
        <f t="shared" ref="AW19" si="43">SUM(AW17:AW18)</f>
        <v>0</v>
      </c>
      <c r="AX19" s="857">
        <f t="shared" ref="AX19:AZ19" si="44">SUM(AX17:AX18)</f>
        <v>0</v>
      </c>
      <c r="AY19" s="858">
        <f t="shared" ref="AY19" si="45">SUM(AY17:AY18)</f>
        <v>0</v>
      </c>
      <c r="AZ19" s="857">
        <f t="shared" si="44"/>
        <v>0</v>
      </c>
      <c r="BA19" s="858">
        <f t="shared" ref="BA19" si="46">SUM(BA17:BA18)</f>
        <v>0</v>
      </c>
      <c r="BB19" s="442">
        <f>SUM(BB17:BB18)</f>
        <v>0</v>
      </c>
      <c r="BC19" s="442">
        <f>SUM(BC17:BC18)</f>
        <v>0</v>
      </c>
      <c r="BD19" s="435">
        <f>SUM(BD17:BD18)</f>
        <v>0</v>
      </c>
      <c r="BE19" s="442">
        <f>SUM(BE17:BE18)</f>
        <v>0</v>
      </c>
      <c r="BF19" s="468">
        <f t="shared" si="15"/>
        <v>603149.81999999995</v>
      </c>
      <c r="BG19" s="774">
        <f>SUM(BG17:BG18)</f>
        <v>0</v>
      </c>
      <c r="BH19" s="786">
        <f t="shared" si="14"/>
        <v>603149.81999999995</v>
      </c>
    </row>
    <row r="20" spans="1:60" s="424" customFormat="1" ht="8.25" customHeight="1">
      <c r="A20" s="422"/>
      <c r="E20" s="427"/>
      <c r="F20" s="435"/>
      <c r="G20" s="435"/>
      <c r="H20" s="435"/>
      <c r="I20" s="435"/>
      <c r="J20" s="435"/>
      <c r="K20" s="436"/>
      <c r="L20" s="435"/>
      <c r="M20" s="435"/>
      <c r="N20" s="435"/>
      <c r="O20" s="435"/>
      <c r="P20" s="435"/>
      <c r="Q20" s="435"/>
      <c r="R20" s="435"/>
      <c r="S20" s="435"/>
      <c r="T20" s="436"/>
      <c r="U20" s="436"/>
      <c r="V20" s="717"/>
      <c r="W20" s="436"/>
      <c r="X20" s="435"/>
      <c r="Y20" s="435"/>
      <c r="Z20" s="442"/>
      <c r="AA20" s="436"/>
      <c r="AB20" s="717"/>
      <c r="AC20" s="434"/>
      <c r="AD20" s="436"/>
      <c r="AE20" s="436"/>
      <c r="AF20" s="436"/>
      <c r="AG20" s="436"/>
      <c r="AH20" s="436"/>
      <c r="AI20" s="713"/>
      <c r="AJ20" s="713"/>
      <c r="AK20" s="713"/>
      <c r="AL20" s="442"/>
      <c r="AM20" s="436"/>
      <c r="AN20" s="436"/>
      <c r="AO20" s="442"/>
      <c r="AP20" s="442"/>
      <c r="AQ20" s="435"/>
      <c r="AR20" s="435"/>
      <c r="AS20" s="435"/>
      <c r="AT20" s="435"/>
      <c r="AU20" s="435"/>
      <c r="AV20" s="867"/>
      <c r="AW20" s="868"/>
      <c r="AX20" s="857"/>
      <c r="AY20" s="858"/>
      <c r="AZ20" s="857"/>
      <c r="BA20" s="858"/>
      <c r="BB20" s="442"/>
      <c r="BC20" s="442"/>
      <c r="BD20" s="435"/>
      <c r="BE20" s="442"/>
      <c r="BF20" s="468"/>
      <c r="BG20" s="774"/>
      <c r="BH20" s="786"/>
    </row>
    <row r="21" spans="1:60" s="424" customFormat="1">
      <c r="A21" s="422"/>
      <c r="B21" s="424" t="s">
        <v>194</v>
      </c>
      <c r="E21" s="427"/>
      <c r="F21" s="435"/>
      <c r="G21" s="435"/>
      <c r="H21" s="435"/>
      <c r="I21" s="435"/>
      <c r="J21" s="435"/>
      <c r="K21" s="436"/>
      <c r="L21" s="435"/>
      <c r="M21" s="435"/>
      <c r="N21" s="435"/>
      <c r="O21" s="435"/>
      <c r="P21" s="435"/>
      <c r="Q21" s="435"/>
      <c r="R21" s="435"/>
      <c r="S21" s="435"/>
      <c r="T21" s="436"/>
      <c r="U21" s="436"/>
      <c r="V21" s="717"/>
      <c r="W21" s="436"/>
      <c r="X21" s="435"/>
      <c r="Y21" s="435"/>
      <c r="Z21" s="442"/>
      <c r="AA21" s="436"/>
      <c r="AB21" s="717"/>
      <c r="AC21" s="434"/>
      <c r="AD21" s="442"/>
      <c r="AE21" s="436"/>
      <c r="AF21" s="436"/>
      <c r="AG21" s="436"/>
      <c r="AH21" s="436"/>
      <c r="AI21" s="713"/>
      <c r="AJ21" s="713"/>
      <c r="AK21" s="713"/>
      <c r="AL21" s="442"/>
      <c r="AM21" s="436"/>
      <c r="AN21" s="436"/>
      <c r="AO21" s="442"/>
      <c r="AP21" s="442"/>
      <c r="AQ21" s="436"/>
      <c r="AR21" s="436"/>
      <c r="AS21" s="436"/>
      <c r="AT21" s="436"/>
      <c r="AU21" s="436"/>
      <c r="AV21" s="857"/>
      <c r="AW21" s="858"/>
      <c r="AX21" s="857"/>
      <c r="AY21" s="858"/>
      <c r="AZ21" s="857"/>
      <c r="BA21" s="858"/>
      <c r="BB21" s="442"/>
      <c r="BC21" s="442"/>
      <c r="BD21" s="436"/>
      <c r="BE21" s="442"/>
      <c r="BF21" s="468"/>
      <c r="BG21" s="774"/>
      <c r="BH21" s="786"/>
    </row>
    <row r="22" spans="1:60" s="424" customFormat="1">
      <c r="A22" s="422"/>
      <c r="B22" s="424" t="s">
        <v>195</v>
      </c>
      <c r="E22" s="427"/>
      <c r="F22" s="435"/>
      <c r="G22" s="435"/>
      <c r="H22" s="435"/>
      <c r="I22" s="435"/>
      <c r="J22" s="435"/>
      <c r="K22" s="436"/>
      <c r="L22" s="435"/>
      <c r="M22" s="435"/>
      <c r="N22" s="435"/>
      <c r="O22" s="435"/>
      <c r="P22" s="435"/>
      <c r="Q22" s="435"/>
      <c r="R22" s="435"/>
      <c r="S22" s="435"/>
      <c r="T22" s="436"/>
      <c r="U22" s="436"/>
      <c r="V22" s="717"/>
      <c r="W22" s="436"/>
      <c r="X22" s="435"/>
      <c r="Y22" s="435"/>
      <c r="Z22" s="442"/>
      <c r="AA22" s="436"/>
      <c r="AB22" s="717"/>
      <c r="AC22" s="434"/>
      <c r="AD22" s="442"/>
      <c r="AE22" s="436"/>
      <c r="AF22" s="436"/>
      <c r="AG22" s="436"/>
      <c r="AH22" s="436"/>
      <c r="AI22" s="713"/>
      <c r="AJ22" s="713"/>
      <c r="AK22" s="713"/>
      <c r="AL22" s="442"/>
      <c r="AM22" s="436"/>
      <c r="AN22" s="436"/>
      <c r="AO22" s="442"/>
      <c r="AP22" s="442"/>
      <c r="AQ22" s="436"/>
      <c r="AR22" s="436"/>
      <c r="AS22" s="436"/>
      <c r="AT22" s="436"/>
      <c r="AU22" s="436"/>
      <c r="AV22" s="857"/>
      <c r="AW22" s="858"/>
      <c r="AX22" s="857"/>
      <c r="AY22" s="858"/>
      <c r="AZ22" s="857"/>
      <c r="BA22" s="858"/>
      <c r="BB22" s="442"/>
      <c r="BC22" s="442"/>
      <c r="BD22" s="436"/>
      <c r="BE22" s="442"/>
      <c r="BF22" s="468">
        <f t="shared" ref="BF22:BF28" si="47">SUM(AC22:BE22)</f>
        <v>0</v>
      </c>
      <c r="BG22" s="774"/>
      <c r="BH22" s="786">
        <f t="shared" ref="BH22:BH28" si="48">SUM(BF22:BG22)</f>
        <v>0</v>
      </c>
    </row>
    <row r="23" spans="1:60" s="424" customFormat="1">
      <c r="A23" s="422">
        <v>7</v>
      </c>
      <c r="C23" s="424" t="s">
        <v>196</v>
      </c>
      <c r="E23" s="427">
        <f>'ROO INPUT'!F23</f>
        <v>170553</v>
      </c>
      <c r="F23" s="435">
        <v>0</v>
      </c>
      <c r="G23" s="435">
        <v>5</v>
      </c>
      <c r="H23" s="435">
        <v>0</v>
      </c>
      <c r="I23" s="435">
        <v>0</v>
      </c>
      <c r="J23" s="435">
        <v>0</v>
      </c>
      <c r="K23" s="436">
        <v>0</v>
      </c>
      <c r="L23" s="435">
        <v>0</v>
      </c>
      <c r="M23" s="435">
        <v>0</v>
      </c>
      <c r="N23" s="435">
        <v>0</v>
      </c>
      <c r="O23" s="435">
        <v>0</v>
      </c>
      <c r="P23" s="435">
        <v>0</v>
      </c>
      <c r="Q23" s="435">
        <v>0</v>
      </c>
      <c r="R23" s="435">
        <v>0</v>
      </c>
      <c r="S23" s="435">
        <v>0</v>
      </c>
      <c r="T23" s="436">
        <v>0</v>
      </c>
      <c r="U23" s="436">
        <v>0</v>
      </c>
      <c r="V23" s="717">
        <v>0</v>
      </c>
      <c r="W23" s="436">
        <v>0</v>
      </c>
      <c r="X23" s="435">
        <v>300</v>
      </c>
      <c r="Y23" s="435">
        <v>-5</v>
      </c>
      <c r="Z23" s="442">
        <v>-926</v>
      </c>
      <c r="AA23" s="436">
        <v>-35686</v>
      </c>
      <c r="AB23" s="717">
        <v>913</v>
      </c>
      <c r="AC23" s="434">
        <f>SUM(E23:AB23)</f>
        <v>135154</v>
      </c>
      <c r="AD23" s="436">
        <f>5733-AD24-226</f>
        <v>9006</v>
      </c>
      <c r="AE23" s="436">
        <f>-447</f>
        <v>-447</v>
      </c>
      <c r="AF23" s="436">
        <v>0</v>
      </c>
      <c r="AG23" s="436">
        <v>231</v>
      </c>
      <c r="AH23" s="436">
        <v>0</v>
      </c>
      <c r="AI23" s="713">
        <v>1169</v>
      </c>
      <c r="AJ23" s="713">
        <v>0</v>
      </c>
      <c r="AK23" s="713">
        <v>427</v>
      </c>
      <c r="AL23" s="442">
        <v>0</v>
      </c>
      <c r="AM23" s="436">
        <v>0</v>
      </c>
      <c r="AN23" s="436">
        <v>0</v>
      </c>
      <c r="AO23" s="442">
        <v>0</v>
      </c>
      <c r="AP23" s="442">
        <v>0</v>
      </c>
      <c r="AQ23" s="436">
        <v>0</v>
      </c>
      <c r="AR23" s="436">
        <v>0</v>
      </c>
      <c r="AS23" s="436">
        <v>0</v>
      </c>
      <c r="AT23" s="436">
        <v>0</v>
      </c>
      <c r="AU23" s="436">
        <v>0</v>
      </c>
      <c r="AV23" s="857">
        <v>995</v>
      </c>
      <c r="AW23" s="858"/>
      <c r="AX23" s="857">
        <f>1085+220+386</f>
        <v>1691</v>
      </c>
      <c r="AY23" s="858"/>
      <c r="AZ23" s="857">
        <v>0</v>
      </c>
      <c r="BA23" s="858">
        <v>0</v>
      </c>
      <c r="BB23" s="442">
        <v>33</v>
      </c>
      <c r="BC23" s="442"/>
      <c r="BD23" s="436">
        <v>0</v>
      </c>
      <c r="BE23" s="442">
        <v>0</v>
      </c>
      <c r="BF23" s="468">
        <f t="shared" si="47"/>
        <v>148259</v>
      </c>
      <c r="BG23" s="774"/>
      <c r="BH23" s="786">
        <f t="shared" si="48"/>
        <v>148259</v>
      </c>
    </row>
    <row r="24" spans="1:60" s="424" customFormat="1">
      <c r="A24" s="422">
        <v>8</v>
      </c>
      <c r="C24" s="424" t="s">
        <v>197</v>
      </c>
      <c r="E24" s="427">
        <f>'ROO INPUT'!F24</f>
        <v>89083</v>
      </c>
      <c r="F24" s="435">
        <v>0</v>
      </c>
      <c r="G24" s="435"/>
      <c r="H24" s="435">
        <v>0</v>
      </c>
      <c r="I24" s="435">
        <v>0</v>
      </c>
      <c r="J24" s="435">
        <v>0</v>
      </c>
      <c r="K24" s="436">
        <v>0</v>
      </c>
      <c r="L24" s="435">
        <v>0</v>
      </c>
      <c r="M24" s="435">
        <v>0</v>
      </c>
      <c r="N24" s="435">
        <v>0</v>
      </c>
      <c r="O24" s="435">
        <v>0</v>
      </c>
      <c r="P24" s="435">
        <v>0</v>
      </c>
      <c r="Q24" s="435">
        <v>0</v>
      </c>
      <c r="R24" s="435">
        <v>0</v>
      </c>
      <c r="S24" s="435">
        <v>0</v>
      </c>
      <c r="T24" s="436">
        <v>0</v>
      </c>
      <c r="U24" s="436">
        <v>0</v>
      </c>
      <c r="V24" s="717">
        <v>0</v>
      </c>
      <c r="W24" s="436">
        <v>0</v>
      </c>
      <c r="X24" s="435">
        <v>0</v>
      </c>
      <c r="Y24" s="435">
        <v>0</v>
      </c>
      <c r="Z24" s="442">
        <v>0</v>
      </c>
      <c r="AA24" s="436">
        <v>-14801</v>
      </c>
      <c r="AB24" s="717">
        <v>0</v>
      </c>
      <c r="AC24" s="434">
        <f>SUM(E24:AB24)</f>
        <v>74282</v>
      </c>
      <c r="AD24" s="436">
        <v>-3499</v>
      </c>
      <c r="AE24" s="436">
        <v>0</v>
      </c>
      <c r="AF24" s="436">
        <v>0</v>
      </c>
      <c r="AG24" s="436">
        <v>0</v>
      </c>
      <c r="AH24" s="436">
        <v>0</v>
      </c>
      <c r="AI24" s="713">
        <v>0</v>
      </c>
      <c r="AJ24" s="713">
        <v>0</v>
      </c>
      <c r="AK24" s="713"/>
      <c r="AL24" s="442">
        <v>0</v>
      </c>
      <c r="AM24" s="436">
        <v>0</v>
      </c>
      <c r="AN24" s="436">
        <v>0</v>
      </c>
      <c r="AO24" s="442">
        <v>0</v>
      </c>
      <c r="AP24" s="442">
        <v>0</v>
      </c>
      <c r="AQ24" s="436">
        <v>0</v>
      </c>
      <c r="AR24" s="436">
        <v>0</v>
      </c>
      <c r="AS24" s="436">
        <v>0</v>
      </c>
      <c r="AT24" s="436">
        <v>0</v>
      </c>
      <c r="AU24" s="436">
        <v>0</v>
      </c>
      <c r="AV24" s="857">
        <v>0</v>
      </c>
      <c r="AW24" s="858">
        <v>0</v>
      </c>
      <c r="AX24" s="857">
        <v>0</v>
      </c>
      <c r="AY24" s="858">
        <v>0</v>
      </c>
      <c r="AZ24" s="857">
        <v>0</v>
      </c>
      <c r="BA24" s="858">
        <v>0</v>
      </c>
      <c r="BB24" s="442">
        <v>0</v>
      </c>
      <c r="BC24" s="442">
        <v>0</v>
      </c>
      <c r="BD24" s="436">
        <v>0</v>
      </c>
      <c r="BE24" s="442">
        <v>0</v>
      </c>
      <c r="BF24" s="468">
        <f t="shared" si="47"/>
        <v>70783</v>
      </c>
      <c r="BG24" s="774">
        <v>0</v>
      </c>
      <c r="BH24" s="786">
        <f t="shared" si="48"/>
        <v>70783</v>
      </c>
    </row>
    <row r="25" spans="1:60" s="424" customFormat="1">
      <c r="A25" s="422">
        <v>9</v>
      </c>
      <c r="C25" s="424" t="s">
        <v>549</v>
      </c>
      <c r="E25" s="427">
        <f>'ROO INPUT'!F25</f>
        <v>32447</v>
      </c>
      <c r="F25" s="435">
        <v>0</v>
      </c>
      <c r="G25" s="435">
        <v>0</v>
      </c>
      <c r="H25" s="435">
        <v>0</v>
      </c>
      <c r="I25" s="435">
        <v>0</v>
      </c>
      <c r="J25" s="435">
        <v>0</v>
      </c>
      <c r="K25" s="436">
        <v>0</v>
      </c>
      <c r="L25" s="435">
        <v>0</v>
      </c>
      <c r="M25" s="427">
        <f>'ROO INPUT'!M25</f>
        <v>0</v>
      </c>
      <c r="N25" s="435">
        <v>0</v>
      </c>
      <c r="O25" s="435">
        <v>0</v>
      </c>
      <c r="P25" s="435">
        <v>0</v>
      </c>
      <c r="Q25" s="435">
        <v>0</v>
      </c>
      <c r="R25" s="435">
        <v>0</v>
      </c>
      <c r="S25" s="435">
        <v>0</v>
      </c>
      <c r="T25" s="436">
        <v>0</v>
      </c>
      <c r="U25" s="436">
        <v>0</v>
      </c>
      <c r="V25" s="717">
        <v>0</v>
      </c>
      <c r="W25" s="436">
        <v>0</v>
      </c>
      <c r="X25" s="435">
        <v>0</v>
      </c>
      <c r="Y25" s="435">
        <v>0</v>
      </c>
      <c r="Z25" s="442">
        <v>0</v>
      </c>
      <c r="AA25" s="436">
        <v>0</v>
      </c>
      <c r="AB25" s="717">
        <f>2762+805-10</f>
        <v>3557</v>
      </c>
      <c r="AC25" s="434">
        <f>SUM(E25:AB25)</f>
        <v>36004</v>
      </c>
      <c r="AD25" s="436">
        <v>0</v>
      </c>
      <c r="AE25" s="436">
        <v>0</v>
      </c>
      <c r="AF25" s="436">
        <v>0</v>
      </c>
      <c r="AG25" s="436">
        <v>0</v>
      </c>
      <c r="AH25" s="436">
        <v>0</v>
      </c>
      <c r="AI25" s="713">
        <v>0</v>
      </c>
      <c r="AJ25" s="713">
        <v>0</v>
      </c>
      <c r="AK25" s="713">
        <v>0</v>
      </c>
      <c r="AL25" s="442">
        <v>0</v>
      </c>
      <c r="AM25" s="436">
        <v>0</v>
      </c>
      <c r="AN25" s="436">
        <v>0</v>
      </c>
      <c r="AO25" s="442">
        <v>0</v>
      </c>
      <c r="AP25" s="442">
        <v>0</v>
      </c>
      <c r="AQ25" s="436">
        <f>37+165</f>
        <v>202</v>
      </c>
      <c r="AR25" s="436">
        <f>54+139</f>
        <v>193</v>
      </c>
      <c r="AS25" s="436">
        <f>25+506</f>
        <v>531</v>
      </c>
      <c r="AT25" s="436">
        <v>0</v>
      </c>
      <c r="AU25" s="436">
        <v>0</v>
      </c>
      <c r="AV25" s="857">
        <v>47</v>
      </c>
      <c r="AW25" s="858">
        <v>5</v>
      </c>
      <c r="AX25" s="857">
        <v>117</v>
      </c>
      <c r="AY25" s="858"/>
      <c r="AZ25" s="919">
        <v>1046</v>
      </c>
      <c r="BA25" s="920">
        <v>880</v>
      </c>
      <c r="BB25" s="442">
        <v>0</v>
      </c>
      <c r="BC25" s="442">
        <v>0</v>
      </c>
      <c r="BD25" s="436">
        <v>0</v>
      </c>
      <c r="BE25" s="442"/>
      <c r="BF25" s="468">
        <f t="shared" si="47"/>
        <v>39025</v>
      </c>
      <c r="BG25" s="774">
        <v>0</v>
      </c>
      <c r="BH25" s="786">
        <f t="shared" si="48"/>
        <v>39025</v>
      </c>
    </row>
    <row r="26" spans="1:60" s="424" customFormat="1">
      <c r="A26" s="422">
        <v>10</v>
      </c>
      <c r="C26" s="427" t="s">
        <v>546</v>
      </c>
      <c r="D26" s="427"/>
      <c r="E26" s="427">
        <f>'ROO INPUT'!F26</f>
        <v>-712</v>
      </c>
      <c r="F26" s="436">
        <v>0</v>
      </c>
      <c r="G26" s="436">
        <v>0</v>
      </c>
      <c r="H26" s="436">
        <v>0</v>
      </c>
      <c r="I26" s="436">
        <v>0</v>
      </c>
      <c r="J26" s="436">
        <v>0</v>
      </c>
      <c r="K26" s="436">
        <v>0</v>
      </c>
      <c r="L26" s="436">
        <v>0</v>
      </c>
      <c r="M26" s="436">
        <v>0</v>
      </c>
      <c r="N26" s="436">
        <v>0</v>
      </c>
      <c r="O26" s="436">
        <v>0</v>
      </c>
      <c r="P26" s="436">
        <v>0</v>
      </c>
      <c r="Q26" s="436">
        <v>0</v>
      </c>
      <c r="R26" s="436">
        <v>0</v>
      </c>
      <c r="S26" s="436">
        <v>0</v>
      </c>
      <c r="T26" s="436">
        <v>3332</v>
      </c>
      <c r="U26" s="436">
        <v>0</v>
      </c>
      <c r="V26" s="717">
        <v>0</v>
      </c>
      <c r="W26" s="436">
        <v>0</v>
      </c>
      <c r="X26" s="436">
        <v>0</v>
      </c>
      <c r="Y26" s="436">
        <v>0</v>
      </c>
      <c r="Z26" s="442">
        <v>0</v>
      </c>
      <c r="AA26" s="436"/>
      <c r="AB26" s="717"/>
      <c r="AC26" s="434">
        <f>SUM(E26:AB26)</f>
        <v>2620</v>
      </c>
      <c r="AD26" s="436">
        <v>0</v>
      </c>
      <c r="AE26" s="436">
        <v>0</v>
      </c>
      <c r="AF26" s="436">
        <v>0</v>
      </c>
      <c r="AG26" s="436">
        <v>-1869</v>
      </c>
      <c r="AH26" s="436">
        <v>0</v>
      </c>
      <c r="AI26" s="713"/>
      <c r="AJ26" s="713"/>
      <c r="AK26" s="713"/>
      <c r="AL26" s="442">
        <v>0</v>
      </c>
      <c r="AM26" s="436">
        <v>0</v>
      </c>
      <c r="AN26" s="436">
        <v>0</v>
      </c>
      <c r="AO26" s="442">
        <v>0</v>
      </c>
      <c r="AP26" s="442"/>
      <c r="AQ26" s="436">
        <v>0</v>
      </c>
      <c r="AR26" s="436">
        <v>0</v>
      </c>
      <c r="AS26" s="436">
        <v>0</v>
      </c>
      <c r="AT26" s="436">
        <v>0</v>
      </c>
      <c r="AU26" s="436">
        <v>0</v>
      </c>
      <c r="AV26" s="857">
        <v>0</v>
      </c>
      <c r="AW26" s="858">
        <v>0</v>
      </c>
      <c r="AX26" s="857">
        <v>0</v>
      </c>
      <c r="AY26" s="858">
        <v>0</v>
      </c>
      <c r="AZ26" s="919">
        <v>-2534</v>
      </c>
      <c r="BA26" s="920"/>
      <c r="BB26" s="442">
        <v>0</v>
      </c>
      <c r="BC26" s="442">
        <v>0</v>
      </c>
      <c r="BD26" s="436">
        <v>0</v>
      </c>
      <c r="BE26" s="442">
        <v>0</v>
      </c>
      <c r="BF26" s="468">
        <f t="shared" si="47"/>
        <v>-1783</v>
      </c>
      <c r="BG26" s="774">
        <v>0</v>
      </c>
      <c r="BH26" s="786">
        <f t="shared" si="48"/>
        <v>-1783</v>
      </c>
    </row>
    <row r="27" spans="1:60" s="424" customFormat="1">
      <c r="A27" s="422">
        <v>11</v>
      </c>
      <c r="C27" s="424" t="s">
        <v>198</v>
      </c>
      <c r="E27" s="454">
        <f>'ROO INPUT'!F27</f>
        <v>16489</v>
      </c>
      <c r="F27" s="444">
        <v>0</v>
      </c>
      <c r="G27" s="444">
        <v>0</v>
      </c>
      <c r="H27" s="444">
        <v>0</v>
      </c>
      <c r="I27" s="444">
        <v>0</v>
      </c>
      <c r="J27" s="444">
        <v>0</v>
      </c>
      <c r="K27" s="443">
        <v>351</v>
      </c>
      <c r="L27" s="444">
        <v>0</v>
      </c>
      <c r="M27" s="444">
        <v>0</v>
      </c>
      <c r="N27" s="444">
        <v>0</v>
      </c>
      <c r="O27" s="444">
        <v>0</v>
      </c>
      <c r="P27" s="444">
        <v>0</v>
      </c>
      <c r="Q27" s="444">
        <v>0</v>
      </c>
      <c r="R27" s="444">
        <v>0</v>
      </c>
      <c r="S27" s="444">
        <v>0</v>
      </c>
      <c r="T27" s="443">
        <v>0</v>
      </c>
      <c r="U27" s="443">
        <v>0</v>
      </c>
      <c r="V27" s="719">
        <v>0</v>
      </c>
      <c r="W27" s="443">
        <v>0</v>
      </c>
      <c r="X27" s="444">
        <v>0</v>
      </c>
      <c r="Y27" s="444">
        <v>0</v>
      </c>
      <c r="Z27" s="443">
        <v>0</v>
      </c>
      <c r="AA27" s="443">
        <v>0</v>
      </c>
      <c r="AB27" s="719">
        <v>0</v>
      </c>
      <c r="AC27" s="237">
        <f>SUM(E27:AB27)</f>
        <v>16840</v>
      </c>
      <c r="AD27" s="443">
        <v>0</v>
      </c>
      <c r="AE27" s="443">
        <v>0</v>
      </c>
      <c r="AF27" s="443">
        <v>0</v>
      </c>
      <c r="AG27" s="443">
        <v>0</v>
      </c>
      <c r="AH27" s="443">
        <v>0</v>
      </c>
      <c r="AI27" s="719">
        <v>0</v>
      </c>
      <c r="AJ27" s="719">
        <v>0</v>
      </c>
      <c r="AK27" s="719">
        <v>0</v>
      </c>
      <c r="AL27" s="443">
        <v>0</v>
      </c>
      <c r="AM27" s="443">
        <v>0</v>
      </c>
      <c r="AN27" s="443">
        <v>435</v>
      </c>
      <c r="AO27" s="443">
        <v>0</v>
      </c>
      <c r="AP27" s="443">
        <v>0</v>
      </c>
      <c r="AQ27" s="443">
        <v>0</v>
      </c>
      <c r="AR27" s="443">
        <v>0</v>
      </c>
      <c r="AS27" s="443">
        <v>0</v>
      </c>
      <c r="AT27" s="443">
        <v>0</v>
      </c>
      <c r="AU27" s="443">
        <v>0</v>
      </c>
      <c r="AV27" s="861">
        <v>0</v>
      </c>
      <c r="AW27" s="862">
        <v>0</v>
      </c>
      <c r="AX27" s="861">
        <v>0</v>
      </c>
      <c r="AY27" s="862">
        <v>0</v>
      </c>
      <c r="AZ27" s="861">
        <v>0</v>
      </c>
      <c r="BA27" s="862">
        <v>0</v>
      </c>
      <c r="BB27" s="443">
        <v>0</v>
      </c>
      <c r="BC27" s="443">
        <v>0</v>
      </c>
      <c r="BD27" s="443">
        <v>0</v>
      </c>
      <c r="BE27" s="443">
        <v>0</v>
      </c>
      <c r="BF27" s="470">
        <f t="shared" si="47"/>
        <v>17275</v>
      </c>
      <c r="BG27" s="776">
        <v>0</v>
      </c>
      <c r="BH27" s="788">
        <f t="shared" si="48"/>
        <v>17275</v>
      </c>
    </row>
    <row r="28" spans="1:60" s="424" customFormat="1">
      <c r="A28" s="422">
        <v>12</v>
      </c>
      <c r="B28" s="424" t="s">
        <v>199</v>
      </c>
      <c r="E28" s="427">
        <f t="shared" ref="E28:AJ28" si="49">SUM(E23:E27)</f>
        <v>307860</v>
      </c>
      <c r="F28" s="435">
        <f t="shared" si="49"/>
        <v>0</v>
      </c>
      <c r="G28" s="435">
        <f t="shared" si="49"/>
        <v>5</v>
      </c>
      <c r="H28" s="435">
        <f t="shared" si="49"/>
        <v>0</v>
      </c>
      <c r="I28" s="435">
        <f t="shared" ref="I28" si="50">SUM(I23:I27)</f>
        <v>0</v>
      </c>
      <c r="J28" s="435">
        <f t="shared" si="49"/>
        <v>0</v>
      </c>
      <c r="K28" s="436">
        <f t="shared" ref="K28" si="51">SUM(K23:K27)</f>
        <v>351</v>
      </c>
      <c r="L28" s="435">
        <f t="shared" si="49"/>
        <v>0</v>
      </c>
      <c r="M28" s="435">
        <f t="shared" si="49"/>
        <v>0</v>
      </c>
      <c r="N28" s="435">
        <f t="shared" si="49"/>
        <v>0</v>
      </c>
      <c r="O28" s="435">
        <f t="shared" si="49"/>
        <v>0</v>
      </c>
      <c r="P28" s="435">
        <f t="shared" si="49"/>
        <v>0</v>
      </c>
      <c r="Q28" s="435">
        <f t="shared" si="49"/>
        <v>0</v>
      </c>
      <c r="R28" s="435">
        <f t="shared" si="49"/>
        <v>0</v>
      </c>
      <c r="S28" s="435">
        <f t="shared" si="49"/>
        <v>0</v>
      </c>
      <c r="T28" s="436">
        <f t="shared" ref="T28" si="52">SUM(T23:T27)</f>
        <v>3332</v>
      </c>
      <c r="U28" s="436">
        <f>SUM(U23:U27)</f>
        <v>0</v>
      </c>
      <c r="V28" s="717">
        <f t="shared" ref="V28" si="53">SUM(V23:V27)</f>
        <v>0</v>
      </c>
      <c r="W28" s="436">
        <f>SUM(W23:W27)</f>
        <v>0</v>
      </c>
      <c r="X28" s="435">
        <f>SUM(X23:X27)</f>
        <v>300</v>
      </c>
      <c r="Y28" s="435">
        <f>SUM(Y23:Y27)</f>
        <v>-5</v>
      </c>
      <c r="Z28" s="442">
        <f t="shared" ref="Z28" si="54">SUM(Z23:Z27)</f>
        <v>-926</v>
      </c>
      <c r="AA28" s="436">
        <f t="shared" ref="AA28" si="55">SUM(AA23:AA27)</f>
        <v>-50487</v>
      </c>
      <c r="AB28" s="717">
        <f>SUM(AB23:AB27)</f>
        <v>4470</v>
      </c>
      <c r="AC28" s="434">
        <f t="shared" si="49"/>
        <v>264900</v>
      </c>
      <c r="AD28" s="436">
        <f t="shared" si="49"/>
        <v>5507</v>
      </c>
      <c r="AE28" s="436">
        <f t="shared" ref="AE28" si="56">SUM(AE23:AE27)</f>
        <v>-447</v>
      </c>
      <c r="AF28" s="436">
        <f t="shared" ref="AF28" si="57">SUM(AF23:AF27)</f>
        <v>0</v>
      </c>
      <c r="AG28" s="436">
        <f>SUM(AG23:AG27)</f>
        <v>-1638</v>
      </c>
      <c r="AH28" s="436">
        <f>SUM(AH23:AH27)</f>
        <v>0</v>
      </c>
      <c r="AI28" s="713">
        <f>SUM(AI23:AI27)</f>
        <v>1169</v>
      </c>
      <c r="AJ28" s="713">
        <f t="shared" si="49"/>
        <v>0</v>
      </c>
      <c r="AK28" s="713">
        <f t="shared" ref="AK28" si="58">SUM(AK23:AK27)</f>
        <v>427</v>
      </c>
      <c r="AL28" s="442">
        <f>SUM(AL23:AL27)</f>
        <v>0</v>
      </c>
      <c r="AM28" s="436">
        <f t="shared" ref="AM28" si="59">SUM(AM23:AM27)</f>
        <v>0</v>
      </c>
      <c r="AN28" s="436">
        <f>SUM(AN23:AN27)</f>
        <v>435</v>
      </c>
      <c r="AO28" s="442">
        <f>SUM(AO23:AO27)</f>
        <v>0</v>
      </c>
      <c r="AP28" s="442">
        <f t="shared" ref="AP28" si="60">SUM(AP23:AP27)</f>
        <v>0</v>
      </c>
      <c r="AQ28" s="436">
        <f t="shared" ref="AQ28:AV28" si="61">SUM(AQ23:AQ27)</f>
        <v>202</v>
      </c>
      <c r="AR28" s="436">
        <f t="shared" si="61"/>
        <v>193</v>
      </c>
      <c r="AS28" s="436">
        <f t="shared" si="61"/>
        <v>531</v>
      </c>
      <c r="AT28" s="436">
        <f t="shared" si="61"/>
        <v>0</v>
      </c>
      <c r="AU28" s="436">
        <f t="shared" si="61"/>
        <v>0</v>
      </c>
      <c r="AV28" s="857">
        <f t="shared" si="61"/>
        <v>1042</v>
      </c>
      <c r="AW28" s="858">
        <f t="shared" ref="AW28" si="62">SUM(AW23:AW27)</f>
        <v>5</v>
      </c>
      <c r="AX28" s="857">
        <f>SUM(AX23:AX27)</f>
        <v>1808</v>
      </c>
      <c r="AY28" s="858">
        <f>SUM(AY23:AY27)</f>
        <v>0</v>
      </c>
      <c r="AZ28" s="857">
        <f t="shared" ref="AZ28" si="63">SUM(AZ23:AZ27)</f>
        <v>-1488</v>
      </c>
      <c r="BA28" s="858">
        <f t="shared" ref="BA28" si="64">SUM(BA23:BA27)</f>
        <v>880</v>
      </c>
      <c r="BB28" s="442">
        <f>SUM(BB23:BB27)</f>
        <v>33</v>
      </c>
      <c r="BC28" s="442">
        <f>SUM(BC23:BC27)</f>
        <v>0</v>
      </c>
      <c r="BD28" s="436">
        <f>SUM(BD23:BD27)</f>
        <v>0</v>
      </c>
      <c r="BE28" s="442">
        <f>SUM(BE23:BE27)</f>
        <v>0</v>
      </c>
      <c r="BF28" s="468">
        <f t="shared" si="47"/>
        <v>273559</v>
      </c>
      <c r="BG28" s="774">
        <f>SUM(BG23:BG27)</f>
        <v>0</v>
      </c>
      <c r="BH28" s="786">
        <f t="shared" si="48"/>
        <v>273559</v>
      </c>
    </row>
    <row r="29" spans="1:60" s="424" customFormat="1" ht="8.25" customHeight="1">
      <c r="A29" s="422"/>
      <c r="E29" s="427"/>
      <c r="F29" s="435"/>
      <c r="G29" s="435"/>
      <c r="H29" s="435"/>
      <c r="I29" s="435"/>
      <c r="J29" s="435"/>
      <c r="K29" s="436"/>
      <c r="L29" s="435"/>
      <c r="M29" s="435"/>
      <c r="N29" s="435"/>
      <c r="O29" s="435"/>
      <c r="P29" s="435"/>
      <c r="Q29" s="435"/>
      <c r="R29" s="435"/>
      <c r="S29" s="435"/>
      <c r="T29" s="436"/>
      <c r="U29" s="436"/>
      <c r="V29" s="717"/>
      <c r="W29" s="436"/>
      <c r="X29" s="435"/>
      <c r="Y29" s="435"/>
      <c r="Z29" s="442"/>
      <c r="AA29" s="436"/>
      <c r="AB29" s="717"/>
      <c r="AC29" s="434"/>
      <c r="AD29" s="436"/>
      <c r="AE29" s="436"/>
      <c r="AF29" s="436"/>
      <c r="AG29" s="436"/>
      <c r="AH29" s="436"/>
      <c r="AI29" s="713"/>
      <c r="AJ29" s="713"/>
      <c r="AK29" s="713"/>
      <c r="AL29" s="442"/>
      <c r="AM29" s="436"/>
      <c r="AN29" s="436"/>
      <c r="AO29" s="442"/>
      <c r="AP29" s="442"/>
      <c r="AQ29" s="436"/>
      <c r="AR29" s="436"/>
      <c r="AS29" s="436"/>
      <c r="AT29" s="436"/>
      <c r="AU29" s="436"/>
      <c r="AV29" s="857"/>
      <c r="AW29" s="858"/>
      <c r="AX29" s="857"/>
      <c r="AY29" s="858"/>
      <c r="AZ29" s="857"/>
      <c r="BA29" s="858"/>
      <c r="BB29" s="442"/>
      <c r="BC29" s="442"/>
      <c r="BD29" s="436"/>
      <c r="BE29" s="442"/>
      <c r="BF29" s="468"/>
      <c r="BG29" s="774"/>
      <c r="BH29" s="786"/>
    </row>
    <row r="30" spans="1:60" s="424" customFormat="1">
      <c r="A30" s="422"/>
      <c r="B30" s="424" t="s">
        <v>200</v>
      </c>
      <c r="E30" s="427"/>
      <c r="F30" s="435"/>
      <c r="G30" s="435"/>
      <c r="H30" s="435"/>
      <c r="I30" s="435"/>
      <c r="J30" s="435"/>
      <c r="K30" s="436"/>
      <c r="L30" s="435"/>
      <c r="M30" s="435"/>
      <c r="N30" s="435"/>
      <c r="O30" s="435"/>
      <c r="P30" s="435"/>
      <c r="Q30" s="435"/>
      <c r="R30" s="435"/>
      <c r="S30" s="435"/>
      <c r="T30" s="436"/>
      <c r="U30" s="436"/>
      <c r="V30" s="717"/>
      <c r="W30" s="436"/>
      <c r="X30" s="435"/>
      <c r="Y30" s="435"/>
      <c r="Z30" s="442"/>
      <c r="AA30" s="436"/>
      <c r="AB30" s="717"/>
      <c r="AC30" s="434"/>
      <c r="AD30" s="442"/>
      <c r="AE30" s="436"/>
      <c r="AF30" s="436"/>
      <c r="AG30" s="436"/>
      <c r="AH30" s="436"/>
      <c r="AI30" s="713"/>
      <c r="AJ30" s="713"/>
      <c r="AK30" s="713"/>
      <c r="AL30" s="442"/>
      <c r="AM30" s="436"/>
      <c r="AN30" s="436"/>
      <c r="AO30" s="442"/>
      <c r="AP30" s="442"/>
      <c r="AQ30" s="436"/>
      <c r="AR30" s="436"/>
      <c r="AS30" s="436"/>
      <c r="AT30" s="436"/>
      <c r="AU30" s="436"/>
      <c r="AV30" s="857"/>
      <c r="AW30" s="858"/>
      <c r="AX30" s="857"/>
      <c r="AY30" s="858"/>
      <c r="AZ30" s="857"/>
      <c r="BA30" s="858"/>
      <c r="BB30" s="442"/>
      <c r="BC30" s="442"/>
      <c r="BD30" s="436"/>
      <c r="BE30" s="442"/>
      <c r="BF30" s="468">
        <f>SUM(AC30:BE30)</f>
        <v>0</v>
      </c>
      <c r="BG30" s="774"/>
      <c r="BH30" s="786">
        <f>SUM(BF30:BG30)</f>
        <v>0</v>
      </c>
    </row>
    <row r="31" spans="1:60" s="424" customFormat="1">
      <c r="A31" s="422">
        <v>13</v>
      </c>
      <c r="C31" s="424" t="s">
        <v>196</v>
      </c>
      <c r="E31" s="431">
        <f>'ROO INPUT'!F31</f>
        <v>26747</v>
      </c>
      <c r="F31" s="435">
        <v>0</v>
      </c>
      <c r="G31" s="435">
        <v>0</v>
      </c>
      <c r="H31" s="435">
        <v>0</v>
      </c>
      <c r="I31" s="435">
        <v>0</v>
      </c>
      <c r="J31" s="435">
        <v>0</v>
      </c>
      <c r="K31" s="436">
        <v>0</v>
      </c>
      <c r="L31" s="435">
        <v>0</v>
      </c>
      <c r="M31" s="435">
        <v>0</v>
      </c>
      <c r="N31" s="435">
        <v>0</v>
      </c>
      <c r="O31" s="435">
        <v>0</v>
      </c>
      <c r="P31" s="435">
        <v>0</v>
      </c>
      <c r="Q31" s="435">
        <v>0</v>
      </c>
      <c r="R31" s="435">
        <v>0</v>
      </c>
      <c r="S31" s="435">
        <v>0</v>
      </c>
      <c r="T31" s="436">
        <v>0</v>
      </c>
      <c r="U31" s="436">
        <v>0</v>
      </c>
      <c r="V31" s="717"/>
      <c r="W31" s="436">
        <v>0</v>
      </c>
      <c r="X31" s="435">
        <v>0</v>
      </c>
      <c r="Y31" s="435">
        <v>0</v>
      </c>
      <c r="Z31" s="442">
        <v>0</v>
      </c>
      <c r="AA31" s="436">
        <v>0</v>
      </c>
      <c r="AB31" s="717">
        <v>0</v>
      </c>
      <c r="AC31" s="434">
        <f>SUM(E31:AB31)</f>
        <v>26747</v>
      </c>
      <c r="AD31" s="436">
        <v>0</v>
      </c>
      <c r="AE31" s="436">
        <v>0</v>
      </c>
      <c r="AF31" s="436">
        <v>0</v>
      </c>
      <c r="AG31" s="436">
        <v>0</v>
      </c>
      <c r="AH31" s="436">
        <v>0</v>
      </c>
      <c r="AI31" s="713">
        <v>713</v>
      </c>
      <c r="AJ31" s="713"/>
      <c r="AK31" s="713">
        <v>268</v>
      </c>
      <c r="AL31" s="442">
        <v>0</v>
      </c>
      <c r="AM31" s="436">
        <v>0</v>
      </c>
      <c r="AN31" s="436">
        <v>0</v>
      </c>
      <c r="AO31" s="442">
        <v>0</v>
      </c>
      <c r="AP31" s="442">
        <v>0</v>
      </c>
      <c r="AQ31" s="436">
        <v>0</v>
      </c>
      <c r="AR31" s="436">
        <v>-206</v>
      </c>
      <c r="AS31" s="436">
        <v>0</v>
      </c>
      <c r="AT31" s="436">
        <v>0</v>
      </c>
      <c r="AU31" s="436"/>
      <c r="AV31" s="857">
        <v>3030</v>
      </c>
      <c r="AW31" s="858"/>
      <c r="AX31" s="857">
        <v>0</v>
      </c>
      <c r="AY31" s="858">
        <v>0</v>
      </c>
      <c r="AZ31" s="857">
        <v>0</v>
      </c>
      <c r="BA31" s="858">
        <v>0</v>
      </c>
      <c r="BB31" s="442">
        <v>0</v>
      </c>
      <c r="BC31" s="442"/>
      <c r="BD31" s="436">
        <v>0</v>
      </c>
      <c r="BE31" s="442">
        <v>0</v>
      </c>
      <c r="BF31" s="468">
        <f>SUM(AC31:BE31)</f>
        <v>30552</v>
      </c>
      <c r="BG31" s="774"/>
      <c r="BH31" s="786">
        <f>SUM(BF31:BG31)</f>
        <v>30552</v>
      </c>
    </row>
    <row r="32" spans="1:60" s="424" customFormat="1">
      <c r="A32" s="422">
        <v>14</v>
      </c>
      <c r="C32" s="424" t="s">
        <v>548</v>
      </c>
      <c r="E32" s="431">
        <f>'ROO INPUT'!F32</f>
        <v>31132</v>
      </c>
      <c r="F32" s="435">
        <v>0</v>
      </c>
      <c r="G32" s="435">
        <v>0</v>
      </c>
      <c r="H32" s="435">
        <v>0</v>
      </c>
      <c r="I32" s="435">
        <v>0</v>
      </c>
      <c r="J32" s="435">
        <v>0</v>
      </c>
      <c r="K32" s="436">
        <v>0</v>
      </c>
      <c r="L32" s="435">
        <v>0</v>
      </c>
      <c r="M32" s="435">
        <v>0</v>
      </c>
      <c r="N32" s="435">
        <v>0</v>
      </c>
      <c r="O32" s="435">
        <v>0</v>
      </c>
      <c r="P32" s="435">
        <v>0</v>
      </c>
      <c r="Q32" s="435">
        <v>0</v>
      </c>
      <c r="R32" s="435">
        <v>-58</v>
      </c>
      <c r="S32" s="435">
        <v>0</v>
      </c>
      <c r="T32" s="436">
        <v>0</v>
      </c>
      <c r="U32" s="436">
        <v>0</v>
      </c>
      <c r="V32" s="717">
        <v>0</v>
      </c>
      <c r="W32" s="436">
        <v>0</v>
      </c>
      <c r="X32" s="435">
        <v>0</v>
      </c>
      <c r="Y32" s="435">
        <v>0</v>
      </c>
      <c r="Z32" s="442">
        <v>0</v>
      </c>
      <c r="AA32" s="436">
        <v>0</v>
      </c>
      <c r="AB32" s="717">
        <v>-1363</v>
      </c>
      <c r="AC32" s="434">
        <f>SUM(E32:AB32)</f>
        <v>29711</v>
      </c>
      <c r="AD32" s="436">
        <v>0</v>
      </c>
      <c r="AE32" s="436">
        <v>0</v>
      </c>
      <c r="AF32" s="436">
        <v>0</v>
      </c>
      <c r="AG32" s="436">
        <v>0</v>
      </c>
      <c r="AH32" s="436">
        <v>0</v>
      </c>
      <c r="AI32" s="713"/>
      <c r="AJ32" s="713">
        <v>0</v>
      </c>
      <c r="AK32" s="713">
        <v>0</v>
      </c>
      <c r="AL32" s="442">
        <v>0</v>
      </c>
      <c r="AM32" s="436">
        <v>0</v>
      </c>
      <c r="AN32" s="436">
        <v>0</v>
      </c>
      <c r="AO32" s="442">
        <v>0</v>
      </c>
      <c r="AP32" s="442">
        <v>0</v>
      </c>
      <c r="AQ32" s="436">
        <v>47</v>
      </c>
      <c r="AR32" s="436">
        <f>372-AR31</f>
        <v>578</v>
      </c>
      <c r="AS32" s="436">
        <v>155</v>
      </c>
      <c r="AT32" s="436">
        <v>0</v>
      </c>
      <c r="AU32" s="436">
        <f>2607-737</f>
        <v>1870</v>
      </c>
      <c r="AV32" s="857">
        <v>177</v>
      </c>
      <c r="AW32" s="858">
        <v>39</v>
      </c>
      <c r="AX32" s="857">
        <v>5</v>
      </c>
      <c r="AY32" s="858"/>
      <c r="AZ32" s="857">
        <v>0</v>
      </c>
      <c r="BA32" s="858">
        <v>0</v>
      </c>
      <c r="BB32" s="442">
        <v>0</v>
      </c>
      <c r="BC32" s="442">
        <v>0</v>
      </c>
      <c r="BD32" s="436">
        <v>0</v>
      </c>
      <c r="BE32" s="442"/>
      <c r="BF32" s="468">
        <f>SUM(AC32:BE32)</f>
        <v>32582</v>
      </c>
      <c r="BG32" s="774">
        <v>0</v>
      </c>
      <c r="BH32" s="786">
        <f>SUM(BF32:BG32)</f>
        <v>32582</v>
      </c>
    </row>
    <row r="33" spans="1:65" s="424" customFormat="1">
      <c r="A33" s="422"/>
      <c r="C33" s="427" t="s">
        <v>546</v>
      </c>
      <c r="E33" s="431">
        <f>'ROO INPUT'!F33</f>
        <v>0</v>
      </c>
      <c r="F33" s="435"/>
      <c r="G33" s="435"/>
      <c r="H33" s="435"/>
      <c r="I33" s="435"/>
      <c r="J33" s="435"/>
      <c r="K33" s="436"/>
      <c r="L33" s="435"/>
      <c r="M33" s="435"/>
      <c r="N33" s="435"/>
      <c r="O33" s="435"/>
      <c r="P33" s="435"/>
      <c r="Q33" s="435"/>
      <c r="R33" s="435"/>
      <c r="S33" s="435"/>
      <c r="T33" s="436"/>
      <c r="U33" s="436"/>
      <c r="V33" s="717"/>
      <c r="W33" s="436"/>
      <c r="X33" s="435"/>
      <c r="Y33" s="435"/>
      <c r="Z33" s="442"/>
      <c r="AA33" s="436"/>
      <c r="AB33" s="717"/>
      <c r="AC33" s="434">
        <f>SUM(E33:AB33)</f>
        <v>0</v>
      </c>
      <c r="AD33" s="436"/>
      <c r="AE33" s="436"/>
      <c r="AF33" s="436"/>
      <c r="AG33" s="436"/>
      <c r="AH33" s="436"/>
      <c r="AI33" s="713"/>
      <c r="AJ33" s="713"/>
      <c r="AK33" s="713"/>
      <c r="AL33" s="442"/>
      <c r="AM33" s="436"/>
      <c r="AN33" s="436"/>
      <c r="AO33" s="442"/>
      <c r="AP33" s="442"/>
      <c r="AQ33" s="436"/>
      <c r="AR33" s="436"/>
      <c r="AS33" s="436"/>
      <c r="AT33" s="436"/>
      <c r="AU33" s="436"/>
      <c r="AV33" s="857"/>
      <c r="AW33" s="858"/>
      <c r="AX33" s="857"/>
      <c r="AY33" s="858"/>
      <c r="AZ33" s="857"/>
      <c r="BA33" s="858"/>
      <c r="BB33" s="442"/>
      <c r="BC33" s="442"/>
      <c r="BD33" s="436"/>
      <c r="BE33" s="442"/>
      <c r="BF33" s="468"/>
      <c r="BG33" s="774"/>
      <c r="BH33" s="786"/>
    </row>
    <row r="34" spans="1:65" s="424" customFormat="1">
      <c r="A34" s="422">
        <v>15</v>
      </c>
      <c r="C34" s="424" t="s">
        <v>198</v>
      </c>
      <c r="E34" s="454">
        <f>'ROO INPUT'!F34</f>
        <v>47422</v>
      </c>
      <c r="F34" s="444">
        <v>0</v>
      </c>
      <c r="G34" s="444">
        <v>0</v>
      </c>
      <c r="H34" s="444">
        <v>0</v>
      </c>
      <c r="I34" s="444">
        <v>0</v>
      </c>
      <c r="J34" s="444">
        <v>-18805</v>
      </c>
      <c r="K34" s="443">
        <v>650</v>
      </c>
      <c r="L34" s="444">
        <v>0</v>
      </c>
      <c r="M34" s="444">
        <v>0</v>
      </c>
      <c r="N34" s="444">
        <v>0</v>
      </c>
      <c r="O34" s="444">
        <v>0</v>
      </c>
      <c r="P34" s="444">
        <v>0</v>
      </c>
      <c r="Q34" s="444">
        <v>34</v>
      </c>
      <c r="R34" s="444">
        <v>0</v>
      </c>
      <c r="S34" s="444">
        <f>ROUND(S$14*'CF '!$E$16,0)</f>
        <v>-148</v>
      </c>
      <c r="T34" s="444">
        <f>ROUND(T$14*'CF '!$E$16,0)</f>
        <v>-839</v>
      </c>
      <c r="U34" s="444">
        <v>0</v>
      </c>
      <c r="V34" s="719">
        <v>0</v>
      </c>
      <c r="W34" s="443">
        <v>0</v>
      </c>
      <c r="X34" s="444">
        <f>ROUND(X$14*'CF '!$E$16,0)</f>
        <v>67</v>
      </c>
      <c r="Y34" s="444">
        <v>0</v>
      </c>
      <c r="Z34" s="443">
        <v>0</v>
      </c>
      <c r="AA34" s="443">
        <v>0</v>
      </c>
      <c r="AB34" s="719">
        <v>0</v>
      </c>
      <c r="AC34" s="237">
        <f>SUM(E34:AB34)</f>
        <v>28381</v>
      </c>
      <c r="AD34" s="443">
        <f>ROUND(AD$14*'CF '!$E$16,0)</f>
        <v>0</v>
      </c>
      <c r="AE34" s="443"/>
      <c r="AF34" s="443">
        <f>ROUND(AF$14*'CF '!$E$16,0)</f>
        <v>984</v>
      </c>
      <c r="AG34" s="443">
        <v>0</v>
      </c>
      <c r="AH34" s="443">
        <v>0</v>
      </c>
      <c r="AI34" s="719">
        <v>0</v>
      </c>
      <c r="AJ34" s="719">
        <v>0</v>
      </c>
      <c r="AK34" s="719">
        <v>0</v>
      </c>
      <c r="AL34" s="443">
        <v>0</v>
      </c>
      <c r="AM34" s="443">
        <v>0</v>
      </c>
      <c r="AN34" s="443">
        <v>199</v>
      </c>
      <c r="AO34" s="443">
        <v>0</v>
      </c>
      <c r="AP34" s="443">
        <v>0</v>
      </c>
      <c r="AQ34" s="443">
        <v>0</v>
      </c>
      <c r="AR34" s="443">
        <v>0</v>
      </c>
      <c r="AS34" s="443">
        <v>0</v>
      </c>
      <c r="AT34" s="443">
        <v>0</v>
      </c>
      <c r="AU34" s="443">
        <v>0</v>
      </c>
      <c r="AV34" s="861">
        <v>0</v>
      </c>
      <c r="AW34" s="862">
        <v>0</v>
      </c>
      <c r="AX34" s="861">
        <v>0</v>
      </c>
      <c r="AY34" s="862">
        <v>0</v>
      </c>
      <c r="AZ34" s="861">
        <v>0</v>
      </c>
      <c r="BA34" s="862">
        <v>0</v>
      </c>
      <c r="BB34" s="443">
        <v>0</v>
      </c>
      <c r="BC34" s="443">
        <v>0</v>
      </c>
      <c r="BD34" s="443">
        <v>0</v>
      </c>
      <c r="BE34" s="443">
        <v>0</v>
      </c>
      <c r="BF34" s="470">
        <f>SUM(AC34:BE34)</f>
        <v>29564</v>
      </c>
      <c r="BG34" s="776">
        <f>ROUND(BG$14*'CF '!$E$16,0)</f>
        <v>0</v>
      </c>
      <c r="BH34" s="788">
        <f>SUM(BF34:BG34)</f>
        <v>29564</v>
      </c>
      <c r="BJ34" s="811"/>
    </row>
    <row r="35" spans="1:65" s="424" customFormat="1">
      <c r="A35" s="422">
        <v>16</v>
      </c>
      <c r="B35" s="424" t="s">
        <v>201</v>
      </c>
      <c r="E35" s="427">
        <f t="shared" ref="E35:BE35" si="65">SUM(E31:E34)</f>
        <v>105301</v>
      </c>
      <c r="F35" s="435">
        <f t="shared" si="65"/>
        <v>0</v>
      </c>
      <c r="G35" s="435">
        <f t="shared" si="65"/>
        <v>0</v>
      </c>
      <c r="H35" s="435">
        <f t="shared" si="65"/>
        <v>0</v>
      </c>
      <c r="I35" s="435">
        <f t="shared" si="65"/>
        <v>0</v>
      </c>
      <c r="J35" s="435">
        <f t="shared" si="65"/>
        <v>-18805</v>
      </c>
      <c r="K35" s="436">
        <f t="shared" si="65"/>
        <v>650</v>
      </c>
      <c r="L35" s="435">
        <f t="shared" si="65"/>
        <v>0</v>
      </c>
      <c r="M35" s="435">
        <f t="shared" si="65"/>
        <v>0</v>
      </c>
      <c r="N35" s="435">
        <f t="shared" si="65"/>
        <v>0</v>
      </c>
      <c r="O35" s="435">
        <f t="shared" si="65"/>
        <v>0</v>
      </c>
      <c r="P35" s="435">
        <f t="shared" si="65"/>
        <v>0</v>
      </c>
      <c r="Q35" s="435">
        <f t="shared" si="65"/>
        <v>34</v>
      </c>
      <c r="R35" s="435">
        <f t="shared" si="65"/>
        <v>-58</v>
      </c>
      <c r="S35" s="435">
        <f t="shared" si="65"/>
        <v>-148</v>
      </c>
      <c r="T35" s="436">
        <f t="shared" si="65"/>
        <v>-839</v>
      </c>
      <c r="U35" s="436">
        <f t="shared" si="65"/>
        <v>0</v>
      </c>
      <c r="V35" s="717">
        <f>SUM(V31:V34)</f>
        <v>0</v>
      </c>
      <c r="W35" s="436">
        <f>SUM(W31:W34)</f>
        <v>0</v>
      </c>
      <c r="X35" s="435">
        <f t="shared" si="65"/>
        <v>67</v>
      </c>
      <c r="Y35" s="435">
        <f t="shared" si="65"/>
        <v>0</v>
      </c>
      <c r="Z35" s="442">
        <f t="shared" si="65"/>
        <v>0</v>
      </c>
      <c r="AA35" s="436">
        <f t="shared" si="65"/>
        <v>0</v>
      </c>
      <c r="AB35" s="717">
        <f t="shared" si="65"/>
        <v>-1363</v>
      </c>
      <c r="AC35" s="434">
        <f>SUM(AC31:AC34)</f>
        <v>84839</v>
      </c>
      <c r="AD35" s="436">
        <f t="shared" si="65"/>
        <v>0</v>
      </c>
      <c r="AE35" s="436">
        <f t="shared" ref="AE35" si="66">SUM(AE31:AE34)</f>
        <v>0</v>
      </c>
      <c r="AF35" s="436">
        <f t="shared" ref="AF35" si="67">SUM(AF31:AF34)</f>
        <v>984</v>
      </c>
      <c r="AG35" s="436">
        <f t="shared" si="65"/>
        <v>0</v>
      </c>
      <c r="AH35" s="436">
        <f t="shared" ref="AH35" si="68">SUM(AH31:AH34)</f>
        <v>0</v>
      </c>
      <c r="AI35" s="713">
        <f t="shared" si="65"/>
        <v>713</v>
      </c>
      <c r="AJ35" s="713">
        <f t="shared" si="65"/>
        <v>0</v>
      </c>
      <c r="AK35" s="713">
        <f t="shared" si="65"/>
        <v>268</v>
      </c>
      <c r="AL35" s="442">
        <f>SUM(AL31:AL34)</f>
        <v>0</v>
      </c>
      <c r="AM35" s="436">
        <f t="shared" si="65"/>
        <v>0</v>
      </c>
      <c r="AN35" s="436">
        <f t="shared" si="65"/>
        <v>199</v>
      </c>
      <c r="AO35" s="442">
        <f>SUM(AO31:AO34)</f>
        <v>0</v>
      </c>
      <c r="AP35" s="442">
        <f t="shared" si="65"/>
        <v>0</v>
      </c>
      <c r="AQ35" s="436">
        <f t="shared" ref="AQ35:AZ35" si="69">SUM(AQ31:AQ34)</f>
        <v>47</v>
      </c>
      <c r="AR35" s="436">
        <f t="shared" si="69"/>
        <v>372</v>
      </c>
      <c r="AS35" s="436">
        <f t="shared" si="69"/>
        <v>155</v>
      </c>
      <c r="AT35" s="436">
        <f t="shared" si="69"/>
        <v>0</v>
      </c>
      <c r="AU35" s="436">
        <f t="shared" si="69"/>
        <v>1870</v>
      </c>
      <c r="AV35" s="857">
        <f t="shared" si="69"/>
        <v>3207</v>
      </c>
      <c r="AW35" s="858">
        <f t="shared" ref="AW35" si="70">SUM(AW31:AW34)</f>
        <v>39</v>
      </c>
      <c r="AX35" s="857">
        <f t="shared" si="69"/>
        <v>5</v>
      </c>
      <c r="AY35" s="858">
        <f t="shared" ref="AY35" si="71">SUM(AY31:AY34)</f>
        <v>0</v>
      </c>
      <c r="AZ35" s="857">
        <f t="shared" si="69"/>
        <v>0</v>
      </c>
      <c r="BA35" s="858">
        <f t="shared" ref="BA35" si="72">SUM(BA31:BA34)</f>
        <v>0</v>
      </c>
      <c r="BB35" s="442">
        <f t="shared" si="65"/>
        <v>0</v>
      </c>
      <c r="BC35" s="442">
        <f>SUM(BC31:BC34)</f>
        <v>0</v>
      </c>
      <c r="BD35" s="436">
        <f>SUM(BD31:BD34)</f>
        <v>0</v>
      </c>
      <c r="BE35" s="442">
        <f t="shared" si="65"/>
        <v>0</v>
      </c>
      <c r="BF35" s="468">
        <f>SUM(AC35:BE35)</f>
        <v>92698</v>
      </c>
      <c r="BG35" s="774">
        <f>SUM(BG31:BG34)</f>
        <v>0</v>
      </c>
      <c r="BH35" s="786">
        <f>SUM(BF35:BG35)</f>
        <v>92698</v>
      </c>
      <c r="BJ35" s="811"/>
    </row>
    <row r="36" spans="1:65" s="424" customFormat="1" ht="5.25" customHeight="1">
      <c r="E36" s="427"/>
      <c r="F36" s="435"/>
      <c r="G36" s="435"/>
      <c r="H36" s="435"/>
      <c r="I36" s="435"/>
      <c r="J36" s="435"/>
      <c r="K36" s="436"/>
      <c r="L36" s="435"/>
      <c r="M36" s="435"/>
      <c r="N36" s="435"/>
      <c r="O36" s="435"/>
      <c r="P36" s="435"/>
      <c r="Q36" s="435"/>
      <c r="R36" s="435"/>
      <c r="S36" s="435"/>
      <c r="T36" s="436"/>
      <c r="U36" s="436"/>
      <c r="V36" s="717"/>
      <c r="W36" s="436"/>
      <c r="X36" s="435"/>
      <c r="Y36" s="435"/>
      <c r="Z36" s="442"/>
      <c r="AA36" s="436"/>
      <c r="AB36" s="717"/>
      <c r="AC36" s="434"/>
      <c r="AD36" s="436"/>
      <c r="AE36" s="436"/>
      <c r="AF36" s="436"/>
      <c r="AG36" s="436"/>
      <c r="AH36" s="436"/>
      <c r="AI36" s="713"/>
      <c r="AJ36" s="713"/>
      <c r="AK36" s="713"/>
      <c r="AL36" s="442"/>
      <c r="AM36" s="436"/>
      <c r="AN36" s="436"/>
      <c r="AO36" s="442"/>
      <c r="AP36" s="442"/>
      <c r="AQ36" s="436"/>
      <c r="AR36" s="436"/>
      <c r="AS36" s="436"/>
      <c r="AT36" s="436"/>
      <c r="AU36" s="436"/>
      <c r="AV36" s="857"/>
      <c r="AW36" s="858"/>
      <c r="AX36" s="857"/>
      <c r="AY36" s="858"/>
      <c r="AZ36" s="857"/>
      <c r="BA36" s="858"/>
      <c r="BB36" s="442"/>
      <c r="BC36" s="442"/>
      <c r="BD36" s="436"/>
      <c r="BE36" s="442"/>
      <c r="BF36" s="468"/>
      <c r="BG36" s="774"/>
      <c r="BH36" s="786"/>
      <c r="BJ36" s="811"/>
    </row>
    <row r="37" spans="1:65" s="424" customFormat="1">
      <c r="A37" s="422">
        <v>17</v>
      </c>
      <c r="B37" s="424" t="s">
        <v>202</v>
      </c>
      <c r="E37" s="431">
        <f>'ROO INPUT'!F37</f>
        <v>9916</v>
      </c>
      <c r="F37" s="435">
        <v>0</v>
      </c>
      <c r="G37" s="435">
        <v>52</v>
      </c>
      <c r="H37" s="435">
        <v>0</v>
      </c>
      <c r="I37" s="435">
        <v>0</v>
      </c>
      <c r="J37" s="435">
        <v>0</v>
      </c>
      <c r="K37" s="436">
        <v>0</v>
      </c>
      <c r="L37" s="435">
        <v>1437</v>
      </c>
      <c r="M37" s="435">
        <v>0</v>
      </c>
      <c r="N37" s="435">
        <v>0</v>
      </c>
      <c r="O37" s="435">
        <v>0</v>
      </c>
      <c r="P37" s="435">
        <v>0</v>
      </c>
      <c r="Q37" s="435">
        <v>0</v>
      </c>
      <c r="R37" s="435">
        <v>0</v>
      </c>
      <c r="S37" s="435">
        <f>ROUND(S$14*'CF '!$E$12,0)</f>
        <v>-13</v>
      </c>
      <c r="T37" s="435">
        <f>ROUND(T$14*'CF '!$E$12,0)</f>
        <v>-72</v>
      </c>
      <c r="U37" s="435">
        <v>0</v>
      </c>
      <c r="V37" s="717">
        <v>0</v>
      </c>
      <c r="W37" s="436">
        <v>0</v>
      </c>
      <c r="X37" s="436">
        <f>ROUND(X$14*'CF '!$E$12,0)+5</f>
        <v>11</v>
      </c>
      <c r="Y37" s="435">
        <v>0</v>
      </c>
      <c r="Z37" s="442">
        <v>0</v>
      </c>
      <c r="AA37" s="436">
        <v>0</v>
      </c>
      <c r="AB37" s="717">
        <v>0</v>
      </c>
      <c r="AC37" s="434">
        <f>SUM(E37:AB37)</f>
        <v>11331</v>
      </c>
      <c r="AD37" s="436">
        <f>ROUND(AD$14*'CF '!$E$12,0)</f>
        <v>0</v>
      </c>
      <c r="AE37" s="436"/>
      <c r="AF37" s="436">
        <f>ROUND(AF$14*'CF '!$E$12,0)</f>
        <v>85</v>
      </c>
      <c r="AG37" s="436">
        <v>0</v>
      </c>
      <c r="AH37" s="436">
        <v>0</v>
      </c>
      <c r="AI37" s="713">
        <v>315</v>
      </c>
      <c r="AJ37" s="713">
        <v>0</v>
      </c>
      <c r="AK37" s="713">
        <v>122</v>
      </c>
      <c r="AL37" s="442">
        <v>0</v>
      </c>
      <c r="AM37" s="436">
        <v>0</v>
      </c>
      <c r="AN37" s="436">
        <v>0</v>
      </c>
      <c r="AO37" s="442">
        <v>97</v>
      </c>
      <c r="AP37" s="442">
        <v>0</v>
      </c>
      <c r="AQ37" s="436">
        <v>0</v>
      </c>
      <c r="AR37" s="436">
        <v>0</v>
      </c>
      <c r="AS37" s="436">
        <v>0</v>
      </c>
      <c r="AT37" s="436">
        <v>0</v>
      </c>
      <c r="AU37" s="436">
        <v>0</v>
      </c>
      <c r="AV37" s="857">
        <v>0</v>
      </c>
      <c r="AW37" s="858">
        <v>0</v>
      </c>
      <c r="AX37" s="857">
        <v>0</v>
      </c>
      <c r="AY37" s="858">
        <v>0</v>
      </c>
      <c r="AZ37" s="857">
        <v>0</v>
      </c>
      <c r="BA37" s="858">
        <v>0</v>
      </c>
      <c r="BB37" s="442">
        <v>0</v>
      </c>
      <c r="BC37" s="442">
        <v>0</v>
      </c>
      <c r="BD37" s="436">
        <v>0</v>
      </c>
      <c r="BE37" s="442">
        <v>0</v>
      </c>
      <c r="BF37" s="468">
        <f>SUM(AC37:BE37)</f>
        <v>11950</v>
      </c>
      <c r="BG37" s="777">
        <f>ROUND(BG$14*'CF '!$E$12,0)</f>
        <v>0</v>
      </c>
      <c r="BH37" s="786">
        <f>SUM(BF37:BG37)</f>
        <v>11950</v>
      </c>
      <c r="BJ37" s="811"/>
    </row>
    <row r="38" spans="1:65" s="424" customFormat="1" ht="12.75" customHeight="1" thickBot="1">
      <c r="A38" s="422">
        <v>18</v>
      </c>
      <c r="B38" s="424" t="s">
        <v>203</v>
      </c>
      <c r="E38" s="431">
        <f>'ROO INPUT'!F38</f>
        <v>28425</v>
      </c>
      <c r="F38" s="435">
        <v>0</v>
      </c>
      <c r="G38" s="435">
        <v>0</v>
      </c>
      <c r="H38" s="435">
        <v>0</v>
      </c>
      <c r="I38" s="435">
        <v>0</v>
      </c>
      <c r="J38" s="435">
        <v>0</v>
      </c>
      <c r="K38" s="436">
        <v>0</v>
      </c>
      <c r="L38" s="435">
        <v>0</v>
      </c>
      <c r="M38" s="435">
        <v>0</v>
      </c>
      <c r="N38" s="435">
        <v>0</v>
      </c>
      <c r="O38" s="435">
        <v>0</v>
      </c>
      <c r="P38" s="435">
        <v>0</v>
      </c>
      <c r="Q38" s="435">
        <v>0</v>
      </c>
      <c r="R38" s="435">
        <v>0</v>
      </c>
      <c r="S38" s="435">
        <v>0</v>
      </c>
      <c r="T38" s="436">
        <v>-26835</v>
      </c>
      <c r="U38" s="436">
        <v>8</v>
      </c>
      <c r="V38" s="717">
        <v>0</v>
      </c>
      <c r="W38" s="436">
        <v>0</v>
      </c>
      <c r="X38" s="435">
        <v>0</v>
      </c>
      <c r="Y38" s="435">
        <v>0</v>
      </c>
      <c r="Z38" s="442">
        <v>0</v>
      </c>
      <c r="AA38" s="436">
        <v>0</v>
      </c>
      <c r="AB38" s="717">
        <v>0</v>
      </c>
      <c r="AC38" s="434">
        <f>SUM(E38:AB38)</f>
        <v>1598</v>
      </c>
      <c r="AD38" s="436">
        <v>0</v>
      </c>
      <c r="AE38" s="436">
        <v>0</v>
      </c>
      <c r="AF38" s="436">
        <v>0</v>
      </c>
      <c r="AG38" s="436">
        <v>0</v>
      </c>
      <c r="AH38" s="436">
        <v>0</v>
      </c>
      <c r="AI38" s="713">
        <v>25</v>
      </c>
      <c r="AJ38" s="713">
        <v>0</v>
      </c>
      <c r="AK38" s="713">
        <v>12</v>
      </c>
      <c r="AL38" s="442">
        <v>0</v>
      </c>
      <c r="AM38" s="436">
        <v>0</v>
      </c>
      <c r="AN38" s="436">
        <v>0</v>
      </c>
      <c r="AO38" s="442">
        <v>0</v>
      </c>
      <c r="AP38" s="442">
        <v>0</v>
      </c>
      <c r="AQ38" s="436">
        <v>0</v>
      </c>
      <c r="AR38" s="436">
        <v>0</v>
      </c>
      <c r="AS38" s="436">
        <v>0</v>
      </c>
      <c r="AT38" s="436">
        <v>0</v>
      </c>
      <c r="AU38" s="436">
        <v>0</v>
      </c>
      <c r="AV38" s="857">
        <v>0</v>
      </c>
      <c r="AW38" s="858">
        <v>0</v>
      </c>
      <c r="AX38" s="857">
        <v>0</v>
      </c>
      <c r="AY38" s="858">
        <v>0</v>
      </c>
      <c r="AZ38" s="857">
        <v>0</v>
      </c>
      <c r="BA38" s="858">
        <v>0</v>
      </c>
      <c r="BB38" s="442">
        <v>0</v>
      </c>
      <c r="BC38" s="442">
        <v>0</v>
      </c>
      <c r="BD38" s="436">
        <v>0</v>
      </c>
      <c r="BE38" s="442">
        <v>0</v>
      </c>
      <c r="BF38" s="468">
        <f>SUM(AC38:BE38)</f>
        <v>1635</v>
      </c>
      <c r="BG38" s="774">
        <v>0</v>
      </c>
      <c r="BH38" s="786">
        <f>SUM(BF38:BG38)</f>
        <v>1635</v>
      </c>
    </row>
    <row r="39" spans="1:65" s="424" customFormat="1" ht="12" customHeight="1">
      <c r="A39" s="422">
        <v>19</v>
      </c>
      <c r="B39" s="424" t="s">
        <v>204</v>
      </c>
      <c r="E39" s="431">
        <f>'ROO INPUT'!F39</f>
        <v>0</v>
      </c>
      <c r="F39" s="435">
        <v>0</v>
      </c>
      <c r="G39" s="435">
        <v>0</v>
      </c>
      <c r="H39" s="435">
        <v>0</v>
      </c>
      <c r="I39" s="435">
        <v>0</v>
      </c>
      <c r="J39" s="435">
        <v>0</v>
      </c>
      <c r="K39" s="436">
        <v>0</v>
      </c>
      <c r="L39" s="435">
        <v>0</v>
      </c>
      <c r="M39" s="435">
        <v>0</v>
      </c>
      <c r="N39" s="435">
        <v>0</v>
      </c>
      <c r="O39" s="435">
        <v>0</v>
      </c>
      <c r="P39" s="435">
        <v>0</v>
      </c>
      <c r="Q39" s="435">
        <v>0</v>
      </c>
      <c r="R39" s="435">
        <v>0</v>
      </c>
      <c r="S39" s="435">
        <v>0</v>
      </c>
      <c r="T39" s="436">
        <v>0</v>
      </c>
      <c r="U39" s="436">
        <v>0</v>
      </c>
      <c r="V39" s="717">
        <v>0</v>
      </c>
      <c r="W39" s="436">
        <v>0</v>
      </c>
      <c r="X39" s="435">
        <v>0</v>
      </c>
      <c r="Y39" s="435">
        <v>0</v>
      </c>
      <c r="Z39" s="442">
        <v>0</v>
      </c>
      <c r="AA39" s="436">
        <v>0</v>
      </c>
      <c r="AB39" s="717">
        <v>0</v>
      </c>
      <c r="AC39" s="434">
        <f>SUM(E39:AB39)</f>
        <v>0</v>
      </c>
      <c r="AD39" s="436">
        <v>0</v>
      </c>
      <c r="AE39" s="436">
        <v>0</v>
      </c>
      <c r="AF39" s="436">
        <v>0</v>
      </c>
      <c r="AG39" s="436">
        <v>0</v>
      </c>
      <c r="AH39" s="436">
        <v>0</v>
      </c>
      <c r="AI39" s="713"/>
      <c r="AJ39" s="713"/>
      <c r="AK39" s="713"/>
      <c r="AL39" s="442">
        <v>0</v>
      </c>
      <c r="AM39" s="436">
        <v>0</v>
      </c>
      <c r="AN39" s="436">
        <v>0</v>
      </c>
      <c r="AO39" s="442">
        <v>0</v>
      </c>
      <c r="AP39" s="442">
        <v>0</v>
      </c>
      <c r="AQ39" s="436">
        <v>0</v>
      </c>
      <c r="AR39" s="436">
        <v>0</v>
      </c>
      <c r="AS39" s="436">
        <v>0</v>
      </c>
      <c r="AT39" s="436">
        <v>0</v>
      </c>
      <c r="AU39" s="436">
        <v>0</v>
      </c>
      <c r="AV39" s="857">
        <v>0</v>
      </c>
      <c r="AW39" s="858">
        <v>0</v>
      </c>
      <c r="AX39" s="857">
        <v>0</v>
      </c>
      <c r="AY39" s="858">
        <v>0</v>
      </c>
      <c r="AZ39" s="857">
        <v>0</v>
      </c>
      <c r="BA39" s="858">
        <v>0</v>
      </c>
      <c r="BB39" s="442">
        <v>0</v>
      </c>
      <c r="BC39" s="442">
        <v>0</v>
      </c>
      <c r="BD39" s="436">
        <v>0</v>
      </c>
      <c r="BE39" s="442">
        <v>0</v>
      </c>
      <c r="BF39" s="468">
        <f>SUM(AC39:BE39)</f>
        <v>0</v>
      </c>
      <c r="BG39" s="774">
        <v>0</v>
      </c>
      <c r="BH39" s="786">
        <f>SUM(BF39:BG39)</f>
        <v>0</v>
      </c>
      <c r="BK39" s="1006" t="s">
        <v>803</v>
      </c>
      <c r="BL39" s="805"/>
      <c r="BM39" s="409"/>
    </row>
    <row r="40" spans="1:65" s="424" customFormat="1" ht="11.25" customHeight="1">
      <c r="A40" s="422"/>
      <c r="E40" s="427"/>
      <c r="F40" s="435"/>
      <c r="G40" s="435"/>
      <c r="H40" s="435"/>
      <c r="I40" s="435"/>
      <c r="J40" s="435"/>
      <c r="K40" s="436"/>
      <c r="L40" s="435"/>
      <c r="M40" s="435"/>
      <c r="N40" s="435"/>
      <c r="O40" s="435"/>
      <c r="P40" s="435"/>
      <c r="Q40" s="435"/>
      <c r="R40" s="435"/>
      <c r="S40" s="435"/>
      <c r="T40" s="436"/>
      <c r="U40" s="436"/>
      <c r="V40" s="717"/>
      <c r="W40" s="436"/>
      <c r="X40" s="435"/>
      <c r="Y40" s="435"/>
      <c r="Z40" s="442"/>
      <c r="AA40" s="436"/>
      <c r="AB40" s="717"/>
      <c r="AC40" s="434"/>
      <c r="AD40" s="436"/>
      <c r="AE40" s="436"/>
      <c r="AF40" s="436"/>
      <c r="AG40" s="436"/>
      <c r="AH40" s="436"/>
      <c r="AI40" s="713"/>
      <c r="AJ40" s="713"/>
      <c r="AK40" s="713"/>
      <c r="AL40" s="442"/>
      <c r="AM40" s="436"/>
      <c r="AN40" s="436"/>
      <c r="AO40" s="442"/>
      <c r="AP40" s="442"/>
      <c r="AQ40" s="436"/>
      <c r="AR40" s="436"/>
      <c r="AS40" s="436"/>
      <c r="AT40" s="436"/>
      <c r="AU40" s="436"/>
      <c r="AV40" s="857"/>
      <c r="AW40" s="858"/>
      <c r="AX40" s="857"/>
      <c r="AY40" s="858"/>
      <c r="AZ40" s="857"/>
      <c r="BA40" s="858"/>
      <c r="BB40" s="442"/>
      <c r="BC40" s="442"/>
      <c r="BD40" s="436"/>
      <c r="BE40" s="442"/>
      <c r="BF40" s="468"/>
      <c r="BG40" s="774"/>
      <c r="BH40" s="786"/>
      <c r="BK40" s="1007"/>
      <c r="BL40" s="813">
        <f>-BG53/'CF '!E24</f>
        <v>121.91629749475038</v>
      </c>
      <c r="BM40" s="423" t="s">
        <v>801</v>
      </c>
    </row>
    <row r="41" spans="1:65" s="424" customFormat="1" ht="12.75" thickBot="1">
      <c r="B41" s="424" t="s">
        <v>205</v>
      </c>
      <c r="E41" s="427"/>
      <c r="F41" s="435"/>
      <c r="G41" s="435"/>
      <c r="H41" s="435"/>
      <c r="I41" s="435"/>
      <c r="J41" s="435"/>
      <c r="K41" s="436"/>
      <c r="L41" s="435"/>
      <c r="M41" s="435"/>
      <c r="N41" s="435"/>
      <c r="O41" s="435"/>
      <c r="P41" s="435"/>
      <c r="Q41" s="435"/>
      <c r="R41" s="435"/>
      <c r="S41" s="435"/>
      <c r="T41" s="436"/>
      <c r="U41" s="436"/>
      <c r="V41" s="717"/>
      <c r="W41" s="436"/>
      <c r="X41" s="435"/>
      <c r="Y41" s="435"/>
      <c r="Z41" s="442"/>
      <c r="AA41" s="436"/>
      <c r="AB41" s="717"/>
      <c r="AC41" s="434"/>
      <c r="AD41" s="436"/>
      <c r="AE41" s="436"/>
      <c r="AF41" s="436"/>
      <c r="AG41" s="436"/>
      <c r="AH41" s="436"/>
      <c r="AI41" s="713"/>
      <c r="AJ41" s="713"/>
      <c r="AK41" s="713"/>
      <c r="AL41" s="442"/>
      <c r="AM41" s="436"/>
      <c r="AN41" s="436"/>
      <c r="AO41" s="442"/>
      <c r="AP41" s="442"/>
      <c r="AQ41" s="436"/>
      <c r="AR41" s="436"/>
      <c r="AS41" s="436"/>
      <c r="AT41" s="436"/>
      <c r="AU41" s="436"/>
      <c r="AV41" s="857"/>
      <c r="AW41" s="858"/>
      <c r="AX41" s="857"/>
      <c r="AY41" s="858"/>
      <c r="AZ41" s="857"/>
      <c r="BA41" s="858"/>
      <c r="BB41" s="442"/>
      <c r="BC41" s="442"/>
      <c r="BD41" s="436"/>
      <c r="BE41" s="442"/>
      <c r="BF41" s="468"/>
      <c r="BG41" s="774"/>
      <c r="BH41" s="786"/>
      <c r="BK41" s="812">
        <f>BL40+BL41</f>
        <v>-1617.404152555164</v>
      </c>
      <c r="BL41" s="814">
        <f>BG76*'RR SUMMARY'!N15/'CF '!E24*-1</f>
        <v>-1739.3204500499144</v>
      </c>
      <c r="BM41" s="424" t="s">
        <v>802</v>
      </c>
    </row>
    <row r="42" spans="1:65" s="424" customFormat="1">
      <c r="A42" s="422">
        <v>20</v>
      </c>
      <c r="C42" s="424" t="s">
        <v>196</v>
      </c>
      <c r="E42" s="431">
        <f>'ROO INPUT'!F42</f>
        <v>55880</v>
      </c>
      <c r="F42" s="435">
        <v>0</v>
      </c>
      <c r="G42" s="435">
        <v>0</v>
      </c>
      <c r="H42" s="435">
        <v>0</v>
      </c>
      <c r="I42" s="435">
        <v>0</v>
      </c>
      <c r="J42" s="435">
        <v>0</v>
      </c>
      <c r="K42" s="435">
        <v>0</v>
      </c>
      <c r="L42" s="435">
        <v>0</v>
      </c>
      <c r="M42" s="435">
        <v>37</v>
      </c>
      <c r="N42" s="435">
        <v>51</v>
      </c>
      <c r="O42" s="435">
        <v>0</v>
      </c>
      <c r="P42" s="435">
        <v>-52</v>
      </c>
      <c r="Q42" s="435">
        <v>0</v>
      </c>
      <c r="R42" s="435">
        <v>0</v>
      </c>
      <c r="S42" s="435">
        <f>ROUND(S$14*'CF '!$E$14,0)</f>
        <v>-8</v>
      </c>
      <c r="T42" s="435">
        <f>ROUND(T$14*'CF '!$E$14,0)</f>
        <v>-43</v>
      </c>
      <c r="U42" s="436">
        <v>-1232</v>
      </c>
      <c r="V42" s="717">
        <v>753</v>
      </c>
      <c r="W42" s="436">
        <v>0</v>
      </c>
      <c r="X42" s="435">
        <f>ROUND(X$14*'CF '!$E$14,0)</f>
        <v>3</v>
      </c>
      <c r="Y42" s="435">
        <v>0</v>
      </c>
      <c r="Z42" s="442">
        <v>0</v>
      </c>
      <c r="AA42" s="436">
        <v>0</v>
      </c>
      <c r="AB42" s="717">
        <v>0</v>
      </c>
      <c r="AC42" s="434">
        <f>SUM(E42:AB42)</f>
        <v>55389</v>
      </c>
      <c r="AD42" s="436">
        <f>ROUND(AD$14*'CF '!$E$14,0)</f>
        <v>0</v>
      </c>
      <c r="AE42" s="436"/>
      <c r="AF42" s="436">
        <f>ROUND(AF$14*'CF '!$E$14,0)</f>
        <v>51</v>
      </c>
      <c r="AG42" s="436">
        <v>0</v>
      </c>
      <c r="AH42" s="436">
        <v>0</v>
      </c>
      <c r="AI42" s="713">
        <v>1045</v>
      </c>
      <c r="AJ42" s="713">
        <v>-318</v>
      </c>
      <c r="AK42" s="713">
        <v>391</v>
      </c>
      <c r="AL42" s="442">
        <v>2456</v>
      </c>
      <c r="AM42" s="436">
        <v>2013</v>
      </c>
      <c r="AN42" s="436">
        <v>0</v>
      </c>
      <c r="AO42" s="442">
        <v>0</v>
      </c>
      <c r="AP42" s="442">
        <v>0</v>
      </c>
      <c r="AQ42" s="436">
        <v>0</v>
      </c>
      <c r="AR42" s="436">
        <v>0</v>
      </c>
      <c r="AS42" s="436">
        <v>0</v>
      </c>
      <c r="AT42" s="436">
        <v>0</v>
      </c>
      <c r="AU42" s="436">
        <f>-3036+203</f>
        <v>-2833</v>
      </c>
      <c r="AV42" s="857">
        <v>0</v>
      </c>
      <c r="AW42" s="858">
        <v>0</v>
      </c>
      <c r="AX42" s="857">
        <v>0</v>
      </c>
      <c r="AY42" s="858">
        <v>0</v>
      </c>
      <c r="AZ42" s="857">
        <v>0</v>
      </c>
      <c r="BA42" s="858">
        <v>0</v>
      </c>
      <c r="BB42" s="442">
        <v>0</v>
      </c>
      <c r="BC42" s="442"/>
      <c r="BD42" s="436">
        <v>0</v>
      </c>
      <c r="BE42" s="442"/>
      <c r="BF42" s="468">
        <f t="shared" ref="BF42:BF47" si="73">SUM(AC42:BE42)</f>
        <v>58194</v>
      </c>
      <c r="BG42" s="777">
        <f>ROUND(BG$14*'CF '!$E$14,0)</f>
        <v>0</v>
      </c>
      <c r="BH42" s="786">
        <f t="shared" ref="BH42:BH47" si="74">SUM(BF42:BG42)</f>
        <v>58194</v>
      </c>
      <c r="BJ42" s="811"/>
      <c r="BL42" s="427"/>
    </row>
    <row r="43" spans="1:65" s="424" customFormat="1">
      <c r="A43" s="422">
        <v>21</v>
      </c>
      <c r="C43" s="424" t="s">
        <v>548</v>
      </c>
      <c r="E43" s="431">
        <f>'ROO INPUT'!F43</f>
        <v>35595</v>
      </c>
      <c r="F43" s="435">
        <v>0</v>
      </c>
      <c r="G43" s="435">
        <v>0</v>
      </c>
      <c r="H43" s="435">
        <v>0</v>
      </c>
      <c r="I43" s="435">
        <v>0</v>
      </c>
      <c r="J43" s="435">
        <v>0</v>
      </c>
      <c r="K43" s="435">
        <v>0</v>
      </c>
      <c r="L43" s="435">
        <v>0</v>
      </c>
      <c r="M43" s="435">
        <v>0</v>
      </c>
      <c r="N43" s="435">
        <v>0</v>
      </c>
      <c r="O43" s="435">
        <v>0</v>
      </c>
      <c r="P43" s="435">
        <v>0</v>
      </c>
      <c r="Q43" s="435">
        <v>0</v>
      </c>
      <c r="R43" s="435">
        <v>0</v>
      </c>
      <c r="S43" s="435">
        <v>0</v>
      </c>
      <c r="T43" s="436">
        <v>0</v>
      </c>
      <c r="U43" s="436">
        <v>0</v>
      </c>
      <c r="V43" s="717">
        <v>0</v>
      </c>
      <c r="W43" s="436">
        <v>0</v>
      </c>
      <c r="X43" s="435">
        <v>0</v>
      </c>
      <c r="Y43" s="435">
        <v>0</v>
      </c>
      <c r="Z43" s="442">
        <v>0</v>
      </c>
      <c r="AA43" s="436">
        <v>0</v>
      </c>
      <c r="AB43" s="717">
        <f>848-1196</f>
        <v>-348</v>
      </c>
      <c r="AC43" s="434">
        <f>SUM(E43:AB43)</f>
        <v>35247</v>
      </c>
      <c r="AD43" s="436">
        <v>0</v>
      </c>
      <c r="AE43" s="436">
        <v>0</v>
      </c>
      <c r="AF43" s="436">
        <v>0</v>
      </c>
      <c r="AG43" s="436">
        <v>0</v>
      </c>
      <c r="AH43" s="436">
        <v>0</v>
      </c>
      <c r="AI43" s="713">
        <v>0</v>
      </c>
      <c r="AJ43" s="713">
        <v>0</v>
      </c>
      <c r="AK43" s="713">
        <v>0</v>
      </c>
      <c r="AL43" s="442">
        <v>0</v>
      </c>
      <c r="AM43" s="436">
        <v>0</v>
      </c>
      <c r="AN43" s="436">
        <v>0</v>
      </c>
      <c r="AO43" s="442">
        <v>0</v>
      </c>
      <c r="AP43" s="442">
        <v>2042</v>
      </c>
      <c r="AQ43" s="436">
        <v>-11</v>
      </c>
      <c r="AR43" s="436">
        <f>153+130</f>
        <v>283</v>
      </c>
      <c r="AS43" s="436">
        <f>-27+10</f>
        <v>-17</v>
      </c>
      <c r="AT43" s="436">
        <f>1526+396</f>
        <v>1922</v>
      </c>
      <c r="AU43" s="436">
        <v>456</v>
      </c>
      <c r="AV43" s="857">
        <v>48</v>
      </c>
      <c r="AW43" s="858"/>
      <c r="AX43" s="857">
        <v>768</v>
      </c>
      <c r="AY43" s="858">
        <v>819</v>
      </c>
      <c r="AZ43" s="857">
        <v>0</v>
      </c>
      <c r="BA43" s="858">
        <v>0</v>
      </c>
      <c r="BB43" s="442">
        <v>0</v>
      </c>
      <c r="BC43" s="442">
        <v>0</v>
      </c>
      <c r="BD43" s="436">
        <v>0</v>
      </c>
      <c r="BE43" s="442"/>
      <c r="BF43" s="468">
        <f t="shared" si="73"/>
        <v>41557</v>
      </c>
      <c r="BG43" s="774">
        <v>0</v>
      </c>
      <c r="BH43" s="786">
        <f t="shared" si="74"/>
        <v>41557</v>
      </c>
      <c r="BL43" s="424">
        <v>-40155</v>
      </c>
      <c r="BM43" s="424" t="s">
        <v>807</v>
      </c>
    </row>
    <row r="44" spans="1:65" s="424" customFormat="1">
      <c r="A44" s="422">
        <v>22</v>
      </c>
      <c r="C44" s="424" t="s">
        <v>695</v>
      </c>
      <c r="E44" s="431">
        <f>'ROO INPUT'!F44</f>
        <v>-9018</v>
      </c>
      <c r="F44" s="435">
        <v>0</v>
      </c>
      <c r="G44" s="435">
        <v>0</v>
      </c>
      <c r="H44" s="435">
        <v>0</v>
      </c>
      <c r="I44" s="435">
        <v>0</v>
      </c>
      <c r="J44" s="435">
        <v>0</v>
      </c>
      <c r="K44" s="435">
        <v>0</v>
      </c>
      <c r="L44" s="435">
        <v>0</v>
      </c>
      <c r="M44" s="435">
        <v>0</v>
      </c>
      <c r="N44" s="435">
        <v>0</v>
      </c>
      <c r="O44" s="435">
        <v>0</v>
      </c>
      <c r="P44" s="435">
        <v>0</v>
      </c>
      <c r="Q44" s="435">
        <v>0</v>
      </c>
      <c r="R44" s="435">
        <v>0</v>
      </c>
      <c r="S44" s="435">
        <v>0</v>
      </c>
      <c r="T44" s="435">
        <v>3914</v>
      </c>
      <c r="U44" s="436">
        <v>0</v>
      </c>
      <c r="V44" s="728">
        <v>0</v>
      </c>
      <c r="W44" s="435">
        <v>0</v>
      </c>
      <c r="X44" s="435">
        <v>0</v>
      </c>
      <c r="Y44" s="435">
        <v>0</v>
      </c>
      <c r="Z44" s="435">
        <v>0</v>
      </c>
      <c r="AA44" s="435">
        <v>0</v>
      </c>
      <c r="AB44" s="728">
        <v>0</v>
      </c>
      <c r="AC44" s="434">
        <f>SUM(E44:AB44)</f>
        <v>-5104</v>
      </c>
      <c r="AD44" s="436">
        <v>0</v>
      </c>
      <c r="AE44" s="436">
        <v>0</v>
      </c>
      <c r="AF44" s="436">
        <v>0</v>
      </c>
      <c r="AG44" s="436">
        <v>-779</v>
      </c>
      <c r="AH44" s="436">
        <v>0</v>
      </c>
      <c r="AI44" s="713">
        <v>0</v>
      </c>
      <c r="AJ44" s="713">
        <v>0</v>
      </c>
      <c r="AK44" s="713">
        <v>0</v>
      </c>
      <c r="AL44" s="436">
        <v>0</v>
      </c>
      <c r="AM44" s="436">
        <v>0</v>
      </c>
      <c r="AN44" s="436">
        <v>0</v>
      </c>
      <c r="AO44" s="436">
        <v>1235</v>
      </c>
      <c r="AP44" s="436">
        <v>0</v>
      </c>
      <c r="AQ44" s="436">
        <v>0</v>
      </c>
      <c r="AR44" s="436">
        <v>0</v>
      </c>
      <c r="AS44" s="436">
        <v>0</v>
      </c>
      <c r="AT44" s="436">
        <v>0</v>
      </c>
      <c r="AU44" s="436">
        <v>10133</v>
      </c>
      <c r="AV44" s="857">
        <v>0</v>
      </c>
      <c r="AW44" s="858">
        <v>0</v>
      </c>
      <c r="AX44" s="857">
        <v>0</v>
      </c>
      <c r="AY44" s="858">
        <v>0</v>
      </c>
      <c r="AZ44" s="857">
        <v>0</v>
      </c>
      <c r="BA44" s="858">
        <v>0</v>
      </c>
      <c r="BB44" s="436">
        <v>0</v>
      </c>
      <c r="BC44" s="436"/>
      <c r="BD44" s="436"/>
      <c r="BE44" s="436">
        <v>0</v>
      </c>
      <c r="BF44" s="468">
        <f t="shared" si="73"/>
        <v>5485</v>
      </c>
      <c r="BG44" s="774">
        <f>BL47</f>
        <v>-39937.281946778356</v>
      </c>
      <c r="BH44" s="786">
        <f t="shared" si="74"/>
        <v>-34452.281946778356</v>
      </c>
      <c r="BL44" s="808">
        <f>BK41</f>
        <v>-1617.404152555164</v>
      </c>
      <c r="BM44" s="424" t="s">
        <v>804</v>
      </c>
    </row>
    <row r="45" spans="1:65" s="424" customFormat="1">
      <c r="A45" s="448">
        <v>23</v>
      </c>
      <c r="C45" s="424" t="s">
        <v>198</v>
      </c>
      <c r="E45" s="454">
        <f>'ROO INPUT'!F45</f>
        <v>0</v>
      </c>
      <c r="F45" s="444">
        <v>0</v>
      </c>
      <c r="G45" s="444">
        <v>0</v>
      </c>
      <c r="H45" s="444">
        <v>0</v>
      </c>
      <c r="I45" s="444">
        <v>0</v>
      </c>
      <c r="J45" s="444">
        <v>0</v>
      </c>
      <c r="K45" s="444">
        <v>0</v>
      </c>
      <c r="L45" s="444">
        <v>0</v>
      </c>
      <c r="M45" s="444">
        <v>0</v>
      </c>
      <c r="N45" s="444">
        <v>0</v>
      </c>
      <c r="O45" s="444">
        <v>0</v>
      </c>
      <c r="P45" s="444">
        <v>0</v>
      </c>
      <c r="Q45" s="444">
        <v>0</v>
      </c>
      <c r="R45" s="444">
        <v>0</v>
      </c>
      <c r="S45" s="444">
        <v>0</v>
      </c>
      <c r="T45" s="443">
        <v>0</v>
      </c>
      <c r="U45" s="443">
        <v>0</v>
      </c>
      <c r="V45" s="719">
        <v>0</v>
      </c>
      <c r="W45" s="443">
        <v>0</v>
      </c>
      <c r="X45" s="444">
        <v>0</v>
      </c>
      <c r="Y45" s="444">
        <v>0</v>
      </c>
      <c r="Z45" s="443">
        <v>0</v>
      </c>
      <c r="AA45" s="443">
        <v>0</v>
      </c>
      <c r="AB45" s="719">
        <v>0</v>
      </c>
      <c r="AC45" s="237">
        <f>SUM(E45:AB45)</f>
        <v>0</v>
      </c>
      <c r="AD45" s="443">
        <v>0</v>
      </c>
      <c r="AE45" s="443">
        <v>0</v>
      </c>
      <c r="AF45" s="443">
        <v>0</v>
      </c>
      <c r="AG45" s="444">
        <v>0</v>
      </c>
      <c r="AH45" s="444">
        <v>0</v>
      </c>
      <c r="AI45" s="723">
        <v>0</v>
      </c>
      <c r="AJ45" s="723">
        <v>0</v>
      </c>
      <c r="AK45" s="719">
        <v>0</v>
      </c>
      <c r="AL45" s="443">
        <v>0</v>
      </c>
      <c r="AM45" s="443">
        <v>0</v>
      </c>
      <c r="AN45" s="443">
        <v>0</v>
      </c>
      <c r="AO45" s="443">
        <v>0</v>
      </c>
      <c r="AP45" s="443">
        <v>0</v>
      </c>
      <c r="AQ45" s="443">
        <v>0</v>
      </c>
      <c r="AR45" s="443">
        <v>0</v>
      </c>
      <c r="AS45" s="443">
        <v>0</v>
      </c>
      <c r="AT45" s="443">
        <v>0</v>
      </c>
      <c r="AU45" s="443">
        <v>0</v>
      </c>
      <c r="AV45" s="861">
        <v>0</v>
      </c>
      <c r="AW45" s="862">
        <v>0</v>
      </c>
      <c r="AX45" s="861">
        <v>0</v>
      </c>
      <c r="AY45" s="862">
        <v>0</v>
      </c>
      <c r="AZ45" s="861">
        <v>0</v>
      </c>
      <c r="BA45" s="862">
        <v>0</v>
      </c>
      <c r="BB45" s="443">
        <v>0</v>
      </c>
      <c r="BC45" s="443">
        <v>0</v>
      </c>
      <c r="BD45" s="443">
        <v>0</v>
      </c>
      <c r="BE45" s="443">
        <v>0</v>
      </c>
      <c r="BF45" s="470">
        <f t="shared" si="73"/>
        <v>0</v>
      </c>
      <c r="BG45" s="776">
        <v>0</v>
      </c>
      <c r="BH45" s="788">
        <f t="shared" si="74"/>
        <v>0</v>
      </c>
      <c r="BL45" s="424">
        <f>BL43+BL44</f>
        <v>-41772.404152555166</v>
      </c>
      <c r="BM45" s="810" t="s">
        <v>806</v>
      </c>
    </row>
    <row r="46" spans="1:65" s="424" customFormat="1">
      <c r="A46" s="422">
        <v>24</v>
      </c>
      <c r="B46" s="424" t="s">
        <v>206</v>
      </c>
      <c r="E46" s="454">
        <f t="shared" ref="E46:AK46" si="75">SUM(E42:E45)</f>
        <v>82457</v>
      </c>
      <c r="F46" s="444">
        <f t="shared" si="75"/>
        <v>0</v>
      </c>
      <c r="G46" s="444">
        <f t="shared" si="75"/>
        <v>0</v>
      </c>
      <c r="H46" s="444">
        <f t="shared" si="75"/>
        <v>0</v>
      </c>
      <c r="I46" s="444">
        <f t="shared" ref="I46" si="76">SUM(I42:I45)</f>
        <v>0</v>
      </c>
      <c r="J46" s="444">
        <f t="shared" si="75"/>
        <v>0</v>
      </c>
      <c r="K46" s="444">
        <f t="shared" ref="K46" si="77">SUM(K42:K45)</f>
        <v>0</v>
      </c>
      <c r="L46" s="444">
        <f t="shared" si="75"/>
        <v>0</v>
      </c>
      <c r="M46" s="444">
        <f t="shared" si="75"/>
        <v>37</v>
      </c>
      <c r="N46" s="444">
        <f t="shared" si="75"/>
        <v>51</v>
      </c>
      <c r="O46" s="444">
        <f t="shared" si="75"/>
        <v>0</v>
      </c>
      <c r="P46" s="444">
        <f t="shared" si="75"/>
        <v>-52</v>
      </c>
      <c r="Q46" s="444">
        <f t="shared" si="75"/>
        <v>0</v>
      </c>
      <c r="R46" s="444">
        <f t="shared" si="75"/>
        <v>0</v>
      </c>
      <c r="S46" s="444">
        <f t="shared" si="75"/>
        <v>-8</v>
      </c>
      <c r="T46" s="443">
        <f t="shared" ref="T46" si="78">SUM(T42:T45)</f>
        <v>3871</v>
      </c>
      <c r="U46" s="443">
        <f>SUM(U42:U45)</f>
        <v>-1232</v>
      </c>
      <c r="V46" s="719">
        <f t="shared" ref="V46" si="79">SUM(V42:V45)</f>
        <v>753</v>
      </c>
      <c r="W46" s="443">
        <f>SUM(W42:W45)</f>
        <v>0</v>
      </c>
      <c r="X46" s="444">
        <f>SUM(X42:X45)</f>
        <v>3</v>
      </c>
      <c r="Y46" s="444">
        <f>SUM(Y42:Y45)</f>
        <v>0</v>
      </c>
      <c r="Z46" s="443">
        <f t="shared" ref="Z46" si="80">SUM(Z42:Z45)</f>
        <v>0</v>
      </c>
      <c r="AA46" s="443">
        <f t="shared" ref="AA46" si="81">SUM(AA42:AA45)</f>
        <v>0</v>
      </c>
      <c r="AB46" s="719">
        <f>SUM(AB42:AB45)</f>
        <v>-348</v>
      </c>
      <c r="AC46" s="237">
        <f t="shared" si="75"/>
        <v>85532</v>
      </c>
      <c r="AD46" s="443">
        <f t="shared" si="75"/>
        <v>0</v>
      </c>
      <c r="AE46" s="443">
        <f t="shared" ref="AE46" si="82">SUM(AE42:AE45)</f>
        <v>0</v>
      </c>
      <c r="AF46" s="443">
        <f t="shared" ref="AF46" si="83">SUM(AF42:AF45)</f>
        <v>51</v>
      </c>
      <c r="AG46" s="444">
        <f>SUM(AG42:AG45)</f>
        <v>-779</v>
      </c>
      <c r="AH46" s="444">
        <f>SUM(AH42:AH45)</f>
        <v>0</v>
      </c>
      <c r="AI46" s="723">
        <f>SUM(AI42:AI45)</f>
        <v>1045</v>
      </c>
      <c r="AJ46" s="723">
        <f t="shared" si="75"/>
        <v>-318</v>
      </c>
      <c r="AK46" s="719">
        <f t="shared" si="75"/>
        <v>391</v>
      </c>
      <c r="AL46" s="443">
        <f>SUM(AL42:AL45)</f>
        <v>2456</v>
      </c>
      <c r="AM46" s="443">
        <f t="shared" ref="AM46" si="84">SUM(AM42:AM45)</f>
        <v>2013</v>
      </c>
      <c r="AN46" s="443">
        <f>SUM(AN42:AN45)</f>
        <v>0</v>
      </c>
      <c r="AO46" s="443">
        <f>SUM(AO42:AO45)</f>
        <v>1235</v>
      </c>
      <c r="AP46" s="443">
        <f t="shared" ref="AP46" si="85">SUM(AP42:AP45)</f>
        <v>2042</v>
      </c>
      <c r="AQ46" s="443">
        <f t="shared" ref="AQ46:AV46" si="86">SUM(AQ42:AQ45)</f>
        <v>-11</v>
      </c>
      <c r="AR46" s="443">
        <f t="shared" si="86"/>
        <v>283</v>
      </c>
      <c r="AS46" s="443">
        <f t="shared" si="86"/>
        <v>-17</v>
      </c>
      <c r="AT46" s="443">
        <f t="shared" si="86"/>
        <v>1922</v>
      </c>
      <c r="AU46" s="443">
        <f t="shared" si="86"/>
        <v>7756</v>
      </c>
      <c r="AV46" s="861">
        <f t="shared" si="86"/>
        <v>48</v>
      </c>
      <c r="AW46" s="862">
        <f t="shared" ref="AW46" si="87">SUM(AW42:AW45)</f>
        <v>0</v>
      </c>
      <c r="AX46" s="861">
        <f t="shared" ref="AX46:AZ46" si="88">SUM(AX42:AX45)</f>
        <v>768</v>
      </c>
      <c r="AY46" s="862">
        <f t="shared" ref="AY46" si="89">SUM(AY42:AY45)</f>
        <v>819</v>
      </c>
      <c r="AZ46" s="861">
        <f t="shared" si="88"/>
        <v>0</v>
      </c>
      <c r="BA46" s="862">
        <f t="shared" ref="BA46" si="90">SUM(BA42:BA45)</f>
        <v>0</v>
      </c>
      <c r="BB46" s="443">
        <f>SUM(BB42:BB45)</f>
        <v>0</v>
      </c>
      <c r="BC46" s="443">
        <f>SUM(BC42:BC45)</f>
        <v>0</v>
      </c>
      <c r="BD46" s="443">
        <f>SUM(BD42:BD45)</f>
        <v>0</v>
      </c>
      <c r="BE46" s="443">
        <f>SUM(BE42:BE45)</f>
        <v>0</v>
      </c>
      <c r="BF46" s="470">
        <f t="shared" si="73"/>
        <v>105236</v>
      </c>
      <c r="BG46" s="776">
        <f>SUM(BG42:BG45)</f>
        <v>-39937.281946778356</v>
      </c>
      <c r="BH46" s="788">
        <f t="shared" si="74"/>
        <v>65298.718053221644</v>
      </c>
      <c r="BL46" s="807">
        <f>BL45*'CF '!E18*-1</f>
        <v>1835.1222057768075</v>
      </c>
      <c r="BM46" s="810" t="s">
        <v>805</v>
      </c>
    </row>
    <row r="47" spans="1:65" s="424" customFormat="1" ht="18" customHeight="1">
      <c r="A47" s="422">
        <v>25</v>
      </c>
      <c r="B47" s="424" t="s">
        <v>207</v>
      </c>
      <c r="E47" s="454">
        <f t="shared" ref="E47:BE47" si="91">E46+E39+E38+E37+E35+E28</f>
        <v>533959</v>
      </c>
      <c r="F47" s="444">
        <f t="shared" si="91"/>
        <v>0</v>
      </c>
      <c r="G47" s="444">
        <f t="shared" si="91"/>
        <v>57</v>
      </c>
      <c r="H47" s="444">
        <f t="shared" si="91"/>
        <v>0</v>
      </c>
      <c r="I47" s="444">
        <f t="shared" si="91"/>
        <v>0</v>
      </c>
      <c r="J47" s="444">
        <f t="shared" si="91"/>
        <v>-18805</v>
      </c>
      <c r="K47" s="444">
        <f t="shared" si="91"/>
        <v>1001</v>
      </c>
      <c r="L47" s="444">
        <f t="shared" si="91"/>
        <v>1437</v>
      </c>
      <c r="M47" s="444">
        <f t="shared" si="91"/>
        <v>37</v>
      </c>
      <c r="N47" s="444">
        <f t="shared" si="91"/>
        <v>51</v>
      </c>
      <c r="O47" s="444">
        <f t="shared" si="91"/>
        <v>0</v>
      </c>
      <c r="P47" s="444">
        <f t="shared" si="91"/>
        <v>-52</v>
      </c>
      <c r="Q47" s="444">
        <f t="shared" si="91"/>
        <v>34</v>
      </c>
      <c r="R47" s="444">
        <f t="shared" si="91"/>
        <v>-58</v>
      </c>
      <c r="S47" s="444">
        <f t="shared" si="91"/>
        <v>-169</v>
      </c>
      <c r="T47" s="443">
        <f t="shared" si="91"/>
        <v>-20543</v>
      </c>
      <c r="U47" s="443">
        <f t="shared" si="91"/>
        <v>-1224</v>
      </c>
      <c r="V47" s="719">
        <f>V46+V39+V38+V37+V35+V28</f>
        <v>753</v>
      </c>
      <c r="W47" s="443">
        <f>W46+W39+W38+W37+W35+W28</f>
        <v>0</v>
      </c>
      <c r="X47" s="444">
        <f t="shared" si="91"/>
        <v>381</v>
      </c>
      <c r="Y47" s="444">
        <f t="shared" si="91"/>
        <v>-5</v>
      </c>
      <c r="Z47" s="443">
        <f t="shared" si="91"/>
        <v>-926</v>
      </c>
      <c r="AA47" s="443">
        <f t="shared" si="91"/>
        <v>-50487</v>
      </c>
      <c r="AB47" s="719">
        <f t="shared" si="91"/>
        <v>2759</v>
      </c>
      <c r="AC47" s="237">
        <f t="shared" si="91"/>
        <v>448200</v>
      </c>
      <c r="AD47" s="443">
        <f t="shared" si="91"/>
        <v>5507</v>
      </c>
      <c r="AE47" s="443">
        <f t="shared" ref="AE47" si="92">AE46+AE39+AE38+AE37+AE35+AE28</f>
        <v>-447</v>
      </c>
      <c r="AF47" s="443">
        <f t="shared" ref="AF47" si="93">AF46+AF39+AF38+AF37+AF35+AF28</f>
        <v>1120</v>
      </c>
      <c r="AG47" s="444">
        <f t="shared" si="91"/>
        <v>-2417</v>
      </c>
      <c r="AH47" s="444">
        <f t="shared" ref="AH47" si="94">AH46+AH39+AH38+AH37+AH35+AH28</f>
        <v>0</v>
      </c>
      <c r="AI47" s="723">
        <f t="shared" si="91"/>
        <v>3267</v>
      </c>
      <c r="AJ47" s="723">
        <f t="shared" si="91"/>
        <v>-318</v>
      </c>
      <c r="AK47" s="719">
        <f t="shared" si="91"/>
        <v>1220</v>
      </c>
      <c r="AL47" s="443">
        <f>AL46+AL39+AL38+AL37+AL35+AL28</f>
        <v>2456</v>
      </c>
      <c r="AM47" s="443">
        <f t="shared" si="91"/>
        <v>2013</v>
      </c>
      <c r="AN47" s="443">
        <f t="shared" si="91"/>
        <v>634</v>
      </c>
      <c r="AO47" s="443">
        <f>AO46+AO39+AO38+AO37+AO35+AO28</f>
        <v>1332</v>
      </c>
      <c r="AP47" s="443">
        <f t="shared" si="91"/>
        <v>2042</v>
      </c>
      <c r="AQ47" s="443">
        <f t="shared" ref="AQ47:AZ47" si="95">AQ46+AQ39+AQ38+AQ37+AQ35+AQ28</f>
        <v>238</v>
      </c>
      <c r="AR47" s="443">
        <f t="shared" si="95"/>
        <v>848</v>
      </c>
      <c r="AS47" s="443">
        <f t="shared" si="95"/>
        <v>669</v>
      </c>
      <c r="AT47" s="443">
        <f t="shared" si="95"/>
        <v>1922</v>
      </c>
      <c r="AU47" s="443">
        <f t="shared" si="95"/>
        <v>9626</v>
      </c>
      <c r="AV47" s="861">
        <f t="shared" si="95"/>
        <v>4297</v>
      </c>
      <c r="AW47" s="862">
        <f t="shared" ref="AW47" si="96">AW46+AW39+AW38+AW37+AW35+AW28</f>
        <v>44</v>
      </c>
      <c r="AX47" s="861">
        <f t="shared" si="95"/>
        <v>2581</v>
      </c>
      <c r="AY47" s="862">
        <f t="shared" ref="AY47" si="97">AY46+AY39+AY38+AY37+AY35+AY28</f>
        <v>819</v>
      </c>
      <c r="AZ47" s="861">
        <f t="shared" si="95"/>
        <v>-1488</v>
      </c>
      <c r="BA47" s="862">
        <f t="shared" ref="BA47" si="98">BA46+BA39+BA38+BA37+BA35+BA28</f>
        <v>880</v>
      </c>
      <c r="BB47" s="443">
        <f t="shared" si="91"/>
        <v>33</v>
      </c>
      <c r="BC47" s="443">
        <f>BC46+BC39+BC38+BC37+BC35+BC28</f>
        <v>0</v>
      </c>
      <c r="BD47" s="443">
        <f>BD46+BD39+BD38+BD37+BD35+BD28</f>
        <v>0</v>
      </c>
      <c r="BE47" s="443">
        <f t="shared" si="91"/>
        <v>0</v>
      </c>
      <c r="BF47" s="470">
        <f t="shared" si="73"/>
        <v>485078</v>
      </c>
      <c r="BG47" s="776">
        <f>BG46+BG39+BG38+BG37+BG35+BG28</f>
        <v>-39937.281946778356</v>
      </c>
      <c r="BH47" s="788">
        <f t="shared" si="74"/>
        <v>445140.71805322164</v>
      </c>
      <c r="BL47" s="806">
        <f>SUM(BL45:BL46)</f>
        <v>-39937.281946778356</v>
      </c>
    </row>
    <row r="48" spans="1:65" s="424" customFormat="1" ht="8.25" customHeight="1">
      <c r="E48" s="427"/>
      <c r="F48" s="435"/>
      <c r="G48" s="435"/>
      <c r="H48" s="435"/>
      <c r="I48" s="435"/>
      <c r="J48" s="435"/>
      <c r="K48" s="435"/>
      <c r="L48" s="435"/>
      <c r="M48" s="435"/>
      <c r="N48" s="435"/>
      <c r="O48" s="435"/>
      <c r="P48" s="435"/>
      <c r="Q48" s="435"/>
      <c r="R48" s="435"/>
      <c r="S48" s="435"/>
      <c r="T48" s="436"/>
      <c r="U48" s="436"/>
      <c r="V48" s="717"/>
      <c r="W48" s="436"/>
      <c r="X48" s="435"/>
      <c r="Y48" s="435"/>
      <c r="Z48" s="442"/>
      <c r="AA48" s="436"/>
      <c r="AB48" s="717"/>
      <c r="AC48" s="434"/>
      <c r="AD48" s="436"/>
      <c r="AE48" s="436"/>
      <c r="AF48" s="436"/>
      <c r="AG48" s="435"/>
      <c r="AH48" s="435"/>
      <c r="AI48" s="728"/>
      <c r="AJ48" s="728"/>
      <c r="AK48" s="713"/>
      <c r="AL48" s="442"/>
      <c r="AM48" s="436"/>
      <c r="AN48" s="436"/>
      <c r="AO48" s="442"/>
      <c r="AP48" s="442"/>
      <c r="AQ48" s="436"/>
      <c r="AR48" s="436"/>
      <c r="AS48" s="436"/>
      <c r="AT48" s="436"/>
      <c r="AU48" s="436"/>
      <c r="AV48" s="857"/>
      <c r="AW48" s="858"/>
      <c r="AX48" s="857"/>
      <c r="AY48" s="858"/>
      <c r="AZ48" s="857"/>
      <c r="BA48" s="858"/>
      <c r="BB48" s="442"/>
      <c r="BC48" s="442"/>
      <c r="BD48" s="436"/>
      <c r="BE48" s="442"/>
      <c r="BF48" s="468"/>
      <c r="BG48" s="774"/>
      <c r="BH48" s="786"/>
    </row>
    <row r="49" spans="1:63" s="424" customFormat="1">
      <c r="A49" s="422">
        <v>26</v>
      </c>
      <c r="B49" s="424" t="s">
        <v>208</v>
      </c>
      <c r="E49" s="427">
        <f t="shared" ref="E49:BE49" si="99">E19-E47</f>
        <v>127498</v>
      </c>
      <c r="F49" s="435">
        <f t="shared" si="99"/>
        <v>0</v>
      </c>
      <c r="G49" s="435">
        <f t="shared" si="99"/>
        <v>-57</v>
      </c>
      <c r="H49" s="435">
        <f t="shared" si="99"/>
        <v>0</v>
      </c>
      <c r="I49" s="435">
        <f t="shared" si="99"/>
        <v>0</v>
      </c>
      <c r="J49" s="435">
        <f t="shared" si="99"/>
        <v>-80</v>
      </c>
      <c r="K49" s="435">
        <f t="shared" si="99"/>
        <v>-1001</v>
      </c>
      <c r="L49" s="435">
        <f t="shared" si="99"/>
        <v>-1437</v>
      </c>
      <c r="M49" s="435">
        <f t="shared" si="99"/>
        <v>-37</v>
      </c>
      <c r="N49" s="435">
        <f t="shared" si="99"/>
        <v>-51</v>
      </c>
      <c r="O49" s="435">
        <f t="shared" si="99"/>
        <v>0</v>
      </c>
      <c r="P49" s="435">
        <f t="shared" si="99"/>
        <v>52</v>
      </c>
      <c r="Q49" s="435">
        <f t="shared" si="99"/>
        <v>-34</v>
      </c>
      <c r="R49" s="435">
        <f t="shared" si="99"/>
        <v>58</v>
      </c>
      <c r="S49" s="435">
        <f t="shared" si="99"/>
        <v>-784</v>
      </c>
      <c r="T49" s="436">
        <f t="shared" si="99"/>
        <v>-1397</v>
      </c>
      <c r="U49" s="436">
        <f t="shared" si="99"/>
        <v>1224</v>
      </c>
      <c r="V49" s="717">
        <f>V19-V47</f>
        <v>-753</v>
      </c>
      <c r="W49" s="436">
        <f>W19-W47</f>
        <v>0</v>
      </c>
      <c r="X49" s="435">
        <f t="shared" si="99"/>
        <v>1359</v>
      </c>
      <c r="Y49" s="435">
        <f t="shared" si="99"/>
        <v>5</v>
      </c>
      <c r="Z49" s="442">
        <f t="shared" si="99"/>
        <v>926</v>
      </c>
      <c r="AA49" s="436">
        <f t="shared" si="99"/>
        <v>-5865</v>
      </c>
      <c r="AB49" s="717">
        <f t="shared" si="99"/>
        <v>-2759</v>
      </c>
      <c r="AC49" s="434">
        <f t="shared" si="99"/>
        <v>116867</v>
      </c>
      <c r="AD49" s="436">
        <f t="shared" si="99"/>
        <v>17029.82</v>
      </c>
      <c r="AE49" s="436">
        <f t="shared" ref="AE49" si="100">AE19-AE47</f>
        <v>1105</v>
      </c>
      <c r="AF49" s="436">
        <f t="shared" ref="AF49" si="101">AF19-AF47</f>
        <v>13768</v>
      </c>
      <c r="AG49" s="435">
        <f t="shared" si="99"/>
        <v>2417</v>
      </c>
      <c r="AH49" s="435">
        <f t="shared" ref="AH49" si="102">AH19-AH47</f>
        <v>0</v>
      </c>
      <c r="AI49" s="728">
        <f t="shared" si="99"/>
        <v>-3267</v>
      </c>
      <c r="AJ49" s="728">
        <f t="shared" si="99"/>
        <v>318</v>
      </c>
      <c r="AK49" s="713">
        <f t="shared" si="99"/>
        <v>-1220</v>
      </c>
      <c r="AL49" s="442">
        <f>AL19-AL47</f>
        <v>-2456</v>
      </c>
      <c r="AM49" s="436">
        <f t="shared" si="99"/>
        <v>-2013</v>
      </c>
      <c r="AN49" s="436">
        <f t="shared" si="99"/>
        <v>-634</v>
      </c>
      <c r="AO49" s="442">
        <f t="shared" ref="AO49:AT49" si="103">AO19-AO47</f>
        <v>-1332</v>
      </c>
      <c r="AP49" s="442">
        <f t="shared" si="103"/>
        <v>-2042</v>
      </c>
      <c r="AQ49" s="436">
        <f t="shared" si="103"/>
        <v>-238</v>
      </c>
      <c r="AR49" s="436">
        <f t="shared" si="103"/>
        <v>-848</v>
      </c>
      <c r="AS49" s="436">
        <f t="shared" si="103"/>
        <v>-669</v>
      </c>
      <c r="AT49" s="436">
        <f t="shared" si="103"/>
        <v>-1922</v>
      </c>
      <c r="AU49" s="436">
        <f t="shared" ref="AU49:BA49" si="104">AU19-AU47</f>
        <v>-9626</v>
      </c>
      <c r="AV49" s="857">
        <f t="shared" si="104"/>
        <v>-4297</v>
      </c>
      <c r="AW49" s="858">
        <f t="shared" ref="AW49" si="105">AW19-AW47</f>
        <v>-44</v>
      </c>
      <c r="AX49" s="857">
        <f t="shared" si="104"/>
        <v>-2581</v>
      </c>
      <c r="AY49" s="858">
        <f t="shared" si="104"/>
        <v>-819</v>
      </c>
      <c r="AZ49" s="857">
        <f t="shared" si="104"/>
        <v>1488</v>
      </c>
      <c r="BA49" s="858">
        <f t="shared" si="104"/>
        <v>-880</v>
      </c>
      <c r="BB49" s="442">
        <f t="shared" si="99"/>
        <v>-33</v>
      </c>
      <c r="BC49" s="442">
        <f>BC19-BC47</f>
        <v>0</v>
      </c>
      <c r="BD49" s="436">
        <f>BD19-BD47</f>
        <v>0</v>
      </c>
      <c r="BE49" s="442">
        <f t="shared" si="99"/>
        <v>0</v>
      </c>
      <c r="BF49" s="468">
        <f>SUM(AC49:BE49)</f>
        <v>118071.82</v>
      </c>
      <c r="BG49" s="774">
        <f>BG19-BG47</f>
        <v>39937.281946778356</v>
      </c>
      <c r="BH49" s="786">
        <f>SUM(BF49:BG49)</f>
        <v>158009.10194677836</v>
      </c>
    </row>
    <row r="50" spans="1:63" s="424" customFormat="1" ht="6.75" customHeight="1">
      <c r="A50" s="422"/>
      <c r="E50" s="427"/>
      <c r="F50" s="435"/>
      <c r="G50" s="435"/>
      <c r="H50" s="435"/>
      <c r="I50" s="435"/>
      <c r="J50" s="435"/>
      <c r="K50" s="435"/>
      <c r="L50" s="435"/>
      <c r="M50" s="435"/>
      <c r="N50" s="435"/>
      <c r="O50" s="435"/>
      <c r="P50" s="435"/>
      <c r="Q50" s="435"/>
      <c r="R50" s="435"/>
      <c r="S50" s="435"/>
      <c r="T50" s="436"/>
      <c r="U50" s="436"/>
      <c r="V50" s="717"/>
      <c r="W50" s="436"/>
      <c r="X50" s="435"/>
      <c r="Y50" s="435"/>
      <c r="Z50" s="442"/>
      <c r="AA50" s="436"/>
      <c r="AB50" s="717"/>
      <c r="AC50" s="434"/>
      <c r="AD50" s="436"/>
      <c r="AE50" s="436"/>
      <c r="AF50" s="436"/>
      <c r="AG50" s="435"/>
      <c r="AH50" s="435"/>
      <c r="AI50" s="728"/>
      <c r="AJ50" s="728"/>
      <c r="AK50" s="713"/>
      <c r="AL50" s="442"/>
      <c r="AM50" s="436"/>
      <c r="AN50" s="436"/>
      <c r="AO50" s="442"/>
      <c r="AP50" s="442"/>
      <c r="AQ50" s="436"/>
      <c r="AR50" s="436"/>
      <c r="AS50" s="436"/>
      <c r="AT50" s="436"/>
      <c r="AU50" s="436"/>
      <c r="AV50" s="857"/>
      <c r="AW50" s="858"/>
      <c r="AX50" s="857"/>
      <c r="AY50" s="858"/>
      <c r="AZ50" s="857"/>
      <c r="BA50" s="858"/>
      <c r="BB50" s="442"/>
      <c r="BC50" s="442"/>
      <c r="BD50" s="436"/>
      <c r="BE50" s="442"/>
      <c r="BF50" s="468"/>
      <c r="BG50" s="774"/>
      <c r="BH50" s="786"/>
    </row>
    <row r="51" spans="1:63" s="424" customFormat="1">
      <c r="A51" s="426"/>
      <c r="B51" s="424" t="s">
        <v>209</v>
      </c>
      <c r="E51" s="427"/>
      <c r="F51" s="435"/>
      <c r="G51" s="435"/>
      <c r="H51" s="435"/>
      <c r="I51" s="435"/>
      <c r="J51" s="435"/>
      <c r="K51" s="435"/>
      <c r="L51" s="435"/>
      <c r="M51" s="435"/>
      <c r="N51" s="435"/>
      <c r="O51" s="435"/>
      <c r="P51" s="435"/>
      <c r="Q51" s="435"/>
      <c r="R51" s="435"/>
      <c r="S51" s="435"/>
      <c r="T51" s="436"/>
      <c r="U51" s="436"/>
      <c r="V51" s="717"/>
      <c r="W51" s="436"/>
      <c r="X51" s="435"/>
      <c r="Y51" s="435"/>
      <c r="Z51" s="442"/>
      <c r="AA51" s="436"/>
      <c r="AB51" s="717"/>
      <c r="AC51" s="434"/>
      <c r="AD51" s="436"/>
      <c r="AE51" s="436"/>
      <c r="AF51" s="436"/>
      <c r="AG51" s="435"/>
      <c r="AH51" s="435"/>
      <c r="AI51" s="728"/>
      <c r="AJ51" s="728"/>
      <c r="AK51" s="713"/>
      <c r="AL51" s="442"/>
      <c r="AM51" s="436"/>
      <c r="AN51" s="436"/>
      <c r="AO51" s="442"/>
      <c r="AP51" s="442"/>
      <c r="AQ51" s="436"/>
      <c r="AR51" s="436"/>
      <c r="AS51" s="436"/>
      <c r="AT51" s="436"/>
      <c r="AU51" s="436"/>
      <c r="AV51" s="857"/>
      <c r="AW51" s="858"/>
      <c r="AX51" s="857"/>
      <c r="AY51" s="858"/>
      <c r="AZ51" s="857"/>
      <c r="BA51" s="858"/>
      <c r="BB51" s="442"/>
      <c r="BC51" s="442"/>
      <c r="BD51" s="436"/>
      <c r="BE51" s="442"/>
      <c r="BF51" s="468"/>
      <c r="BG51" s="774"/>
      <c r="BH51" s="786"/>
    </row>
    <row r="52" spans="1:63" s="427" customFormat="1">
      <c r="A52" s="448">
        <v>27</v>
      </c>
      <c r="B52" s="427" t="s">
        <v>584</v>
      </c>
      <c r="D52" s="554"/>
      <c r="E52" s="431">
        <f>'ROO INPUT'!F52</f>
        <v>4963</v>
      </c>
      <c r="F52" s="436">
        <f>F49*0.21</f>
        <v>0</v>
      </c>
      <c r="G52" s="436">
        <f t="shared" ref="G52:BE52" si="106">G49*0.21</f>
        <v>-11.969999999999999</v>
      </c>
      <c r="H52" s="436">
        <f t="shared" si="106"/>
        <v>0</v>
      </c>
      <c r="I52" s="436">
        <f t="shared" si="106"/>
        <v>0</v>
      </c>
      <c r="J52" s="436">
        <f t="shared" si="106"/>
        <v>-16.8</v>
      </c>
      <c r="K52" s="436">
        <f t="shared" si="106"/>
        <v>-210.20999999999998</v>
      </c>
      <c r="L52" s="436">
        <f t="shared" si="106"/>
        <v>-301.77</v>
      </c>
      <c r="M52" s="436">
        <f t="shared" si="106"/>
        <v>-7.77</v>
      </c>
      <c r="N52" s="436">
        <f t="shared" si="106"/>
        <v>-10.709999999999999</v>
      </c>
      <c r="O52" s="436">
        <v>1</v>
      </c>
      <c r="P52" s="436">
        <f t="shared" si="106"/>
        <v>10.92</v>
      </c>
      <c r="Q52" s="436">
        <f t="shared" si="106"/>
        <v>-7.14</v>
      </c>
      <c r="R52" s="436">
        <f t="shared" si="106"/>
        <v>12.18</v>
      </c>
      <c r="S52" s="436">
        <f t="shared" si="106"/>
        <v>-164.64</v>
      </c>
      <c r="T52" s="436">
        <f t="shared" si="106"/>
        <v>-293.37</v>
      </c>
      <c r="U52" s="436">
        <f t="shared" si="106"/>
        <v>257.03999999999996</v>
      </c>
      <c r="V52" s="713">
        <f>V49*0.21</f>
        <v>-158.13</v>
      </c>
      <c r="W52" s="436">
        <f>'DEBT CALC'!E70</f>
        <v>934</v>
      </c>
      <c r="X52" s="436">
        <v>348</v>
      </c>
      <c r="Y52" s="436">
        <f t="shared" si="106"/>
        <v>1.05</v>
      </c>
      <c r="Z52" s="436">
        <f t="shared" si="106"/>
        <v>194.45999999999998</v>
      </c>
      <c r="AA52" s="436">
        <f t="shared" si="106"/>
        <v>-1231.6499999999999</v>
      </c>
      <c r="AB52" s="713">
        <f t="shared" si="106"/>
        <v>-579.39</v>
      </c>
      <c r="AC52" s="434">
        <f>SUM(E52:AB52)</f>
        <v>3728.1</v>
      </c>
      <c r="AD52" s="436">
        <f>AD49*0.21</f>
        <v>3576.2621999999997</v>
      </c>
      <c r="AE52" s="436">
        <f t="shared" ref="AE52" si="107">AE49*0.21</f>
        <v>232.04999999999998</v>
      </c>
      <c r="AF52" s="436">
        <f t="shared" ref="AF52" si="108">AF49*0.21</f>
        <v>2891.2799999999997</v>
      </c>
      <c r="AG52" s="436">
        <f>AG49*0.21</f>
        <v>507.57</v>
      </c>
      <c r="AH52" s="436">
        <f>AH49*0.21</f>
        <v>0</v>
      </c>
      <c r="AI52" s="713">
        <f t="shared" si="106"/>
        <v>-686.06999999999994</v>
      </c>
      <c r="AJ52" s="713">
        <f t="shared" si="106"/>
        <v>66.78</v>
      </c>
      <c r="AK52" s="713">
        <f t="shared" si="106"/>
        <v>-256.2</v>
      </c>
      <c r="AL52" s="436">
        <f>AL49*0.21</f>
        <v>-515.76</v>
      </c>
      <c r="AM52" s="436">
        <f>AM49*0.21</f>
        <v>-422.72999999999996</v>
      </c>
      <c r="AN52" s="436">
        <f t="shared" si="106"/>
        <v>-133.13999999999999</v>
      </c>
      <c r="AO52" s="436">
        <f t="shared" ref="AO52:AT52" si="109">AO49*0.21</f>
        <v>-279.71999999999997</v>
      </c>
      <c r="AP52" s="436">
        <f t="shared" si="109"/>
        <v>-428.82</v>
      </c>
      <c r="AQ52" s="436">
        <f t="shared" si="109"/>
        <v>-49.98</v>
      </c>
      <c r="AR52" s="436">
        <f t="shared" si="109"/>
        <v>-178.07999999999998</v>
      </c>
      <c r="AS52" s="436">
        <f t="shared" si="109"/>
        <v>-140.48999999999998</v>
      </c>
      <c r="AT52" s="436">
        <f t="shared" si="109"/>
        <v>-403.62</v>
      </c>
      <c r="AU52" s="436">
        <f t="shared" ref="AU52:BA52" si="110">AU49*0.21</f>
        <v>-2021.46</v>
      </c>
      <c r="AV52" s="857">
        <f t="shared" si="110"/>
        <v>-902.37</v>
      </c>
      <c r="AW52" s="858">
        <f t="shared" ref="AW52" si="111">AW49*0.21</f>
        <v>-9.24</v>
      </c>
      <c r="AX52" s="857">
        <f t="shared" si="110"/>
        <v>-542.01</v>
      </c>
      <c r="AY52" s="858">
        <f t="shared" si="110"/>
        <v>-171.98999999999998</v>
      </c>
      <c r="AZ52" s="857">
        <f t="shared" si="110"/>
        <v>312.47999999999996</v>
      </c>
      <c r="BA52" s="858">
        <f t="shared" si="110"/>
        <v>-184.79999999999998</v>
      </c>
      <c r="BB52" s="436">
        <f t="shared" si="106"/>
        <v>-6.93</v>
      </c>
      <c r="BC52" s="436">
        <f>BC49*0.21</f>
        <v>0</v>
      </c>
      <c r="BD52" s="436">
        <f>BD49*0.21</f>
        <v>0</v>
      </c>
      <c r="BE52" s="436">
        <f t="shared" si="106"/>
        <v>0</v>
      </c>
      <c r="BF52" s="468">
        <f>SUM(AC52:BE52)</f>
        <v>3981.1122000000018</v>
      </c>
      <c r="BG52" s="777">
        <f>BG49*0.21</f>
        <v>8386.8292088234539</v>
      </c>
      <c r="BH52" s="786">
        <f>SUM(BF52:BG52)</f>
        <v>12367.941408823455</v>
      </c>
    </row>
    <row r="53" spans="1:63" s="427" customFormat="1">
      <c r="A53" s="448">
        <v>28</v>
      </c>
      <c r="B53" s="427" t="s">
        <v>263</v>
      </c>
      <c r="E53" s="431">
        <f>'ROO INPUT'!F53</f>
        <v>0</v>
      </c>
      <c r="F53" s="436">
        <f>(F81*'RR SUMMARY'!$O$12)*-0.21</f>
        <v>-0.24477599999999999</v>
      </c>
      <c r="G53" s="436">
        <f>(G81*'RR SUMMARY'!$O$12)*-0.21</f>
        <v>-5.208E-3</v>
      </c>
      <c r="H53" s="436">
        <f>(H81*'RR SUMMARY'!$O$12)*-0.21</f>
        <v>19.540416</v>
      </c>
      <c r="I53" s="436">
        <f>(I81*'RR SUMMARY'!$O$12)*-0.21</f>
        <v>251.483904</v>
      </c>
      <c r="J53" s="436">
        <f>(J81*'RR SUMMARY'!$O$12)*-0.21</f>
        <v>0</v>
      </c>
      <c r="K53" s="436">
        <f>(K81*'RR SUMMARY'!$O$12)*-0.21</f>
        <v>0</v>
      </c>
      <c r="L53" s="436">
        <f>(L81*'RR SUMMARY'!$O$12)*-0.21</f>
        <v>0</v>
      </c>
      <c r="M53" s="436">
        <f>(M81*'RR SUMMARY'!$O$12)*-0.21</f>
        <v>0</v>
      </c>
      <c r="N53" s="436">
        <f>(N81*'RR SUMMARY'!$O$12)*-0.21</f>
        <v>0</v>
      </c>
      <c r="O53" s="436">
        <f>(O81*'RR SUMMARY'!$O$12)*-0.21</f>
        <v>0</v>
      </c>
      <c r="P53" s="436">
        <f>(P81*'RR SUMMARY'!$O$12)*-0.21</f>
        <v>0</v>
      </c>
      <c r="Q53" s="436">
        <f>(Q81*'RR SUMMARY'!$O$12)*-0.21</f>
        <v>0</v>
      </c>
      <c r="R53" s="436">
        <f>(R81*'RR SUMMARY'!$O$12)*-0.21</f>
        <v>0</v>
      </c>
      <c r="S53" s="436">
        <f>(S81*'RR SUMMARY'!$O$12)*-0.21</f>
        <v>0</v>
      </c>
      <c r="T53" s="436">
        <f>(T81*'RR SUMMARY'!$O$12)*-0.21</f>
        <v>0</v>
      </c>
      <c r="U53" s="436">
        <f>(U81*'RR SUMMARY'!$O$12)*-0.21</f>
        <v>0</v>
      </c>
      <c r="V53" s="713">
        <f>(V81*'RR SUMMARY'!$O$12)*-0.21</f>
        <v>0</v>
      </c>
      <c r="W53" s="436"/>
      <c r="X53" s="436">
        <f>(X81*'RR SUMMARY'!$O$12)*-0.21</f>
        <v>0</v>
      </c>
      <c r="Y53" s="436">
        <f>(Y81*'RR SUMMARY'!$O$12)*-0.21</f>
        <v>0</v>
      </c>
      <c r="Z53" s="436">
        <f>(Z81*'RR SUMMARY'!$O$12)*-0.21</f>
        <v>0</v>
      </c>
      <c r="AA53" s="436">
        <f>(AA81*'RR SUMMARY'!$O$12)*-0.21</f>
        <v>0</v>
      </c>
      <c r="AB53" s="713">
        <f>(AB81*'RR SUMMARY'!$O$12)*-0.21</f>
        <v>-104.91965442799344</v>
      </c>
      <c r="AC53" s="434">
        <f>SUM(E53:AB53)</f>
        <v>165.85468157200657</v>
      </c>
      <c r="AD53" s="436">
        <f>(AD81*'RR SUMMARY'!$O$12)*-0.21</f>
        <v>0</v>
      </c>
      <c r="AE53" s="436">
        <f>(AE81*'RR SUMMARY'!$O$12)*-0.21</f>
        <v>0</v>
      </c>
      <c r="AF53" s="436">
        <f>(AF81*'RR SUMMARY'!$O$12)*-0.21</f>
        <v>0</v>
      </c>
      <c r="AG53" s="436">
        <f>(AG81*'RR SUMMARY'!$O$12)*-0.21</f>
        <v>3.989328</v>
      </c>
      <c r="AH53" s="436">
        <f>(AH81*'RR SUMMARY'!$O$12)*-0.21</f>
        <v>0</v>
      </c>
      <c r="AI53" s="713">
        <f>(AI81*'RR SUMMARY'!$O$12)*-0.21</f>
        <v>0</v>
      </c>
      <c r="AJ53" s="713">
        <f>(AJ81*'RR SUMMARY'!$O$12)*-0.21</f>
        <v>0</v>
      </c>
      <c r="AK53" s="713">
        <f>(AK81*'RR SUMMARY'!$O$12)*-0.21</f>
        <v>0</v>
      </c>
      <c r="AL53" s="436">
        <f>(AL81*'RR SUMMARY'!$O$12)*-0.21</f>
        <v>0</v>
      </c>
      <c r="AM53" s="436">
        <f>(AM81*'RR SUMMARY'!$O$12)*-0.21</f>
        <v>0</v>
      </c>
      <c r="AN53" s="436">
        <f>(AN81*'RR SUMMARY'!$O$12)*-0.21</f>
        <v>0</v>
      </c>
      <c r="AO53" s="436">
        <f>(AO81*'RR SUMMARY'!$O$12)*-0.21</f>
        <v>0</v>
      </c>
      <c r="AP53" s="436">
        <f>(AP81*'RR SUMMARY'!$O$12)*-0.21</f>
        <v>-53.533031999999999</v>
      </c>
      <c r="AQ53" s="436">
        <f>(AQ81*'RR SUMMARY'!$O$12)*-0.21</f>
        <v>-93.770039999999995</v>
      </c>
      <c r="AR53" s="436">
        <f>(AR81*'RR SUMMARY'!$O$12)*-0.21</f>
        <v>-247.27063199999998</v>
      </c>
      <c r="AS53" s="436">
        <f>(AS81*'RR SUMMARY'!$O$12)*-0.21</f>
        <v>-191.78980799999999</v>
      </c>
      <c r="AT53" s="436">
        <f>(AT81*'RR SUMMARY'!$O$12)*-0.21</f>
        <v>-53.017440000000001</v>
      </c>
      <c r="AU53" s="436">
        <f>(AU81*'RR SUMMARY'!$O$12)*-0.21</f>
        <v>-456.14267999999993</v>
      </c>
      <c r="AV53" s="857">
        <f>(AV81*'RR SUMMARY'!$O$12)*-0.21</f>
        <v>-48.983697215919719</v>
      </c>
      <c r="AW53" s="858">
        <f>(AW81*'RR SUMMARY'!$O$12)*-0.21</f>
        <v>-9.2656337521248471</v>
      </c>
      <c r="AX53" s="857">
        <f>(AX81*'RR SUMMARY'!$O$12)*-0.21</f>
        <v>-45.438950370056105</v>
      </c>
      <c r="AY53" s="858">
        <f>(AY81*'RR SUMMARY'!$O$12)*-0.21</f>
        <v>-20.054512338721096</v>
      </c>
      <c r="AZ53" s="857">
        <f>(AZ81*'RR SUMMARY'!$O$12)*-0.21</f>
        <v>111.701184</v>
      </c>
      <c r="BA53" s="858">
        <f>(BA81*'RR SUMMARY'!$O$12)*-0.21</f>
        <v>-4.9840559999999998</v>
      </c>
      <c r="BB53" s="436">
        <f>(BB81*'RR SUMMARY'!$O$12)*-0.21</f>
        <v>0</v>
      </c>
      <c r="BC53" s="436">
        <f>(BC81*'RR SUMMARY'!$O$12)*-0.21</f>
        <v>159.062736</v>
      </c>
      <c r="BD53" s="436">
        <f>(BD81*'RR SUMMARY'!$O$12)*-0.21</f>
        <v>0</v>
      </c>
      <c r="BE53" s="436">
        <f>(BE81*'RR SUMMARY'!$O$12)*-0.21</f>
        <v>0</v>
      </c>
      <c r="BF53" s="468">
        <f>SUM(AC53:BE53)</f>
        <v>-783.64255210481508</v>
      </c>
      <c r="BG53" s="777">
        <f>(BG81*'RR SUMMARY'!$O$12)*-0.21</f>
        <v>-92.082647999999992</v>
      </c>
      <c r="BH53" s="786">
        <f>SUM(BF53:BG53)</f>
        <v>-875.72520010481503</v>
      </c>
    </row>
    <row r="54" spans="1:63" s="427" customFormat="1">
      <c r="A54" s="448">
        <v>29</v>
      </c>
      <c r="B54" s="427" t="s">
        <v>210</v>
      </c>
      <c r="E54" s="431">
        <f>'ROO INPUT'!F54</f>
        <v>7830</v>
      </c>
      <c r="F54" s="436">
        <v>0</v>
      </c>
      <c r="G54" s="436">
        <v>0</v>
      </c>
      <c r="H54" s="436">
        <v>0</v>
      </c>
      <c r="I54" s="436">
        <v>0</v>
      </c>
      <c r="J54" s="436">
        <v>0</v>
      </c>
      <c r="K54" s="436">
        <v>0</v>
      </c>
      <c r="L54" s="436">
        <v>0</v>
      </c>
      <c r="M54" s="436">
        <v>0</v>
      </c>
      <c r="N54" s="436">
        <v>0</v>
      </c>
      <c r="O54" s="436">
        <v>-4</v>
      </c>
      <c r="P54" s="436">
        <v>0</v>
      </c>
      <c r="Q54" s="436">
        <v>0</v>
      </c>
      <c r="R54" s="436">
        <v>0</v>
      </c>
      <c r="S54" s="436">
        <v>0</v>
      </c>
      <c r="T54" s="436">
        <v>0</v>
      </c>
      <c r="U54" s="436">
        <v>0</v>
      </c>
      <c r="V54" s="717">
        <v>0</v>
      </c>
      <c r="W54" s="436">
        <v>0</v>
      </c>
      <c r="X54" s="436">
        <v>-63</v>
      </c>
      <c r="Y54" s="436">
        <v>0</v>
      </c>
      <c r="Z54" s="442">
        <v>0</v>
      </c>
      <c r="AA54" s="436">
        <v>0</v>
      </c>
      <c r="AB54" s="717">
        <v>0</v>
      </c>
      <c r="AC54" s="434">
        <f>SUM(E54:AB54)</f>
        <v>7763</v>
      </c>
      <c r="AD54" s="436">
        <v>0</v>
      </c>
      <c r="AE54" s="436">
        <v>0</v>
      </c>
      <c r="AF54" s="436">
        <v>0</v>
      </c>
      <c r="AG54" s="436">
        <v>0</v>
      </c>
      <c r="AH54" s="436">
        <v>-485</v>
      </c>
      <c r="AI54" s="713">
        <v>0</v>
      </c>
      <c r="AJ54" s="713">
        <v>0</v>
      </c>
      <c r="AK54" s="713">
        <v>0</v>
      </c>
      <c r="AL54" s="442">
        <v>0</v>
      </c>
      <c r="AM54" s="436">
        <v>0</v>
      </c>
      <c r="AN54" s="436">
        <v>0</v>
      </c>
      <c r="AO54" s="442">
        <v>0</v>
      </c>
      <c r="AP54" s="442">
        <v>0</v>
      </c>
      <c r="AQ54" s="436">
        <v>0</v>
      </c>
      <c r="AR54" s="436">
        <v>0</v>
      </c>
      <c r="AS54" s="436">
        <v>0</v>
      </c>
      <c r="AT54" s="436">
        <v>0</v>
      </c>
      <c r="AU54" s="436">
        <v>0</v>
      </c>
      <c r="AV54" s="857">
        <v>0</v>
      </c>
      <c r="AW54" s="858">
        <v>0</v>
      </c>
      <c r="AX54" s="857">
        <v>0</v>
      </c>
      <c r="AY54" s="858">
        <v>0</v>
      </c>
      <c r="AZ54" s="857">
        <v>0</v>
      </c>
      <c r="BA54" s="858">
        <v>0</v>
      </c>
      <c r="BB54" s="442">
        <v>0</v>
      </c>
      <c r="BC54" s="442"/>
      <c r="BD54" s="436">
        <v>0</v>
      </c>
      <c r="BE54" s="442">
        <v>0</v>
      </c>
      <c r="BF54" s="468">
        <f>SUM(AC54:BE54)</f>
        <v>7278</v>
      </c>
      <c r="BG54" s="774">
        <v>0</v>
      </c>
      <c r="BH54" s="786">
        <f>SUM(BF54:BG54)</f>
        <v>7278</v>
      </c>
    </row>
    <row r="55" spans="1:63" s="424" customFormat="1">
      <c r="A55" s="426">
        <v>30</v>
      </c>
      <c r="B55" s="424" t="s">
        <v>255</v>
      </c>
      <c r="E55" s="454">
        <f>'ROO INPUT'!F55</f>
        <v>-318</v>
      </c>
      <c r="F55" s="444">
        <v>0</v>
      </c>
      <c r="G55" s="444">
        <v>0</v>
      </c>
      <c r="H55" s="444">
        <v>0</v>
      </c>
      <c r="I55" s="444">
        <v>0</v>
      </c>
      <c r="J55" s="444">
        <v>0</v>
      </c>
      <c r="K55" s="444">
        <v>0</v>
      </c>
      <c r="L55" s="444">
        <v>0</v>
      </c>
      <c r="M55" s="444">
        <v>0</v>
      </c>
      <c r="N55" s="444">
        <v>0</v>
      </c>
      <c r="O55" s="444">
        <v>0</v>
      </c>
      <c r="P55" s="444">
        <v>0</v>
      </c>
      <c r="Q55" s="444">
        <v>0</v>
      </c>
      <c r="R55" s="444">
        <v>0</v>
      </c>
      <c r="S55" s="444">
        <v>0</v>
      </c>
      <c r="T55" s="443">
        <v>0</v>
      </c>
      <c r="U55" s="443">
        <v>0</v>
      </c>
      <c r="V55" s="719">
        <v>0</v>
      </c>
      <c r="W55" s="443">
        <v>0</v>
      </c>
      <c r="X55" s="444">
        <v>0</v>
      </c>
      <c r="Y55" s="444">
        <v>0</v>
      </c>
      <c r="Z55" s="443">
        <v>0</v>
      </c>
      <c r="AA55" s="443">
        <v>0</v>
      </c>
      <c r="AB55" s="719">
        <v>0</v>
      </c>
      <c r="AC55" s="237">
        <f>SUM(E55:AB55)</f>
        <v>-318</v>
      </c>
      <c r="AD55" s="443">
        <v>0</v>
      </c>
      <c r="AE55" s="443">
        <v>0</v>
      </c>
      <c r="AF55" s="443">
        <v>0</v>
      </c>
      <c r="AG55" s="444">
        <v>0</v>
      </c>
      <c r="AH55" s="444">
        <v>0</v>
      </c>
      <c r="AI55" s="723">
        <v>0</v>
      </c>
      <c r="AJ55" s="723">
        <v>0</v>
      </c>
      <c r="AK55" s="719">
        <v>0</v>
      </c>
      <c r="AL55" s="443">
        <v>0</v>
      </c>
      <c r="AM55" s="443">
        <v>0</v>
      </c>
      <c r="AN55" s="443">
        <v>0</v>
      </c>
      <c r="AO55" s="443">
        <v>0</v>
      </c>
      <c r="AP55" s="443">
        <v>0</v>
      </c>
      <c r="AQ55" s="443">
        <v>0</v>
      </c>
      <c r="AR55" s="443">
        <v>0</v>
      </c>
      <c r="AS55" s="443">
        <v>0</v>
      </c>
      <c r="AT55" s="443">
        <v>0</v>
      </c>
      <c r="AU55" s="443">
        <v>0</v>
      </c>
      <c r="AV55" s="861">
        <v>0</v>
      </c>
      <c r="AW55" s="862">
        <v>0</v>
      </c>
      <c r="AX55" s="861">
        <v>0</v>
      </c>
      <c r="AY55" s="862">
        <v>0</v>
      </c>
      <c r="AZ55" s="861">
        <v>0</v>
      </c>
      <c r="BA55" s="862">
        <v>0</v>
      </c>
      <c r="BB55" s="443">
        <v>0</v>
      </c>
      <c r="BC55" s="443">
        <v>0</v>
      </c>
      <c r="BD55" s="443">
        <v>0</v>
      </c>
      <c r="BE55" s="443">
        <v>0</v>
      </c>
      <c r="BF55" s="470">
        <f>SUM(AC55:BE55)</f>
        <v>-318</v>
      </c>
      <c r="BG55" s="776">
        <v>0</v>
      </c>
      <c r="BH55" s="788">
        <f>SUM(BF55:BG55)</f>
        <v>-318</v>
      </c>
    </row>
    <row r="56" spans="1:63" ht="6.75" customHeight="1">
      <c r="V56" s="717"/>
      <c r="Z56" s="442"/>
      <c r="AB56" s="717"/>
      <c r="AL56" s="442"/>
      <c r="AO56" s="442"/>
      <c r="AP56" s="442"/>
      <c r="AV56" s="867"/>
      <c r="AW56" s="868"/>
      <c r="AX56" s="857"/>
      <c r="AY56" s="858"/>
      <c r="AZ56" s="857"/>
      <c r="BA56" s="858"/>
      <c r="BB56" s="442"/>
      <c r="BC56" s="442"/>
      <c r="BE56" s="442"/>
      <c r="BF56" s="468"/>
      <c r="BG56" s="774"/>
      <c r="BH56" s="786"/>
    </row>
    <row r="57" spans="1:63" s="423" customFormat="1" ht="12.75" thickBot="1">
      <c r="A57" s="425">
        <v>31</v>
      </c>
      <c r="B57" s="423" t="s">
        <v>211</v>
      </c>
      <c r="E57" s="455">
        <f t="shared" ref="E57:AK57" si="112">E49-SUM(E52:E55)</f>
        <v>115023</v>
      </c>
      <c r="F57" s="456">
        <f t="shared" si="112"/>
        <v>0.24477599999999999</v>
      </c>
      <c r="G57" s="456">
        <f t="shared" si="112"/>
        <v>-45.024792000000005</v>
      </c>
      <c r="H57" s="456">
        <f t="shared" si="112"/>
        <v>-19.540416</v>
      </c>
      <c r="I57" s="456">
        <f t="shared" ref="I57" si="113">I49-SUM(I52:I55)</f>
        <v>-251.483904</v>
      </c>
      <c r="J57" s="456">
        <f t="shared" si="112"/>
        <v>-63.2</v>
      </c>
      <c r="K57" s="456">
        <f t="shared" ref="K57" si="114">K49-SUM(K52:K55)</f>
        <v>-790.79</v>
      </c>
      <c r="L57" s="456">
        <f t="shared" si="112"/>
        <v>-1135.23</v>
      </c>
      <c r="M57" s="456">
        <f t="shared" si="112"/>
        <v>-29.23</v>
      </c>
      <c r="N57" s="456">
        <f t="shared" si="112"/>
        <v>-40.29</v>
      </c>
      <c r="O57" s="456">
        <f t="shared" si="112"/>
        <v>3</v>
      </c>
      <c r="P57" s="456">
        <f t="shared" si="112"/>
        <v>41.08</v>
      </c>
      <c r="Q57" s="456">
        <f t="shared" si="112"/>
        <v>-26.86</v>
      </c>
      <c r="R57" s="456">
        <f t="shared" si="112"/>
        <v>45.82</v>
      </c>
      <c r="S57" s="456">
        <f t="shared" si="112"/>
        <v>-619.36</v>
      </c>
      <c r="T57" s="455">
        <f t="shared" ref="T57" si="115">T49-SUM(T52:T55)</f>
        <v>-1103.6300000000001</v>
      </c>
      <c r="U57" s="455">
        <f t="shared" ref="U57:AA57" si="116">U49-SUM(U52:U55)</f>
        <v>966.96</v>
      </c>
      <c r="V57" s="720">
        <f t="shared" ref="V57" si="117">V49-SUM(V52:V55)</f>
        <v>-594.87</v>
      </c>
      <c r="W57" s="566">
        <f>W49-SUM(W52:W55)</f>
        <v>-934</v>
      </c>
      <c r="X57" s="456">
        <f t="shared" si="116"/>
        <v>1074</v>
      </c>
      <c r="Y57" s="456">
        <f t="shared" si="116"/>
        <v>3.95</v>
      </c>
      <c r="Z57" s="566">
        <f t="shared" si="116"/>
        <v>731.54</v>
      </c>
      <c r="AA57" s="455">
        <f t="shared" si="116"/>
        <v>-4633.3500000000004</v>
      </c>
      <c r="AB57" s="725">
        <f>AB49-SUM(AB52:AB55)</f>
        <v>-2074.6903455720067</v>
      </c>
      <c r="AC57" s="368">
        <f t="shared" si="112"/>
        <v>105528.04531842799</v>
      </c>
      <c r="AD57" s="566">
        <f t="shared" ref="AD57:AF57" si="118">AD49-SUM(AD52:AD55)</f>
        <v>13453.5578</v>
      </c>
      <c r="AE57" s="566">
        <f t="shared" ref="AE57" si="119">AE49-SUM(AE52:AE55)</f>
        <v>872.95</v>
      </c>
      <c r="AF57" s="566">
        <f t="shared" si="118"/>
        <v>10876.720000000001</v>
      </c>
      <c r="AG57" s="456">
        <f t="shared" ref="AG57:AH57" si="120">AG49-SUM(AG52:AG55)</f>
        <v>1905.4406719999999</v>
      </c>
      <c r="AH57" s="456">
        <f t="shared" si="120"/>
        <v>485</v>
      </c>
      <c r="AI57" s="733">
        <f>AI49-SUM(AI52:AI55)</f>
        <v>-2580.9300000000003</v>
      </c>
      <c r="AJ57" s="733">
        <f t="shared" si="112"/>
        <v>251.22</v>
      </c>
      <c r="AK57" s="733">
        <f t="shared" si="112"/>
        <v>-963.8</v>
      </c>
      <c r="AL57" s="566">
        <f t="shared" ref="AL57" si="121">AL49-SUM(AL52:AL55)</f>
        <v>-1940.24</v>
      </c>
      <c r="AM57" s="456">
        <f t="shared" ref="AM57" si="122">AM49-SUM(AM52:AM55)</f>
        <v>-1590.27</v>
      </c>
      <c r="AN57" s="456">
        <f t="shared" ref="AN57" si="123">AN49-SUM(AN52:AN55)</f>
        <v>-500.86</v>
      </c>
      <c r="AO57" s="566">
        <f>AO49-SUM(AO52:AO55)</f>
        <v>-1052.28</v>
      </c>
      <c r="AP57" s="566">
        <f>AP49-SUM(AP52:AP55)</f>
        <v>-1559.646968</v>
      </c>
      <c r="AQ57" s="456">
        <f t="shared" ref="AQ57:AV57" si="124">AQ49-SUM(AQ52:AQ55)</f>
        <v>-94.249960000000016</v>
      </c>
      <c r="AR57" s="456">
        <f t="shared" si="124"/>
        <v>-422.64936800000004</v>
      </c>
      <c r="AS57" s="456">
        <f t="shared" si="124"/>
        <v>-336.720192</v>
      </c>
      <c r="AT57" s="456">
        <f t="shared" si="124"/>
        <v>-1465.36256</v>
      </c>
      <c r="AU57" s="456">
        <f t="shared" si="124"/>
        <v>-7148.39732</v>
      </c>
      <c r="AV57" s="966">
        <f t="shared" si="124"/>
        <v>-3345.64630278408</v>
      </c>
      <c r="AW57" s="967">
        <f t="shared" ref="AW57" si="125">AW49-SUM(AW52:AW55)</f>
        <v>-25.494366247875153</v>
      </c>
      <c r="AX57" s="863">
        <f t="shared" ref="AX57:AZ57" si="126">AX49-SUM(AX52:AX55)</f>
        <v>-1993.5510496299439</v>
      </c>
      <c r="AY57" s="864">
        <f t="shared" ref="AY57" si="127">AY49-SUM(AY52:AY55)</f>
        <v>-626.95548766127899</v>
      </c>
      <c r="AZ57" s="863">
        <f t="shared" si="126"/>
        <v>1063.818816</v>
      </c>
      <c r="BA57" s="864">
        <f t="shared" ref="BA57" si="128">BA49-SUM(BA52:BA55)</f>
        <v>-690.21594400000004</v>
      </c>
      <c r="BB57" s="566">
        <f>BB49-SUM(BB52:BB55)</f>
        <v>-26.07</v>
      </c>
      <c r="BC57" s="566">
        <f>BC49-SUM(BC52:BC55)</f>
        <v>-159.062736</v>
      </c>
      <c r="BD57" s="456">
        <f>BD49-SUM(BD52:BD55)</f>
        <v>0</v>
      </c>
      <c r="BE57" s="566">
        <f>BE49-SUM(BE52:BE55)</f>
        <v>0</v>
      </c>
      <c r="BF57" s="472">
        <f>SUM(AC57:BE57)</f>
        <v>107914.3503521048</v>
      </c>
      <c r="BG57" s="778">
        <f>BG49-SUM(BG52:BG55)</f>
        <v>31642.5353859549</v>
      </c>
      <c r="BH57" s="789">
        <f>SUM(BF57:BG57)</f>
        <v>139556.8857380597</v>
      </c>
    </row>
    <row r="58" spans="1:63" ht="6" customHeight="1" thickTop="1">
      <c r="A58" s="425"/>
      <c r="V58" s="717"/>
      <c r="Z58" s="442"/>
      <c r="AB58" s="717"/>
      <c r="AL58" s="442"/>
      <c r="AO58" s="442"/>
      <c r="AP58" s="442"/>
      <c r="AV58" s="867"/>
      <c r="AW58" s="868"/>
      <c r="AX58" s="857"/>
      <c r="AY58" s="858"/>
      <c r="AZ58" s="857"/>
      <c r="BA58" s="858"/>
      <c r="BB58" s="442"/>
      <c r="BC58" s="442"/>
      <c r="BE58" s="442"/>
      <c r="BF58" s="468"/>
      <c r="BG58" s="774"/>
      <c r="BH58" s="786"/>
    </row>
    <row r="59" spans="1:63">
      <c r="A59" s="425"/>
      <c r="B59" s="409" t="s">
        <v>212</v>
      </c>
      <c r="V59" s="717"/>
      <c r="Z59" s="442"/>
      <c r="AB59" s="717"/>
      <c r="AL59" s="442"/>
      <c r="AO59" s="442"/>
      <c r="AP59" s="442"/>
      <c r="AV59" s="867"/>
      <c r="AW59" s="868"/>
      <c r="AX59" s="857"/>
      <c r="AY59" s="858"/>
      <c r="AZ59" s="857"/>
      <c r="BA59" s="858"/>
      <c r="BB59" s="442"/>
      <c r="BC59" s="442"/>
      <c r="BE59" s="442"/>
      <c r="BF59" s="468"/>
      <c r="BG59" s="774"/>
      <c r="BH59" s="786"/>
      <c r="BK59" s="435"/>
    </row>
    <row r="60" spans="1:63" ht="12.75" customHeight="1">
      <c r="B60" s="409" t="s">
        <v>213</v>
      </c>
      <c r="V60" s="717"/>
      <c r="Z60" s="442"/>
      <c r="AB60" s="717"/>
      <c r="AL60" s="442"/>
      <c r="AO60" s="442"/>
      <c r="AP60" s="442"/>
      <c r="AV60" s="867"/>
      <c r="AW60" s="868"/>
      <c r="AX60" s="857"/>
      <c r="AY60" s="858"/>
      <c r="AZ60" s="857"/>
      <c r="BA60" s="858"/>
      <c r="BB60" s="442"/>
      <c r="BC60" s="442"/>
      <c r="BE60" s="442"/>
      <c r="BF60" s="468"/>
      <c r="BG60" s="774"/>
      <c r="BH60" s="786"/>
    </row>
    <row r="61" spans="1:63" s="423" customFormat="1">
      <c r="A61" s="452">
        <v>32</v>
      </c>
      <c r="C61" s="423" t="s">
        <v>214</v>
      </c>
      <c r="E61" s="431">
        <f>'ROO INPUT'!F61</f>
        <v>211035</v>
      </c>
      <c r="F61" s="423">
        <v>0</v>
      </c>
      <c r="G61" s="423">
        <v>0</v>
      </c>
      <c r="H61" s="423">
        <v>0</v>
      </c>
      <c r="I61" s="423">
        <v>-30225</v>
      </c>
      <c r="J61" s="423">
        <v>0</v>
      </c>
      <c r="K61" s="423">
        <v>0</v>
      </c>
      <c r="L61" s="423">
        <v>0</v>
      </c>
      <c r="M61" s="423">
        <v>0</v>
      </c>
      <c r="N61" s="423">
        <v>0</v>
      </c>
      <c r="O61" s="423">
        <v>0</v>
      </c>
      <c r="P61" s="423">
        <v>0</v>
      </c>
      <c r="Q61" s="423">
        <v>0</v>
      </c>
      <c r="R61" s="423">
        <v>0</v>
      </c>
      <c r="S61" s="423">
        <v>0</v>
      </c>
      <c r="T61" s="449">
        <v>0</v>
      </c>
      <c r="U61" s="449">
        <v>0</v>
      </c>
      <c r="V61" s="721">
        <v>0</v>
      </c>
      <c r="W61" s="449">
        <v>0</v>
      </c>
      <c r="X61" s="423">
        <v>0</v>
      </c>
      <c r="Y61" s="423">
        <v>0</v>
      </c>
      <c r="Z61" s="432">
        <v>0</v>
      </c>
      <c r="AA61" s="449">
        <v>0</v>
      </c>
      <c r="AB61" s="734">
        <v>2079.1125307387479</v>
      </c>
      <c r="AC61" s="293">
        <f>SUM(E61:AB61)</f>
        <v>182889.11253073876</v>
      </c>
      <c r="AD61" s="449">
        <v>0</v>
      </c>
      <c r="AE61" s="449">
        <v>0</v>
      </c>
      <c r="AF61" s="449">
        <v>0</v>
      </c>
      <c r="AG61" s="423">
        <v>0</v>
      </c>
      <c r="AH61" s="423">
        <v>0</v>
      </c>
      <c r="AI61" s="734">
        <v>0</v>
      </c>
      <c r="AJ61" s="734">
        <v>0</v>
      </c>
      <c r="AK61" s="734">
        <v>0</v>
      </c>
      <c r="AL61" s="432">
        <v>0</v>
      </c>
      <c r="AM61" s="423">
        <v>0</v>
      </c>
      <c r="AN61" s="423">
        <v>0</v>
      </c>
      <c r="AO61" s="432">
        <v>0</v>
      </c>
      <c r="AP61" s="449">
        <v>8504</v>
      </c>
      <c r="AQ61" s="423">
        <v>0</v>
      </c>
      <c r="AR61" s="423">
        <v>649</v>
      </c>
      <c r="AS61" s="423">
        <v>41</v>
      </c>
      <c r="AT61" s="423">
        <v>6445</v>
      </c>
      <c r="AU61" s="423">
        <v>29982</v>
      </c>
      <c r="AV61" s="968">
        <v>242</v>
      </c>
      <c r="AW61" s="969"/>
      <c r="AX61" s="867">
        <v>3654.5158033470666</v>
      </c>
      <c r="AY61" s="868">
        <v>4098.9061524125</v>
      </c>
      <c r="AZ61" s="865">
        <v>0</v>
      </c>
      <c r="BA61" s="866"/>
      <c r="BB61" s="432">
        <v>0</v>
      </c>
      <c r="BC61" s="432"/>
      <c r="BD61" s="423">
        <v>0</v>
      </c>
      <c r="BE61" s="432"/>
      <c r="BF61" s="469">
        <f t="shared" ref="BF61:BF66" si="129">SUM(AC61:BE61)</f>
        <v>236505.53448649833</v>
      </c>
      <c r="BG61" s="779"/>
      <c r="BH61" s="787">
        <f t="shared" ref="BH61:BH66" si="130">SUM(BF61:BG61)</f>
        <v>236505.53448649833</v>
      </c>
    </row>
    <row r="62" spans="1:63" s="424" customFormat="1">
      <c r="A62" s="425">
        <v>33</v>
      </c>
      <c r="C62" s="424" t="s">
        <v>215</v>
      </c>
      <c r="E62" s="431">
        <f>'ROO INPUT'!F62</f>
        <v>930160</v>
      </c>
      <c r="F62" s="435">
        <v>0</v>
      </c>
      <c r="G62" s="435">
        <v>0</v>
      </c>
      <c r="H62" s="435">
        <v>0</v>
      </c>
      <c r="I62" s="435">
        <v>0</v>
      </c>
      <c r="J62" s="435">
        <v>0</v>
      </c>
      <c r="K62" s="435">
        <v>0</v>
      </c>
      <c r="L62" s="435">
        <v>0</v>
      </c>
      <c r="M62" s="435">
        <v>0</v>
      </c>
      <c r="N62" s="435">
        <v>0</v>
      </c>
      <c r="O62" s="435">
        <v>0</v>
      </c>
      <c r="P62" s="435">
        <v>0</v>
      </c>
      <c r="Q62" s="435">
        <v>0</v>
      </c>
      <c r="R62" s="435">
        <v>0</v>
      </c>
      <c r="S62" s="435">
        <v>0</v>
      </c>
      <c r="T62" s="436">
        <v>0</v>
      </c>
      <c r="U62" s="436">
        <v>0</v>
      </c>
      <c r="V62" s="717">
        <v>0</v>
      </c>
      <c r="W62" s="436">
        <v>0</v>
      </c>
      <c r="X62" s="435">
        <v>0</v>
      </c>
      <c r="Y62" s="435">
        <v>0</v>
      </c>
      <c r="Z62" s="442">
        <v>0</v>
      </c>
      <c r="AA62" s="436">
        <v>0</v>
      </c>
      <c r="AB62" s="717">
        <f>3979-661</f>
        <v>3318</v>
      </c>
      <c r="AC62" s="320">
        <f>SUM(E62:AB62)</f>
        <v>933478</v>
      </c>
      <c r="AD62" s="436">
        <v>0</v>
      </c>
      <c r="AE62" s="436">
        <v>0</v>
      </c>
      <c r="AF62" s="436">
        <v>0</v>
      </c>
      <c r="AG62" s="435">
        <v>0</v>
      </c>
      <c r="AH62" s="435">
        <v>0</v>
      </c>
      <c r="AI62" s="728">
        <v>0</v>
      </c>
      <c r="AJ62" s="728">
        <v>0</v>
      </c>
      <c r="AK62" s="728">
        <v>0</v>
      </c>
      <c r="AL62" s="442">
        <v>0</v>
      </c>
      <c r="AM62" s="435">
        <v>0</v>
      </c>
      <c r="AN62" s="435">
        <v>0</v>
      </c>
      <c r="AO62" s="442">
        <v>0</v>
      </c>
      <c r="AP62" s="442">
        <v>0</v>
      </c>
      <c r="AQ62" s="436">
        <v>1704</v>
      </c>
      <c r="AR62" s="436">
        <v>1831</v>
      </c>
      <c r="AS62" s="436">
        <v>1150</v>
      </c>
      <c r="AT62" s="436">
        <v>0</v>
      </c>
      <c r="AU62" s="435">
        <v>0</v>
      </c>
      <c r="AV62" s="867">
        <v>0</v>
      </c>
      <c r="AW62" s="868">
        <v>0</v>
      </c>
      <c r="AX62" s="867">
        <v>3636.8219566918365</v>
      </c>
      <c r="AY62" s="858"/>
      <c r="AZ62" s="919">
        <v>4806</v>
      </c>
      <c r="BA62" s="920">
        <v>1658</v>
      </c>
      <c r="BB62" s="442">
        <v>0</v>
      </c>
      <c r="BC62" s="442">
        <v>0</v>
      </c>
      <c r="BD62" s="435">
        <v>0</v>
      </c>
      <c r="BE62" s="442"/>
      <c r="BF62" s="468">
        <f t="shared" si="129"/>
        <v>948263.8219566918</v>
      </c>
      <c r="BG62" s="774">
        <v>0</v>
      </c>
      <c r="BH62" s="786">
        <f t="shared" si="130"/>
        <v>948263.8219566918</v>
      </c>
    </row>
    <row r="63" spans="1:63" s="424" customFormat="1" ht="12.75" customHeight="1">
      <c r="A63" s="425">
        <v>34</v>
      </c>
      <c r="C63" s="424" t="s">
        <v>216</v>
      </c>
      <c r="E63" s="431">
        <f>'ROO INPUT'!F63</f>
        <v>509897</v>
      </c>
      <c r="F63" s="435">
        <v>0</v>
      </c>
      <c r="G63" s="435">
        <v>0</v>
      </c>
      <c r="H63" s="435">
        <v>0</v>
      </c>
      <c r="I63" s="435">
        <v>0</v>
      </c>
      <c r="J63" s="435">
        <v>0</v>
      </c>
      <c r="K63" s="435">
        <v>0</v>
      </c>
      <c r="L63" s="435">
        <v>0</v>
      </c>
      <c r="M63" s="435">
        <v>0</v>
      </c>
      <c r="N63" s="435">
        <v>0</v>
      </c>
      <c r="O63" s="435">
        <v>0</v>
      </c>
      <c r="P63" s="435">
        <v>0</v>
      </c>
      <c r="Q63" s="435">
        <v>0</v>
      </c>
      <c r="R63" s="435">
        <v>0</v>
      </c>
      <c r="S63" s="435">
        <v>0</v>
      </c>
      <c r="T63" s="436">
        <v>0</v>
      </c>
      <c r="U63" s="436">
        <v>0</v>
      </c>
      <c r="V63" s="717">
        <v>0</v>
      </c>
      <c r="W63" s="436">
        <v>0</v>
      </c>
      <c r="X63" s="435">
        <v>0</v>
      </c>
      <c r="Y63" s="435">
        <v>0</v>
      </c>
      <c r="Z63" s="442">
        <v>0</v>
      </c>
      <c r="AA63" s="436">
        <v>0</v>
      </c>
      <c r="AB63" s="717">
        <v>17967.087999999989</v>
      </c>
      <c r="AC63" s="320">
        <f>SUM(E63:AB63)</f>
        <v>527864.08799999999</v>
      </c>
      <c r="AD63" s="436">
        <v>0</v>
      </c>
      <c r="AE63" s="436">
        <v>0</v>
      </c>
      <c r="AF63" s="436">
        <v>0</v>
      </c>
      <c r="AG63" s="435">
        <v>0</v>
      </c>
      <c r="AH63" s="435">
        <v>0</v>
      </c>
      <c r="AI63" s="728">
        <v>0</v>
      </c>
      <c r="AJ63" s="728">
        <v>0</v>
      </c>
      <c r="AK63" s="728">
        <v>0</v>
      </c>
      <c r="AL63" s="442">
        <v>0</v>
      </c>
      <c r="AM63" s="435">
        <v>0</v>
      </c>
      <c r="AN63" s="435">
        <v>0</v>
      </c>
      <c r="AO63" s="442">
        <v>0</v>
      </c>
      <c r="AP63" s="442">
        <v>0</v>
      </c>
      <c r="AQ63" s="436">
        <v>7977</v>
      </c>
      <c r="AR63" s="436">
        <v>6737</v>
      </c>
      <c r="AS63" s="436">
        <v>24579</v>
      </c>
      <c r="AT63" s="436">
        <v>0</v>
      </c>
      <c r="AU63" s="435">
        <v>0</v>
      </c>
      <c r="AV63" s="919">
        <v>2264.4756959887491</v>
      </c>
      <c r="AW63" s="920">
        <v>247.51770563781247</v>
      </c>
      <c r="AX63" s="867">
        <v>1502.5084696382678</v>
      </c>
      <c r="AY63" s="858"/>
      <c r="AZ63" s="857">
        <v>0</v>
      </c>
      <c r="BA63" s="858">
        <v>0</v>
      </c>
      <c r="BB63" s="442">
        <v>0</v>
      </c>
      <c r="BC63" s="442">
        <v>0</v>
      </c>
      <c r="BD63" s="435">
        <v>0</v>
      </c>
      <c r="BE63" s="442"/>
      <c r="BF63" s="468">
        <f t="shared" si="129"/>
        <v>571171.58987126488</v>
      </c>
      <c r="BG63" s="774">
        <v>0</v>
      </c>
      <c r="BH63" s="786">
        <f t="shared" si="130"/>
        <v>571171.58987126488</v>
      </c>
    </row>
    <row r="64" spans="1:63" s="424" customFormat="1" ht="12" customHeight="1">
      <c r="A64" s="425">
        <v>35</v>
      </c>
      <c r="C64" s="424" t="s">
        <v>200</v>
      </c>
      <c r="E64" s="431">
        <f>'ROO INPUT'!F64</f>
        <v>1194477</v>
      </c>
      <c r="F64" s="435">
        <v>0</v>
      </c>
      <c r="G64" s="435">
        <v>0</v>
      </c>
      <c r="H64" s="435">
        <v>0</v>
      </c>
      <c r="I64" s="435">
        <v>-19146</v>
      </c>
      <c r="J64" s="435">
        <v>0</v>
      </c>
      <c r="K64" s="435">
        <v>0</v>
      </c>
      <c r="L64" s="435">
        <v>0</v>
      </c>
      <c r="M64" s="435">
        <v>0</v>
      </c>
      <c r="N64" s="435">
        <v>0</v>
      </c>
      <c r="O64" s="435">
        <v>0</v>
      </c>
      <c r="P64" s="435">
        <v>0</v>
      </c>
      <c r="Q64" s="435">
        <v>0</v>
      </c>
      <c r="R64" s="435">
        <v>0</v>
      </c>
      <c r="S64" s="435">
        <v>0</v>
      </c>
      <c r="T64" s="436">
        <v>0</v>
      </c>
      <c r="U64" s="436">
        <v>0</v>
      </c>
      <c r="V64" s="717">
        <v>0</v>
      </c>
      <c r="W64" s="436">
        <v>0</v>
      </c>
      <c r="X64" s="435">
        <v>0</v>
      </c>
      <c r="Y64" s="435">
        <v>0</v>
      </c>
      <c r="Z64" s="442">
        <v>0</v>
      </c>
      <c r="AA64" s="436">
        <v>0</v>
      </c>
      <c r="AB64" s="717">
        <v>7509.7858044323584</v>
      </c>
      <c r="AC64" s="320">
        <f>SUM(E64:AB64)</f>
        <v>1182840.7858044324</v>
      </c>
      <c r="AD64" s="436">
        <v>0</v>
      </c>
      <c r="AE64" s="436">
        <v>0</v>
      </c>
      <c r="AF64" s="436">
        <v>0</v>
      </c>
      <c r="AG64" s="435">
        <v>0</v>
      </c>
      <c r="AH64" s="435">
        <v>0</v>
      </c>
      <c r="AI64" s="728">
        <v>0</v>
      </c>
      <c r="AJ64" s="728">
        <v>0</v>
      </c>
      <c r="AK64" s="728">
        <v>0</v>
      </c>
      <c r="AL64" s="442">
        <v>0</v>
      </c>
      <c r="AM64" s="435">
        <v>0</v>
      </c>
      <c r="AN64" s="435">
        <v>0</v>
      </c>
      <c r="AO64" s="442">
        <v>0</v>
      </c>
      <c r="AP64" s="442">
        <v>0</v>
      </c>
      <c r="AQ64" s="436">
        <v>1761</v>
      </c>
      <c r="AR64" s="436">
        <v>21415</v>
      </c>
      <c r="AS64" s="436">
        <v>5735</v>
      </c>
      <c r="AT64" s="436">
        <v>0</v>
      </c>
      <c r="AU64" s="435">
        <f>58181-24367</f>
        <v>33814</v>
      </c>
      <c r="AV64" s="919">
        <v>7244.470171663671</v>
      </c>
      <c r="AW64" s="920">
        <v>1571.4940327575446</v>
      </c>
      <c r="AX64" s="867">
        <v>187.14045078018191</v>
      </c>
      <c r="AY64" s="858"/>
      <c r="AZ64" s="857">
        <v>0</v>
      </c>
      <c r="BA64" s="858">
        <v>0</v>
      </c>
      <c r="BB64" s="442">
        <v>0</v>
      </c>
      <c r="BC64" s="442">
        <v>0</v>
      </c>
      <c r="BD64" s="435">
        <v>0</v>
      </c>
      <c r="BE64" s="442"/>
      <c r="BF64" s="468">
        <f t="shared" si="129"/>
        <v>1254568.8904596339</v>
      </c>
      <c r="BG64" s="774">
        <v>0</v>
      </c>
      <c r="BH64" s="786">
        <f t="shared" si="130"/>
        <v>1254568.8904596339</v>
      </c>
    </row>
    <row r="65" spans="1:66" s="424" customFormat="1" ht="12.75" customHeight="1">
      <c r="A65" s="425">
        <v>36</v>
      </c>
      <c r="C65" s="424" t="s">
        <v>217</v>
      </c>
      <c r="E65" s="454">
        <f>'ROO INPUT'!F65</f>
        <v>279556</v>
      </c>
      <c r="F65" s="444">
        <v>0</v>
      </c>
      <c r="G65" s="444">
        <v>0</v>
      </c>
      <c r="H65" s="444">
        <v>0</v>
      </c>
      <c r="I65" s="444">
        <v>-8297</v>
      </c>
      <c r="J65" s="444">
        <v>0</v>
      </c>
      <c r="K65" s="444">
        <v>0</v>
      </c>
      <c r="L65" s="444">
        <v>0</v>
      </c>
      <c r="M65" s="444">
        <v>0</v>
      </c>
      <c r="N65" s="444">
        <v>0</v>
      </c>
      <c r="O65" s="444">
        <v>0</v>
      </c>
      <c r="P65" s="444">
        <v>0</v>
      </c>
      <c r="Q65" s="444">
        <v>0</v>
      </c>
      <c r="R65" s="444">
        <v>0</v>
      </c>
      <c r="S65" s="444">
        <v>0</v>
      </c>
      <c r="T65" s="443">
        <v>0</v>
      </c>
      <c r="U65" s="443">
        <v>0</v>
      </c>
      <c r="V65" s="719">
        <v>0</v>
      </c>
      <c r="W65" s="443">
        <v>0</v>
      </c>
      <c r="X65" s="444">
        <v>0</v>
      </c>
      <c r="Y65" s="444">
        <v>0</v>
      </c>
      <c r="Z65" s="443">
        <v>0</v>
      </c>
      <c r="AA65" s="443">
        <v>0</v>
      </c>
      <c r="AB65" s="719">
        <v>5613.0008319739036</v>
      </c>
      <c r="AC65" s="321">
        <f>SUM(E65:AB65)</f>
        <v>276872.00083197391</v>
      </c>
      <c r="AD65" s="443">
        <v>0</v>
      </c>
      <c r="AE65" s="443">
        <v>0</v>
      </c>
      <c r="AF65" s="443">
        <v>0</v>
      </c>
      <c r="AG65" s="444">
        <v>0</v>
      </c>
      <c r="AH65" s="444">
        <v>0</v>
      </c>
      <c r="AI65" s="723">
        <v>0</v>
      </c>
      <c r="AJ65" s="723">
        <v>0</v>
      </c>
      <c r="AK65" s="723">
        <v>0</v>
      </c>
      <c r="AL65" s="443">
        <v>0</v>
      </c>
      <c r="AM65" s="444">
        <v>0</v>
      </c>
      <c r="AN65" s="444">
        <v>0</v>
      </c>
      <c r="AO65" s="443">
        <v>0</v>
      </c>
      <c r="AP65" s="443">
        <v>-9</v>
      </c>
      <c r="AQ65" s="443">
        <v>865</v>
      </c>
      <c r="AR65" s="443">
        <v>1403</v>
      </c>
      <c r="AS65" s="443">
        <v>-72</v>
      </c>
      <c r="AT65" s="443">
        <v>-140</v>
      </c>
      <c r="AU65" s="444">
        <v>12782</v>
      </c>
      <c r="AV65" s="869">
        <v>0</v>
      </c>
      <c r="AW65" s="870">
        <v>0</v>
      </c>
      <c r="AX65" s="869">
        <v>827.63720375973105</v>
      </c>
      <c r="AY65" s="862"/>
      <c r="AZ65" s="861">
        <v>0</v>
      </c>
      <c r="BA65" s="862">
        <v>0</v>
      </c>
      <c r="BB65" s="443">
        <v>0</v>
      </c>
      <c r="BC65" s="443">
        <v>0</v>
      </c>
      <c r="BD65" s="444">
        <v>0</v>
      </c>
      <c r="BE65" s="443"/>
      <c r="BF65" s="470">
        <f t="shared" si="129"/>
        <v>292528.63803573366</v>
      </c>
      <c r="BG65" s="776">
        <v>0</v>
      </c>
      <c r="BH65" s="788">
        <f t="shared" si="130"/>
        <v>292528.63803573366</v>
      </c>
      <c r="BM65" s="809"/>
      <c r="BN65" s="809"/>
    </row>
    <row r="66" spans="1:66" s="424" customFormat="1" ht="12" customHeight="1">
      <c r="A66" s="425">
        <v>37</v>
      </c>
      <c r="B66" s="424" t="s">
        <v>218</v>
      </c>
      <c r="E66" s="436">
        <f>SUM(E61:E65)</f>
        <v>3125125</v>
      </c>
      <c r="F66" s="435">
        <f t="shared" ref="F66:AK66" si="131">SUM(F61:F65)</f>
        <v>0</v>
      </c>
      <c r="G66" s="435">
        <f t="shared" si="131"/>
        <v>0</v>
      </c>
      <c r="H66" s="435">
        <f t="shared" si="131"/>
        <v>0</v>
      </c>
      <c r="I66" s="435">
        <f t="shared" ref="I66" si="132">SUM(I61:I65)</f>
        <v>-57668</v>
      </c>
      <c r="J66" s="435">
        <f t="shared" si="131"/>
        <v>0</v>
      </c>
      <c r="K66" s="435">
        <f t="shared" ref="K66" si="133">SUM(K61:K65)</f>
        <v>0</v>
      </c>
      <c r="L66" s="435">
        <f t="shared" si="131"/>
        <v>0</v>
      </c>
      <c r="M66" s="435">
        <f t="shared" si="131"/>
        <v>0</v>
      </c>
      <c r="N66" s="435">
        <f t="shared" si="131"/>
        <v>0</v>
      </c>
      <c r="O66" s="435">
        <f t="shared" si="131"/>
        <v>0</v>
      </c>
      <c r="P66" s="435">
        <f t="shared" si="131"/>
        <v>0</v>
      </c>
      <c r="Q66" s="435">
        <f t="shared" si="131"/>
        <v>0</v>
      </c>
      <c r="R66" s="435">
        <f t="shared" si="131"/>
        <v>0</v>
      </c>
      <c r="S66" s="435">
        <f t="shared" si="131"/>
        <v>0</v>
      </c>
      <c r="T66" s="436">
        <f t="shared" ref="T66" si="134">SUM(T61:T65)</f>
        <v>0</v>
      </c>
      <c r="U66" s="436">
        <f>SUM(U61:U65)</f>
        <v>0</v>
      </c>
      <c r="V66" s="717">
        <f t="shared" ref="V66" si="135">SUM(V61:V65)</f>
        <v>0</v>
      </c>
      <c r="W66" s="436">
        <f>SUM(W61:W65)</f>
        <v>0</v>
      </c>
      <c r="X66" s="435">
        <f>SUM(X61:X65)</f>
        <v>0</v>
      </c>
      <c r="Y66" s="435">
        <f>SUM(Y61:Y65)</f>
        <v>0</v>
      </c>
      <c r="Z66" s="442">
        <f t="shared" ref="Z66" si="136">SUM(Z61:Z65)</f>
        <v>0</v>
      </c>
      <c r="AA66" s="436">
        <f t="shared" ref="AA66" si="137">SUM(AA61:AA65)</f>
        <v>0</v>
      </c>
      <c r="AB66" s="717">
        <f>SUM(AB61:AB65)</f>
        <v>36486.987167145002</v>
      </c>
      <c r="AC66" s="320">
        <f t="shared" si="131"/>
        <v>3103943.9871671451</v>
      </c>
      <c r="AD66" s="436">
        <f t="shared" si="131"/>
        <v>0</v>
      </c>
      <c r="AE66" s="436">
        <f t="shared" ref="AE66" si="138">SUM(AE61:AE65)</f>
        <v>0</v>
      </c>
      <c r="AF66" s="436">
        <f t="shared" ref="AF66" si="139">SUM(AF61:AF65)</f>
        <v>0</v>
      </c>
      <c r="AG66" s="435">
        <f>SUM(AG61:AG65)</f>
        <v>0</v>
      </c>
      <c r="AH66" s="435">
        <f>SUM(AH61:AH65)</f>
        <v>0</v>
      </c>
      <c r="AI66" s="728">
        <f>SUM(AI61:AI65)</f>
        <v>0</v>
      </c>
      <c r="AJ66" s="728">
        <f t="shared" si="131"/>
        <v>0</v>
      </c>
      <c r="AK66" s="728">
        <f t="shared" si="131"/>
        <v>0</v>
      </c>
      <c r="AL66" s="442">
        <f>SUM(AL61:AL65)</f>
        <v>0</v>
      </c>
      <c r="AM66" s="435">
        <f t="shared" ref="AM66" si="140">SUM(AM61:AM65)</f>
        <v>0</v>
      </c>
      <c r="AN66" s="435">
        <f>SUM(AN61:AN65)</f>
        <v>0</v>
      </c>
      <c r="AO66" s="442">
        <f>SUM(AO61:AO65)</f>
        <v>0</v>
      </c>
      <c r="AP66" s="442">
        <f t="shared" ref="AP66" si="141">SUM(AP61:AP65)</f>
        <v>8495</v>
      </c>
      <c r="AQ66" s="436">
        <f t="shared" ref="AQ66:AV66" si="142">SUM(AQ61:AQ65)</f>
        <v>12307</v>
      </c>
      <c r="AR66" s="436">
        <f t="shared" si="142"/>
        <v>32035</v>
      </c>
      <c r="AS66" s="436">
        <f t="shared" si="142"/>
        <v>31433</v>
      </c>
      <c r="AT66" s="436">
        <f t="shared" si="142"/>
        <v>6305</v>
      </c>
      <c r="AU66" s="436">
        <f t="shared" si="142"/>
        <v>76578</v>
      </c>
      <c r="AV66" s="857">
        <f t="shared" si="142"/>
        <v>9750.9458676524191</v>
      </c>
      <c r="AW66" s="858">
        <f t="shared" ref="AW66" si="143">SUM(AW61:AW65)</f>
        <v>1819.011738395357</v>
      </c>
      <c r="AX66" s="857">
        <f t="shared" ref="AX66:AZ66" si="144">SUM(AX61:AX65)</f>
        <v>9808.6238842170824</v>
      </c>
      <c r="AY66" s="858">
        <f t="shared" ref="AY66" si="145">SUM(AY61:AY65)</f>
        <v>4098.9061524125</v>
      </c>
      <c r="AZ66" s="857">
        <f t="shared" si="144"/>
        <v>4806</v>
      </c>
      <c r="BA66" s="858">
        <f t="shared" ref="BA66" si="146">SUM(BA61:BA65)</f>
        <v>1658</v>
      </c>
      <c r="BB66" s="442">
        <f>SUM(BB61:BB65)</f>
        <v>0</v>
      </c>
      <c r="BC66" s="442">
        <f>SUM(BC61:BC65)</f>
        <v>0</v>
      </c>
      <c r="BD66" s="435">
        <f>SUM(BD61:BD65)</f>
        <v>0</v>
      </c>
      <c r="BE66" s="442">
        <f>SUM(BE61:BE65)</f>
        <v>0</v>
      </c>
      <c r="BF66" s="468">
        <f t="shared" si="129"/>
        <v>3303038.4748098222</v>
      </c>
      <c r="BG66" s="774">
        <f>SUM(BG61:BG65)</f>
        <v>0</v>
      </c>
      <c r="BH66" s="786">
        <f t="shared" si="130"/>
        <v>3303038.4748098222</v>
      </c>
      <c r="BM66" s="809"/>
      <c r="BN66" s="809"/>
    </row>
    <row r="67" spans="1:66" s="424" customFormat="1" ht="14.25" customHeight="1">
      <c r="A67" s="425"/>
      <c r="B67" s="424" t="s">
        <v>554</v>
      </c>
      <c r="E67" s="436"/>
      <c r="F67" s="435"/>
      <c r="G67" s="435"/>
      <c r="H67" s="435"/>
      <c r="I67" s="435"/>
      <c r="J67" s="435"/>
      <c r="K67" s="435"/>
      <c r="L67" s="435"/>
      <c r="M67" s="435"/>
      <c r="N67" s="435"/>
      <c r="O67" s="435"/>
      <c r="P67" s="435"/>
      <c r="Q67" s="435"/>
      <c r="R67" s="435"/>
      <c r="S67" s="435"/>
      <c r="T67" s="436"/>
      <c r="U67" s="436"/>
      <c r="V67" s="717"/>
      <c r="W67" s="436"/>
      <c r="X67" s="435"/>
      <c r="Y67" s="435"/>
      <c r="Z67" s="442"/>
      <c r="AA67" s="436">
        <v>0</v>
      </c>
      <c r="AB67" s="717"/>
      <c r="AC67" s="320"/>
      <c r="AD67" s="436"/>
      <c r="AE67" s="436"/>
      <c r="AF67" s="436"/>
      <c r="AG67" s="435"/>
      <c r="AH67" s="435"/>
      <c r="AI67" s="728">
        <v>0</v>
      </c>
      <c r="AJ67" s="728">
        <v>0</v>
      </c>
      <c r="AK67" s="728">
        <v>0</v>
      </c>
      <c r="AL67" s="442"/>
      <c r="AM67" s="435"/>
      <c r="AN67" s="435"/>
      <c r="AO67" s="442"/>
      <c r="AP67" s="442"/>
      <c r="AQ67" s="435"/>
      <c r="AR67" s="435"/>
      <c r="AS67" s="435"/>
      <c r="AT67" s="435"/>
      <c r="AU67" s="435"/>
      <c r="AV67" s="867"/>
      <c r="AW67" s="868"/>
      <c r="AX67" s="857"/>
      <c r="AY67" s="858"/>
      <c r="AZ67" s="857"/>
      <c r="BA67" s="858"/>
      <c r="BB67" s="442"/>
      <c r="BC67" s="442"/>
      <c r="BD67" s="435"/>
      <c r="BE67" s="442"/>
      <c r="BF67" s="468"/>
      <c r="BG67" s="774"/>
      <c r="BH67" s="786"/>
      <c r="BM67" s="809"/>
      <c r="BN67" s="809"/>
    </row>
    <row r="68" spans="1:66" s="424" customFormat="1">
      <c r="A68" s="425">
        <v>38</v>
      </c>
      <c r="C68" s="423" t="s">
        <v>214</v>
      </c>
      <c r="E68" s="431">
        <f>'ROO INPUT'!F68</f>
        <v>-57078</v>
      </c>
      <c r="F68" s="435">
        <v>0</v>
      </c>
      <c r="G68" s="435">
        <v>0</v>
      </c>
      <c r="H68" s="435">
        <v>0</v>
      </c>
      <c r="I68" s="435">
        <v>4432</v>
      </c>
      <c r="J68" s="435">
        <v>0</v>
      </c>
      <c r="K68" s="435">
        <v>0</v>
      </c>
      <c r="L68" s="435">
        <v>0</v>
      </c>
      <c r="M68" s="435">
        <v>0</v>
      </c>
      <c r="N68" s="435">
        <v>0</v>
      </c>
      <c r="O68" s="435">
        <v>0</v>
      </c>
      <c r="P68" s="435">
        <v>0</v>
      </c>
      <c r="Q68" s="435">
        <v>0</v>
      </c>
      <c r="R68" s="435">
        <v>0</v>
      </c>
      <c r="S68" s="435">
        <v>0</v>
      </c>
      <c r="T68" s="436">
        <v>0</v>
      </c>
      <c r="U68" s="436">
        <v>0</v>
      </c>
      <c r="V68" s="722">
        <v>0</v>
      </c>
      <c r="W68" s="435">
        <v>0</v>
      </c>
      <c r="X68" s="435">
        <v>0</v>
      </c>
      <c r="Y68" s="435">
        <v>0</v>
      </c>
      <c r="Z68" s="446">
        <v>0</v>
      </c>
      <c r="AA68" s="435">
        <v>0</v>
      </c>
      <c r="AB68" s="717">
        <v>-5313.6517048432197</v>
      </c>
      <c r="AC68" s="320">
        <f>SUM(E68:AB68)</f>
        <v>-57959.651704843222</v>
      </c>
      <c r="AD68" s="435">
        <v>0</v>
      </c>
      <c r="AE68" s="435">
        <v>0</v>
      </c>
      <c r="AF68" s="435">
        <v>0</v>
      </c>
      <c r="AG68" s="435">
        <v>0</v>
      </c>
      <c r="AH68" s="435">
        <v>0</v>
      </c>
      <c r="AI68" s="728">
        <v>0</v>
      </c>
      <c r="AJ68" s="728">
        <v>0</v>
      </c>
      <c r="AK68" s="728">
        <v>0</v>
      </c>
      <c r="AL68" s="446">
        <v>0</v>
      </c>
      <c r="AM68" s="435">
        <v>0</v>
      </c>
      <c r="AN68" s="435">
        <v>0</v>
      </c>
      <c r="AO68" s="446">
        <v>0</v>
      </c>
      <c r="AP68" s="442">
        <v>1866</v>
      </c>
      <c r="AQ68" s="435">
        <v>0</v>
      </c>
      <c r="AR68" s="435">
        <v>190</v>
      </c>
      <c r="AS68" s="435">
        <v>8</v>
      </c>
      <c r="AT68" s="435">
        <v>1310</v>
      </c>
      <c r="AU68" s="435">
        <v>-16280</v>
      </c>
      <c r="AV68" s="919">
        <v>-42.333832007293744</v>
      </c>
      <c r="AW68" s="920"/>
      <c r="AX68" s="867">
        <v>-752.22625098575622</v>
      </c>
      <c r="AY68" s="868">
        <v>-215.16085355887728</v>
      </c>
      <c r="AZ68" s="867">
        <v>0</v>
      </c>
      <c r="BA68" s="868">
        <v>0</v>
      </c>
      <c r="BB68" s="446">
        <v>0</v>
      </c>
      <c r="BC68" s="442">
        <v>0</v>
      </c>
      <c r="BD68" s="435">
        <v>0</v>
      </c>
      <c r="BE68" s="446"/>
      <c r="BF68" s="468">
        <f t="shared" ref="BF68:BF73" si="147">SUM(AC68:BE68)</f>
        <v>-71875.372641395137</v>
      </c>
      <c r="BG68" s="774">
        <v>0</v>
      </c>
      <c r="BH68" s="786">
        <f t="shared" ref="BH68:BH73" si="148">SUM(BF68:BG68)</f>
        <v>-71875.372641395137</v>
      </c>
    </row>
    <row r="69" spans="1:66" s="424" customFormat="1">
      <c r="A69" s="425">
        <v>39</v>
      </c>
      <c r="C69" s="424" t="s">
        <v>215</v>
      </c>
      <c r="E69" s="431">
        <f>'ROO INPUT'!F69</f>
        <v>-382437</v>
      </c>
      <c r="F69" s="435">
        <v>0</v>
      </c>
      <c r="G69" s="435">
        <v>0</v>
      </c>
      <c r="H69" s="435">
        <v>0</v>
      </c>
      <c r="I69" s="435">
        <v>0</v>
      </c>
      <c r="J69" s="435">
        <v>0</v>
      </c>
      <c r="K69" s="435">
        <v>0</v>
      </c>
      <c r="L69" s="435">
        <v>0</v>
      </c>
      <c r="M69" s="435">
        <v>0</v>
      </c>
      <c r="N69" s="435">
        <v>0</v>
      </c>
      <c r="O69" s="435">
        <v>0</v>
      </c>
      <c r="P69" s="435">
        <v>0</v>
      </c>
      <c r="Q69" s="435">
        <v>0</v>
      </c>
      <c r="R69" s="435">
        <v>0</v>
      </c>
      <c r="S69" s="435">
        <v>0</v>
      </c>
      <c r="T69" s="436">
        <v>0</v>
      </c>
      <c r="U69" s="436">
        <v>0</v>
      </c>
      <c r="V69" s="722">
        <v>0</v>
      </c>
      <c r="W69" s="435">
        <v>0</v>
      </c>
      <c r="X69" s="435">
        <v>0</v>
      </c>
      <c r="Y69" s="435">
        <v>0</v>
      </c>
      <c r="Z69" s="446">
        <v>0</v>
      </c>
      <c r="AA69" s="435">
        <v>0</v>
      </c>
      <c r="AB69" s="717">
        <f>-8174-242</f>
        <v>-8416</v>
      </c>
      <c r="AC69" s="320">
        <f>SUM(E69:AB69)</f>
        <v>-390853</v>
      </c>
      <c r="AD69" s="435">
        <v>0</v>
      </c>
      <c r="AE69" s="435">
        <v>0</v>
      </c>
      <c r="AF69" s="435">
        <v>0</v>
      </c>
      <c r="AG69" s="435">
        <v>0</v>
      </c>
      <c r="AH69" s="435">
        <v>0</v>
      </c>
      <c r="AI69" s="728">
        <v>0</v>
      </c>
      <c r="AJ69" s="728">
        <v>0</v>
      </c>
      <c r="AK69" s="728">
        <v>0</v>
      </c>
      <c r="AL69" s="446">
        <v>0</v>
      </c>
      <c r="AM69" s="435">
        <v>0</v>
      </c>
      <c r="AN69" s="435">
        <v>0</v>
      </c>
      <c r="AO69" s="446">
        <v>0</v>
      </c>
      <c r="AP69" s="442">
        <v>0</v>
      </c>
      <c r="AQ69" s="435">
        <v>1332</v>
      </c>
      <c r="AR69" s="435">
        <v>129</v>
      </c>
      <c r="AS69" s="435">
        <v>263</v>
      </c>
      <c r="AT69" s="435">
        <v>0</v>
      </c>
      <c r="AU69" s="435">
        <v>0</v>
      </c>
      <c r="AV69" s="919">
        <v>0</v>
      </c>
      <c r="AW69" s="920"/>
      <c r="AX69" s="867">
        <v>-92.349768487379862</v>
      </c>
      <c r="AY69" s="868">
        <v>0</v>
      </c>
      <c r="AZ69" s="919">
        <v>-24173</v>
      </c>
      <c r="BA69" s="920">
        <v>-481</v>
      </c>
      <c r="BB69" s="446">
        <v>0</v>
      </c>
      <c r="BC69" s="442">
        <v>0</v>
      </c>
      <c r="BD69" s="435">
        <v>0</v>
      </c>
      <c r="BE69" s="446"/>
      <c r="BF69" s="469">
        <f t="shared" si="147"/>
        <v>-413875.34976848739</v>
      </c>
      <c r="BG69" s="774">
        <v>0</v>
      </c>
      <c r="BH69" s="787">
        <f t="shared" si="148"/>
        <v>-413875.34976848739</v>
      </c>
    </row>
    <row r="70" spans="1:66" s="424" customFormat="1">
      <c r="A70" s="425">
        <v>40</v>
      </c>
      <c r="C70" s="424" t="s">
        <v>216</v>
      </c>
      <c r="E70" s="431">
        <f>'ROO INPUT'!F70</f>
        <v>-147016</v>
      </c>
      <c r="F70" s="435">
        <v>0</v>
      </c>
      <c r="G70" s="435">
        <v>0</v>
      </c>
      <c r="H70" s="435">
        <v>0</v>
      </c>
      <c r="I70" s="435">
        <v>0</v>
      </c>
      <c r="J70" s="435">
        <v>0</v>
      </c>
      <c r="K70" s="435">
        <v>0</v>
      </c>
      <c r="L70" s="435">
        <v>0</v>
      </c>
      <c r="M70" s="435">
        <v>0</v>
      </c>
      <c r="N70" s="435">
        <v>0</v>
      </c>
      <c r="O70" s="435">
        <v>0</v>
      </c>
      <c r="P70" s="435">
        <v>0</v>
      </c>
      <c r="Q70" s="435">
        <v>0</v>
      </c>
      <c r="R70" s="435">
        <v>0</v>
      </c>
      <c r="S70" s="435">
        <v>0</v>
      </c>
      <c r="T70" s="436">
        <v>0</v>
      </c>
      <c r="U70" s="436">
        <v>0</v>
      </c>
      <c r="V70" s="722">
        <v>0</v>
      </c>
      <c r="W70" s="435">
        <v>0</v>
      </c>
      <c r="X70" s="435">
        <v>0</v>
      </c>
      <c r="Y70" s="435">
        <v>0</v>
      </c>
      <c r="Z70" s="446">
        <v>0</v>
      </c>
      <c r="AA70" s="435">
        <v>0</v>
      </c>
      <c r="AB70" s="717">
        <v>-3770.7280000000028</v>
      </c>
      <c r="AC70" s="320">
        <f>SUM(E70:AB70)</f>
        <v>-150786.728</v>
      </c>
      <c r="AD70" s="435">
        <v>0</v>
      </c>
      <c r="AE70" s="435">
        <v>0</v>
      </c>
      <c r="AF70" s="435">
        <v>0</v>
      </c>
      <c r="AG70" s="435">
        <v>0</v>
      </c>
      <c r="AH70" s="435">
        <v>0</v>
      </c>
      <c r="AI70" s="728">
        <v>0</v>
      </c>
      <c r="AJ70" s="728">
        <v>0</v>
      </c>
      <c r="AK70" s="728">
        <v>0</v>
      </c>
      <c r="AL70" s="446">
        <v>0</v>
      </c>
      <c r="AM70" s="435">
        <v>0</v>
      </c>
      <c r="AN70" s="435">
        <v>0</v>
      </c>
      <c r="AO70" s="446">
        <v>0</v>
      </c>
      <c r="AP70" s="442">
        <v>0</v>
      </c>
      <c r="AQ70" s="435">
        <v>617</v>
      </c>
      <c r="AR70" s="435">
        <v>536</v>
      </c>
      <c r="AS70" s="435">
        <v>2019</v>
      </c>
      <c r="AT70" s="435">
        <v>0</v>
      </c>
      <c r="AU70" s="435">
        <v>0</v>
      </c>
      <c r="AV70" s="919">
        <v>-34.066447127904603</v>
      </c>
      <c r="AW70" s="920">
        <v>-2.2694877915460405</v>
      </c>
      <c r="AX70" s="867">
        <v>-30.369722733126842</v>
      </c>
      <c r="AY70" s="868">
        <v>0</v>
      </c>
      <c r="AZ70" s="867">
        <v>0</v>
      </c>
      <c r="BA70" s="868">
        <v>0</v>
      </c>
      <c r="BB70" s="446">
        <v>0</v>
      </c>
      <c r="BC70" s="442">
        <v>0</v>
      </c>
      <c r="BD70" s="435">
        <v>0</v>
      </c>
      <c r="BE70" s="446"/>
      <c r="BF70" s="468">
        <f t="shared" si="147"/>
        <v>-147681.43365765258</v>
      </c>
      <c r="BG70" s="774">
        <v>0</v>
      </c>
      <c r="BH70" s="786">
        <f t="shared" si="148"/>
        <v>-147681.43365765258</v>
      </c>
    </row>
    <row r="71" spans="1:66" s="424" customFormat="1">
      <c r="A71" s="425">
        <v>41</v>
      </c>
      <c r="C71" s="424" t="s">
        <v>200</v>
      </c>
      <c r="E71" s="431">
        <f>'ROO INPUT'!F71</f>
        <v>-358989</v>
      </c>
      <c r="F71" s="435">
        <v>0</v>
      </c>
      <c r="G71" s="435">
        <v>0</v>
      </c>
      <c r="H71" s="435">
        <v>0</v>
      </c>
      <c r="I71" s="435">
        <v>546</v>
      </c>
      <c r="J71" s="435">
        <v>0</v>
      </c>
      <c r="K71" s="435">
        <v>0</v>
      </c>
      <c r="L71" s="435">
        <v>0</v>
      </c>
      <c r="M71" s="435">
        <v>0</v>
      </c>
      <c r="N71" s="435">
        <v>0</v>
      </c>
      <c r="O71" s="435">
        <v>0</v>
      </c>
      <c r="P71" s="435">
        <v>0</v>
      </c>
      <c r="Q71" s="435">
        <v>0</v>
      </c>
      <c r="R71" s="435">
        <v>0</v>
      </c>
      <c r="S71" s="435">
        <v>0</v>
      </c>
      <c r="T71" s="436">
        <v>0</v>
      </c>
      <c r="U71" s="436">
        <v>0</v>
      </c>
      <c r="V71" s="722">
        <v>0</v>
      </c>
      <c r="W71" s="435">
        <v>0</v>
      </c>
      <c r="X71" s="435">
        <v>0</v>
      </c>
      <c r="Y71" s="435">
        <v>0</v>
      </c>
      <c r="Z71" s="446">
        <v>0</v>
      </c>
      <c r="AA71" s="435">
        <v>0</v>
      </c>
      <c r="AB71" s="717">
        <v>558.15549731263059</v>
      </c>
      <c r="AC71" s="320">
        <f>SUM(E71:AB71)</f>
        <v>-357884.8445026874</v>
      </c>
      <c r="AD71" s="435">
        <v>0</v>
      </c>
      <c r="AE71" s="435">
        <v>0</v>
      </c>
      <c r="AF71" s="435">
        <v>0</v>
      </c>
      <c r="AG71" s="435">
        <v>0</v>
      </c>
      <c r="AH71" s="435">
        <v>0</v>
      </c>
      <c r="AI71" s="728">
        <v>0</v>
      </c>
      <c r="AJ71" s="728">
        <v>0</v>
      </c>
      <c r="AK71" s="728">
        <v>0</v>
      </c>
      <c r="AL71" s="446">
        <v>0</v>
      </c>
      <c r="AM71" s="435">
        <v>0</v>
      </c>
      <c r="AN71" s="435">
        <v>0</v>
      </c>
      <c r="AO71" s="446">
        <v>0</v>
      </c>
      <c r="AP71" s="442">
        <v>0</v>
      </c>
      <c r="AQ71" s="435">
        <v>841</v>
      </c>
      <c r="AR71" s="435">
        <v>10046</v>
      </c>
      <c r="AS71" s="435">
        <v>2715</v>
      </c>
      <c r="AT71" s="435">
        <v>0</v>
      </c>
      <c r="AU71" s="435">
        <f>-9463+2632</f>
        <v>-6831</v>
      </c>
      <c r="AV71" s="919">
        <v>-172.22774071650974</v>
      </c>
      <c r="AW71" s="920">
        <v>-16.975087875345732</v>
      </c>
      <c r="AX71" s="867">
        <v>-3.6297449932572796</v>
      </c>
      <c r="AY71" s="868">
        <v>0</v>
      </c>
      <c r="AZ71" s="867">
        <v>0</v>
      </c>
      <c r="BA71" s="868">
        <v>0</v>
      </c>
      <c r="BB71" s="446">
        <v>0</v>
      </c>
      <c r="BC71" s="442">
        <v>0</v>
      </c>
      <c r="BD71" s="435">
        <v>0</v>
      </c>
      <c r="BE71" s="446"/>
      <c r="BF71" s="468">
        <f t="shared" si="147"/>
        <v>-351306.67707627249</v>
      </c>
      <c r="BG71" s="774">
        <v>0</v>
      </c>
      <c r="BH71" s="786">
        <f t="shared" si="148"/>
        <v>-351306.67707627249</v>
      </c>
    </row>
    <row r="72" spans="1:66" s="424" customFormat="1">
      <c r="A72" s="425">
        <v>42</v>
      </c>
      <c r="C72" s="424" t="s">
        <v>217</v>
      </c>
      <c r="E72" s="454">
        <f>'ROO INPUT'!F72</f>
        <v>-92865</v>
      </c>
      <c r="F72" s="435">
        <v>0</v>
      </c>
      <c r="G72" s="435">
        <v>0</v>
      </c>
      <c r="H72" s="435">
        <v>0</v>
      </c>
      <c r="I72" s="435">
        <v>1200</v>
      </c>
      <c r="J72" s="435">
        <v>0</v>
      </c>
      <c r="K72" s="435">
        <v>0</v>
      </c>
      <c r="L72" s="435">
        <v>0</v>
      </c>
      <c r="M72" s="435">
        <v>0</v>
      </c>
      <c r="N72" s="435">
        <v>0</v>
      </c>
      <c r="O72" s="435">
        <v>0</v>
      </c>
      <c r="P72" s="435">
        <v>0</v>
      </c>
      <c r="Q72" s="435">
        <v>0</v>
      </c>
      <c r="R72" s="435">
        <v>0</v>
      </c>
      <c r="S72" s="435">
        <v>0</v>
      </c>
      <c r="T72" s="436">
        <v>0</v>
      </c>
      <c r="U72" s="436">
        <v>0</v>
      </c>
      <c r="V72" s="723">
        <v>0</v>
      </c>
      <c r="W72" s="435">
        <v>0</v>
      </c>
      <c r="X72" s="435">
        <v>0</v>
      </c>
      <c r="Y72" s="435">
        <v>0</v>
      </c>
      <c r="Z72" s="444">
        <v>0</v>
      </c>
      <c r="AA72" s="435">
        <v>0</v>
      </c>
      <c r="AB72" s="717">
        <v>1118.1000257914006</v>
      </c>
      <c r="AC72" s="320">
        <f>SUM(E72:AB72)</f>
        <v>-90546.899974208602</v>
      </c>
      <c r="AD72" s="435">
        <v>0</v>
      </c>
      <c r="AE72" s="435">
        <v>0</v>
      </c>
      <c r="AF72" s="435">
        <v>0</v>
      </c>
      <c r="AG72" s="435">
        <v>0</v>
      </c>
      <c r="AH72" s="435">
        <v>0</v>
      </c>
      <c r="AI72" s="728">
        <v>0</v>
      </c>
      <c r="AJ72" s="728">
        <v>0</v>
      </c>
      <c r="AK72" s="728">
        <v>0</v>
      </c>
      <c r="AL72" s="444">
        <v>0</v>
      </c>
      <c r="AM72" s="435">
        <v>0</v>
      </c>
      <c r="AN72" s="435">
        <v>0</v>
      </c>
      <c r="AO72" s="444">
        <v>0</v>
      </c>
      <c r="AP72" s="442">
        <v>150</v>
      </c>
      <c r="AQ72" s="435">
        <v>3428</v>
      </c>
      <c r="AR72" s="435">
        <v>6492</v>
      </c>
      <c r="AS72" s="435">
        <v>1575</v>
      </c>
      <c r="AT72" s="435">
        <v>2773</v>
      </c>
      <c r="AU72" s="435">
        <v>-4707</v>
      </c>
      <c r="AV72" s="867">
        <v>0</v>
      </c>
      <c r="AW72" s="868">
        <v>0</v>
      </c>
      <c r="AX72" s="869">
        <v>-57</v>
      </c>
      <c r="AY72" s="870">
        <v>0</v>
      </c>
      <c r="AZ72" s="869">
        <v>0</v>
      </c>
      <c r="BA72" s="870">
        <v>0</v>
      </c>
      <c r="BB72" s="444">
        <v>0</v>
      </c>
      <c r="BC72" s="443">
        <v>0</v>
      </c>
      <c r="BD72" s="435">
        <v>0</v>
      </c>
      <c r="BE72" s="444"/>
      <c r="BF72" s="470">
        <f t="shared" si="147"/>
        <v>-80892.899974208602</v>
      </c>
      <c r="BG72" s="776">
        <v>0</v>
      </c>
      <c r="BH72" s="788">
        <f t="shared" si="148"/>
        <v>-80892.899974208602</v>
      </c>
    </row>
    <row r="73" spans="1:66" s="424" customFormat="1">
      <c r="A73" s="425">
        <v>43</v>
      </c>
      <c r="B73" s="424" t="s">
        <v>267</v>
      </c>
      <c r="E73" s="453">
        <f t="shared" ref="E73:AJ73" si="149">SUM(E68:E72)</f>
        <v>-1038385</v>
      </c>
      <c r="F73" s="453">
        <f t="shared" si="149"/>
        <v>0</v>
      </c>
      <c r="G73" s="453">
        <f t="shared" si="149"/>
        <v>0</v>
      </c>
      <c r="H73" s="453">
        <f t="shared" si="149"/>
        <v>0</v>
      </c>
      <c r="I73" s="453">
        <f t="shared" ref="I73" si="150">SUM(I68:I72)</f>
        <v>6178</v>
      </c>
      <c r="J73" s="453">
        <f t="shared" si="149"/>
        <v>0</v>
      </c>
      <c r="K73" s="453">
        <f t="shared" ref="K73" si="151">SUM(K68:K72)</f>
        <v>0</v>
      </c>
      <c r="L73" s="453">
        <f t="shared" si="149"/>
        <v>0</v>
      </c>
      <c r="M73" s="453">
        <f t="shared" si="149"/>
        <v>0</v>
      </c>
      <c r="N73" s="453">
        <f t="shared" si="149"/>
        <v>0</v>
      </c>
      <c r="O73" s="453">
        <f t="shared" si="149"/>
        <v>0</v>
      </c>
      <c r="P73" s="453">
        <f t="shared" si="149"/>
        <v>0</v>
      </c>
      <c r="Q73" s="453">
        <f t="shared" si="149"/>
        <v>0</v>
      </c>
      <c r="R73" s="453">
        <f t="shared" si="149"/>
        <v>0</v>
      </c>
      <c r="S73" s="453">
        <f t="shared" si="149"/>
        <v>0</v>
      </c>
      <c r="T73" s="453">
        <f t="shared" ref="T73" si="152">SUM(T68:T72)</f>
        <v>0</v>
      </c>
      <c r="U73" s="453">
        <f>SUM(U68:U72)</f>
        <v>0</v>
      </c>
      <c r="V73" s="724">
        <f t="shared" ref="V73" si="153">SUM(V68:V72)</f>
        <v>0</v>
      </c>
      <c r="W73" s="453">
        <f>SUM(W68:W72)</f>
        <v>0</v>
      </c>
      <c r="X73" s="453">
        <f>SUM(X68:X72)</f>
        <v>0</v>
      </c>
      <c r="Y73" s="453">
        <f>SUM(Y68:Y72)</f>
        <v>0</v>
      </c>
      <c r="Z73" s="450">
        <f t="shared" ref="Z73" si="154">SUM(Z68:Z72)</f>
        <v>0</v>
      </c>
      <c r="AA73" s="453">
        <f t="shared" ref="AA73" si="155">SUM(AA68:AA72)</f>
        <v>0</v>
      </c>
      <c r="AB73" s="735">
        <f>SUM(AB68:AB72)</f>
        <v>-15824.124181739195</v>
      </c>
      <c r="AC73" s="322">
        <f t="shared" si="149"/>
        <v>-1048031.1241817393</v>
      </c>
      <c r="AD73" s="453">
        <f t="shared" si="149"/>
        <v>0</v>
      </c>
      <c r="AE73" s="453">
        <f t="shared" ref="AE73" si="156">SUM(AE68:AE72)</f>
        <v>0</v>
      </c>
      <c r="AF73" s="453">
        <f t="shared" ref="AF73" si="157">SUM(AF68:AF72)</f>
        <v>0</v>
      </c>
      <c r="AG73" s="453">
        <f>SUM(AG68:AG72)</f>
        <v>0</v>
      </c>
      <c r="AH73" s="453">
        <f>SUM(AH68:AH72)</f>
        <v>0</v>
      </c>
      <c r="AI73" s="735">
        <f>SUM(AI68:AI72)</f>
        <v>0</v>
      </c>
      <c r="AJ73" s="735">
        <f t="shared" si="149"/>
        <v>0</v>
      </c>
      <c r="AK73" s="735">
        <f t="shared" ref="AK73" si="158">SUM(AK68:AK72)</f>
        <v>0</v>
      </c>
      <c r="AL73" s="450">
        <f>SUM(AL68:AL72)</f>
        <v>0</v>
      </c>
      <c r="AM73" s="453">
        <f t="shared" ref="AM73" si="159">SUM(AM68:AM72)</f>
        <v>0</v>
      </c>
      <c r="AN73" s="453">
        <f>SUM(AN68:AN72)</f>
        <v>0</v>
      </c>
      <c r="AO73" s="450">
        <f>SUM(AO68:AO72)</f>
        <v>0</v>
      </c>
      <c r="AP73" s="453">
        <f t="shared" ref="AP73" si="160">SUM(AP68:AP72)</f>
        <v>2016</v>
      </c>
      <c r="AQ73" s="453">
        <f t="shared" ref="AQ73:AV73" si="161">SUM(AQ68:AQ72)</f>
        <v>6218</v>
      </c>
      <c r="AR73" s="453">
        <f t="shared" si="161"/>
        <v>17393</v>
      </c>
      <c r="AS73" s="453">
        <f t="shared" si="161"/>
        <v>6580</v>
      </c>
      <c r="AT73" s="453">
        <f t="shared" si="161"/>
        <v>4083</v>
      </c>
      <c r="AU73" s="453">
        <f t="shared" si="161"/>
        <v>-27818</v>
      </c>
      <c r="AV73" s="970">
        <f t="shared" si="161"/>
        <v>-248.62801985170807</v>
      </c>
      <c r="AW73" s="971">
        <f t="shared" ref="AW73" si="162">SUM(AW68:AW72)</f>
        <v>-19.244575666891773</v>
      </c>
      <c r="AX73" s="871">
        <f t="shared" ref="AX73:AZ73" si="163">SUM(AX68:AX72)</f>
        <v>-935.57548719952024</v>
      </c>
      <c r="AY73" s="872">
        <f t="shared" ref="AY73" si="164">SUM(AY68:AY72)</f>
        <v>-215.16085355887728</v>
      </c>
      <c r="AZ73" s="871">
        <f t="shared" si="163"/>
        <v>-24173</v>
      </c>
      <c r="BA73" s="872">
        <f t="shared" ref="BA73" si="165">SUM(BA68:BA72)</f>
        <v>-481</v>
      </c>
      <c r="BB73" s="450">
        <f>SUM(BB68:BB72)</f>
        <v>0</v>
      </c>
      <c r="BC73" s="450">
        <f>SUM(BC68:BC72)</f>
        <v>0</v>
      </c>
      <c r="BD73" s="453">
        <f>SUM(BD68:BD72)</f>
        <v>0</v>
      </c>
      <c r="BE73" s="450">
        <f>SUM(BE68:BE72)</f>
        <v>0</v>
      </c>
      <c r="BF73" s="468">
        <f t="shared" si="147"/>
        <v>-1065631.7331180163</v>
      </c>
      <c r="BG73" s="780">
        <f>SUM(BG68:BG72)</f>
        <v>0</v>
      </c>
      <c r="BH73" s="786">
        <f t="shared" si="148"/>
        <v>-1065631.7331180163</v>
      </c>
    </row>
    <row r="74" spans="1:66" s="424" customFormat="1">
      <c r="A74" s="425">
        <v>44</v>
      </c>
      <c r="B74" s="424" t="s">
        <v>268</v>
      </c>
      <c r="E74" s="453">
        <f>E66+E73</f>
        <v>2086740</v>
      </c>
      <c r="F74" s="453">
        <f t="shared" ref="F74:Y74" si="166">F66+F73</f>
        <v>0</v>
      </c>
      <c r="G74" s="453">
        <f t="shared" si="166"/>
        <v>0</v>
      </c>
      <c r="H74" s="453">
        <f t="shared" si="166"/>
        <v>0</v>
      </c>
      <c r="I74" s="453">
        <f t="shared" ref="I74" si="167">I66+I73</f>
        <v>-51490</v>
      </c>
      <c r="J74" s="453">
        <f t="shared" si="166"/>
        <v>0</v>
      </c>
      <c r="K74" s="453">
        <f t="shared" si="166"/>
        <v>0</v>
      </c>
      <c r="L74" s="453">
        <f t="shared" si="166"/>
        <v>0</v>
      </c>
      <c r="M74" s="453">
        <f t="shared" si="166"/>
        <v>0</v>
      </c>
      <c r="N74" s="453">
        <f t="shared" si="166"/>
        <v>0</v>
      </c>
      <c r="O74" s="453">
        <f t="shared" si="166"/>
        <v>0</v>
      </c>
      <c r="P74" s="453">
        <f t="shared" si="166"/>
        <v>0</v>
      </c>
      <c r="Q74" s="453">
        <f t="shared" si="166"/>
        <v>0</v>
      </c>
      <c r="R74" s="453">
        <f t="shared" si="166"/>
        <v>0</v>
      </c>
      <c r="S74" s="453">
        <f t="shared" si="166"/>
        <v>0</v>
      </c>
      <c r="T74" s="453">
        <f t="shared" ref="T74" si="168">T66+T73</f>
        <v>0</v>
      </c>
      <c r="U74" s="453">
        <f>U66+U73</f>
        <v>0</v>
      </c>
      <c r="V74" s="717">
        <f>V66+V73</f>
        <v>0</v>
      </c>
      <c r="W74" s="453">
        <f>W66+W73</f>
        <v>0</v>
      </c>
      <c r="X74" s="453">
        <f t="shared" si="166"/>
        <v>0</v>
      </c>
      <c r="Y74" s="453">
        <f t="shared" si="166"/>
        <v>0</v>
      </c>
      <c r="Z74" s="442">
        <f t="shared" ref="Z74" si="169">Z66+Z73</f>
        <v>0</v>
      </c>
      <c r="AA74" s="453">
        <f t="shared" ref="AA74:AI74" si="170">AA66+AA73</f>
        <v>0</v>
      </c>
      <c r="AB74" s="735">
        <f t="shared" si="170"/>
        <v>20662.862985405809</v>
      </c>
      <c r="AC74" s="323">
        <f t="shared" si="170"/>
        <v>2055912.8629854058</v>
      </c>
      <c r="AD74" s="453">
        <f>AD66-AD73</f>
        <v>0</v>
      </c>
      <c r="AE74" s="453">
        <f>AE66-AE73</f>
        <v>0</v>
      </c>
      <c r="AF74" s="453">
        <f>AF66-AF73</f>
        <v>0</v>
      </c>
      <c r="AG74" s="453">
        <f>AG66+AG73</f>
        <v>0</v>
      </c>
      <c r="AH74" s="453">
        <f>AH66+AH73</f>
        <v>0</v>
      </c>
      <c r="AI74" s="735">
        <f t="shared" si="170"/>
        <v>0</v>
      </c>
      <c r="AJ74" s="735">
        <f t="shared" ref="AJ74:AK74" si="171">AJ66+AJ73</f>
        <v>0</v>
      </c>
      <c r="AK74" s="735">
        <f t="shared" si="171"/>
        <v>0</v>
      </c>
      <c r="AL74" s="442">
        <f>AL66+AL73</f>
        <v>0</v>
      </c>
      <c r="AM74" s="453">
        <f t="shared" ref="AM74" si="172">AM66+AM73</f>
        <v>0</v>
      </c>
      <c r="AN74" s="453">
        <f t="shared" ref="AN74:AT74" si="173">AN66+AN73</f>
        <v>0</v>
      </c>
      <c r="AO74" s="442">
        <f t="shared" si="173"/>
        <v>0</v>
      </c>
      <c r="AP74" s="453">
        <f>AP66+AP73</f>
        <v>10511</v>
      </c>
      <c r="AQ74" s="453">
        <f t="shared" si="173"/>
        <v>18525</v>
      </c>
      <c r="AR74" s="453">
        <f t="shared" si="173"/>
        <v>49428</v>
      </c>
      <c r="AS74" s="453">
        <f t="shared" si="173"/>
        <v>38013</v>
      </c>
      <c r="AT74" s="453">
        <f t="shared" si="173"/>
        <v>10388</v>
      </c>
      <c r="AU74" s="453">
        <f t="shared" ref="AU74:BA74" si="174">AU66+AU73</f>
        <v>48760</v>
      </c>
      <c r="AV74" s="970">
        <f t="shared" si="174"/>
        <v>9502.3178478007103</v>
      </c>
      <c r="AW74" s="971">
        <f t="shared" ref="AW74" si="175">AW66+AW73</f>
        <v>1799.7671627284653</v>
      </c>
      <c r="AX74" s="857">
        <f t="shared" si="174"/>
        <v>8873.0483970175628</v>
      </c>
      <c r="AY74" s="858">
        <f t="shared" si="174"/>
        <v>3883.7452988536229</v>
      </c>
      <c r="AZ74" s="857">
        <f t="shared" si="174"/>
        <v>-19367</v>
      </c>
      <c r="BA74" s="858">
        <f t="shared" si="174"/>
        <v>1177</v>
      </c>
      <c r="BB74" s="442">
        <f t="shared" ref="BB74:BF74" si="176">BB66+BB73</f>
        <v>0</v>
      </c>
      <c r="BC74" s="442">
        <f>BC66-BC73</f>
        <v>0</v>
      </c>
      <c r="BD74" s="453">
        <f>BD66+BD73</f>
        <v>0</v>
      </c>
      <c r="BE74" s="442">
        <f t="shared" si="176"/>
        <v>0</v>
      </c>
      <c r="BF74" s="471">
        <f t="shared" si="176"/>
        <v>2237406.7416918059</v>
      </c>
      <c r="BG74" s="774">
        <f>BG66-BG73</f>
        <v>0</v>
      </c>
      <c r="BH74" s="790">
        <f t="shared" ref="BH74" si="177">BH66+BH73</f>
        <v>2237406.7416918059</v>
      </c>
    </row>
    <row r="75" spans="1:66" s="424" customFormat="1" ht="5.25" customHeight="1">
      <c r="A75" s="425"/>
      <c r="E75" s="442"/>
      <c r="F75" s="442"/>
      <c r="G75" s="442"/>
      <c r="H75" s="442"/>
      <c r="I75" s="442"/>
      <c r="J75" s="442"/>
      <c r="K75" s="442"/>
      <c r="L75" s="442"/>
      <c r="M75" s="442"/>
      <c r="N75" s="442"/>
      <c r="O75" s="442"/>
      <c r="P75" s="442"/>
      <c r="Q75" s="442"/>
      <c r="R75" s="442"/>
      <c r="S75" s="442"/>
      <c r="T75" s="442"/>
      <c r="U75" s="442"/>
      <c r="V75" s="717"/>
      <c r="W75" s="442"/>
      <c r="X75" s="442"/>
      <c r="Y75" s="442"/>
      <c r="Z75" s="442"/>
      <c r="AA75" s="442"/>
      <c r="AB75" s="717"/>
      <c r="AC75" s="339"/>
      <c r="AD75" s="442"/>
      <c r="AE75" s="442"/>
      <c r="AF75" s="442"/>
      <c r="AG75" s="442"/>
      <c r="AH75" s="442"/>
      <c r="AI75" s="717"/>
      <c r="AJ75" s="717"/>
      <c r="AK75" s="717"/>
      <c r="AL75" s="442"/>
      <c r="AM75" s="442"/>
      <c r="AN75" s="442"/>
      <c r="AO75" s="442"/>
      <c r="AP75" s="442"/>
      <c r="AQ75" s="442"/>
      <c r="AR75" s="442"/>
      <c r="AS75" s="442"/>
      <c r="AT75" s="442"/>
      <c r="AU75" s="442"/>
      <c r="AV75" s="857"/>
      <c r="AW75" s="858"/>
      <c r="AX75" s="857"/>
      <c r="AY75" s="858"/>
      <c r="AZ75" s="857"/>
      <c r="BA75" s="858"/>
      <c r="BB75" s="442"/>
      <c r="BC75" s="442"/>
      <c r="BD75" s="442"/>
      <c r="BE75" s="442"/>
      <c r="BF75" s="468"/>
      <c r="BG75" s="774"/>
      <c r="BH75" s="786"/>
    </row>
    <row r="76" spans="1:66" s="424" customFormat="1">
      <c r="A76" s="426">
        <v>45</v>
      </c>
      <c r="B76" s="424" t="s">
        <v>220</v>
      </c>
      <c r="E76" s="454">
        <f>'ROO INPUT'!F76</f>
        <v>-418971</v>
      </c>
      <c r="F76" s="444">
        <v>47</v>
      </c>
      <c r="G76" s="444">
        <v>0</v>
      </c>
      <c r="H76" s="444">
        <v>0</v>
      </c>
      <c r="I76" s="444">
        <v>3384</v>
      </c>
      <c r="J76" s="444">
        <v>0</v>
      </c>
      <c r="K76" s="444">
        <v>0</v>
      </c>
      <c r="L76" s="444">
        <v>0</v>
      </c>
      <c r="M76" s="444">
        <v>0</v>
      </c>
      <c r="N76" s="444">
        <v>0</v>
      </c>
      <c r="O76" s="444">
        <v>0</v>
      </c>
      <c r="P76" s="444">
        <v>0</v>
      </c>
      <c r="Q76" s="444">
        <v>0</v>
      </c>
      <c r="R76" s="444">
        <v>0</v>
      </c>
      <c r="S76" s="444">
        <v>0</v>
      </c>
      <c r="T76" s="443">
        <v>0</v>
      </c>
      <c r="U76" s="443">
        <v>0</v>
      </c>
      <c r="V76" s="719">
        <v>0</v>
      </c>
      <c r="W76" s="443">
        <v>0</v>
      </c>
      <c r="X76" s="444">
        <v>0</v>
      </c>
      <c r="Y76" s="444">
        <v>0</v>
      </c>
      <c r="Z76" s="443">
        <v>0</v>
      </c>
      <c r="AA76" s="443">
        <v>0</v>
      </c>
      <c r="AB76" s="719">
        <f>-517</f>
        <v>-517</v>
      </c>
      <c r="AC76" s="321">
        <f>SUM(E76:AB76)</f>
        <v>-416057</v>
      </c>
      <c r="AD76" s="443">
        <v>0</v>
      </c>
      <c r="AE76" s="443">
        <v>0</v>
      </c>
      <c r="AF76" s="443">
        <v>0</v>
      </c>
      <c r="AG76" s="444">
        <v>0</v>
      </c>
      <c r="AH76" s="444">
        <v>0</v>
      </c>
      <c r="AI76" s="723">
        <v>0</v>
      </c>
      <c r="AJ76" s="723">
        <v>0</v>
      </c>
      <c r="AK76" s="723">
        <v>0</v>
      </c>
      <c r="AL76" s="443">
        <v>0</v>
      </c>
      <c r="AM76" s="444">
        <v>0</v>
      </c>
      <c r="AN76" s="444">
        <v>0</v>
      </c>
      <c r="AO76" s="443">
        <v>0</v>
      </c>
      <c r="AP76" s="443">
        <v>-232</v>
      </c>
      <c r="AQ76" s="444">
        <v>-520</v>
      </c>
      <c r="AR76" s="444">
        <v>-1949</v>
      </c>
      <c r="AS76" s="444">
        <v>-1187</v>
      </c>
      <c r="AT76" s="444">
        <v>-208</v>
      </c>
      <c r="AU76" s="444">
        <v>-14330</v>
      </c>
      <c r="AV76" s="957">
        <v>-96.846032147920695</v>
      </c>
      <c r="AW76" s="958">
        <v>-20.651618925691015</v>
      </c>
      <c r="AX76" s="869">
        <v>-148.21153640771027</v>
      </c>
      <c r="AY76" s="870">
        <v>-33.032484199034478</v>
      </c>
      <c r="AZ76" s="957">
        <v>2185</v>
      </c>
      <c r="BA76" s="958">
        <v>-220</v>
      </c>
      <c r="BB76" s="443">
        <v>0</v>
      </c>
      <c r="BC76" s="443">
        <v>-30542</v>
      </c>
      <c r="BD76" s="444">
        <v>0</v>
      </c>
      <c r="BE76" s="443"/>
      <c r="BF76" s="470">
        <f>SUM(AC76:BE76)</f>
        <v>-463358.74167168036</v>
      </c>
      <c r="BG76" s="776">
        <v>17681</v>
      </c>
      <c r="BH76" s="788">
        <f>SUM(BF76:BG76)</f>
        <v>-445677.74167168036</v>
      </c>
      <c r="BI76" s="742"/>
      <c r="BJ76" s="815"/>
      <c r="BK76" s="805"/>
    </row>
    <row r="77" spans="1:66" s="424" customFormat="1">
      <c r="A77" s="426">
        <v>46</v>
      </c>
      <c r="C77" s="424" t="s">
        <v>555</v>
      </c>
      <c r="E77" s="442">
        <f>SUM(E74:E76)</f>
        <v>1667769</v>
      </c>
      <c r="F77" s="442">
        <f t="shared" ref="F77:AJ77" si="178">SUM(F74:F76)</f>
        <v>47</v>
      </c>
      <c r="G77" s="442">
        <f t="shared" si="178"/>
        <v>0</v>
      </c>
      <c r="H77" s="442">
        <f t="shared" si="178"/>
        <v>0</v>
      </c>
      <c r="I77" s="442">
        <f t="shared" ref="I77" si="179">SUM(I74:I76)</f>
        <v>-48106</v>
      </c>
      <c r="J77" s="442">
        <f t="shared" si="178"/>
        <v>0</v>
      </c>
      <c r="K77" s="442">
        <f t="shared" ref="K77" si="180">SUM(K74:K76)</f>
        <v>0</v>
      </c>
      <c r="L77" s="442">
        <f t="shared" si="178"/>
        <v>0</v>
      </c>
      <c r="M77" s="442">
        <f t="shared" si="178"/>
        <v>0</v>
      </c>
      <c r="N77" s="442">
        <f t="shared" si="178"/>
        <v>0</v>
      </c>
      <c r="O77" s="442">
        <f t="shared" si="178"/>
        <v>0</v>
      </c>
      <c r="P77" s="442">
        <f t="shared" si="178"/>
        <v>0</v>
      </c>
      <c r="Q77" s="442">
        <f t="shared" si="178"/>
        <v>0</v>
      </c>
      <c r="R77" s="442">
        <f t="shared" si="178"/>
        <v>0</v>
      </c>
      <c r="S77" s="442">
        <f t="shared" si="178"/>
        <v>0</v>
      </c>
      <c r="T77" s="442">
        <f t="shared" ref="T77" si="181">SUM(T74:T76)</f>
        <v>0</v>
      </c>
      <c r="U77" s="442">
        <f>SUM(U74:U76)</f>
        <v>0</v>
      </c>
      <c r="V77" s="717">
        <f t="shared" ref="V77" si="182">SUM(V74:V76)</f>
        <v>0</v>
      </c>
      <c r="W77" s="442">
        <f>SUM(W74:W76)</f>
        <v>0</v>
      </c>
      <c r="X77" s="442">
        <f>SUM(X74:X76)</f>
        <v>0</v>
      </c>
      <c r="Y77" s="442">
        <f>SUM(Y74:Y76)</f>
        <v>0</v>
      </c>
      <c r="Z77" s="442">
        <f t="shared" ref="Z77" si="183">SUM(Z74:Z76)</f>
        <v>0</v>
      </c>
      <c r="AA77" s="442">
        <f t="shared" ref="AA77" si="184">SUM(AA74:AA76)</f>
        <v>0</v>
      </c>
      <c r="AB77" s="717">
        <f>SUM(AB74:AB76)</f>
        <v>20145.862985405809</v>
      </c>
      <c r="AC77" s="339">
        <f t="shared" si="178"/>
        <v>1639855.8629854058</v>
      </c>
      <c r="AD77" s="442">
        <f t="shared" si="178"/>
        <v>0</v>
      </c>
      <c r="AE77" s="442">
        <f t="shared" ref="AE77" si="185">SUM(AE74:AE76)</f>
        <v>0</v>
      </c>
      <c r="AF77" s="442">
        <f t="shared" ref="AF77" si="186">SUM(AF74:AF76)</f>
        <v>0</v>
      </c>
      <c r="AG77" s="442">
        <f>SUM(AG74:AG76)</f>
        <v>0</v>
      </c>
      <c r="AH77" s="442">
        <f>SUM(AH74:AH76)</f>
        <v>0</v>
      </c>
      <c r="AI77" s="717">
        <f>SUM(AI74:AI76)</f>
        <v>0</v>
      </c>
      <c r="AJ77" s="717">
        <f t="shared" si="178"/>
        <v>0</v>
      </c>
      <c r="AK77" s="717">
        <f t="shared" ref="AK77" si="187">SUM(AK74:AK76)</f>
        <v>0</v>
      </c>
      <c r="AL77" s="442">
        <f>SUM(AL74:AL76)</f>
        <v>0</v>
      </c>
      <c r="AM77" s="442">
        <f t="shared" ref="AM77" si="188">SUM(AM74:AM76)</f>
        <v>0</v>
      </c>
      <c r="AN77" s="442">
        <f>SUM(AN74:AN76)</f>
        <v>0</v>
      </c>
      <c r="AO77" s="442">
        <f>SUM(AO74:AO76)</f>
        <v>0</v>
      </c>
      <c r="AP77" s="442">
        <f t="shared" ref="AP77:BF77" si="189">SUM(AP74:AP76)</f>
        <v>10279</v>
      </c>
      <c r="AQ77" s="442">
        <f t="shared" ref="AQ77:AV77" si="190">SUM(AQ74:AQ76)</f>
        <v>18005</v>
      </c>
      <c r="AR77" s="442">
        <f t="shared" si="190"/>
        <v>47479</v>
      </c>
      <c r="AS77" s="442">
        <f t="shared" si="190"/>
        <v>36826</v>
      </c>
      <c r="AT77" s="442">
        <f t="shared" si="190"/>
        <v>10180</v>
      </c>
      <c r="AU77" s="442">
        <f t="shared" si="190"/>
        <v>34430</v>
      </c>
      <c r="AV77" s="857">
        <f t="shared" si="190"/>
        <v>9405.4718156527888</v>
      </c>
      <c r="AW77" s="858">
        <f t="shared" ref="AW77" si="191">SUM(AW74:AW76)</f>
        <v>1779.1155438027743</v>
      </c>
      <c r="AX77" s="857">
        <f t="shared" ref="AX77:AZ77" si="192">SUM(AX74:AX76)</f>
        <v>8724.836860609852</v>
      </c>
      <c r="AY77" s="858">
        <f t="shared" ref="AY77" si="193">SUM(AY74:AY76)</f>
        <v>3850.7128146545883</v>
      </c>
      <c r="AZ77" s="857">
        <f t="shared" si="192"/>
        <v>-17182</v>
      </c>
      <c r="BA77" s="858">
        <f t="shared" ref="BA77" si="194">SUM(BA74:BA76)</f>
        <v>957</v>
      </c>
      <c r="BB77" s="442">
        <f>SUM(BB74:BB76)</f>
        <v>0</v>
      </c>
      <c r="BC77" s="442">
        <f>SUM(BC74:BC76)</f>
        <v>-30542</v>
      </c>
      <c r="BD77" s="442">
        <f>SUM(BD74:BD76)</f>
        <v>0</v>
      </c>
      <c r="BE77" s="442">
        <f>SUM(BE74:BE76)</f>
        <v>0</v>
      </c>
      <c r="BF77" s="468">
        <f t="shared" si="189"/>
        <v>1774048.0000201254</v>
      </c>
      <c r="BG77" s="774">
        <f>SUM(BG74:BG76)</f>
        <v>17681</v>
      </c>
      <c r="BH77" s="786">
        <f t="shared" ref="BH77" si="195">SUM(BH74:BH76)</f>
        <v>1791729.0000201254</v>
      </c>
      <c r="BK77" s="409"/>
    </row>
    <row r="78" spans="1:66" s="424" customFormat="1">
      <c r="A78" s="425">
        <v>47</v>
      </c>
      <c r="B78" s="424" t="s">
        <v>623</v>
      </c>
      <c r="E78" s="431">
        <f>'ROO INPUT'!F78</f>
        <v>-2096</v>
      </c>
      <c r="F78" s="435">
        <v>0</v>
      </c>
      <c r="G78" s="435">
        <v>1</v>
      </c>
      <c r="H78" s="435">
        <v>0</v>
      </c>
      <c r="I78" s="435">
        <v>-182</v>
      </c>
      <c r="J78" s="435">
        <v>0</v>
      </c>
      <c r="K78" s="435">
        <v>0</v>
      </c>
      <c r="L78" s="435">
        <v>0</v>
      </c>
      <c r="M78" s="435">
        <v>0</v>
      </c>
      <c r="N78" s="435">
        <v>0</v>
      </c>
      <c r="O78" s="435">
        <v>0</v>
      </c>
      <c r="P78" s="435">
        <v>0</v>
      </c>
      <c r="Q78" s="435">
        <v>0</v>
      </c>
      <c r="R78" s="435">
        <v>0</v>
      </c>
      <c r="S78" s="435">
        <v>0</v>
      </c>
      <c r="T78" s="436">
        <v>0</v>
      </c>
      <c r="U78" s="436">
        <v>0</v>
      </c>
      <c r="V78" s="717">
        <v>0</v>
      </c>
      <c r="W78" s="436">
        <v>0</v>
      </c>
      <c r="X78" s="435">
        <v>0</v>
      </c>
      <c r="Y78" s="435">
        <v>0</v>
      </c>
      <c r="Z78" s="442">
        <v>0</v>
      </c>
      <c r="AA78" s="436">
        <v>0</v>
      </c>
      <c r="AB78" s="717">
        <v>0</v>
      </c>
      <c r="AC78" s="320">
        <f>SUM(E78:AB78)</f>
        <v>-2277</v>
      </c>
      <c r="AD78" s="436">
        <v>0</v>
      </c>
      <c r="AE78" s="436">
        <v>0</v>
      </c>
      <c r="AF78" s="436">
        <v>0</v>
      </c>
      <c r="AG78" s="435">
        <v>-766</v>
      </c>
      <c r="AH78" s="435"/>
      <c r="AI78" s="728">
        <v>0</v>
      </c>
      <c r="AJ78" s="728">
        <v>0</v>
      </c>
      <c r="AK78" s="728">
        <v>0</v>
      </c>
      <c r="AL78" s="442">
        <v>0</v>
      </c>
      <c r="AM78" s="435">
        <v>0</v>
      </c>
      <c r="AN78" s="435">
        <v>0</v>
      </c>
      <c r="AO78" s="442">
        <v>0</v>
      </c>
      <c r="AP78" s="442">
        <v>0</v>
      </c>
      <c r="AQ78" s="435">
        <v>0</v>
      </c>
      <c r="AR78" s="435">
        <v>0</v>
      </c>
      <c r="AS78" s="435">
        <v>0</v>
      </c>
      <c r="AT78" s="435">
        <v>0</v>
      </c>
      <c r="AU78" s="435">
        <v>53155</v>
      </c>
      <c r="AV78" s="867">
        <v>0</v>
      </c>
      <c r="AW78" s="868">
        <v>0</v>
      </c>
      <c r="AX78" s="857">
        <v>0</v>
      </c>
      <c r="AY78" s="858">
        <v>0</v>
      </c>
      <c r="AZ78" s="857">
        <v>-4266</v>
      </c>
      <c r="BA78" s="858"/>
      <c r="BB78" s="442">
        <v>0</v>
      </c>
      <c r="BC78" s="442">
        <v>0</v>
      </c>
      <c r="BD78" s="435">
        <v>0</v>
      </c>
      <c r="BE78" s="442">
        <v>0</v>
      </c>
      <c r="BF78" s="468">
        <f>SUM(AC78:BE78)</f>
        <v>45846</v>
      </c>
      <c r="BG78" s="774">
        <v>0</v>
      </c>
      <c r="BH78" s="786">
        <f>SUM(BF78:BG78)</f>
        <v>45846</v>
      </c>
    </row>
    <row r="79" spans="1:66" s="424" customFormat="1">
      <c r="A79" s="425">
        <v>48</v>
      </c>
      <c r="B79" s="424" t="s">
        <v>256</v>
      </c>
      <c r="E79" s="454">
        <f>'ROO INPUT'!F79</f>
        <v>44462</v>
      </c>
      <c r="F79" s="444">
        <v>0</v>
      </c>
      <c r="G79" s="444">
        <v>0</v>
      </c>
      <c r="H79" s="443">
        <v>-3752</v>
      </c>
      <c r="I79" s="443">
        <v>0</v>
      </c>
      <c r="J79" s="444">
        <v>0</v>
      </c>
      <c r="K79" s="444">
        <v>0</v>
      </c>
      <c r="L79" s="444">
        <v>0</v>
      </c>
      <c r="M79" s="444">
        <v>0</v>
      </c>
      <c r="N79" s="444">
        <v>0</v>
      </c>
      <c r="O79" s="444">
        <v>0</v>
      </c>
      <c r="P79" s="444">
        <v>0</v>
      </c>
      <c r="Q79" s="444">
        <v>0</v>
      </c>
      <c r="R79" s="444">
        <v>0</v>
      </c>
      <c r="S79" s="444">
        <v>0</v>
      </c>
      <c r="T79" s="443">
        <v>0</v>
      </c>
      <c r="U79" s="443">
        <v>0</v>
      </c>
      <c r="V79" s="719">
        <v>0</v>
      </c>
      <c r="W79" s="443">
        <v>0</v>
      </c>
      <c r="X79" s="444">
        <v>0</v>
      </c>
      <c r="Y79" s="444">
        <v>0</v>
      </c>
      <c r="Z79" s="443">
        <v>0</v>
      </c>
      <c r="AA79" s="443">
        <v>0</v>
      </c>
      <c r="AB79" s="719">
        <v>0</v>
      </c>
      <c r="AC79" s="321">
        <f>SUM(E79:AB79)</f>
        <v>40710</v>
      </c>
      <c r="AD79" s="443">
        <v>0</v>
      </c>
      <c r="AE79" s="443">
        <v>0</v>
      </c>
      <c r="AF79" s="443">
        <v>0</v>
      </c>
      <c r="AG79" s="444">
        <v>0</v>
      </c>
      <c r="AH79" s="444">
        <v>0</v>
      </c>
      <c r="AI79" s="723">
        <v>0</v>
      </c>
      <c r="AJ79" s="723">
        <v>0</v>
      </c>
      <c r="AK79" s="723">
        <v>0</v>
      </c>
      <c r="AL79" s="443">
        <v>0</v>
      </c>
      <c r="AM79" s="444">
        <v>0</v>
      </c>
      <c r="AN79" s="444">
        <v>0</v>
      </c>
      <c r="AO79" s="443">
        <v>0</v>
      </c>
      <c r="AP79" s="443">
        <v>0</v>
      </c>
      <c r="AQ79" s="444">
        <v>0</v>
      </c>
      <c r="AR79" s="444">
        <v>0</v>
      </c>
      <c r="AS79" s="444">
        <v>0</v>
      </c>
      <c r="AT79" s="444">
        <v>0</v>
      </c>
      <c r="AU79" s="444">
        <v>0</v>
      </c>
      <c r="AV79" s="869">
        <v>0</v>
      </c>
      <c r="AW79" s="870">
        <v>0</v>
      </c>
      <c r="AX79" s="861">
        <v>0</v>
      </c>
      <c r="AY79" s="862">
        <v>0</v>
      </c>
      <c r="AZ79" s="861">
        <v>0</v>
      </c>
      <c r="BA79" s="862">
        <v>0</v>
      </c>
      <c r="BB79" s="443">
        <v>0</v>
      </c>
      <c r="BC79" s="443">
        <v>0</v>
      </c>
      <c r="BD79" s="444">
        <v>0</v>
      </c>
      <c r="BE79" s="443">
        <v>0</v>
      </c>
      <c r="BF79" s="470">
        <f>SUM(AC79:BE79)</f>
        <v>40710</v>
      </c>
      <c r="BG79" s="776">
        <v>0</v>
      </c>
      <c r="BH79" s="788">
        <f>SUM(BF79:BG79)</f>
        <v>40710</v>
      </c>
    </row>
    <row r="80" spans="1:66" s="424" customFormat="1" ht="7.5" customHeight="1">
      <c r="A80" s="426"/>
      <c r="E80" s="442"/>
      <c r="F80" s="435"/>
      <c r="G80" s="435"/>
      <c r="H80" s="435"/>
      <c r="I80" s="435"/>
      <c r="J80" s="435"/>
      <c r="K80" s="435"/>
      <c r="L80" s="435"/>
      <c r="M80" s="435"/>
      <c r="N80" s="435"/>
      <c r="O80" s="435"/>
      <c r="P80" s="435"/>
      <c r="Q80" s="435"/>
      <c r="R80" s="435"/>
      <c r="S80" s="435"/>
      <c r="T80" s="436"/>
      <c r="U80" s="436"/>
      <c r="V80" s="717"/>
      <c r="W80" s="436"/>
      <c r="X80" s="435"/>
      <c r="Y80" s="435"/>
      <c r="Z80" s="442"/>
      <c r="AA80" s="436"/>
      <c r="AB80" s="717"/>
      <c r="AC80" s="434"/>
      <c r="AD80" s="436"/>
      <c r="AE80" s="436"/>
      <c r="AF80" s="436"/>
      <c r="AG80" s="435"/>
      <c r="AH80" s="435"/>
      <c r="AI80" s="728"/>
      <c r="AJ80" s="728"/>
      <c r="AK80" s="728"/>
      <c r="AL80" s="442"/>
      <c r="AM80" s="435"/>
      <c r="AN80" s="435"/>
      <c r="AO80" s="442"/>
      <c r="AP80" s="442"/>
      <c r="AQ80" s="435"/>
      <c r="AR80" s="435"/>
      <c r="AS80" s="435"/>
      <c r="AT80" s="435"/>
      <c r="AU80" s="435"/>
      <c r="AV80" s="867"/>
      <c r="AW80" s="868"/>
      <c r="AX80" s="857"/>
      <c r="AY80" s="858"/>
      <c r="AZ80" s="857"/>
      <c r="BA80" s="858"/>
      <c r="BB80" s="442"/>
      <c r="BC80" s="442"/>
      <c r="BD80" s="435"/>
      <c r="BE80" s="442"/>
      <c r="BF80" s="468"/>
      <c r="BG80" s="774"/>
      <c r="BH80" s="786"/>
    </row>
    <row r="81" spans="1:63" s="423" customFormat="1" ht="13.5" customHeight="1" thickBot="1">
      <c r="A81" s="422">
        <v>49</v>
      </c>
      <c r="B81" s="423" t="s">
        <v>221</v>
      </c>
      <c r="E81" s="566">
        <f t="shared" ref="E81:AP81" si="196">SUM(E77:E79)</f>
        <v>1710135</v>
      </c>
      <c r="F81" s="455">
        <f t="shared" si="196"/>
        <v>47</v>
      </c>
      <c r="G81" s="455">
        <f t="shared" si="196"/>
        <v>1</v>
      </c>
      <c r="H81" s="455">
        <f t="shared" si="196"/>
        <v>-3752</v>
      </c>
      <c r="I81" s="455">
        <f t="shared" ref="I81" si="197">SUM(I77:I79)</f>
        <v>-48288</v>
      </c>
      <c r="J81" s="455">
        <f t="shared" si="196"/>
        <v>0</v>
      </c>
      <c r="K81" s="455">
        <f t="shared" si="196"/>
        <v>0</v>
      </c>
      <c r="L81" s="455">
        <f t="shared" si="196"/>
        <v>0</v>
      </c>
      <c r="M81" s="455">
        <f t="shared" si="196"/>
        <v>0</v>
      </c>
      <c r="N81" s="455">
        <f t="shared" si="196"/>
        <v>0</v>
      </c>
      <c r="O81" s="455">
        <f t="shared" si="196"/>
        <v>0</v>
      </c>
      <c r="P81" s="455">
        <f t="shared" si="196"/>
        <v>0</v>
      </c>
      <c r="Q81" s="455">
        <f t="shared" si="196"/>
        <v>0</v>
      </c>
      <c r="R81" s="455">
        <f t="shared" si="196"/>
        <v>0</v>
      </c>
      <c r="S81" s="455">
        <f t="shared" si="196"/>
        <v>0</v>
      </c>
      <c r="T81" s="455">
        <f>SUM(T77:T79)</f>
        <v>0</v>
      </c>
      <c r="U81" s="455">
        <f>SUM(U77:U79)</f>
        <v>0</v>
      </c>
      <c r="V81" s="725">
        <f>SUM(V77:V79)</f>
        <v>0</v>
      </c>
      <c r="W81" s="455">
        <f>SUM(W77:W79)</f>
        <v>0</v>
      </c>
      <c r="X81" s="455">
        <f t="shared" si="196"/>
        <v>0</v>
      </c>
      <c r="Y81" s="455">
        <f t="shared" si="196"/>
        <v>0</v>
      </c>
      <c r="Z81" s="455">
        <f t="shared" ref="Z81" si="198">SUM(Z77:Z79)</f>
        <v>0</v>
      </c>
      <c r="AA81" s="455">
        <f t="shared" ref="AA81" si="199">SUM(AA77:AA79)</f>
        <v>0</v>
      </c>
      <c r="AB81" s="720">
        <f>SUM(AB77:AB79)</f>
        <v>20145.862985405809</v>
      </c>
      <c r="AC81" s="336">
        <f t="shared" si="196"/>
        <v>1678288.8629854058</v>
      </c>
      <c r="AD81" s="455">
        <f t="shared" si="196"/>
        <v>0</v>
      </c>
      <c r="AE81" s="455">
        <f t="shared" ref="AE81" si="200">SUM(AE77:AE79)</f>
        <v>0</v>
      </c>
      <c r="AF81" s="455">
        <f t="shared" ref="AF81" si="201">SUM(AF77:AF79)</f>
        <v>0</v>
      </c>
      <c r="AG81" s="566">
        <f>SUM(AG77:AG79)</f>
        <v>-766</v>
      </c>
      <c r="AH81" s="566">
        <f>SUM(AH77:AH79)</f>
        <v>0</v>
      </c>
      <c r="AI81" s="725">
        <f>SUM(AI77:AI79)</f>
        <v>0</v>
      </c>
      <c r="AJ81" s="725">
        <f t="shared" si="196"/>
        <v>0</v>
      </c>
      <c r="AK81" s="725">
        <f t="shared" ref="AK81" si="202">SUM(AK77:AK79)</f>
        <v>0</v>
      </c>
      <c r="AL81" s="455">
        <f>SUM(AL77:AL79)</f>
        <v>0</v>
      </c>
      <c r="AM81" s="455">
        <f>SUM(AM77:AM79)</f>
        <v>0</v>
      </c>
      <c r="AN81" s="455">
        <f>SUM(AN77:AN79)</f>
        <v>0</v>
      </c>
      <c r="AO81" s="455">
        <f>SUM(AO77:AO79)</f>
        <v>0</v>
      </c>
      <c r="AP81" s="455">
        <f t="shared" si="196"/>
        <v>10279</v>
      </c>
      <c r="AQ81" s="455">
        <f t="shared" ref="AQ81:AV81" si="203">SUM(AQ77:AQ79)</f>
        <v>18005</v>
      </c>
      <c r="AR81" s="455">
        <f t="shared" si="203"/>
        <v>47479</v>
      </c>
      <c r="AS81" s="455">
        <f t="shared" si="203"/>
        <v>36826</v>
      </c>
      <c r="AT81" s="455">
        <f t="shared" si="203"/>
        <v>10180</v>
      </c>
      <c r="AU81" s="455">
        <f t="shared" si="203"/>
        <v>87585</v>
      </c>
      <c r="AV81" s="873">
        <f t="shared" si="203"/>
        <v>9405.4718156527888</v>
      </c>
      <c r="AW81" s="874">
        <f t="shared" ref="AW81" si="204">SUM(AW77:AW79)</f>
        <v>1779.1155438027743</v>
      </c>
      <c r="AX81" s="873">
        <f t="shared" ref="AX81:AZ81" si="205">SUM(AX77:AX79)</f>
        <v>8724.836860609852</v>
      </c>
      <c r="AY81" s="874">
        <f t="shared" ref="AY81" si="206">SUM(AY77:AY79)</f>
        <v>3850.7128146545883</v>
      </c>
      <c r="AZ81" s="873">
        <f t="shared" si="205"/>
        <v>-21448</v>
      </c>
      <c r="BA81" s="874">
        <f t="shared" ref="BA81" si="207">SUM(BA77:BA79)</f>
        <v>957</v>
      </c>
      <c r="BB81" s="455">
        <f>SUM(BB77:BB79)</f>
        <v>0</v>
      </c>
      <c r="BC81" s="455">
        <f>SUM(BC77:BC79)</f>
        <v>-30542</v>
      </c>
      <c r="BD81" s="455">
        <f>SUM(BD77:BD79)</f>
        <v>0</v>
      </c>
      <c r="BE81" s="455">
        <f>SUM(BE77:BE79)</f>
        <v>0</v>
      </c>
      <c r="BF81" s="472">
        <f t="shared" ref="BF81" si="208">SUM(BF77:BF79)</f>
        <v>1860604.0000201254</v>
      </c>
      <c r="BG81" s="781">
        <f>SUM(BG77:BG79)</f>
        <v>17681</v>
      </c>
      <c r="BH81" s="789">
        <f t="shared" ref="BH81" si="209">SUM(BH77:BH79)</f>
        <v>1878285.0000201254</v>
      </c>
    </row>
    <row r="82" spans="1:63" ht="18" customHeight="1" thickTop="1">
      <c r="A82" s="422">
        <v>50</v>
      </c>
      <c r="B82" s="409" t="s">
        <v>624</v>
      </c>
      <c r="E82" s="428">
        <f>ROUND(E57/E81,4)</f>
        <v>6.7299999999999999E-2</v>
      </c>
      <c r="F82" s="657"/>
      <c r="G82" s="657"/>
      <c r="H82" s="657"/>
      <c r="I82" s="657"/>
      <c r="J82" s="657"/>
      <c r="K82" s="657"/>
      <c r="L82" s="657"/>
      <c r="M82" s="657"/>
      <c r="N82" s="657"/>
      <c r="O82" s="657"/>
      <c r="P82" s="657"/>
      <c r="Q82" s="657"/>
      <c r="R82" s="657"/>
      <c r="V82" s="726"/>
      <c r="Z82" s="666"/>
      <c r="AC82" s="390" t="s">
        <v>619</v>
      </c>
      <c r="AL82" s="666"/>
      <c r="AO82" s="666"/>
      <c r="AV82" s="867"/>
      <c r="AW82" s="868"/>
      <c r="AX82" s="875"/>
      <c r="AY82" s="876"/>
      <c r="AZ82" s="875"/>
      <c r="BA82" s="876"/>
      <c r="BB82" s="666"/>
      <c r="BC82" s="666"/>
      <c r="BE82" s="666"/>
      <c r="BG82" s="666"/>
    </row>
    <row r="83" spans="1:63">
      <c r="A83" s="410">
        <v>51</v>
      </c>
      <c r="B83" s="409" t="s">
        <v>620</v>
      </c>
      <c r="E83" s="445">
        <f>E89</f>
        <v>15940.852833466184</v>
      </c>
      <c r="F83" s="445">
        <f>F89</f>
        <v>4.2994171805945767</v>
      </c>
      <c r="G83" s="445">
        <f>G89</f>
        <v>59.710645126268716</v>
      </c>
      <c r="H83" s="445">
        <f>H89</f>
        <v>-343.22155875725218</v>
      </c>
      <c r="I83" s="445">
        <f t="shared" ref="I83" si="210">I89</f>
        <v>-4417.2395067351254</v>
      </c>
      <c r="J83" s="445">
        <f>J89</f>
        <v>83.676025494708028</v>
      </c>
      <c r="K83" s="445">
        <f t="shared" ref="K83" si="211">K89</f>
        <v>1046.9962690025341</v>
      </c>
      <c r="L83" s="445">
        <f t="shared" ref="L83:S83" si="212">L89</f>
        <v>1503.0306079486927</v>
      </c>
      <c r="M83" s="445">
        <f t="shared" si="212"/>
        <v>38.700161791302456</v>
      </c>
      <c r="N83" s="445">
        <f t="shared" si="212"/>
        <v>53.343466252876361</v>
      </c>
      <c r="O83" s="445">
        <f t="shared" si="212"/>
        <v>-3.9719632355082921</v>
      </c>
      <c r="P83" s="445">
        <f t="shared" si="212"/>
        <v>-54.389416571560211</v>
      </c>
      <c r="Q83" s="445">
        <f t="shared" si="212"/>
        <v>35.562310835250905</v>
      </c>
      <c r="R83" s="445">
        <f t="shared" si="212"/>
        <v>-60.665118483663313</v>
      </c>
      <c r="S83" s="445">
        <f t="shared" si="212"/>
        <v>820.02504984813856</v>
      </c>
      <c r="T83" s="445">
        <f t="shared" ref="T83" si="213">T89</f>
        <v>1461.1925952013389</v>
      </c>
      <c r="U83" s="445">
        <f>U89</f>
        <v>-1280.2431900690328</v>
      </c>
      <c r="V83" s="727">
        <f>V89</f>
        <v>787.60058996893918</v>
      </c>
      <c r="W83" s="445">
        <f>W89</f>
        <v>1236.6045539882482</v>
      </c>
      <c r="X83" s="445">
        <f>X89</f>
        <v>-1421.9628383119687</v>
      </c>
      <c r="Y83" s="445">
        <f>Y89</f>
        <v>-5.2297515934192518</v>
      </c>
      <c r="Z83" s="445">
        <f t="shared" ref="Z83" si="214">Z89</f>
        <v>-968.54999510124526</v>
      </c>
      <c r="AA83" s="445">
        <f>AA89</f>
        <v>6134.4986190807822</v>
      </c>
      <c r="AB83" s="727">
        <f>AB89</f>
        <v>4728.6592577031706</v>
      </c>
      <c r="AC83" s="445">
        <f>AC89</f>
        <v>25379.279064030266</v>
      </c>
      <c r="AD83" s="445">
        <f t="shared" ref="AD83:AF83" si="215">AD89</f>
        <v>-17812.345656128608</v>
      </c>
      <c r="AE83" s="445">
        <f t="shared" ref="AE83" si="216">AE89</f>
        <v>-1155.7751021456545</v>
      </c>
      <c r="AF83" s="445">
        <f t="shared" si="215"/>
        <v>-14400.643987639252</v>
      </c>
      <c r="AG83" s="445">
        <f t="shared" ref="AG83:AL83" si="217">AG89</f>
        <v>-2598.1332726064288</v>
      </c>
      <c r="AH83" s="445">
        <f t="shared" si="217"/>
        <v>-642.13405640717383</v>
      </c>
      <c r="AI83" s="727">
        <f t="shared" si="217"/>
        <v>3417.1196911401389</v>
      </c>
      <c r="AJ83" s="727">
        <f t="shared" si="217"/>
        <v>-332.61220134146436</v>
      </c>
      <c r="AK83" s="727">
        <f t="shared" si="217"/>
        <v>1276.0593887942973</v>
      </c>
      <c r="AL83" s="445">
        <f t="shared" si="217"/>
        <v>2568.8539826875362</v>
      </c>
      <c r="AM83" s="445">
        <f t="shared" ref="AM83" si="218">AM89</f>
        <v>2105.4979915105905</v>
      </c>
      <c r="AN83" s="445">
        <f>AN89</f>
        <v>663.13250204556107</v>
      </c>
      <c r="AO83" s="445">
        <f>AO89</f>
        <v>1393.2058244868886</v>
      </c>
      <c r="AP83" s="445">
        <f t="shared" ref="AP83" si="219">AP89</f>
        <v>3076.1222358445848</v>
      </c>
      <c r="AQ83" s="445">
        <f t="shared" ref="AQ83:AV83" si="220">AQ89</f>
        <v>1895.9788638596362</v>
      </c>
      <c r="AR83" s="445">
        <f t="shared" si="220"/>
        <v>5230.200515296031</v>
      </c>
      <c r="AS83" s="445">
        <f t="shared" si="220"/>
        <v>4068.4713396372799</v>
      </c>
      <c r="AT83" s="445">
        <f t="shared" si="220"/>
        <v>2941.551978434888</v>
      </c>
      <c r="AU83" s="445">
        <f t="shared" si="220"/>
        <v>18080.327422169379</v>
      </c>
      <c r="AV83" s="877">
        <f t="shared" si="220"/>
        <v>5354.8325005720717</v>
      </c>
      <c r="AW83" s="878">
        <f t="shared" ref="AW83" si="221">AW89</f>
        <v>208.76989775163216</v>
      </c>
      <c r="AX83" s="877">
        <f t="shared" ref="AX83:AZ83" si="222">AX89</f>
        <v>3497.7193362760145</v>
      </c>
      <c r="AY83" s="878">
        <f t="shared" ref="AY83" si="223">AY89</f>
        <v>1208.8848180842358</v>
      </c>
      <c r="AZ83" s="877">
        <f t="shared" si="222"/>
        <v>-3518.371939933324</v>
      </c>
      <c r="BA83" s="878">
        <f t="shared" ref="BA83" si="224">BA89</f>
        <v>1007.979732395597</v>
      </c>
      <c r="BB83" s="445">
        <f t="shared" ref="BB83:BH83" si="225">BB89</f>
        <v>34.516360516567055</v>
      </c>
      <c r="BC83" s="445">
        <f t="shared" si="225"/>
        <v>-2793.8893516961612</v>
      </c>
      <c r="BD83" s="445">
        <f t="shared" si="225"/>
        <v>0</v>
      </c>
      <c r="BE83" s="445">
        <f t="shared" si="225"/>
        <v>0</v>
      </c>
      <c r="BF83" s="538">
        <f t="shared" si="225"/>
        <v>40154.597877635089</v>
      </c>
      <c r="BG83" s="782">
        <f t="shared" si="225"/>
        <v>-40155.008627044437</v>
      </c>
      <c r="BH83" s="782">
        <f t="shared" si="225"/>
        <v>-0.41074940933164417</v>
      </c>
      <c r="BJ83" s="804"/>
      <c r="BK83" s="805"/>
    </row>
    <row r="84" spans="1:63" ht="69.75" customHeight="1" thickBot="1">
      <c r="B84" s="465"/>
      <c r="E84" s="409"/>
      <c r="AD84" s="704"/>
      <c r="AE84" s="704"/>
      <c r="AF84" s="704"/>
      <c r="AI84" s="736"/>
      <c r="AJ84" s="736"/>
      <c r="AK84" s="736"/>
      <c r="AL84" s="435"/>
      <c r="AM84" s="704"/>
      <c r="AN84" s="704"/>
      <c r="AO84" s="435"/>
      <c r="AP84" s="758"/>
      <c r="AQ84" s="704"/>
      <c r="AR84" s="704"/>
      <c r="AS84" s="704"/>
      <c r="AT84" s="704"/>
      <c r="AU84" s="704"/>
      <c r="AV84" s="972"/>
      <c r="AW84" s="973"/>
      <c r="AX84" s="879"/>
      <c r="AY84" s="880"/>
      <c r="AZ84" s="879"/>
      <c r="BA84" s="880"/>
      <c r="BB84" s="752"/>
      <c r="BD84" s="704"/>
      <c r="BE84" s="694"/>
      <c r="BF84" s="694"/>
      <c r="BH84" s="791"/>
    </row>
    <row r="85" spans="1:63">
      <c r="E85" s="428">
        <f>'RR SUMMARY'!E14</f>
        <v>7.4300000000000005E-2</v>
      </c>
      <c r="AP85" s="759"/>
      <c r="AQ85" s="751"/>
      <c r="AR85" s="751"/>
      <c r="AS85" s="751"/>
      <c r="AT85" s="751"/>
      <c r="AU85" s="751"/>
      <c r="AV85" s="751"/>
      <c r="AW85" s="751"/>
      <c r="BD85" s="751"/>
      <c r="BF85" s="434"/>
    </row>
    <row r="86" spans="1:63">
      <c r="E86" s="428"/>
      <c r="AP86" s="475"/>
      <c r="BF86" s="434"/>
    </row>
    <row r="87" spans="1:63">
      <c r="D87" s="409" t="s">
        <v>687</v>
      </c>
      <c r="E87" s="567">
        <f>'CF '!E24</f>
        <v>0.75529400000000002</v>
      </c>
    </row>
    <row r="88" spans="1:63">
      <c r="D88" s="409" t="s">
        <v>227</v>
      </c>
      <c r="E88" s="450">
        <f t="shared" ref="E88:BF88" si="226">E81*$E$85-E57</f>
        <v>12040.030500000008</v>
      </c>
      <c r="F88" s="450">
        <f t="shared" si="226"/>
        <v>3.2473240000000003</v>
      </c>
      <c r="G88" s="450">
        <f t="shared" si="226"/>
        <v>45.099092000000006</v>
      </c>
      <c r="H88" s="450">
        <f>H81*$E$85-H57</f>
        <v>-259.23318400000005</v>
      </c>
      <c r="I88" s="450">
        <f t="shared" si="226"/>
        <v>-3336.314496</v>
      </c>
      <c r="J88" s="450">
        <f t="shared" si="226"/>
        <v>63.2</v>
      </c>
      <c r="K88" s="450">
        <f t="shared" si="226"/>
        <v>790.79</v>
      </c>
      <c r="L88" s="450">
        <f t="shared" si="226"/>
        <v>1135.23</v>
      </c>
      <c r="M88" s="450">
        <f t="shared" si="226"/>
        <v>29.23</v>
      </c>
      <c r="N88" s="450">
        <f t="shared" si="226"/>
        <v>40.29</v>
      </c>
      <c r="O88" s="450">
        <f t="shared" si="226"/>
        <v>-3</v>
      </c>
      <c r="P88" s="450">
        <f t="shared" si="226"/>
        <v>-41.08</v>
      </c>
      <c r="Q88" s="450">
        <f t="shared" si="226"/>
        <v>26.86</v>
      </c>
      <c r="R88" s="450">
        <f t="shared" si="226"/>
        <v>-45.82</v>
      </c>
      <c r="S88" s="450">
        <f t="shared" si="226"/>
        <v>619.36</v>
      </c>
      <c r="T88" s="450">
        <f t="shared" si="226"/>
        <v>1103.6300000000001</v>
      </c>
      <c r="U88" s="450">
        <f t="shared" si="226"/>
        <v>-966.96</v>
      </c>
      <c r="V88" s="724">
        <f t="shared" si="226"/>
        <v>594.87</v>
      </c>
      <c r="W88" s="450">
        <f t="shared" si="226"/>
        <v>934</v>
      </c>
      <c r="X88" s="450">
        <f t="shared" si="226"/>
        <v>-1074</v>
      </c>
      <c r="Y88" s="450">
        <f t="shared" si="226"/>
        <v>-3.95</v>
      </c>
      <c r="Z88" s="450">
        <f t="shared" si="226"/>
        <v>-731.54</v>
      </c>
      <c r="AA88" s="450">
        <f t="shared" si="226"/>
        <v>4633.3500000000004</v>
      </c>
      <c r="AB88" s="724">
        <f t="shared" si="226"/>
        <v>3571.5279653876587</v>
      </c>
      <c r="AC88" s="450">
        <f t="shared" si="226"/>
        <v>19168.817201387676</v>
      </c>
      <c r="AD88" s="450">
        <f t="shared" si="226"/>
        <v>-13453.5578</v>
      </c>
      <c r="AE88" s="450">
        <f t="shared" ref="AE88" si="227">AE81*$E$85-AE57</f>
        <v>-872.95</v>
      </c>
      <c r="AF88" s="450">
        <f t="shared" ref="AF88" si="228">AF81*$E$85-AF57</f>
        <v>-10876.720000000001</v>
      </c>
      <c r="AG88" s="450">
        <f t="shared" si="226"/>
        <v>-1962.354472</v>
      </c>
      <c r="AH88" s="450">
        <f t="shared" ref="AH88" si="229">AH81*$E$85-AH57</f>
        <v>-485</v>
      </c>
      <c r="AI88" s="724">
        <f t="shared" si="226"/>
        <v>2580.9300000000003</v>
      </c>
      <c r="AJ88" s="724">
        <f t="shared" si="226"/>
        <v>-251.22</v>
      </c>
      <c r="AK88" s="724">
        <f t="shared" si="226"/>
        <v>963.8</v>
      </c>
      <c r="AL88" s="450">
        <f t="shared" ref="AL88" si="230">AL81*$E$85-AL57</f>
        <v>1940.24</v>
      </c>
      <c r="AM88" s="450">
        <f t="shared" si="226"/>
        <v>1590.27</v>
      </c>
      <c r="AN88" s="450">
        <f t="shared" si="226"/>
        <v>500.86</v>
      </c>
      <c r="AO88" s="450">
        <f t="shared" ref="AO88:AT88" si="231">AO81*$E$85-AO57</f>
        <v>1052.28</v>
      </c>
      <c r="AP88" s="450">
        <f t="shared" si="231"/>
        <v>2323.3766679999999</v>
      </c>
      <c r="AQ88" s="450">
        <f t="shared" si="231"/>
        <v>1432.0214600000002</v>
      </c>
      <c r="AR88" s="450">
        <f t="shared" si="231"/>
        <v>3950.3390680000002</v>
      </c>
      <c r="AS88" s="450">
        <f t="shared" si="231"/>
        <v>3072.8919919999998</v>
      </c>
      <c r="AT88" s="450">
        <f t="shared" si="231"/>
        <v>2221.7365600000003</v>
      </c>
      <c r="AU88" s="450">
        <f>AU81*$E$85-AU57</f>
        <v>13655.962820000001</v>
      </c>
      <c r="AV88" s="450">
        <f>AV81*$E$85-AV57</f>
        <v>4044.4728586870824</v>
      </c>
      <c r="AW88" s="450">
        <f>AW81*$E$85-AW57</f>
        <v>157.68265115242127</v>
      </c>
      <c r="AX88" s="450">
        <f t="shared" ref="AX88" si="232">AX81*$E$85-AX57</f>
        <v>2641.806428373256</v>
      </c>
      <c r="AY88" s="450">
        <f t="shared" ref="AY88" si="233">AY81*$E$85-AY57</f>
        <v>913.06344979011487</v>
      </c>
      <c r="AZ88" s="450">
        <f>AZ81*$E$85-AZ57</f>
        <v>-2657.4052160000001</v>
      </c>
      <c r="BA88" s="450">
        <f>BA81*$E$85-BA57</f>
        <v>761.32104400000003</v>
      </c>
      <c r="BB88" s="450">
        <f t="shared" si="226"/>
        <v>26.07</v>
      </c>
      <c r="BC88" s="450">
        <f>BC81*$E$85-BC57</f>
        <v>-2110.2078640000004</v>
      </c>
      <c r="BD88" s="450">
        <f>BD81*$E$85-BD57</f>
        <v>0</v>
      </c>
      <c r="BE88" s="450">
        <f t="shared" si="226"/>
        <v>0</v>
      </c>
      <c r="BF88" s="451">
        <f t="shared" si="226"/>
        <v>30328.526849390517</v>
      </c>
      <c r="BG88" s="450">
        <f>BG81*$E$85-BG57</f>
        <v>-30328.8370859549</v>
      </c>
      <c r="BH88" s="450">
        <f t="shared" ref="BH88" si="234">BH81*$E$85-BH57</f>
        <v>-0.31023656437173486</v>
      </c>
    </row>
    <row r="89" spans="1:63" s="475" customFormat="1">
      <c r="A89" s="536"/>
      <c r="D89" s="475" t="s">
        <v>653</v>
      </c>
      <c r="E89" s="443">
        <f>E88/$E$87</f>
        <v>15940.852833466184</v>
      </c>
      <c r="F89" s="443">
        <f>F88/$E$87</f>
        <v>4.2994171805945767</v>
      </c>
      <c r="G89" s="443">
        <f>G88/$E$87</f>
        <v>59.710645126268716</v>
      </c>
      <c r="H89" s="443">
        <f>H88/$E$87</f>
        <v>-343.22155875725218</v>
      </c>
      <c r="I89" s="443">
        <f t="shared" ref="I89" si="235">I88/$E$87</f>
        <v>-4417.2395067351254</v>
      </c>
      <c r="J89" s="443">
        <f>J88/$E$87</f>
        <v>83.676025494708028</v>
      </c>
      <c r="K89" s="443">
        <f t="shared" ref="K89" si="236">K88/$E$87</f>
        <v>1046.9962690025341</v>
      </c>
      <c r="L89" s="443">
        <f t="shared" ref="L89:S89" si="237">L88/$E$87</f>
        <v>1503.0306079486927</v>
      </c>
      <c r="M89" s="443">
        <f t="shared" si="237"/>
        <v>38.700161791302456</v>
      </c>
      <c r="N89" s="443">
        <f t="shared" si="237"/>
        <v>53.343466252876361</v>
      </c>
      <c r="O89" s="443">
        <f t="shared" si="237"/>
        <v>-3.9719632355082921</v>
      </c>
      <c r="P89" s="443">
        <f t="shared" si="237"/>
        <v>-54.389416571560211</v>
      </c>
      <c r="Q89" s="443">
        <f t="shared" si="237"/>
        <v>35.562310835250905</v>
      </c>
      <c r="R89" s="443">
        <f t="shared" si="237"/>
        <v>-60.665118483663313</v>
      </c>
      <c r="S89" s="443">
        <f t="shared" si="237"/>
        <v>820.02504984813856</v>
      </c>
      <c r="T89" s="443">
        <f t="shared" ref="T89" si="238">T88/$E$87</f>
        <v>1461.1925952013389</v>
      </c>
      <c r="U89" s="443">
        <f>U88/$E$87</f>
        <v>-1280.2431900690328</v>
      </c>
      <c r="V89" s="719">
        <f t="shared" ref="V89" si="239">V88/$E$87</f>
        <v>787.60058996893918</v>
      </c>
      <c r="W89" s="443">
        <f>W88/$E$87</f>
        <v>1236.6045539882482</v>
      </c>
      <c r="X89" s="443">
        <f>X88/$E$87</f>
        <v>-1421.9628383119687</v>
      </c>
      <c r="Y89" s="443">
        <f>Y88/$E$87</f>
        <v>-5.2297515934192518</v>
      </c>
      <c r="Z89" s="443">
        <f t="shared" ref="Z89" si="240">Z88/$E$87</f>
        <v>-968.54999510124526</v>
      </c>
      <c r="AA89" s="443">
        <f t="shared" ref="AA89" si="241">AA88/$E$87</f>
        <v>6134.4986190807822</v>
      </c>
      <c r="AB89" s="719">
        <f>AB88/$E$87</f>
        <v>4728.6592577031706</v>
      </c>
      <c r="AC89" s="443">
        <f>AC88/$E$87</f>
        <v>25379.279064030266</v>
      </c>
      <c r="AD89" s="443">
        <f t="shared" ref="AD89:AF89" si="242">AD88/$E$87</f>
        <v>-17812.345656128608</v>
      </c>
      <c r="AE89" s="443">
        <f t="shared" ref="AE89" si="243">AE88/$E$87</f>
        <v>-1155.7751021456545</v>
      </c>
      <c r="AF89" s="443">
        <f t="shared" si="242"/>
        <v>-14400.643987639252</v>
      </c>
      <c r="AG89" s="443">
        <f t="shared" ref="AG89:AL89" si="244">AG88/$E$87</f>
        <v>-2598.1332726064288</v>
      </c>
      <c r="AH89" s="443">
        <f t="shared" si="244"/>
        <v>-642.13405640717383</v>
      </c>
      <c r="AI89" s="719">
        <f t="shared" si="244"/>
        <v>3417.1196911401389</v>
      </c>
      <c r="AJ89" s="719">
        <f t="shared" si="244"/>
        <v>-332.61220134146436</v>
      </c>
      <c r="AK89" s="719">
        <f t="shared" si="244"/>
        <v>1276.0593887942973</v>
      </c>
      <c r="AL89" s="443">
        <f t="shared" si="244"/>
        <v>2568.8539826875362</v>
      </c>
      <c r="AM89" s="443">
        <f t="shared" ref="AM89" si="245">AM88/$E$87</f>
        <v>2105.4979915105905</v>
      </c>
      <c r="AN89" s="443">
        <f>AN88/$E$87</f>
        <v>663.13250204556107</v>
      </c>
      <c r="AO89" s="443">
        <f>AO88/$E$87</f>
        <v>1393.2058244868886</v>
      </c>
      <c r="AP89" s="443">
        <f t="shared" ref="AP89" si="246">AP88/$E$87</f>
        <v>3076.1222358445848</v>
      </c>
      <c r="AQ89" s="443">
        <f t="shared" ref="AQ89:AV89" si="247">AQ88/$E$87</f>
        <v>1895.9788638596362</v>
      </c>
      <c r="AR89" s="443">
        <f t="shared" si="247"/>
        <v>5230.200515296031</v>
      </c>
      <c r="AS89" s="443">
        <f t="shared" si="247"/>
        <v>4068.4713396372799</v>
      </c>
      <c r="AT89" s="443">
        <f t="shared" si="247"/>
        <v>2941.551978434888</v>
      </c>
      <c r="AU89" s="443">
        <f t="shared" si="247"/>
        <v>18080.327422169379</v>
      </c>
      <c r="AV89" s="443">
        <f t="shared" si="247"/>
        <v>5354.8325005720717</v>
      </c>
      <c r="AW89" s="443">
        <f t="shared" ref="AW89" si="248">AW88/$E$87</f>
        <v>208.76989775163216</v>
      </c>
      <c r="AX89" s="443">
        <f t="shared" ref="AX89" si="249">AX88/$E$87</f>
        <v>3497.7193362760145</v>
      </c>
      <c r="AY89" s="443">
        <f t="shared" ref="AY89" si="250">AY88/$E$87</f>
        <v>1208.8848180842358</v>
      </c>
      <c r="AZ89" s="443">
        <f t="shared" ref="AZ89:BF89" si="251">AZ88/$E$87</f>
        <v>-3518.371939933324</v>
      </c>
      <c r="BA89" s="443">
        <f t="shared" ref="BA89" si="252">BA88/$E$87</f>
        <v>1007.979732395597</v>
      </c>
      <c r="BB89" s="443">
        <f t="shared" si="251"/>
        <v>34.516360516567055</v>
      </c>
      <c r="BC89" s="443">
        <f>BC88/$E$87</f>
        <v>-2793.8893516961612</v>
      </c>
      <c r="BD89" s="443">
        <f>BD88/$E$87</f>
        <v>0</v>
      </c>
      <c r="BE89" s="443">
        <f t="shared" si="251"/>
        <v>0</v>
      </c>
      <c r="BF89" s="237">
        <f t="shared" si="251"/>
        <v>40154.597877635089</v>
      </c>
      <c r="BG89" s="443">
        <f>BG88/$E$87</f>
        <v>-40155.008627044437</v>
      </c>
      <c r="BH89" s="443">
        <f t="shared" ref="BH89" si="253">BH88/$E$87</f>
        <v>-0.41074940933164417</v>
      </c>
    </row>
    <row r="90" spans="1:63" s="523" customFormat="1">
      <c r="A90" s="522"/>
      <c r="E90" s="442"/>
      <c r="F90" s="442"/>
      <c r="G90" s="442"/>
      <c r="H90" s="442"/>
      <c r="I90" s="442"/>
      <c r="J90" s="442"/>
      <c r="K90" s="442"/>
      <c r="L90" s="442"/>
      <c r="M90" s="442"/>
      <c r="N90" s="442"/>
      <c r="O90" s="442"/>
      <c r="P90" s="442"/>
      <c r="Q90" s="442"/>
      <c r="R90" s="442"/>
      <c r="S90" s="442"/>
      <c r="T90" s="442"/>
      <c r="U90" s="442"/>
      <c r="V90" s="717"/>
      <c r="W90" s="442"/>
      <c r="X90" s="442"/>
      <c r="Y90" s="442"/>
      <c r="Z90" s="442"/>
      <c r="AA90" s="442"/>
      <c r="AB90" s="717"/>
      <c r="AC90" s="442"/>
      <c r="AD90" s="442"/>
      <c r="AE90" s="442"/>
      <c r="AF90" s="442"/>
      <c r="AG90" s="442"/>
      <c r="AH90" s="442"/>
      <c r="AI90" s="717"/>
      <c r="AJ90" s="717"/>
      <c r="AK90" s="717"/>
      <c r="AL90" s="442"/>
      <c r="AM90" s="442"/>
      <c r="AN90" s="442"/>
      <c r="AO90" s="442"/>
      <c r="AP90" s="476"/>
      <c r="AQ90" s="442"/>
      <c r="AR90" s="442"/>
      <c r="AS90" s="442"/>
      <c r="AT90" s="442"/>
      <c r="AU90" s="442"/>
      <c r="AV90" s="442"/>
      <c r="AW90" s="442"/>
      <c r="AX90" s="442"/>
      <c r="AY90" s="442"/>
      <c r="AZ90" s="442"/>
      <c r="BA90" s="442"/>
      <c r="BB90" s="442"/>
      <c r="BC90" s="442"/>
      <c r="BD90" s="442"/>
      <c r="BE90" s="442"/>
      <c r="BF90" s="442"/>
      <c r="BG90" s="442"/>
      <c r="BH90" s="442"/>
    </row>
    <row r="91" spans="1:63" s="523" customFormat="1">
      <c r="A91" s="522"/>
      <c r="E91" s="442"/>
      <c r="F91" s="442"/>
      <c r="G91" s="442"/>
      <c r="H91" s="442"/>
      <c r="I91" s="442"/>
      <c r="J91" s="442"/>
      <c r="K91" s="442"/>
      <c r="L91" s="442"/>
      <c r="M91" s="442"/>
      <c r="N91" s="442"/>
      <c r="O91" s="442"/>
      <c r="P91" s="442"/>
      <c r="Q91" s="442"/>
      <c r="R91" s="442"/>
      <c r="S91" s="442"/>
      <c r="T91" s="442"/>
      <c r="U91" s="442"/>
      <c r="V91" s="717"/>
      <c r="W91" s="442"/>
      <c r="X91" s="442"/>
      <c r="Y91" s="442"/>
      <c r="Z91" s="442"/>
      <c r="AA91" s="442"/>
      <c r="AB91" s="717"/>
      <c r="AC91" s="442"/>
      <c r="AD91" s="442"/>
      <c r="AE91" s="442"/>
      <c r="AF91" s="442"/>
      <c r="AG91" s="442"/>
      <c r="AH91" s="442"/>
      <c r="AI91" s="717"/>
      <c r="AJ91" s="717"/>
      <c r="AK91" s="717"/>
      <c r="AL91" s="442"/>
      <c r="AM91" s="442"/>
      <c r="AN91" s="442"/>
      <c r="AO91" s="442"/>
      <c r="AP91" s="760"/>
      <c r="AQ91" s="442"/>
      <c r="AR91" s="442"/>
      <c r="AS91" s="442"/>
      <c r="AT91" s="442"/>
      <c r="AU91" s="442"/>
      <c r="AX91" s="442"/>
      <c r="AY91" s="442"/>
      <c r="AZ91" s="442"/>
      <c r="BA91" s="442"/>
      <c r="BB91" s="442"/>
      <c r="BC91" s="442"/>
      <c r="BD91" s="442"/>
      <c r="BE91" s="442"/>
      <c r="BF91" s="442"/>
      <c r="BG91" s="442"/>
      <c r="BH91" s="442"/>
    </row>
    <row r="92" spans="1:63" s="523" customFormat="1">
      <c r="A92" s="522"/>
      <c r="E92" s="442"/>
      <c r="F92" s="442"/>
      <c r="G92" s="442"/>
      <c r="H92" s="442"/>
      <c r="I92" s="442"/>
      <c r="J92" s="442"/>
      <c r="K92" s="442"/>
      <c r="L92" s="442"/>
      <c r="M92" s="442"/>
      <c r="N92" s="442"/>
      <c r="O92" s="442"/>
      <c r="P92" s="442"/>
      <c r="Q92" s="442"/>
      <c r="R92" s="442"/>
      <c r="S92" s="442"/>
      <c r="T92" s="442"/>
      <c r="U92" s="442"/>
      <c r="V92" s="717"/>
      <c r="W92" s="442"/>
      <c r="X92" s="442"/>
      <c r="Y92" s="442"/>
      <c r="Z92" s="442"/>
      <c r="AA92" s="442"/>
      <c r="AB92" s="717"/>
      <c r="AC92" s="442"/>
      <c r="AD92" s="442"/>
      <c r="AE92" s="442"/>
      <c r="AF92" s="442"/>
      <c r="AG92" s="442"/>
      <c r="AH92" s="442"/>
      <c r="AI92" s="717"/>
      <c r="AJ92" s="717"/>
      <c r="AK92" s="717"/>
      <c r="AL92" s="442"/>
      <c r="AM92" s="442"/>
      <c r="AN92" s="442"/>
      <c r="AO92" s="442"/>
      <c r="AP92" s="442"/>
      <c r="AQ92" s="442"/>
      <c r="AR92" s="442"/>
      <c r="AS92" s="442"/>
      <c r="AT92" s="442"/>
      <c r="AU92" s="442"/>
      <c r="AV92" s="442"/>
      <c r="AW92" s="442"/>
      <c r="AX92" s="442"/>
      <c r="AY92" s="442"/>
      <c r="AZ92" s="442"/>
      <c r="BA92" s="442"/>
      <c r="BB92" s="442"/>
      <c r="BC92" s="442"/>
      <c r="BD92" s="442"/>
      <c r="BE92" s="442"/>
      <c r="BF92" s="442"/>
      <c r="BG92" s="442"/>
      <c r="BH92" s="442"/>
    </row>
    <row r="93" spans="1:63" s="430" customFormat="1">
      <c r="A93" s="433"/>
      <c r="E93" s="442"/>
      <c r="F93" s="446"/>
      <c r="G93" s="446"/>
      <c r="H93" s="446"/>
      <c r="I93" s="446"/>
      <c r="J93" s="446"/>
      <c r="K93" s="446"/>
      <c r="L93" s="446"/>
      <c r="M93" s="446"/>
      <c r="N93" s="446"/>
      <c r="O93" s="446"/>
      <c r="P93" s="446"/>
      <c r="Q93" s="446"/>
      <c r="R93" s="446"/>
      <c r="S93" s="446"/>
      <c r="T93" s="442"/>
      <c r="U93" s="442"/>
      <c r="V93" s="717"/>
      <c r="W93" s="442"/>
      <c r="X93" s="446"/>
      <c r="Y93" s="446"/>
      <c r="Z93" s="442"/>
      <c r="AA93" s="816" t="s">
        <v>808</v>
      </c>
      <c r="AB93" s="722">
        <f>E81+F81+G81+H81+I81</f>
        <v>1658143</v>
      </c>
      <c r="AC93" s="476"/>
      <c r="AD93" s="442"/>
      <c r="AE93" s="442"/>
      <c r="AF93" s="442"/>
      <c r="AG93" s="446"/>
      <c r="AH93" s="446"/>
      <c r="AI93" s="722"/>
      <c r="AJ93" s="722"/>
      <c r="AK93" s="722"/>
      <c r="AL93" s="442"/>
      <c r="AM93" s="446"/>
      <c r="AN93" s="446"/>
      <c r="AO93" s="442"/>
      <c r="AP93" s="442"/>
      <c r="AQ93" s="446"/>
      <c r="AR93" s="446"/>
      <c r="AS93" s="446"/>
      <c r="AT93" s="446"/>
      <c r="AU93" s="446"/>
      <c r="AV93" s="446"/>
      <c r="AW93" s="446"/>
      <c r="AX93" s="442"/>
      <c r="AY93" s="442"/>
      <c r="AZ93" s="442"/>
      <c r="BA93" s="442"/>
      <c r="BB93" s="442"/>
      <c r="BC93" s="442"/>
      <c r="BD93" s="446"/>
      <c r="BE93" s="442"/>
      <c r="BF93" s="447"/>
      <c r="BG93" s="442"/>
      <c r="BH93" s="442"/>
    </row>
    <row r="94" spans="1:63" s="430" customFormat="1">
      <c r="A94" s="433"/>
      <c r="E94" s="442"/>
      <c r="F94" s="446"/>
      <c r="G94" s="446"/>
      <c r="H94" s="446"/>
      <c r="I94" s="446"/>
      <c r="J94" s="446"/>
      <c r="K94" s="446"/>
      <c r="L94" s="446"/>
      <c r="M94" s="446"/>
      <c r="N94" s="446"/>
      <c r="O94" s="446"/>
      <c r="P94" s="446"/>
      <c r="Q94" s="446"/>
      <c r="R94" s="446"/>
      <c r="S94" s="446"/>
      <c r="T94" s="442"/>
      <c r="U94" s="442"/>
      <c r="V94" s="717"/>
      <c r="W94" s="442"/>
      <c r="X94" s="446"/>
      <c r="Y94" s="446"/>
      <c r="Z94" s="442"/>
      <c r="AA94" s="442"/>
      <c r="AB94" s="722"/>
      <c r="AC94" s="476"/>
      <c r="AD94" s="442"/>
      <c r="AE94" s="442"/>
      <c r="AF94" s="442"/>
      <c r="AG94" s="446"/>
      <c r="AH94" s="446"/>
      <c r="AI94" s="722"/>
      <c r="AJ94" s="722"/>
      <c r="AK94" s="722"/>
      <c r="AL94" s="442"/>
      <c r="AM94" s="446"/>
      <c r="AN94" s="446"/>
      <c r="AO94" s="442"/>
      <c r="AP94" s="442"/>
      <c r="AQ94" s="446"/>
      <c r="AR94" s="446"/>
      <c r="AS94" s="446"/>
      <c r="AT94" s="446"/>
      <c r="AU94" s="761">
        <f>AU83/'RR SUMMARY'!E26</f>
        <v>3.4076598248647949E-2</v>
      </c>
      <c r="AV94" s="446"/>
      <c r="AW94" s="446"/>
      <c r="AX94" s="442"/>
      <c r="AY94" s="442"/>
      <c r="AZ94" s="442"/>
      <c r="BA94" s="442"/>
      <c r="BB94" s="442"/>
      <c r="BC94" s="442"/>
      <c r="BD94" s="446"/>
      <c r="BE94" s="442"/>
      <c r="BF94" s="817">
        <f>SUM(AP81:AZ81)</f>
        <v>212666.13703472001</v>
      </c>
      <c r="BG94" s="442"/>
      <c r="BH94" s="442"/>
    </row>
    <row r="95" spans="1:63">
      <c r="AV95" s="751" t="s">
        <v>810</v>
      </c>
      <c r="AW95" s="751" t="s">
        <v>810</v>
      </c>
    </row>
    <row r="96" spans="1:63">
      <c r="AM96" s="435">
        <f>AK83+AM83+AN83</f>
        <v>4044.6898823504489</v>
      </c>
      <c r="AV96" s="442">
        <f>SUM(AP83:AT83)</f>
        <v>17212.324933072417</v>
      </c>
      <c r="AW96" s="442">
        <f>SUM(AQ83:AU83)</f>
        <v>32216.530119397215</v>
      </c>
      <c r="BF96" s="437">
        <f>SUM(AP83:AZ83)</f>
        <v>42044.486967992416</v>
      </c>
    </row>
    <row r="98" spans="42:42">
      <c r="AP98" s="663"/>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3">
    <mergeCell ref="BK39:BK40"/>
    <mergeCell ref="D1:E1"/>
    <mergeCell ref="M4:M5"/>
    <mergeCell ref="AB4:AB5"/>
    <mergeCell ref="AH4:AH5"/>
    <mergeCell ref="AK3:AK5"/>
    <mergeCell ref="AL4:AL5"/>
    <mergeCell ref="AN4:AN5"/>
    <mergeCell ref="AP4:AP5"/>
    <mergeCell ref="AQ4:AQ5"/>
    <mergeCell ref="AR4:AR5"/>
    <mergeCell ref="BB4:BB5"/>
    <mergeCell ref="AS4:AS5"/>
    <mergeCell ref="AZ4:BA5"/>
    <mergeCell ref="F4:K5"/>
    <mergeCell ref="F1:M1"/>
    <mergeCell ref="AX1:AY3"/>
    <mergeCell ref="AT4:AT5"/>
    <mergeCell ref="AU4:AU5"/>
    <mergeCell ref="AX4:AY5"/>
    <mergeCell ref="AV4:AW5"/>
    <mergeCell ref="AO2:AO5"/>
    <mergeCell ref="AD3:AE5"/>
  </mergeCells>
  <phoneticPr fontId="0" type="noConversion"/>
  <hyperlinks>
    <hyperlink ref="J10" location="BandO!A1" display="t" xr:uid="{00000000-0004-0000-0400-000000000000}"/>
  </hyperlinks>
  <pageMargins left="0.7" right="0.51" top="1" bottom="0.5" header="0.5" footer="0.5"/>
  <pageSetup scale="66" firstPageNumber="4" fitToWidth="7" orientation="portrait" r:id="rId3"/>
  <headerFooter scaleWithDoc="0" alignWithMargins="0">
    <oddHeader xml:space="preserve">&amp;R Exh. EMA-8
</oddHeader>
    <oddFooter>&amp;RPage &amp;P of &amp;N</oddFooter>
  </headerFooter>
  <colBreaks count="7" manualBreakCount="7">
    <brk id="13" max="83" man="1"/>
    <brk id="21" max="83" man="1"/>
    <brk id="29" max="83" man="1"/>
    <brk id="37" max="83" man="1"/>
    <brk id="45" max="83" man="1"/>
    <brk id="51" max="83" man="1"/>
    <brk id="55" max="83" man="1"/>
  </colBreaks>
  <ignoredErrors>
    <ignoredError sqref="AR8 AT8 BC8" numberStoredAsText="1"/>
  </ignoredErrors>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M69"/>
  <sheetViews>
    <sheetView view="pageBreakPreview" topLeftCell="A37" zoomScaleNormal="100" zoomScaleSheetLayoutView="100" workbookViewId="0">
      <selection activeCell="E56" sqref="E56"/>
    </sheetView>
  </sheetViews>
  <sheetFormatPr defaultColWidth="11.42578125" defaultRowHeight="12.75"/>
  <cols>
    <col min="1" max="1" width="11.42578125" style="25" customWidth="1"/>
    <col min="2" max="2" width="12.140625" style="25" customWidth="1"/>
    <col min="3" max="3" width="41.5703125" style="25" customWidth="1"/>
    <col min="4" max="4" width="9.5703125" style="253" customWidth="1"/>
    <col min="5" max="5" width="10.85546875" style="253" customWidth="1"/>
    <col min="6" max="6" width="8" style="53" customWidth="1"/>
    <col min="7" max="7" width="0.42578125" style="695" hidden="1" customWidth="1"/>
    <col min="8" max="8" width="12.140625" style="365" hidden="1" customWidth="1"/>
    <col min="9" max="9" width="9.42578125" style="384" hidden="1" customWidth="1"/>
    <col min="10" max="10" width="13" style="25" hidden="1" customWidth="1"/>
    <col min="11" max="16384" width="11.42578125" style="25"/>
  </cols>
  <sheetData>
    <row r="1" spans="1:13">
      <c r="A1" s="993" t="str">
        <f>'ADJ DETAIL-INPUT'!A2</f>
        <v xml:space="preserve">AVISTA UTILITIES  </v>
      </c>
      <c r="B1" s="993"/>
      <c r="C1" s="993"/>
      <c r="D1" s="993"/>
      <c r="E1" s="993"/>
      <c r="F1" s="993"/>
    </row>
    <row r="2" spans="1:13">
      <c r="A2" s="1009" t="s">
        <v>77</v>
      </c>
      <c r="B2" s="1009"/>
      <c r="C2" s="1009"/>
      <c r="D2" s="1009"/>
      <c r="E2" s="1009"/>
      <c r="F2" s="1009"/>
    </row>
    <row r="3" spans="1:13">
      <c r="A3" s="1009" t="s">
        <v>78</v>
      </c>
      <c r="B3" s="1009"/>
      <c r="C3" s="1009"/>
      <c r="D3" s="1009"/>
      <c r="E3" s="1009"/>
      <c r="F3" s="1009"/>
    </row>
    <row r="4" spans="1:13">
      <c r="A4" s="1010" t="str">
        <f>'ADJ DETAIL-INPUT'!A4</f>
        <v>TWELVE MONTHS ENDED DECEMBER 31, 2019</v>
      </c>
      <c r="B4" s="1010"/>
      <c r="C4" s="1010"/>
      <c r="D4" s="1010"/>
      <c r="E4" s="1010"/>
      <c r="F4" s="1010"/>
    </row>
    <row r="5" spans="1:13" ht="5.25" customHeight="1"/>
    <row r="7" spans="1:13">
      <c r="D7" s="254"/>
      <c r="E7" s="255" t="s">
        <v>78</v>
      </c>
      <c r="F7" s="54"/>
      <c r="G7" s="747" t="s">
        <v>253</v>
      </c>
      <c r="H7" s="366" t="s">
        <v>252</v>
      </c>
      <c r="J7" s="25" t="s">
        <v>585</v>
      </c>
    </row>
    <row r="8" spans="1:13">
      <c r="A8" s="31" t="s">
        <v>79</v>
      </c>
      <c r="B8" s="356" t="s">
        <v>562</v>
      </c>
      <c r="C8" s="54" t="s">
        <v>140</v>
      </c>
      <c r="D8" s="255" t="s">
        <v>81</v>
      </c>
      <c r="E8" s="255" t="s">
        <v>24</v>
      </c>
      <c r="F8" s="54" t="s">
        <v>82</v>
      </c>
      <c r="H8" s="25"/>
      <c r="K8" s="146"/>
      <c r="L8" s="146"/>
    </row>
    <row r="9" spans="1:13">
      <c r="A9" s="189" t="s">
        <v>647</v>
      </c>
      <c r="B9" s="189"/>
      <c r="C9" s="59"/>
      <c r="D9" s="256"/>
      <c r="E9" s="256"/>
      <c r="F9" s="59"/>
      <c r="I9" s="385" t="s">
        <v>253</v>
      </c>
      <c r="K9" s="146"/>
      <c r="L9" s="146"/>
    </row>
    <row r="10" spans="1:13">
      <c r="A10" s="241">
        <f>'ADJ DETAIL-INPUT'!E$10</f>
        <v>1</v>
      </c>
      <c r="B10" s="364" t="str">
        <f>'ADJ DETAIL-INPUT'!E$11</f>
        <v>E-ROO</v>
      </c>
      <c r="C10" s="35" t="str">
        <f>TRIM(CONCATENATE('ADJ DETAIL-INPUT'!E$7," ",'ADJ DETAIL-INPUT'!E$8," ",'ADJ DETAIL-INPUT'!E$9))</f>
        <v>Results of Operations</v>
      </c>
      <c r="D10" s="262">
        <f>'ADJ DETAIL-INPUT'!E$57</f>
        <v>115023</v>
      </c>
      <c r="E10" s="262">
        <f>'ADJ DETAIL-INPUT'!E$81</f>
        <v>1710135</v>
      </c>
      <c r="F10" s="199">
        <f>D10/E10</f>
        <v>6.7259602312098168E-2</v>
      </c>
      <c r="H10" s="182" t="s">
        <v>254</v>
      </c>
      <c r="J10" s="762" t="s">
        <v>718</v>
      </c>
      <c r="K10" s="146"/>
      <c r="L10" s="146"/>
    </row>
    <row r="11" spans="1:13" s="50" customFormat="1">
      <c r="A11" s="241">
        <f>'ADJ DETAIL-INPUT'!F$10</f>
        <v>1.01</v>
      </c>
      <c r="B11" s="364" t="str">
        <f>'ADJ DETAIL-INPUT'!F$11</f>
        <v>E-DFIT</v>
      </c>
      <c r="C11" s="35" t="str">
        <f>TRIM(CONCATENATE('ADJ DETAIL-INPUT'!F$7," ",'ADJ DETAIL-INPUT'!F$8," ",'ADJ DETAIL-INPUT'!F$9))</f>
        <v>Deferred FIT Rate Base</v>
      </c>
      <c r="D11" s="99">
        <f>'ADJ DETAIL-INPUT'!F$57</f>
        <v>0.24477599999999999</v>
      </c>
      <c r="E11" s="99">
        <f>'ADJ DETAIL-INPUT'!F$81</f>
        <v>47</v>
      </c>
      <c r="F11" s="129"/>
      <c r="G11" s="695"/>
      <c r="H11" s="182" t="s">
        <v>254</v>
      </c>
      <c r="J11" s="762" t="s">
        <v>718</v>
      </c>
      <c r="K11" s="149"/>
      <c r="L11" s="149"/>
    </row>
    <row r="12" spans="1:13" s="50" customFormat="1">
      <c r="A12" s="241">
        <f>'ADJ DETAIL-INPUT'!G$10</f>
        <v>1.02</v>
      </c>
      <c r="B12" s="364" t="str">
        <f>'ADJ DETAIL-INPUT'!G$11</f>
        <v>E-DDC</v>
      </c>
      <c r="C12" s="35" t="str">
        <f>TRIM(CONCATENATE('ADJ DETAIL-INPUT'!G$7," ",'ADJ DETAIL-INPUT'!G$8," ",'ADJ DETAIL-INPUT'!G$9))</f>
        <v>Deferred Debits and Credits</v>
      </c>
      <c r="D12" s="99">
        <f>'ADJ DETAIL-INPUT'!G$57</f>
        <v>-45.024792000000005</v>
      </c>
      <c r="E12" s="99">
        <f>'ADJ DETAIL-INPUT'!G$81</f>
        <v>1</v>
      </c>
      <c r="F12" s="129"/>
      <c r="G12" s="706"/>
      <c r="H12" s="182" t="s">
        <v>661</v>
      </c>
      <c r="J12" s="762" t="s">
        <v>718</v>
      </c>
      <c r="K12" s="149"/>
      <c r="L12" s="149"/>
    </row>
    <row r="13" spans="1:13" s="127" customFormat="1">
      <c r="A13" s="241">
        <f>'ADJ DETAIL-INPUT'!H$10</f>
        <v>1.03</v>
      </c>
      <c r="B13" s="364" t="str">
        <f>'ADJ DETAIL-INPUT'!H$11</f>
        <v xml:space="preserve">E-WC </v>
      </c>
      <c r="C13" s="35" t="str">
        <f>TRIM(CONCATENATE('ADJ DETAIL-INPUT'!H$7," ",'ADJ DETAIL-INPUT'!H$8," ",'ADJ DETAIL-INPUT'!H$9))</f>
        <v>Working Capital</v>
      </c>
      <c r="D13" s="99">
        <f>'ADJ DETAIL-INPUT'!H$57</f>
        <v>-19.540416</v>
      </c>
      <c r="E13" s="207">
        <f>'ADJ DETAIL-INPUT'!H$81</f>
        <v>-3752</v>
      </c>
      <c r="F13" s="128"/>
      <c r="G13" s="695"/>
      <c r="H13" s="182" t="s">
        <v>254</v>
      </c>
      <c r="J13" s="762" t="s">
        <v>718</v>
      </c>
      <c r="K13" s="150"/>
      <c r="L13" s="150"/>
    </row>
    <row r="14" spans="1:13" s="127" customFormat="1">
      <c r="A14" s="241">
        <f>'ADJ DETAIL-INPUT'!I$10</f>
        <v>1.04</v>
      </c>
      <c r="B14" s="364" t="str">
        <f>'ADJ DETAIL-INPUT'!I$11</f>
        <v>E-AMI</v>
      </c>
      <c r="C14" s="35" t="str">
        <f>TRIM(CONCATENATE('ADJ DETAIL-INPUT'!I$7," ",'ADJ DETAIL-INPUT'!I$8," ",'ADJ DETAIL-INPUT'!I$9))</f>
        <v>Remove AMI Rate Base</v>
      </c>
      <c r="D14" s="99">
        <f>'ADJ DETAIL-INPUT'!I$57</f>
        <v>-251.483904</v>
      </c>
      <c r="E14" s="207">
        <f>'ADJ DETAIL-INPUT'!I$81</f>
        <v>-48288</v>
      </c>
      <c r="F14" s="128"/>
      <c r="G14" s="695"/>
      <c r="H14" s="182" t="s">
        <v>254</v>
      </c>
      <c r="J14" s="762" t="s">
        <v>718</v>
      </c>
      <c r="K14" s="150"/>
      <c r="L14" s="150"/>
    </row>
    <row r="15" spans="1:13" s="44" customFormat="1">
      <c r="A15" s="241">
        <f>'ADJ DETAIL-INPUT'!J$10</f>
        <v>2.0099999999999998</v>
      </c>
      <c r="B15" s="364" t="str">
        <f>'ADJ DETAIL-INPUT'!J$11</f>
        <v>E-EBO</v>
      </c>
      <c r="C15" s="35" t="str">
        <f>TRIM(CONCATENATE('ADJ DETAIL-INPUT'!J$7," ",'ADJ DETAIL-INPUT'!J$8," ",'ADJ DETAIL-INPUT'!J$9))</f>
        <v>Eliminate B &amp; O Taxes</v>
      </c>
      <c r="D15" s="99">
        <f>'ADJ DETAIL-INPUT'!J$57</f>
        <v>-63.2</v>
      </c>
      <c r="E15" s="99">
        <f>'ADJ DETAIL-INPUT'!J$81</f>
        <v>0</v>
      </c>
      <c r="F15" s="53"/>
      <c r="G15" s="695"/>
      <c r="H15" s="182" t="s">
        <v>618</v>
      </c>
      <c r="J15" s="762" t="s">
        <v>718</v>
      </c>
    </row>
    <row r="16" spans="1:13" s="44" customFormat="1">
      <c r="A16" s="241">
        <f>'ADJ DETAIL-INPUT'!K$10</f>
        <v>2.0199999999999996</v>
      </c>
      <c r="B16" s="364" t="str">
        <f>'ADJ DETAIL-INPUT'!K$11</f>
        <v>E-RPT</v>
      </c>
      <c r="C16" s="35" t="str">
        <f>TRIM(CONCATENATE('ADJ DETAIL-INPUT'!K$7," ",'ADJ DETAIL-INPUT'!K$8," ",'ADJ DETAIL-INPUT'!K$9))</f>
        <v>Restate Property Tax</v>
      </c>
      <c r="D16" s="99">
        <f>'ADJ DETAIL-INPUT'!K$57</f>
        <v>-790.79</v>
      </c>
      <c r="E16" s="99">
        <f>'ADJ DETAIL-INPUT'!K$81</f>
        <v>0</v>
      </c>
      <c r="F16" s="53"/>
      <c r="G16" s="695"/>
      <c r="H16" s="182" t="s">
        <v>254</v>
      </c>
      <c r="J16" s="762" t="s">
        <v>718</v>
      </c>
      <c r="K16" s="159"/>
      <c r="L16" s="159"/>
      <c r="M16" s="159"/>
    </row>
    <row r="17" spans="1:10" s="44" customFormat="1">
      <c r="A17" s="241">
        <f>'ADJ DETAIL-INPUT'!L$10</f>
        <v>2.0299999999999994</v>
      </c>
      <c r="B17" s="364" t="str">
        <f>'ADJ DETAIL-INPUT'!L$11</f>
        <v>E-UE</v>
      </c>
      <c r="C17" s="35" t="str">
        <f>TRIM(CONCATENATE('ADJ DETAIL-INPUT'!L$7," ",'ADJ DETAIL-INPUT'!L$8," ",'ADJ DETAIL-INPUT'!L$9))</f>
        <v>Uncollect. Expense</v>
      </c>
      <c r="D17" s="99">
        <f>'ADJ DETAIL-INPUT'!L$57</f>
        <v>-1135.23</v>
      </c>
      <c r="E17" s="99">
        <f>'ADJ DETAIL-INPUT'!L$81</f>
        <v>0</v>
      </c>
      <c r="F17" s="53"/>
      <c r="G17" s="706"/>
      <c r="H17" s="477" t="s">
        <v>661</v>
      </c>
      <c r="I17" s="159"/>
      <c r="J17" s="746" t="s">
        <v>718</v>
      </c>
    </row>
    <row r="18" spans="1:10" s="44" customFormat="1">
      <c r="A18" s="241">
        <f>'ADJ DETAIL-INPUT'!M$10</f>
        <v>2.0399999999999991</v>
      </c>
      <c r="B18" s="364" t="str">
        <f>'ADJ DETAIL-INPUT'!M$11</f>
        <v>E-RE</v>
      </c>
      <c r="C18" s="35" t="str">
        <f>TRIM(CONCATENATE('ADJ DETAIL-INPUT'!M$7," ",'ADJ DETAIL-INPUT'!M$8," ",'ADJ DETAIL-INPUT'!M$9))</f>
        <v>Regulatory Expense</v>
      </c>
      <c r="D18" s="99">
        <f>'ADJ DETAIL-INPUT'!M$57</f>
        <v>-29.23</v>
      </c>
      <c r="E18" s="99">
        <f>'ADJ DETAIL-INPUT'!M$81</f>
        <v>0</v>
      </c>
      <c r="F18" s="53"/>
      <c r="G18" s="695"/>
      <c r="H18" s="182" t="s">
        <v>661</v>
      </c>
      <c r="J18" s="762" t="s">
        <v>718</v>
      </c>
    </row>
    <row r="19" spans="1:10" s="44" customFormat="1">
      <c r="A19" s="241">
        <f>'ADJ DETAIL-INPUT'!N$10</f>
        <v>2.0499999999999989</v>
      </c>
      <c r="B19" s="364" t="str">
        <f>'ADJ DETAIL-INPUT'!N$11</f>
        <v>E-ID</v>
      </c>
      <c r="C19" s="35" t="str">
        <f>TRIM(CONCATENATE('ADJ DETAIL-INPUT'!N$7," ",'ADJ DETAIL-INPUT'!N$8," ",'ADJ DETAIL-INPUT'!N$9))</f>
        <v>Injuries and Damages</v>
      </c>
      <c r="D19" s="99">
        <f>'ADJ DETAIL-INPUT'!N$57</f>
        <v>-40.29</v>
      </c>
      <c r="E19" s="99">
        <f>'ADJ DETAIL-INPUT'!N$81</f>
        <v>0</v>
      </c>
      <c r="F19" s="53"/>
      <c r="G19" s="695"/>
      <c r="H19" s="182" t="s">
        <v>661</v>
      </c>
      <c r="J19" s="762" t="s">
        <v>718</v>
      </c>
    </row>
    <row r="20" spans="1:10" s="127" customFormat="1">
      <c r="A20" s="241">
        <f>'ADJ DETAIL-INPUT'!O$10</f>
        <v>2.0599999999999987</v>
      </c>
      <c r="B20" s="364" t="str">
        <f>'ADJ DETAIL-INPUT'!O$11</f>
        <v xml:space="preserve">E-FIT </v>
      </c>
      <c r="C20" s="35" t="str">
        <f>TRIM(CONCATENATE('ADJ DETAIL-INPUT'!O$7," ",'ADJ DETAIL-INPUT'!O$8," ",'ADJ DETAIL-INPUT'!O$9))</f>
        <v>FIT/DFIT/ ITC Expense</v>
      </c>
      <c r="D20" s="207">
        <f>'ADJ DETAIL-INPUT'!O$57</f>
        <v>3</v>
      </c>
      <c r="E20" s="99">
        <f>'ADJ DETAIL-INPUT'!O$81</f>
        <v>0</v>
      </c>
      <c r="F20" s="128"/>
      <c r="G20" s="695"/>
      <c r="H20" s="182" t="s">
        <v>618</v>
      </c>
      <c r="I20" s="182"/>
      <c r="J20" s="762" t="s">
        <v>718</v>
      </c>
    </row>
    <row r="21" spans="1:10">
      <c r="A21" s="241">
        <f>'ADJ DETAIL-INPUT'!P$10</f>
        <v>2.0699999999999985</v>
      </c>
      <c r="B21" s="364" t="str">
        <f>'ADJ DETAIL-INPUT'!P$11</f>
        <v>E-OSC</v>
      </c>
      <c r="C21" s="35" t="str">
        <f>TRIM(CONCATENATE('ADJ DETAIL-INPUT'!P$7," ",'ADJ DETAIL-INPUT'!P$8," ",'ADJ DETAIL-INPUT'!P$9))</f>
        <v>Office Space Charges to Non-Utility</v>
      </c>
      <c r="D21" s="99">
        <f>'ADJ DETAIL-INPUT'!P$57</f>
        <v>41.08</v>
      </c>
      <c r="E21" s="99">
        <f>'ADJ DETAIL-INPUT'!P$81</f>
        <v>0</v>
      </c>
      <c r="H21" s="182" t="s">
        <v>661</v>
      </c>
      <c r="J21" s="762" t="s">
        <v>718</v>
      </c>
    </row>
    <row r="22" spans="1:10" s="127" customFormat="1">
      <c r="A22" s="241">
        <f>'ADJ DETAIL-INPUT'!Q$10</f>
        <v>2.0799999999999983</v>
      </c>
      <c r="B22" s="364" t="str">
        <f>'ADJ DETAIL-INPUT'!Q$11</f>
        <v>E-RET</v>
      </c>
      <c r="C22" s="35" t="str">
        <f>TRIM(CONCATENATE('ADJ DETAIL-INPUT'!Q$7," ",'ADJ DETAIL-INPUT'!Q$8," ",'ADJ DETAIL-INPUT'!Q$9))</f>
        <v>Restate Excise Taxes</v>
      </c>
      <c r="D22" s="99">
        <f>'ADJ DETAIL-INPUT'!Q$57</f>
        <v>-26.86</v>
      </c>
      <c r="E22" s="99">
        <f>'ADJ DETAIL-INPUT'!Q$81</f>
        <v>0</v>
      </c>
      <c r="F22" s="129"/>
      <c r="G22" s="695"/>
      <c r="H22" s="182" t="s">
        <v>618</v>
      </c>
      <c r="J22" s="762" t="s">
        <v>718</v>
      </c>
    </row>
    <row r="23" spans="1:10" s="127" customFormat="1">
      <c r="A23" s="241">
        <f>'ADJ DETAIL-INPUT'!R$10</f>
        <v>2.0899999999999981</v>
      </c>
      <c r="B23" s="364" t="str">
        <f>'ADJ DETAIL-INPUT'!R$11</f>
        <v>E-NGL</v>
      </c>
      <c r="C23" s="35" t="str">
        <f>TRIM(CONCATENATE('ADJ DETAIL-INPUT'!R$7," ",'ADJ DETAIL-INPUT'!R$8," ",'ADJ DETAIL-INPUT'!R$9))</f>
        <v>Net Gains &amp; Losses</v>
      </c>
      <c r="D23" s="99">
        <f>'ADJ DETAIL-INPUT'!R$57</f>
        <v>45.82</v>
      </c>
      <c r="E23" s="99">
        <f>'ADJ DETAIL-INPUT'!R$81</f>
        <v>0</v>
      </c>
      <c r="F23" s="129"/>
      <c r="G23" s="695"/>
      <c r="H23" s="182" t="s">
        <v>661</v>
      </c>
      <c r="J23" s="762" t="s">
        <v>718</v>
      </c>
    </row>
    <row r="24" spans="1:10">
      <c r="A24" s="241">
        <f>'ADJ DETAIL-INPUT'!S$10</f>
        <v>2.0999999999999979</v>
      </c>
      <c r="B24" s="364" t="str">
        <f>'ADJ DETAIL-INPUT'!S$11</f>
        <v>E-WN</v>
      </c>
      <c r="C24" s="35" t="str">
        <f>TRIM(CONCATENATE('ADJ DETAIL-INPUT'!S$7," ",'ADJ DETAIL-INPUT'!S$8," ",'ADJ DETAIL-INPUT'!S$9))</f>
        <v>Weather Normalization</v>
      </c>
      <c r="D24" s="99">
        <f>'ADJ DETAIL-INPUT'!S$57</f>
        <v>-619.36</v>
      </c>
      <c r="E24" s="99">
        <f>'ADJ DETAIL-INPUT'!S$81</f>
        <v>0</v>
      </c>
      <c r="F24" s="58"/>
      <c r="H24" s="182" t="s">
        <v>618</v>
      </c>
      <c r="J24" s="762" t="s">
        <v>718</v>
      </c>
    </row>
    <row r="25" spans="1:10" s="127" customFormat="1">
      <c r="A25" s="241">
        <f>'ADJ DETAIL-INPUT'!T$10</f>
        <v>2.1099999999999977</v>
      </c>
      <c r="B25" s="364" t="str">
        <f>'ADJ DETAIL-INPUT'!T$11</f>
        <v>E-EAS</v>
      </c>
      <c r="C25" s="35" t="str">
        <f>TRIM(CONCATENATE('ADJ DETAIL-INPUT'!T$7," ",'ADJ DETAIL-INPUT'!T$8," ",'ADJ DETAIL-INPUT'!T$9))</f>
        <v>Eliminate Adder Schedules</v>
      </c>
      <c r="D25" s="207">
        <f>'ADJ DETAIL-INPUT'!T$57</f>
        <v>-1103.6300000000001</v>
      </c>
      <c r="E25" s="99">
        <f>'ADJ DETAIL-INPUT'!U$81</f>
        <v>0</v>
      </c>
      <c r="F25" s="128"/>
      <c r="G25" s="706"/>
      <c r="H25" s="182" t="s">
        <v>717</v>
      </c>
      <c r="J25" s="762" t="s">
        <v>718</v>
      </c>
    </row>
    <row r="26" spans="1:10" s="127" customFormat="1">
      <c r="A26" s="241">
        <f>'ADJ DETAIL-INPUT'!U$10</f>
        <v>2.1199999999999974</v>
      </c>
      <c r="B26" s="364" t="str">
        <f>'ADJ DETAIL-INPUT'!U$11</f>
        <v>E-MR</v>
      </c>
      <c r="C26" s="35" t="str">
        <f>TRIM(CONCATENATE('ADJ DETAIL-INPUT'!U$7," ",'ADJ DETAIL-INPUT'!U$8," ",'ADJ DETAIL-INPUT'!U$9))</f>
        <v>Misc. Restating Non-Util / Non- Recurring Expenses</v>
      </c>
      <c r="D26" s="207">
        <f>'ADJ DETAIL-INPUT'!U$57</f>
        <v>966.96</v>
      </c>
      <c r="E26" s="99">
        <f>'ADJ DETAIL-INPUT'!U$81</f>
        <v>0</v>
      </c>
      <c r="F26" s="128"/>
      <c r="H26" s="182" t="s">
        <v>661</v>
      </c>
      <c r="J26" s="762" t="s">
        <v>718</v>
      </c>
    </row>
    <row r="27" spans="1:10" s="44" customFormat="1">
      <c r="A27" s="241">
        <f>'ADJ DETAIL-INPUT'!V$10</f>
        <v>2.1299999999999972</v>
      </c>
      <c r="B27" s="364" t="str">
        <f>'ADJ DETAIL-INPUT'!V$11</f>
        <v>E-RI</v>
      </c>
      <c r="C27" s="35" t="str">
        <f>TRIM(CONCATENATE('ADJ DETAIL-INPUT'!V$7," ",'ADJ DETAIL-INPUT'!V$8," ",'ADJ DETAIL-INPUT'!V$9))</f>
        <v>Restating Incentives</v>
      </c>
      <c r="D27" s="99">
        <f>'ADJ DETAIL-INPUT'!V$57</f>
        <v>-594.87</v>
      </c>
      <c r="E27" s="99">
        <f>'ADJ DETAIL-INPUT'!V$81</f>
        <v>0</v>
      </c>
      <c r="F27" s="53"/>
      <c r="G27" s="706"/>
      <c r="H27" s="182" t="s">
        <v>265</v>
      </c>
      <c r="J27" s="762" t="s">
        <v>718</v>
      </c>
    </row>
    <row r="28" spans="1:10" s="150" customFormat="1">
      <c r="A28" s="242">
        <f>'ADJ DETAIL-INPUT'!W$10</f>
        <v>2.139999999999997</v>
      </c>
      <c r="B28" s="364" t="str">
        <f>'ADJ DETAIL-INPUT'!W$11</f>
        <v>E-RDI</v>
      </c>
      <c r="C28" s="192" t="str">
        <f>TRIM(CONCATENATE('ADJ DETAIL-INPUT'!W$7," ",'ADJ DETAIL-INPUT'!W$8," ",'ADJ DETAIL-INPUT'!W$9))</f>
        <v>Restate Debt Interest</v>
      </c>
      <c r="D28" s="162">
        <f>'ADJ DETAIL-INPUT'!W$57</f>
        <v>-934</v>
      </c>
      <c r="E28" s="162">
        <f>'ADJ DETAIL-INPUT'!W$81</f>
        <v>0</v>
      </c>
      <c r="F28" s="152"/>
      <c r="H28" s="182" t="s">
        <v>718</v>
      </c>
      <c r="I28" s="182"/>
      <c r="J28" s="766" t="s">
        <v>718</v>
      </c>
    </row>
    <row r="29" spans="1:10" s="44" customFormat="1">
      <c r="A29" s="241">
        <f>'ADJ DETAIL-INPUT'!X$10</f>
        <v>2.1499999999999968</v>
      </c>
      <c r="B29" s="364" t="str">
        <f>'ADJ DETAIL-INPUT'!X$11</f>
        <v>E-EWPC</v>
      </c>
      <c r="C29" s="35" t="str">
        <f>TRIM(CONCATENATE('ADJ DETAIL-INPUT'!X$7," ",'ADJ DETAIL-INPUT'!X$8," ",'ADJ DETAIL-INPUT'!X$9))</f>
        <v>Eliminate WA Power Cost Defer</v>
      </c>
      <c r="D29" s="99">
        <f>'ADJ DETAIL-INPUT'!X$57</f>
        <v>1074</v>
      </c>
      <c r="E29" s="99">
        <f>'ADJ DETAIL-INPUT'!X$81</f>
        <v>0</v>
      </c>
      <c r="F29" s="53"/>
      <c r="G29" s="706"/>
      <c r="H29" s="182" t="s">
        <v>265</v>
      </c>
      <c r="J29" s="762" t="s">
        <v>718</v>
      </c>
    </row>
    <row r="30" spans="1:10" s="44" customFormat="1">
      <c r="A30" s="241">
        <f>'ADJ DETAIL-INPUT'!Y$10</f>
        <v>2.1599999999999966</v>
      </c>
      <c r="B30" s="364" t="str">
        <f>'ADJ DETAIL-INPUT'!Y$11</f>
        <v>E-NPS</v>
      </c>
      <c r="C30" s="35" t="str">
        <f>TRIM(CONCATENATE('ADJ DETAIL-INPUT'!Y$7," ",'ADJ DETAIL-INPUT'!Y$8," ",'ADJ DETAIL-INPUT'!Y$9))</f>
        <v>Nez Perce Settlement Adjustment</v>
      </c>
      <c r="D30" s="99">
        <f>'ADJ DETAIL-INPUT'!Y$57</f>
        <v>3.95</v>
      </c>
      <c r="E30" s="99">
        <f>'ADJ DETAIL-INPUT'!Y$81</f>
        <v>0</v>
      </c>
      <c r="F30" s="53"/>
      <c r="G30" s="695"/>
      <c r="H30" s="182" t="s">
        <v>661</v>
      </c>
      <c r="J30" s="762" t="s">
        <v>718</v>
      </c>
    </row>
    <row r="31" spans="1:10" s="146" customFormat="1">
      <c r="A31" s="406">
        <f>'ADJ DETAIL-INPUT'!Z$10</f>
        <v>2.1699999999999964</v>
      </c>
      <c r="B31" s="380" t="str">
        <f>'ADJ DETAIL-INPUT'!Z$11</f>
        <v>E-PMM</v>
      </c>
      <c r="C31" s="381" t="str">
        <f>TRIM(CONCATENATE('ADJ DETAIL-INPUT'!Z$7," ",'ADJ DETAIL-INPUT'!Z$8," ",'ADJ DETAIL-INPUT'!Z$9))</f>
        <v>Normalize CS2/Colstrip Major Maint</v>
      </c>
      <c r="D31" s="198">
        <f>'ADJ DETAIL-INPUT'!Z$57</f>
        <v>731.54</v>
      </c>
      <c r="E31" s="429">
        <f>'ADJ DETAIL-INPUT'!Z$81</f>
        <v>0</v>
      </c>
      <c r="F31" s="407"/>
      <c r="G31" s="695"/>
      <c r="H31" s="182" t="s">
        <v>254</v>
      </c>
      <c r="J31" s="762" t="s">
        <v>718</v>
      </c>
    </row>
    <row r="32" spans="1:10" s="127" customFormat="1">
      <c r="A32" s="242">
        <f>'ADJ DETAIL-INPUT'!AA$10</f>
        <v>2.1799999999999962</v>
      </c>
      <c r="B32" s="364" t="str">
        <f>'ADJ DETAIL-INPUT'!AA$11</f>
        <v>E-APS</v>
      </c>
      <c r="C32" s="192" t="str">
        <f>TRIM(CONCATENATE('ADJ DETAIL-INPUT'!AA$7," ",'ADJ DETAIL-INPUT'!AA$8," ",'ADJ DETAIL-INPUT'!AA$9))</f>
        <v>Authorized Power Supply</v>
      </c>
      <c r="D32" s="429">
        <f>'ADJ DETAIL-INPUT'!AA$57</f>
        <v>-4633.3500000000004</v>
      </c>
      <c r="E32" s="429">
        <f>'ADJ DETAIL-INPUT'!AA$81</f>
        <v>0</v>
      </c>
      <c r="F32" s="128"/>
      <c r="G32" s="706"/>
      <c r="H32" s="182" t="s">
        <v>265</v>
      </c>
      <c r="J32" s="763" t="s">
        <v>718</v>
      </c>
    </row>
    <row r="33" spans="1:10" s="127" customFormat="1">
      <c r="A33" s="241">
        <f>'ADJ DETAIL-INPUT'!AB$10</f>
        <v>2.1899999999999959</v>
      </c>
      <c r="B33" s="364" t="str">
        <f>'ADJ DETAIL-INPUT'!AB$11</f>
        <v>E-EOP19</v>
      </c>
      <c r="C33" s="35" t="str">
        <f>TRIM(CONCATENATE('ADJ DETAIL-INPUT'!AB$7," ",'ADJ DETAIL-INPUT'!AB$8," ",'ADJ DETAIL-INPUT'!AB$9))</f>
        <v>Restate 2019 AMA Rate Base to EOP</v>
      </c>
      <c r="D33" s="253">
        <f>'ADJ DETAIL-INPUT'!AB$57</f>
        <v>-2074.6903455720067</v>
      </c>
      <c r="E33" s="253">
        <f>'ADJ DETAIL-INPUT'!AB$81</f>
        <v>20145.862985405809</v>
      </c>
      <c r="F33" s="128"/>
      <c r="G33" s="706"/>
      <c r="H33" s="705" t="s">
        <v>774</v>
      </c>
      <c r="I33" s="25"/>
      <c r="J33" s="763" t="s">
        <v>718</v>
      </c>
    </row>
    <row r="34" spans="1:10" s="107" customFormat="1" ht="3.75" customHeight="1">
      <c r="A34" s="197"/>
      <c r="B34" s="197"/>
      <c r="C34" s="148"/>
      <c r="D34" s="388"/>
      <c r="E34" s="388"/>
      <c r="F34" s="156"/>
      <c r="G34" s="706"/>
      <c r="I34" s="25"/>
      <c r="J34" s="25"/>
    </row>
    <row r="35" spans="1:10" ht="13.5" thickBot="1">
      <c r="A35" s="40"/>
      <c r="B35" s="40"/>
      <c r="C35" s="146" t="s">
        <v>84</v>
      </c>
      <c r="D35" s="389">
        <f>SUM(D10:D34)</f>
        <v>105528.04531842803</v>
      </c>
      <c r="E35" s="389">
        <f>SUM(E10:E34)</f>
        <v>1678288.8629854058</v>
      </c>
      <c r="F35" s="171">
        <f>D35/E35</f>
        <v>6.2878356429482959E-2</v>
      </c>
      <c r="G35" s="706"/>
      <c r="I35" s="25"/>
    </row>
    <row r="36" spans="1:10" ht="13.5" thickTop="1">
      <c r="A36" s="190" t="s">
        <v>273</v>
      </c>
      <c r="B36" s="190"/>
      <c r="C36" s="146"/>
      <c r="D36" s="257"/>
      <c r="E36" s="258"/>
      <c r="F36" s="199"/>
      <c r="G36" s="706"/>
      <c r="I36" s="25"/>
    </row>
    <row r="37" spans="1:10">
      <c r="A37" s="241" t="str">
        <f>'ADJ DETAIL-INPUT'!AD$10</f>
        <v>3.00P</v>
      </c>
      <c r="B37" s="364" t="str">
        <f>'ADJ DETAIL-INPUT'!AD$11</f>
        <v>E-PPS</v>
      </c>
      <c r="C37" s="35" t="str">
        <f>TRIM(CONCATENATE('ADJ DETAIL-INPUT'!AD$7," ",'ADJ DETAIL-INPUT'!AD$8," ",'ADJ DETAIL-INPUT'!AD$9))</f>
        <v>Pro Forma Power Supply</v>
      </c>
      <c r="D37" s="253">
        <f>'ADJ DETAIL-INPUT'!AD$57</f>
        <v>13453.5578</v>
      </c>
      <c r="E37" s="253">
        <f>'ADJ DETAIL-INPUT'!AD$81</f>
        <v>0</v>
      </c>
      <c r="H37" s="705" t="s">
        <v>265</v>
      </c>
      <c r="I37" s="182"/>
      <c r="J37" s="762" t="s">
        <v>718</v>
      </c>
    </row>
    <row r="38" spans="1:10">
      <c r="A38" s="241" t="str">
        <f>'ADJ DETAIL-INPUT'!AE$10</f>
        <v>3.00T</v>
      </c>
      <c r="B38" s="364" t="str">
        <f>'ADJ DETAIL-INPUT'!AE$11</f>
        <v>E-PTRAN</v>
      </c>
      <c r="C38" s="35" t="str">
        <f>TRIM(CONCATENATE('ADJ DETAIL-INPUT'!AE$7," ",'ADJ DETAIL-INPUT'!AE$8," ",'ADJ DETAIL-INPUT'!AE$9))</f>
        <v>Pro Forma Transmission Revenue/Expense</v>
      </c>
      <c r="D38" s="253">
        <f>'ADJ DETAIL-INPUT'!AE$57</f>
        <v>872.95</v>
      </c>
      <c r="E38" s="36">
        <f>'ADJ DETAIL-INPUT'!AE$81</f>
        <v>0</v>
      </c>
      <c r="H38" s="705" t="s">
        <v>718</v>
      </c>
      <c r="I38" s="182"/>
      <c r="J38" s="762" t="s">
        <v>718</v>
      </c>
    </row>
    <row r="39" spans="1:10">
      <c r="A39" s="241">
        <f>'ADJ DETAIL-INPUT'!AF$10</f>
        <v>3.01</v>
      </c>
      <c r="B39" s="364" t="str">
        <f>'ADJ DETAIL-INPUT'!AF$11</f>
        <v>E-PREV</v>
      </c>
      <c r="C39" s="35" t="str">
        <f>TRIM(CONCATENATE('ADJ DETAIL-INPUT'!AF$7," ",'ADJ DETAIL-INPUT'!AF$8," ",'ADJ DETAIL-INPUT'!AF$9))</f>
        <v>Pro Forma Revenue Normalization</v>
      </c>
      <c r="D39" s="253">
        <f>'ADJ DETAIL-INPUT'!AF$57</f>
        <v>10876.720000000001</v>
      </c>
      <c r="E39" s="36">
        <f>'ADJ DETAIL-INPUT'!AF$81</f>
        <v>0</v>
      </c>
      <c r="H39" s="705" t="s">
        <v>754</v>
      </c>
      <c r="I39" s="182"/>
      <c r="J39" s="762" t="s">
        <v>718</v>
      </c>
    </row>
    <row r="40" spans="1:10" s="146" customFormat="1">
      <c r="A40" s="242">
        <f>'ADJ DETAIL-INPUT'!AG$10</f>
        <v>3.0199999999999996</v>
      </c>
      <c r="B40" s="374" t="str">
        <f>'ADJ DETAIL-INPUT'!AG$11</f>
        <v>E-PRA</v>
      </c>
      <c r="C40" s="192" t="str">
        <f>TRIM(CONCATENATE('ADJ DETAIL-INPUT'!AG$7," ",'ADJ DETAIL-INPUT'!AG$8," ",'ADJ DETAIL-INPUT'!AG$9))</f>
        <v>Pro Forma Def. Debits, Credits &amp; Regulatory Amorts</v>
      </c>
      <c r="D40" s="262">
        <f>'ADJ DETAIL-INPUT'!AG$57</f>
        <v>1905.4406719999999</v>
      </c>
      <c r="E40" s="262">
        <f>'ADJ DETAIL-INPUT'!AG$81</f>
        <v>-766</v>
      </c>
      <c r="F40" s="156"/>
      <c r="H40" s="705" t="s">
        <v>661</v>
      </c>
      <c r="J40" s="762" t="s">
        <v>718</v>
      </c>
    </row>
    <row r="41" spans="1:10" s="146" customFormat="1">
      <c r="A41" s="242">
        <f>'ADJ DETAIL-INPUT'!AH$10</f>
        <v>3.0299999999999994</v>
      </c>
      <c r="B41" s="374" t="str">
        <f>'ADJ DETAIL-INPUT'!AH$11</f>
        <v>E-ARAM</v>
      </c>
      <c r="C41" s="192" t="str">
        <f>TRIM(CONCATENATE('ADJ DETAIL-INPUT'!AH$7," ",'ADJ DETAIL-INPUT'!AH$8," ",'ADJ DETAIL-INPUT'!AH$9))</f>
        <v>Pro Forma ARAM DFIT</v>
      </c>
      <c r="D41" s="175">
        <f>'ADJ DETAIL-INPUT'!AH$57</f>
        <v>485</v>
      </c>
      <c r="E41" s="262">
        <f>'ADJ DETAIL-INPUT'!AH$81</f>
        <v>0</v>
      </c>
      <c r="F41" s="156"/>
      <c r="G41" s="706"/>
      <c r="H41" s="705" t="s">
        <v>618</v>
      </c>
      <c r="J41" s="762" t="s">
        <v>718</v>
      </c>
    </row>
    <row r="42" spans="1:10" s="146" customFormat="1">
      <c r="A42" s="242">
        <f>'ADJ DETAIL-INPUT'!AI$10</f>
        <v>3.0399999999999991</v>
      </c>
      <c r="B42" s="364" t="str">
        <f>'ADJ DETAIL-INPUT'!AI$11</f>
        <v>E-PLN</v>
      </c>
      <c r="C42" s="192" t="str">
        <f>TRIM(CONCATENATE('ADJ DETAIL-INPUT'!AI$7," ",'ADJ DETAIL-INPUT'!AI$8," ",'ADJ DETAIL-INPUT'!AI$9))</f>
        <v>Pro Forma Labor Non-Exec</v>
      </c>
      <c r="D42" s="262">
        <f>'ADJ DETAIL-INPUT'!AI$57</f>
        <v>-2580.9300000000003</v>
      </c>
      <c r="E42" s="262">
        <f>'ADJ DETAIL-INPUT'!AI$81</f>
        <v>0</v>
      </c>
      <c r="F42" s="153"/>
      <c r="H42" s="705" t="s">
        <v>265</v>
      </c>
      <c r="I42" s="477"/>
      <c r="J42" s="762" t="s">
        <v>718</v>
      </c>
    </row>
    <row r="43" spans="1:10" s="146" customFormat="1">
      <c r="A43" s="242">
        <f>'ADJ DETAIL-INPUT'!AJ$10</f>
        <v>3.0499999999999989</v>
      </c>
      <c r="B43" s="374" t="str">
        <f>'ADJ DETAIL-INPUT'!AJ$11</f>
        <v>E-PLE</v>
      </c>
      <c r="C43" s="192" t="str">
        <f>TRIM(CONCATENATE('ADJ DETAIL-INPUT'!AJ$7," ",'ADJ DETAIL-INPUT'!AJ$8," ",'ADJ DETAIL-INPUT'!AJ$9))</f>
        <v>Pro Forma Labor Exec</v>
      </c>
      <c r="D43" s="262">
        <f>'ADJ DETAIL-INPUT'!AJ$57</f>
        <v>251.22</v>
      </c>
      <c r="E43" s="262">
        <f>'ADJ DETAIL-INPUT'!AJ$81</f>
        <v>0</v>
      </c>
      <c r="F43" s="156"/>
      <c r="G43" s="695"/>
      <c r="H43" s="705" t="s">
        <v>265</v>
      </c>
      <c r="J43" s="762" t="s">
        <v>718</v>
      </c>
    </row>
    <row r="44" spans="1:10" s="146" customFormat="1">
      <c r="A44" s="242">
        <f>'ADJ DETAIL-INPUT'!AK$10</f>
        <v>3.0599999999999987</v>
      </c>
      <c r="B44" s="374" t="str">
        <f>'ADJ DETAIL-INPUT'!AK$11</f>
        <v>E-PEB</v>
      </c>
      <c r="C44" s="192" t="str">
        <f>TRIM(CONCATENATE('ADJ DETAIL-INPUT'!AK$7," ",'ADJ DETAIL-INPUT'!AK$8," ",'ADJ DETAIL-INPUT'!AK$9))</f>
        <v>Pro Forma Employee Benefits</v>
      </c>
      <c r="D44" s="262">
        <f>'ADJ DETAIL-INPUT'!AK$57</f>
        <v>-963.8</v>
      </c>
      <c r="E44" s="262">
        <f>'ADJ DETAIL-INPUT'!AK$81</f>
        <v>0</v>
      </c>
      <c r="F44" s="156"/>
      <c r="G44" s="695"/>
      <c r="H44" s="705" t="s">
        <v>265</v>
      </c>
      <c r="I44" s="477"/>
      <c r="J44" s="762" t="s">
        <v>718</v>
      </c>
    </row>
    <row r="45" spans="1:10">
      <c r="A45" s="242">
        <f>'ADJ DETAIL-INPUT'!AL$10</f>
        <v>3.0699999999999985</v>
      </c>
      <c r="B45" s="364" t="str">
        <f>'ADJ DETAIL-INPUT'!AL$11</f>
        <v>E-PINS</v>
      </c>
      <c r="C45" s="192" t="str">
        <f>TRIM(CONCATENATE('ADJ DETAIL-INPUT'!AL$7," ",'ADJ DETAIL-INPUT'!AL$8," ",'ADJ DETAIL-INPUT'!AL$9))</f>
        <v>Pro Forma Insurance Expense</v>
      </c>
      <c r="D45" s="162">
        <f>'ADJ DETAIL-INPUT'!AL$57</f>
        <v>-1940.24</v>
      </c>
      <c r="E45" s="162">
        <f>'ADJ DETAIL-INPUT'!AL$81</f>
        <v>0</v>
      </c>
      <c r="F45" s="172"/>
      <c r="H45" s="705" t="s">
        <v>661</v>
      </c>
      <c r="I45" s="146"/>
      <c r="J45" s="762" t="s">
        <v>718</v>
      </c>
    </row>
    <row r="46" spans="1:10" s="44" customFormat="1">
      <c r="A46" s="241">
        <f>'ADJ DETAIL-INPUT'!AM$10</f>
        <v>3.0799999999999983</v>
      </c>
      <c r="B46" s="364" t="str">
        <f>'ADJ DETAIL-INPUT'!AM$11</f>
        <v>E-PIT</v>
      </c>
      <c r="C46" s="35" t="str">
        <f>TRIM(CONCATENATE('ADJ DETAIL-INPUT'!AM$7," ",'ADJ DETAIL-INPUT'!AM$8," ",'ADJ DETAIL-INPUT'!AM$9))</f>
        <v>Pro Forma IS/IT Expense</v>
      </c>
      <c r="D46" s="262">
        <f>'ADJ DETAIL-INPUT'!AM$57</f>
        <v>-1590.27</v>
      </c>
      <c r="E46" s="262">
        <f>'ADJ DETAIL-INPUT'!AM$81</f>
        <v>0</v>
      </c>
      <c r="F46" s="53"/>
      <c r="H46" s="705" t="s">
        <v>661</v>
      </c>
      <c r="J46" s="762" t="s">
        <v>718</v>
      </c>
    </row>
    <row r="47" spans="1:10" s="44" customFormat="1">
      <c r="A47" s="241">
        <f>'ADJ DETAIL-INPUT'!AN$10</f>
        <v>3.0899999999999981</v>
      </c>
      <c r="B47" s="364" t="str">
        <f>'ADJ DETAIL-INPUT'!AN$11</f>
        <v>E-PPT</v>
      </c>
      <c r="C47" s="35" t="str">
        <f>TRIM(CONCATENATE('ADJ DETAIL-INPUT'!AN$7," ",'ADJ DETAIL-INPUT'!AN$8," ",'ADJ DETAIL-INPUT'!AN$9))</f>
        <v>Pro Forma Property Tax</v>
      </c>
      <c r="D47" s="262">
        <f>'ADJ DETAIL-INPUT'!AN$57</f>
        <v>-500.86</v>
      </c>
      <c r="E47" s="262">
        <f>'ADJ DETAIL-INPUT'!AN$81</f>
        <v>0</v>
      </c>
      <c r="F47" s="53"/>
      <c r="G47" s="695"/>
      <c r="H47" s="705" t="s">
        <v>254</v>
      </c>
      <c r="I47" s="182"/>
      <c r="J47" s="746" t="s">
        <v>718</v>
      </c>
    </row>
    <row r="48" spans="1:10" s="150" customFormat="1">
      <c r="A48" s="406">
        <f>'ADJ DETAIL-INPUT'!AO$10</f>
        <v>3.0999999999999979</v>
      </c>
      <c r="B48" s="405" t="str">
        <f>'ADJ DETAIL-INPUT'!AO$11</f>
        <v>E-PFEE</v>
      </c>
      <c r="C48" s="381" t="str">
        <f>TRIM(CONCATENATE('ADJ DETAIL-INPUT'!AO$7," ",'ADJ DETAIL-INPUT'!AO$8," ",'ADJ DETAIL-INPUT'!AO$9))</f>
        <v>Pro Forma Fee Free Amortization</v>
      </c>
      <c r="D48" s="258">
        <f>'ADJ DETAIL-INPUT'!AO$57</f>
        <v>-1052.28</v>
      </c>
      <c r="E48" s="429">
        <f>'ADJ DETAIL-INPUT'!AO$81</f>
        <v>0</v>
      </c>
      <c r="F48" s="407"/>
      <c r="H48" s="705" t="s">
        <v>661</v>
      </c>
      <c r="I48" s="182"/>
      <c r="J48" s="762" t="s">
        <v>718</v>
      </c>
    </row>
    <row r="49" spans="1:10" s="146" customFormat="1">
      <c r="A49" s="406">
        <f>'ADJ DETAIL-INPUT'!AP$10</f>
        <v>3.1099999999999977</v>
      </c>
      <c r="B49" s="380" t="str">
        <f>'ADJ DETAIL-INPUT'!AP$11</f>
        <v>E-PCAP1</v>
      </c>
      <c r="C49" s="381" t="str">
        <f>TRIM(CONCATENATE('ADJ DETAIL-INPUT'!AP$7," ",'ADJ DETAIL-INPUT'!AP$8," ",'ADJ DETAIL-INPUT'!AP$9))</f>
        <v>Pro Forma 2020 Customer At Center</v>
      </c>
      <c r="D49" s="258">
        <f>'ADJ DETAIL-INPUT'!AP$57</f>
        <v>-1559.646968</v>
      </c>
      <c r="E49" s="258">
        <f>'ADJ DETAIL-INPUT'!AP$81</f>
        <v>10279</v>
      </c>
      <c r="F49" s="407"/>
      <c r="H49" s="705" t="s">
        <v>774</v>
      </c>
      <c r="I49" s="182"/>
      <c r="J49" s="762" t="s">
        <v>718</v>
      </c>
    </row>
    <row r="50" spans="1:10" s="44" customFormat="1">
      <c r="A50" s="404">
        <f>'ADJ DETAIL-INPUT'!AQ$10</f>
        <v>3.1199999999999974</v>
      </c>
      <c r="B50" s="405" t="str">
        <f>'ADJ DETAIL-INPUT'!AQ$11</f>
        <v>E-CAP2</v>
      </c>
      <c r="C50" s="41" t="str">
        <f>TRIM(CONCATENATE('ADJ DETAIL-INPUT'!AQ$7," ",'ADJ DETAIL-INPUT'!AQ$8," ",'ADJ DETAIL-INPUT'!AQ$9))</f>
        <v>Pro Forma 2020 Large &amp; Distinct</v>
      </c>
      <c r="D50" s="262">
        <f>'ADJ DETAIL-INPUT'!AQ$57</f>
        <v>-94.249960000000016</v>
      </c>
      <c r="E50" s="262">
        <f>'ADJ DETAIL-INPUT'!AQ$81</f>
        <v>18005</v>
      </c>
      <c r="F50" s="59"/>
      <c r="H50" s="705" t="s">
        <v>774</v>
      </c>
      <c r="I50" s="167"/>
      <c r="J50" s="762" t="s">
        <v>718</v>
      </c>
    </row>
    <row r="51" spans="1:10" s="44" customFormat="1">
      <c r="A51" s="404">
        <f>'ADJ DETAIL-INPUT'!AR$10</f>
        <v>3.1299999999999972</v>
      </c>
      <c r="B51" s="405" t="str">
        <f>'ADJ DETAIL-INPUT'!AR$11</f>
        <v>E-CAP3</v>
      </c>
      <c r="C51" s="41" t="str">
        <f>TRIM(CONCATENATE('ADJ DETAIL-INPUT'!AR$7," ",'ADJ DETAIL-INPUT'!AR$8," ",'ADJ DETAIL-INPUT'!AR$9))</f>
        <v>Pro Forma 2020 Programmatic</v>
      </c>
      <c r="D51" s="175">
        <f>'ADJ DETAIL-INPUT'!AR$57</f>
        <v>-422.64936800000004</v>
      </c>
      <c r="E51" s="175">
        <f>'ADJ DETAIL-INPUT'!AR$81</f>
        <v>47479</v>
      </c>
      <c r="F51" s="59"/>
      <c r="H51" s="705" t="s">
        <v>774</v>
      </c>
      <c r="I51" s="167"/>
      <c r="J51" s="746" t="s">
        <v>718</v>
      </c>
    </row>
    <row r="52" spans="1:10" s="44" customFormat="1">
      <c r="A52" s="404">
        <f>'ADJ DETAIL-INPUT'!AS$10</f>
        <v>3.139999999999997</v>
      </c>
      <c r="B52" s="405" t="str">
        <f>'ADJ DETAIL-INPUT'!AS$11</f>
        <v>E-CAP4</v>
      </c>
      <c r="C52" s="41" t="str">
        <f>TRIM(CONCATENATE('ADJ DETAIL-INPUT'!AS$7," ",'ADJ DETAIL-INPUT'!AS$8," ",'ADJ DETAIL-INPUT'!AS$9))</f>
        <v>Pro Forma 2020 Mandatory &amp; Compliance</v>
      </c>
      <c r="D52" s="175">
        <f>'ADJ DETAIL-INPUT'!AS$57</f>
        <v>-336.720192</v>
      </c>
      <c r="E52" s="175">
        <f>'ADJ DETAIL-INPUT'!AS$81</f>
        <v>36826</v>
      </c>
      <c r="F52" s="59"/>
      <c r="H52" s="705" t="s">
        <v>774</v>
      </c>
      <c r="I52" s="167"/>
      <c r="J52" s="762" t="s">
        <v>718</v>
      </c>
    </row>
    <row r="53" spans="1:10" s="44" customFormat="1">
      <c r="A53" s="404">
        <f>'ADJ DETAIL-INPUT'!AT$10</f>
        <v>3.1499999999999968</v>
      </c>
      <c r="B53" s="405" t="str">
        <f>'ADJ DETAIL-INPUT'!AT$11</f>
        <v>E-CAP5</v>
      </c>
      <c r="C53" s="41" t="str">
        <f>TRIM(CONCATENATE('ADJ DETAIL-INPUT'!AT$7," ",'ADJ DETAIL-INPUT'!AT$8," ",'ADJ DETAIL-INPUT'!AT$9))</f>
        <v>Pro Forma 2020 Short Lived</v>
      </c>
      <c r="D53" s="175">
        <f>'ADJ DETAIL-INPUT'!AT$57</f>
        <v>-1465.36256</v>
      </c>
      <c r="E53" s="175">
        <f>'ADJ DETAIL-INPUT'!AT$81</f>
        <v>10180</v>
      </c>
      <c r="F53" s="59"/>
      <c r="H53" s="705" t="s">
        <v>774</v>
      </c>
      <c r="I53" s="167"/>
      <c r="J53" s="762" t="s">
        <v>718</v>
      </c>
    </row>
    <row r="54" spans="1:10" s="150" customFormat="1">
      <c r="A54" s="406">
        <f>'ADJ DETAIL-INPUT'!AU$10</f>
        <v>3.1599999999999966</v>
      </c>
      <c r="B54" s="405" t="str">
        <f>'ADJ DETAIL-INPUT'!AU$11</f>
        <v>E-AMI</v>
      </c>
      <c r="C54" s="381" t="str">
        <f>TRIM(CONCATENATE('ADJ DETAIL-INPUT'!AU$7," ",'ADJ DETAIL-INPUT'!AU$8," ",'ADJ DETAIL-INPUT'!AU$9))</f>
        <v>Pro Forma AMI Capital</v>
      </c>
      <c r="D54" s="198">
        <f>'ADJ DETAIL-INPUT'!AU$57</f>
        <v>-7148.39732</v>
      </c>
      <c r="E54" s="198">
        <f>'ADJ DETAIL-INPUT'!AU$81</f>
        <v>87585</v>
      </c>
      <c r="F54" s="407"/>
      <c r="G54" s="749"/>
      <c r="H54" s="705" t="s">
        <v>254</v>
      </c>
      <c r="J54" s="746" t="s">
        <v>718</v>
      </c>
    </row>
    <row r="55" spans="1:10" s="150" customFormat="1">
      <c r="A55" s="406" t="str">
        <f>'ADJ DETAIL-INPUT'!AV$10</f>
        <v>3.17PF</v>
      </c>
      <c r="B55" s="405" t="str">
        <f>'ADJ DETAIL-INPUT'!AV$11</f>
        <v>E-WF</v>
      </c>
      <c r="C55" s="381" t="str">
        <f>TRIM(CONCATENATE('ADJ DETAIL-INPUT'!AV$7," ",'ADJ DETAIL-INPUT'!AV$8," ",'ADJ DETAIL-INPUT'!AV$9))</f>
        <v>Pro Forma WildFire Plan</v>
      </c>
      <c r="D55" s="198">
        <f>'ADJ DETAIL-INPUT'!AV$57</f>
        <v>-3345.64630278408</v>
      </c>
      <c r="E55" s="198">
        <f>'ADJ DETAIL-INPUT'!AV$81</f>
        <v>9405.4718156527888</v>
      </c>
      <c r="F55" s="407"/>
      <c r="G55" s="748"/>
      <c r="H55" s="705" t="s">
        <v>775</v>
      </c>
      <c r="J55" s="763" t="s">
        <v>718</v>
      </c>
    </row>
    <row r="56" spans="1:10" s="150" customFormat="1">
      <c r="A56" s="406" t="str">
        <f>'ADJ DETAIL-INPUT'!AW$10</f>
        <v>3.17PV</v>
      </c>
      <c r="B56" s="405" t="str">
        <f>'ADJ DETAIL-INPUT'!AW$11</f>
        <v>E-WFp</v>
      </c>
      <c r="C56" s="381" t="str">
        <f>TRIM(CONCATENATE('ADJ DETAIL-INPUT'!AW$7," ",'ADJ DETAIL-INPUT'!AW$8," ",'ADJ DETAIL-INPUT'!AW$9))</f>
        <v>Provisional WildFire Plan</v>
      </c>
      <c r="D56" s="198">
        <f>'ADJ DETAIL-INPUT'!AW$57</f>
        <v>-25.494366247875153</v>
      </c>
      <c r="E56" s="198">
        <f>'ADJ DETAIL-INPUT'!AW$81</f>
        <v>1779.1155438027743</v>
      </c>
      <c r="F56" s="407"/>
      <c r="G56" s="748"/>
      <c r="H56" s="705" t="s">
        <v>775</v>
      </c>
      <c r="J56" s="953" t="s">
        <v>718</v>
      </c>
    </row>
    <row r="57" spans="1:10" s="150" customFormat="1">
      <c r="A57" s="406" t="str">
        <f>'ADJ DETAIL-INPUT'!AX$10</f>
        <v>3.18PF</v>
      </c>
      <c r="B57" s="405" t="str">
        <f>'ADJ DETAIL-INPUT'!AX$11</f>
        <v>E-PEIM</v>
      </c>
      <c r="C57" s="381" t="str">
        <f>TRIM(CONCATENATE('ADJ DETAIL-INPUT'!AX$7," ",'ADJ DETAIL-INPUT'!AX$8," ",'ADJ DETAIL-INPUT'!AX$9))</f>
        <v>Pro Forma EIM Expenditures</v>
      </c>
      <c r="D57" s="258">
        <f>'ADJ DETAIL-INPUT'!AX$57</f>
        <v>-1993.5510496299439</v>
      </c>
      <c r="E57" s="198">
        <f>'ADJ DETAIL-INPUT'!AX$81</f>
        <v>8724.836860609852</v>
      </c>
      <c r="F57" s="407"/>
      <c r="G57" s="748"/>
      <c r="H57" s="705" t="s">
        <v>775</v>
      </c>
      <c r="J57" s="763" t="s">
        <v>718</v>
      </c>
    </row>
    <row r="58" spans="1:10" s="150" customFormat="1">
      <c r="A58" s="406" t="str">
        <f>'ADJ DETAIL-INPUT'!AY$10</f>
        <v>3.18PV</v>
      </c>
      <c r="B58" s="405" t="str">
        <f>'ADJ DETAIL-INPUT'!AY$11</f>
        <v>E-PEIMp</v>
      </c>
      <c r="C58" s="381" t="str">
        <f>TRIM(CONCATENATE('ADJ DETAIL-INPUT'!AY$7," ",'ADJ DETAIL-INPUT'!AY$8," ",'ADJ DETAIL-INPUT'!AY$9))</f>
        <v>Provisional EIM Expenditures</v>
      </c>
      <c r="D58" s="258">
        <f>'ADJ DETAIL-INPUT'!AY$57</f>
        <v>-626.95548766127899</v>
      </c>
      <c r="E58" s="198">
        <f>'ADJ DETAIL-INPUT'!AY$81</f>
        <v>3850.7128146545883</v>
      </c>
      <c r="F58" s="407"/>
      <c r="G58" s="748"/>
      <c r="H58" s="705" t="s">
        <v>775</v>
      </c>
      <c r="J58" s="887" t="s">
        <v>718</v>
      </c>
    </row>
    <row r="59" spans="1:10" s="150" customFormat="1">
      <c r="A59" s="406" t="str">
        <f>'ADJ DETAIL-INPUT'!AZ$10</f>
        <v>3.19PF</v>
      </c>
      <c r="B59" s="405" t="str">
        <f>'ADJ DETAIL-INPUT'!AZ$11</f>
        <v>E-PCOL</v>
      </c>
      <c r="C59" s="381" t="str">
        <f>TRIM(CONCATENATE('ADJ DETAIL-INPUT'!AZ$7," ",'ADJ DETAIL-INPUT'!AZ$8," ",'ADJ DETAIL-INPUT'!AZ$9))</f>
        <v>Pro Forma Colstrip Cap &amp; Amortization</v>
      </c>
      <c r="D59" s="258">
        <f>'ADJ DETAIL-INPUT'!AZ$57</f>
        <v>1063.818816</v>
      </c>
      <c r="E59" s="429">
        <f>'ADJ DETAIL-INPUT'!AZ$81</f>
        <v>-21448</v>
      </c>
      <c r="F59" s="407"/>
      <c r="G59" s="749"/>
      <c r="H59" s="705" t="s">
        <v>254</v>
      </c>
      <c r="I59" s="182"/>
      <c r="J59" s="762" t="s">
        <v>718</v>
      </c>
    </row>
    <row r="60" spans="1:10" s="150" customFormat="1">
      <c r="A60" s="406" t="str">
        <f>'ADJ DETAIL-INPUT'!BA$10</f>
        <v>3.19PV</v>
      </c>
      <c r="B60" s="405" t="str">
        <f>'ADJ DETAIL-INPUT'!BA$11</f>
        <v>E-PCOLp</v>
      </c>
      <c r="C60" s="381" t="str">
        <f>TRIM(CONCATENATE('ADJ DETAIL-INPUT'!BA$7," ",'ADJ DETAIL-INPUT'!BA$8," ",'ADJ DETAIL-INPUT'!BA$9))</f>
        <v>Provisional Colstrip Cap &amp; Amortization</v>
      </c>
      <c r="D60" s="258">
        <f>'ADJ DETAIL-INPUT'!BA$57</f>
        <v>-690.21594400000004</v>
      </c>
      <c r="E60" s="429">
        <f>'ADJ DETAIL-INPUT'!BA$81</f>
        <v>957</v>
      </c>
      <c r="F60" s="407"/>
      <c r="G60" s="749"/>
      <c r="H60" s="705" t="s">
        <v>254</v>
      </c>
      <c r="I60" s="182"/>
      <c r="J60" s="887" t="s">
        <v>718</v>
      </c>
    </row>
    <row r="61" spans="1:10" s="150" customFormat="1" ht="14.25" customHeight="1">
      <c r="A61" s="406">
        <f>'ADJ DETAIL-INPUT'!BB$10</f>
        <v>3.2</v>
      </c>
      <c r="B61" s="405" t="str">
        <f>'ADJ DETAIL-INPUT'!BB$11</f>
        <v>E-PMM</v>
      </c>
      <c r="C61" s="381" t="str">
        <f>TRIM(CONCATENATE('ADJ DETAIL-INPUT'!BB$7," ",'ADJ DETAIL-INPUT'!BB$8," ",'ADJ DETAIL-INPUT'!BB$9))</f>
        <v>PF Normalize CS2/Colstrip Major Maint</v>
      </c>
      <c r="D61" s="258">
        <f>'ADJ DETAIL-INPUT'!BB$57</f>
        <v>-26.07</v>
      </c>
      <c r="E61" s="429">
        <f>'ADJ DETAIL-INPUT'!BB$81</f>
        <v>0</v>
      </c>
      <c r="F61" s="407"/>
      <c r="H61" s="705" t="s">
        <v>718</v>
      </c>
      <c r="J61" s="762" t="s">
        <v>718</v>
      </c>
    </row>
    <row r="62" spans="1:10" s="150" customFormat="1">
      <c r="A62" s="406">
        <f>'ADJ DETAIL-INPUT'!BC$10</f>
        <v>3.21</v>
      </c>
      <c r="B62" s="405" t="str">
        <f>'ADJ DETAIL-INPUT'!BC$11</f>
        <v>E-RDFIT</v>
      </c>
      <c r="C62" s="381" t="str">
        <f>TRIM(CONCATENATE('ADJ DETAIL-INPUT'!BC$7," ",'ADJ DETAIL-INPUT'!BC$8," ",'ADJ DETAIL-INPUT'!BC$9))</f>
        <v>Restate 2019 ADFIT</v>
      </c>
      <c r="D62" s="258">
        <f>'ADJ DETAIL-INPUT'!BC$57</f>
        <v>-159.062736</v>
      </c>
      <c r="E62" s="258">
        <f>'ADJ DETAIL-INPUT'!BC$81</f>
        <v>-30542</v>
      </c>
      <c r="F62" s="407"/>
      <c r="G62" s="754"/>
      <c r="H62" s="705" t="s">
        <v>254</v>
      </c>
      <c r="J62" s="797" t="s">
        <v>718</v>
      </c>
    </row>
    <row r="63" spans="1:10" s="150" customFormat="1" ht="12" hidden="1" customHeight="1">
      <c r="A63" s="406">
        <f>'ADJ DETAIL-INPUT'!BD$10</f>
        <v>3.2199999999999998</v>
      </c>
      <c r="B63" s="405">
        <f>'ADJ DETAIL-INPUT'!BD$11</f>
        <v>0</v>
      </c>
      <c r="C63" s="381" t="str">
        <f>TRIM(CONCATENATE('ADJ DETAIL-INPUT'!BD$7," ",'ADJ DETAIL-INPUT'!BD$8," ",'ADJ DETAIL-INPUT'!BD$9))</f>
        <v>Pro Forma Open</v>
      </c>
      <c r="D63" s="198">
        <f>'ADJ DETAIL-INPUT'!BD$57</f>
        <v>0</v>
      </c>
      <c r="E63" s="429">
        <f>'ADJ DETAIL-INPUT'!BD$81</f>
        <v>0</v>
      </c>
      <c r="F63" s="407"/>
      <c r="G63" s="695"/>
      <c r="J63" s="762"/>
    </row>
    <row r="64" spans="1:10" s="150" customFormat="1" ht="10.5" hidden="1" customHeight="1">
      <c r="A64" s="406">
        <f>'ADJ DETAIL-INPUT'!BE$10</f>
        <v>3.2299999999999995</v>
      </c>
      <c r="B64" s="405">
        <f>'ADJ DETAIL-INPUT'!BE$11</f>
        <v>0</v>
      </c>
      <c r="C64" s="381" t="str">
        <f>TRIM(CONCATENATE('ADJ DETAIL-INPUT'!BE$7," ",'ADJ DETAIL-INPUT'!BE$8," ",'ADJ DETAIL-INPUT'!BE$9))</f>
        <v>Pro Forma Open</v>
      </c>
      <c r="D64" s="258">
        <f>'ADJ DETAIL-INPUT'!BE$57</f>
        <v>0</v>
      </c>
      <c r="E64" s="429">
        <f>'ADJ DETAIL-INPUT'!BE$81</f>
        <v>0</v>
      </c>
      <c r="F64" s="407"/>
      <c r="G64" s="695"/>
      <c r="I64" s="182"/>
      <c r="J64" s="762"/>
    </row>
    <row r="65" spans="1:10" ht="14.25" customHeight="1" thickBot="1">
      <c r="A65" s="511"/>
      <c r="B65" s="511"/>
      <c r="C65" s="59" t="s">
        <v>714</v>
      </c>
      <c r="D65" s="683">
        <f>SUM(D35:D64)</f>
        <v>107914.35035210486</v>
      </c>
      <c r="E65" s="683">
        <f>SUM(E35:E64)</f>
        <v>1860604.0000201259</v>
      </c>
      <c r="F65" s="171">
        <f>D65/E65</f>
        <v>5.7999633640977641E-2</v>
      </c>
      <c r="G65" s="706"/>
      <c r="H65" s="25"/>
      <c r="I65" s="25"/>
      <c r="J65" s="102"/>
    </row>
    <row r="66" spans="1:10" s="150" customFormat="1" ht="13.5" thickTop="1">
      <c r="A66" s="190" t="s">
        <v>587</v>
      </c>
      <c r="B66" s="525" t="s">
        <v>588</v>
      </c>
      <c r="C66" s="138" t="s">
        <v>136</v>
      </c>
      <c r="D66" s="258"/>
      <c r="E66" s="258"/>
      <c r="F66" s="407"/>
      <c r="G66" s="695"/>
      <c r="I66" s="182"/>
      <c r="J66" s="537"/>
    </row>
    <row r="67" spans="1:10" ht="18" customHeight="1">
      <c r="A67" s="792" t="s">
        <v>794</v>
      </c>
      <c r="B67" s="53"/>
      <c r="D67" s="259"/>
      <c r="E67" s="259"/>
      <c r="F67" s="120"/>
      <c r="H67" s="477" t="s">
        <v>661</v>
      </c>
      <c r="I67" s="25"/>
      <c r="J67" s="762" t="s">
        <v>718</v>
      </c>
    </row>
    <row r="68" spans="1:10" ht="12" customHeight="1">
      <c r="A68" s="406" t="str">
        <f>'ADJ DETAIL-INPUT'!BG$10</f>
        <v>4.00T</v>
      </c>
      <c r="B68" s="405" t="str">
        <f>'ADJ DETAIL-INPUT'!BG$11</f>
        <v>E-Tax</v>
      </c>
      <c r="C68" s="381" t="str">
        <f>TRIM(CONCATENATE('ADJ DETAIL-INPUT'!BG$7," ",'ADJ DETAIL-INPUT'!BG$8," ",'ADJ DETAIL-INPUT'!BG$9))</f>
        <v>Strategic Tax DFIT Tariff</v>
      </c>
      <c r="D68" s="794">
        <f>'ADJ DETAIL-INPUT'!BG$57</f>
        <v>31642.5353859549</v>
      </c>
      <c r="E68" s="795">
        <f>'ADJ DETAIL-INPUT'!BG$81</f>
        <v>17681</v>
      </c>
      <c r="F68" s="796"/>
      <c r="J68" s="102"/>
    </row>
    <row r="69" spans="1:10">
      <c r="C69" s="25" t="s">
        <v>795</v>
      </c>
      <c r="D69" s="253">
        <f>D65+D68</f>
        <v>139556.88573805976</v>
      </c>
      <c r="E69" s="253">
        <f>E65+E68</f>
        <v>1878285.0000201259</v>
      </c>
      <c r="F69" s="793">
        <f>D69/E69</f>
        <v>7.4300165170122959E-2</v>
      </c>
      <c r="H69" s="705" t="s">
        <v>254</v>
      </c>
      <c r="J69" s="797" t="s">
        <v>718</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0" orientation="portrait" r:id="rId3"/>
  <headerFooter alignWithMargins="0">
    <oddHeader>&amp;C
&amp;RExh. EMA - 8</oddHeader>
    <oddFooter>&amp;C
&amp;RPage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461AF-1052-4772-8C02-CE4A8331A81E}">
  <sheetPr>
    <tabColor rgb="FFFF0000"/>
  </sheetPr>
  <dimension ref="A1:K70"/>
  <sheetViews>
    <sheetView view="pageBreakPreview" zoomScaleNormal="85" zoomScaleSheetLayoutView="100" workbookViewId="0">
      <selection sqref="A1:C1"/>
    </sheetView>
  </sheetViews>
  <sheetFormatPr defaultColWidth="11.42578125" defaultRowHeight="12.75"/>
  <cols>
    <col min="1" max="1" width="11.42578125" style="889" customWidth="1"/>
    <col min="2" max="2" width="12.140625" style="889" customWidth="1"/>
    <col min="3" max="3" width="33.42578125" style="889" customWidth="1"/>
    <col min="4" max="4" width="7.140625" style="889" customWidth="1"/>
    <col min="5" max="5" width="8.7109375" style="902" customWidth="1"/>
    <col min="6" max="6" width="71.5703125" style="911" customWidth="1"/>
    <col min="7" max="7" width="11" style="911" customWidth="1"/>
    <col min="8" max="8" width="90.28515625" style="892" customWidth="1"/>
    <col min="9" max="12" width="16" style="25" customWidth="1"/>
    <col min="13" max="16384" width="11.42578125" style="25"/>
  </cols>
  <sheetData>
    <row r="1" spans="1:10" ht="12.75" customHeight="1">
      <c r="A1" s="1012" t="s">
        <v>185</v>
      </c>
      <c r="B1" s="1012"/>
      <c r="C1" s="1012"/>
      <c r="F1" s="1020" t="s">
        <v>962</v>
      </c>
      <c r="G1" s="927"/>
      <c r="H1" s="1023" t="s">
        <v>891</v>
      </c>
    </row>
    <row r="2" spans="1:10">
      <c r="A2" s="1026" t="s">
        <v>77</v>
      </c>
      <c r="B2" s="1026"/>
      <c r="C2" s="1026"/>
      <c r="F2" s="1021"/>
      <c r="G2" s="927"/>
      <c r="H2" s="1024"/>
    </row>
    <row r="3" spans="1:10" ht="12.75" customHeight="1">
      <c r="A3" s="1026" t="s">
        <v>78</v>
      </c>
      <c r="B3" s="1026"/>
      <c r="C3" s="1026"/>
      <c r="F3" s="1021"/>
      <c r="G3" s="927"/>
      <c r="H3" s="1024"/>
    </row>
    <row r="4" spans="1:10">
      <c r="A4" s="1027" t="s">
        <v>738</v>
      </c>
      <c r="B4" s="1027"/>
      <c r="C4" s="1027"/>
      <c r="F4" s="1021"/>
      <c r="G4" s="927"/>
      <c r="H4" s="1024"/>
    </row>
    <row r="5" spans="1:10" ht="26.25" customHeight="1">
      <c r="F5" s="1021"/>
      <c r="G5" s="927"/>
      <c r="H5" s="1024"/>
    </row>
    <row r="6" spans="1:10" ht="9" customHeight="1" thickBot="1">
      <c r="F6" s="1022"/>
      <c r="G6" s="927"/>
      <c r="H6" s="1025"/>
    </row>
    <row r="7" spans="1:10" ht="18.75" customHeight="1">
      <c r="A7" s="943" t="s">
        <v>961</v>
      </c>
      <c r="D7" s="1028" t="s">
        <v>885</v>
      </c>
      <c r="E7" s="1018" t="s">
        <v>942</v>
      </c>
      <c r="F7" s="944"/>
      <c r="G7" s="927"/>
      <c r="H7" s="944"/>
    </row>
    <row r="8" spans="1:10" s="941" customFormat="1" ht="14.25">
      <c r="A8" s="937" t="s">
        <v>79</v>
      </c>
      <c r="B8" s="937" t="s">
        <v>562</v>
      </c>
      <c r="C8" s="938" t="s">
        <v>140</v>
      </c>
      <c r="D8" s="1029"/>
      <c r="E8" s="1019"/>
      <c r="F8" s="942" t="s">
        <v>832</v>
      </c>
      <c r="G8" s="939" t="s">
        <v>941</v>
      </c>
      <c r="H8" s="942" t="s">
        <v>833</v>
      </c>
      <c r="I8" s="940"/>
      <c r="J8" s="940"/>
    </row>
    <row r="9" spans="1:10">
      <c r="A9" s="924"/>
      <c r="B9" s="924"/>
      <c r="C9" s="894" t="s">
        <v>916</v>
      </c>
      <c r="D9" s="925"/>
      <c r="E9" s="926"/>
      <c r="F9" s="922" t="s">
        <v>967</v>
      </c>
      <c r="G9" s="922"/>
      <c r="H9" s="925"/>
      <c r="I9" s="146"/>
      <c r="J9" s="146"/>
    </row>
    <row r="10" spans="1:10">
      <c r="A10" s="905" t="s">
        <v>647</v>
      </c>
      <c r="B10" s="905"/>
      <c r="C10" s="894"/>
      <c r="H10" s="930"/>
      <c r="I10" s="146"/>
      <c r="J10" s="146"/>
    </row>
    <row r="11" spans="1:10" ht="30" customHeight="1">
      <c r="A11" s="906">
        <v>1</v>
      </c>
      <c r="B11" s="904" t="s">
        <v>565</v>
      </c>
      <c r="C11" s="895" t="s">
        <v>841</v>
      </c>
      <c r="D11" s="935" t="s">
        <v>886</v>
      </c>
      <c r="E11" s="901" t="s">
        <v>887</v>
      </c>
      <c r="F11" s="927" t="s">
        <v>949</v>
      </c>
      <c r="H11" s="930"/>
      <c r="I11" s="146"/>
      <c r="J11" s="146"/>
    </row>
    <row r="12" spans="1:10" s="50" customFormat="1" ht="38.25">
      <c r="A12" s="906">
        <v>1.01</v>
      </c>
      <c r="B12" s="904" t="s">
        <v>566</v>
      </c>
      <c r="C12" s="895" t="s">
        <v>842</v>
      </c>
      <c r="D12" s="890"/>
      <c r="E12" s="901" t="s">
        <v>887</v>
      </c>
      <c r="F12" s="927" t="s">
        <v>930</v>
      </c>
      <c r="G12" s="927"/>
      <c r="H12" s="930"/>
      <c r="I12" s="149"/>
      <c r="J12" s="149"/>
    </row>
    <row r="13" spans="1:10" s="50" customFormat="1" ht="147" customHeight="1">
      <c r="A13" s="906">
        <v>1.02</v>
      </c>
      <c r="B13" s="904" t="s">
        <v>567</v>
      </c>
      <c r="C13" s="895" t="s">
        <v>843</v>
      </c>
      <c r="D13" s="890"/>
      <c r="E13" s="901" t="s">
        <v>887</v>
      </c>
      <c r="F13" s="927" t="s">
        <v>946</v>
      </c>
      <c r="G13" s="927"/>
      <c r="H13" s="930"/>
      <c r="I13" s="149"/>
      <c r="J13" s="149"/>
    </row>
    <row r="14" spans="1:10" s="127" customFormat="1" ht="38.25">
      <c r="A14" s="906">
        <v>1.03</v>
      </c>
      <c r="B14" s="904" t="s">
        <v>568</v>
      </c>
      <c r="C14" s="895" t="s">
        <v>542</v>
      </c>
      <c r="D14" s="890"/>
      <c r="E14" s="901" t="s">
        <v>887</v>
      </c>
      <c r="F14" s="927" t="s">
        <v>950</v>
      </c>
      <c r="G14" s="911"/>
      <c r="H14" s="930"/>
      <c r="I14" s="150"/>
      <c r="J14" s="150"/>
    </row>
    <row r="15" spans="1:10" s="127" customFormat="1">
      <c r="A15" s="906">
        <v>1.04</v>
      </c>
      <c r="B15" s="904" t="s">
        <v>686</v>
      </c>
      <c r="C15" s="895" t="s">
        <v>844</v>
      </c>
      <c r="D15" s="890"/>
      <c r="E15" s="901" t="s">
        <v>887</v>
      </c>
      <c r="F15" s="911" t="s">
        <v>917</v>
      </c>
      <c r="G15" s="911"/>
      <c r="H15" s="930"/>
      <c r="I15" s="150"/>
      <c r="J15" s="150"/>
    </row>
    <row r="16" spans="1:10" s="44" customFormat="1">
      <c r="A16" s="906">
        <v>2.0099999999999998</v>
      </c>
      <c r="B16" s="904" t="s">
        <v>569</v>
      </c>
      <c r="C16" s="895" t="s">
        <v>845</v>
      </c>
      <c r="D16" s="890"/>
      <c r="E16" s="901" t="s">
        <v>887</v>
      </c>
      <c r="F16" s="911" t="s">
        <v>951</v>
      </c>
      <c r="G16" s="911"/>
      <c r="H16" s="892"/>
    </row>
    <row r="17" spans="1:11" s="44" customFormat="1">
      <c r="A17" s="906">
        <v>2.0199999999999996</v>
      </c>
      <c r="B17" s="904" t="s">
        <v>597</v>
      </c>
      <c r="C17" s="895" t="s">
        <v>846</v>
      </c>
      <c r="D17" s="890"/>
      <c r="E17" s="901" t="s">
        <v>887</v>
      </c>
      <c r="F17" s="911" t="s">
        <v>911</v>
      </c>
      <c r="G17" s="911"/>
      <c r="H17" s="930"/>
      <c r="I17" s="159"/>
      <c r="J17" s="159"/>
      <c r="K17" s="159"/>
    </row>
    <row r="18" spans="1:11" s="44" customFormat="1" ht="25.5">
      <c r="A18" s="906">
        <v>2.0299999999999994</v>
      </c>
      <c r="B18" s="904" t="s">
        <v>570</v>
      </c>
      <c r="C18" s="895" t="s">
        <v>847</v>
      </c>
      <c r="D18" s="891"/>
      <c r="E18" s="901" t="s">
        <v>887</v>
      </c>
      <c r="F18" s="927" t="s">
        <v>926</v>
      </c>
      <c r="G18" s="927"/>
      <c r="H18" s="892"/>
    </row>
    <row r="19" spans="1:11" s="44" customFormat="1">
      <c r="A19" s="906">
        <v>2.0399999999999991</v>
      </c>
      <c r="B19" s="904" t="s">
        <v>571</v>
      </c>
      <c r="C19" s="895" t="s">
        <v>848</v>
      </c>
      <c r="D19" s="890"/>
      <c r="F19" s="911" t="s">
        <v>957</v>
      </c>
      <c r="G19" s="901" t="s">
        <v>907</v>
      </c>
      <c r="H19" s="892" t="s">
        <v>892</v>
      </c>
    </row>
    <row r="20" spans="1:11" s="44" customFormat="1">
      <c r="A20" s="906">
        <v>2.0499999999999989</v>
      </c>
      <c r="B20" s="904" t="s">
        <v>572</v>
      </c>
      <c r="C20" s="895" t="s">
        <v>405</v>
      </c>
      <c r="D20" s="890"/>
      <c r="E20" s="901"/>
      <c r="F20" s="911" t="s">
        <v>910</v>
      </c>
      <c r="G20" s="911"/>
      <c r="H20" s="892"/>
    </row>
    <row r="21" spans="1:11" s="127" customFormat="1" ht="44.25" customHeight="1">
      <c r="A21" s="906">
        <v>2.0599999999999987</v>
      </c>
      <c r="B21" s="904" t="s">
        <v>573</v>
      </c>
      <c r="C21" s="895" t="s">
        <v>849</v>
      </c>
      <c r="D21" s="890"/>
      <c r="E21" s="901" t="s">
        <v>887</v>
      </c>
      <c r="F21" s="927" t="s">
        <v>936</v>
      </c>
      <c r="G21" s="927"/>
      <c r="H21" s="892"/>
    </row>
    <row r="22" spans="1:11">
      <c r="A22" s="906">
        <v>2.0699999999999985</v>
      </c>
      <c r="B22" s="904" t="s">
        <v>595</v>
      </c>
      <c r="C22" s="895" t="s">
        <v>850</v>
      </c>
      <c r="D22" s="890"/>
      <c r="E22" s="901" t="s">
        <v>887</v>
      </c>
      <c r="F22" s="911" t="s">
        <v>915</v>
      </c>
    </row>
    <row r="23" spans="1:11" s="127" customFormat="1">
      <c r="A23" s="906">
        <v>2.0799999999999983</v>
      </c>
      <c r="B23" s="904" t="s">
        <v>576</v>
      </c>
      <c r="C23" s="895" t="s">
        <v>851</v>
      </c>
      <c r="D23" s="890"/>
      <c r="E23" s="901" t="s">
        <v>887</v>
      </c>
      <c r="F23" s="928" t="s">
        <v>912</v>
      </c>
      <c r="G23" s="928"/>
      <c r="H23" s="892"/>
    </row>
    <row r="24" spans="1:11" s="127" customFormat="1" ht="25.5">
      <c r="A24" s="906">
        <v>2.0899999999999981</v>
      </c>
      <c r="B24" s="904" t="s">
        <v>577</v>
      </c>
      <c r="C24" s="895" t="s">
        <v>852</v>
      </c>
      <c r="D24" s="890"/>
      <c r="E24" s="901" t="s">
        <v>887</v>
      </c>
      <c r="F24" s="927" t="s">
        <v>952</v>
      </c>
      <c r="G24" s="911"/>
      <c r="H24" s="892"/>
    </row>
    <row r="25" spans="1:11">
      <c r="A25" s="906">
        <v>2.0999999999999979</v>
      </c>
      <c r="B25" s="904" t="s">
        <v>626</v>
      </c>
      <c r="C25" s="895" t="s">
        <v>853</v>
      </c>
      <c r="D25" s="890"/>
      <c r="E25" s="901" t="s">
        <v>887</v>
      </c>
      <c r="F25" s="911" t="s">
        <v>948</v>
      </c>
    </row>
    <row r="26" spans="1:11" s="127" customFormat="1">
      <c r="A26" s="906">
        <v>2.1099999999999977</v>
      </c>
      <c r="B26" s="904" t="s">
        <v>631</v>
      </c>
      <c r="C26" s="895" t="s">
        <v>854</v>
      </c>
      <c r="D26" s="890"/>
      <c r="E26" s="901" t="s">
        <v>887</v>
      </c>
      <c r="F26" s="911" t="s">
        <v>919</v>
      </c>
      <c r="G26" s="911"/>
      <c r="H26" s="892"/>
    </row>
    <row r="27" spans="1:11" s="127" customFormat="1" ht="39.75" customHeight="1">
      <c r="A27" s="1014">
        <v>2.1199999999999974</v>
      </c>
      <c r="B27" s="1015" t="s">
        <v>578</v>
      </c>
      <c r="C27" s="1016" t="s">
        <v>855</v>
      </c>
      <c r="D27" s="1012"/>
      <c r="E27" s="1017" t="s">
        <v>887</v>
      </c>
      <c r="F27" s="929" t="s">
        <v>937</v>
      </c>
      <c r="G27" s="1011"/>
      <c r="H27" s="1012"/>
    </row>
    <row r="28" spans="1:11" s="127" customFormat="1" ht="42" customHeight="1">
      <c r="A28" s="1014"/>
      <c r="B28" s="1015"/>
      <c r="C28" s="1016"/>
      <c r="D28" s="1012"/>
      <c r="E28" s="1017"/>
      <c r="F28" s="929" t="s">
        <v>943</v>
      </c>
      <c r="G28" s="1011"/>
      <c r="H28" s="1012"/>
    </row>
    <row r="29" spans="1:11" s="127" customFormat="1" ht="39.75" customHeight="1">
      <c r="A29" s="1014"/>
      <c r="B29" s="1015"/>
      <c r="C29" s="1016"/>
      <c r="D29" s="1012"/>
      <c r="E29" s="1017"/>
      <c r="F29" s="929" t="s">
        <v>944</v>
      </c>
      <c r="G29" s="1011"/>
      <c r="H29" s="1012"/>
    </row>
    <row r="30" spans="1:11" s="127" customFormat="1" ht="16.5" customHeight="1">
      <c r="A30" s="1014"/>
      <c r="B30" s="1015"/>
      <c r="C30" s="1016"/>
      <c r="D30" s="1012"/>
      <c r="E30" s="1017"/>
      <c r="F30" s="929" t="s">
        <v>945</v>
      </c>
      <c r="G30" s="1011"/>
      <c r="H30" s="1012"/>
    </row>
    <row r="31" spans="1:11" s="44" customFormat="1">
      <c r="A31" s="906">
        <v>2.1299999999999972</v>
      </c>
      <c r="B31" s="904" t="s">
        <v>579</v>
      </c>
      <c r="C31" s="895" t="s">
        <v>856</v>
      </c>
      <c r="D31" s="890"/>
      <c r="E31" s="901"/>
      <c r="F31" s="911" t="s">
        <v>890</v>
      </c>
      <c r="G31" s="911"/>
      <c r="H31" s="892"/>
    </row>
    <row r="32" spans="1:11" s="150" customFormat="1" ht="24.75" customHeight="1">
      <c r="A32" s="907">
        <v>2.139999999999997</v>
      </c>
      <c r="B32" s="904" t="s">
        <v>580</v>
      </c>
      <c r="C32" s="896" t="s">
        <v>558</v>
      </c>
      <c r="D32" s="935" t="s">
        <v>888</v>
      </c>
      <c r="E32" s="936" t="s">
        <v>906</v>
      </c>
      <c r="F32" s="911" t="s">
        <v>928</v>
      </c>
      <c r="G32" s="911"/>
      <c r="H32" s="930"/>
    </row>
    <row r="33" spans="1:8" s="44" customFormat="1">
      <c r="A33" s="906">
        <v>2.1499999999999968</v>
      </c>
      <c r="B33" s="904" t="s">
        <v>574</v>
      </c>
      <c r="C33" s="895" t="s">
        <v>857</v>
      </c>
      <c r="D33" s="890"/>
      <c r="E33" s="901" t="s">
        <v>887</v>
      </c>
      <c r="F33" s="911" t="s">
        <v>889</v>
      </c>
      <c r="G33" s="911"/>
      <c r="H33" s="892"/>
    </row>
    <row r="34" spans="1:8" s="44" customFormat="1">
      <c r="A34" s="906">
        <v>2.1599999999999966</v>
      </c>
      <c r="B34" s="904" t="s">
        <v>575</v>
      </c>
      <c r="C34" s="895" t="s">
        <v>858</v>
      </c>
      <c r="D34" s="890"/>
      <c r="E34" s="901" t="s">
        <v>887</v>
      </c>
      <c r="F34" s="911" t="s">
        <v>959</v>
      </c>
      <c r="G34" s="911"/>
      <c r="H34" s="892"/>
    </row>
    <row r="35" spans="1:8" s="146" customFormat="1">
      <c r="A35" s="908">
        <v>2.1699999999999964</v>
      </c>
      <c r="B35" s="909" t="s">
        <v>639</v>
      </c>
      <c r="C35" s="897" t="s">
        <v>859</v>
      </c>
      <c r="D35" s="890"/>
      <c r="E35" s="901" t="s">
        <v>887</v>
      </c>
      <c r="F35" s="921" t="s">
        <v>918</v>
      </c>
      <c r="G35" s="921"/>
      <c r="H35" s="930"/>
    </row>
    <row r="36" spans="1:8" s="127" customFormat="1">
      <c r="A36" s="907">
        <v>2.1799999999999962</v>
      </c>
      <c r="B36" s="904" t="s">
        <v>660</v>
      </c>
      <c r="C36" s="896" t="s">
        <v>860</v>
      </c>
      <c r="D36" s="890"/>
      <c r="E36" s="901" t="s">
        <v>887</v>
      </c>
      <c r="F36" s="911" t="s">
        <v>953</v>
      </c>
      <c r="G36" s="911"/>
      <c r="H36" s="892"/>
    </row>
    <row r="37" spans="1:8" s="127" customFormat="1" ht="63.75">
      <c r="A37" s="906">
        <v>2.1899999999999959</v>
      </c>
      <c r="B37" s="904" t="s">
        <v>740</v>
      </c>
      <c r="C37" s="895" t="s">
        <v>861</v>
      </c>
      <c r="D37" s="890"/>
      <c r="F37" s="927" t="s">
        <v>955</v>
      </c>
      <c r="G37" s="901" t="s">
        <v>907</v>
      </c>
      <c r="H37" s="933" t="s">
        <v>893</v>
      </c>
    </row>
    <row r="38" spans="1:8">
      <c r="A38" s="910"/>
      <c r="B38" s="910"/>
      <c r="C38" s="898"/>
    </row>
    <row r="39" spans="1:8">
      <c r="A39" s="911" t="s">
        <v>273</v>
      </c>
      <c r="B39" s="911"/>
      <c r="C39" s="898"/>
    </row>
    <row r="40" spans="1:8">
      <c r="A40" s="906" t="s">
        <v>749</v>
      </c>
      <c r="B40" s="904" t="s">
        <v>752</v>
      </c>
      <c r="C40" s="895" t="s">
        <v>862</v>
      </c>
      <c r="D40" s="890"/>
      <c r="E40" s="901"/>
      <c r="F40" s="911" t="s">
        <v>954</v>
      </c>
    </row>
    <row r="41" spans="1:8" ht="25.5">
      <c r="A41" s="906" t="s">
        <v>750</v>
      </c>
      <c r="B41" s="904" t="s">
        <v>753</v>
      </c>
      <c r="C41" s="895" t="s">
        <v>863</v>
      </c>
      <c r="D41" s="890"/>
      <c r="E41" s="901"/>
      <c r="F41" s="927" t="s">
        <v>958</v>
      </c>
    </row>
    <row r="42" spans="1:8" ht="33" customHeight="1">
      <c r="A42" s="906">
        <v>3.01</v>
      </c>
      <c r="B42" s="904" t="s">
        <v>630</v>
      </c>
      <c r="C42" s="895" t="s">
        <v>812</v>
      </c>
      <c r="D42" s="890"/>
      <c r="E42" s="25"/>
      <c r="F42" s="927" t="s">
        <v>960</v>
      </c>
      <c r="G42" s="901" t="s">
        <v>907</v>
      </c>
      <c r="H42" s="892" t="s">
        <v>894</v>
      </c>
    </row>
    <row r="43" spans="1:8" s="146" customFormat="1" ht="136.5" customHeight="1">
      <c r="A43" s="907">
        <v>3.0199999999999996</v>
      </c>
      <c r="B43" s="912" t="s">
        <v>646</v>
      </c>
      <c r="C43" s="934" t="s">
        <v>864</v>
      </c>
      <c r="D43" s="890"/>
      <c r="E43" s="901" t="s">
        <v>887</v>
      </c>
      <c r="F43" s="927" t="s">
        <v>969</v>
      </c>
      <c r="G43" s="927"/>
      <c r="H43" s="930"/>
    </row>
    <row r="44" spans="1:8" s="146" customFormat="1" ht="25.5">
      <c r="A44" s="907">
        <v>3.0299999999999994</v>
      </c>
      <c r="B44" s="912" t="s">
        <v>756</v>
      </c>
      <c r="C44" s="896" t="s">
        <v>865</v>
      </c>
      <c r="D44" s="890"/>
      <c r="F44" s="927" t="s">
        <v>922</v>
      </c>
      <c r="G44" s="901" t="s">
        <v>907</v>
      </c>
      <c r="H44" s="930" t="s">
        <v>895</v>
      </c>
    </row>
    <row r="45" spans="1:8" s="146" customFormat="1">
      <c r="A45" s="907">
        <v>3.0399999999999991</v>
      </c>
      <c r="B45" s="904" t="s">
        <v>581</v>
      </c>
      <c r="C45" s="896" t="s">
        <v>866</v>
      </c>
      <c r="D45" s="890"/>
      <c r="E45" s="901"/>
      <c r="F45" s="911" t="s">
        <v>932</v>
      </c>
      <c r="G45" s="911"/>
      <c r="H45" s="930"/>
    </row>
    <row r="46" spans="1:8" s="146" customFormat="1">
      <c r="A46" s="907">
        <v>3.0499999999999989</v>
      </c>
      <c r="B46" s="912" t="s">
        <v>582</v>
      </c>
      <c r="C46" s="896" t="s">
        <v>867</v>
      </c>
      <c r="D46" s="890"/>
      <c r="E46" s="901"/>
      <c r="F46" s="911" t="s">
        <v>933</v>
      </c>
      <c r="G46" s="911"/>
      <c r="H46" s="930"/>
    </row>
    <row r="47" spans="1:8" s="146" customFormat="1">
      <c r="A47" s="907">
        <v>3.0599999999999987</v>
      </c>
      <c r="B47" s="912" t="s">
        <v>583</v>
      </c>
      <c r="C47" s="896" t="s">
        <v>868</v>
      </c>
      <c r="D47" s="890"/>
      <c r="F47" s="911" t="s">
        <v>934</v>
      </c>
      <c r="G47" s="901" t="s">
        <v>907</v>
      </c>
      <c r="H47" s="930" t="s">
        <v>896</v>
      </c>
    </row>
    <row r="48" spans="1:8" ht="38.25">
      <c r="A48" s="907">
        <v>3.0699999999999985</v>
      </c>
      <c r="B48" s="904" t="s">
        <v>716</v>
      </c>
      <c r="C48" s="896" t="s">
        <v>869</v>
      </c>
      <c r="D48" s="890"/>
      <c r="E48" s="25"/>
      <c r="F48" s="927" t="s">
        <v>925</v>
      </c>
      <c r="G48" s="901" t="s">
        <v>907</v>
      </c>
      <c r="H48" s="892" t="s">
        <v>897</v>
      </c>
    </row>
    <row r="49" spans="1:8" s="44" customFormat="1" ht="25.5">
      <c r="A49" s="906">
        <v>3.0799999999999983</v>
      </c>
      <c r="B49" s="904" t="s">
        <v>692</v>
      </c>
      <c r="C49" s="895" t="s">
        <v>870</v>
      </c>
      <c r="D49" s="890"/>
      <c r="E49" s="901"/>
      <c r="F49" s="927" t="s">
        <v>924</v>
      </c>
      <c r="G49" s="927"/>
      <c r="H49" s="892"/>
    </row>
    <row r="50" spans="1:8" s="44" customFormat="1" ht="25.5">
      <c r="A50" s="906">
        <v>3.0899999999999981</v>
      </c>
      <c r="B50" s="904" t="s">
        <v>596</v>
      </c>
      <c r="C50" s="895" t="s">
        <v>871</v>
      </c>
      <c r="D50" s="891"/>
      <c r="F50" s="927" t="s">
        <v>921</v>
      </c>
      <c r="G50" s="901" t="s">
        <v>907</v>
      </c>
      <c r="H50" s="933" t="s">
        <v>898</v>
      </c>
    </row>
    <row r="51" spans="1:8" s="150" customFormat="1">
      <c r="A51" s="908">
        <v>3.0999999999999979</v>
      </c>
      <c r="B51" s="913" t="s">
        <v>715</v>
      </c>
      <c r="C51" s="897" t="s">
        <v>872</v>
      </c>
      <c r="D51" s="890"/>
      <c r="E51" s="901" t="s">
        <v>887</v>
      </c>
      <c r="F51" s="921" t="s">
        <v>947</v>
      </c>
      <c r="G51" s="921"/>
      <c r="H51" s="930"/>
    </row>
    <row r="52" spans="1:8" s="146" customFormat="1" ht="51">
      <c r="A52" s="908">
        <v>3.1099999999999977</v>
      </c>
      <c r="B52" s="909" t="s">
        <v>761</v>
      </c>
      <c r="C52" s="897" t="s">
        <v>873</v>
      </c>
      <c r="D52" s="890"/>
      <c r="F52" s="922" t="s">
        <v>909</v>
      </c>
      <c r="G52" s="901" t="s">
        <v>907</v>
      </c>
      <c r="H52" s="931" t="s">
        <v>899</v>
      </c>
    </row>
    <row r="53" spans="1:8" s="44" customFormat="1">
      <c r="A53" s="914">
        <v>3.1199999999999974</v>
      </c>
      <c r="B53" s="913" t="s">
        <v>762</v>
      </c>
      <c r="C53" s="899" t="s">
        <v>874</v>
      </c>
      <c r="D53" s="890"/>
      <c r="F53" s="921" t="s">
        <v>920</v>
      </c>
      <c r="G53" s="901" t="s">
        <v>907</v>
      </c>
      <c r="H53" s="892" t="s">
        <v>900</v>
      </c>
    </row>
    <row r="54" spans="1:8" s="44" customFormat="1">
      <c r="A54" s="914">
        <v>3.1299999999999972</v>
      </c>
      <c r="B54" s="913" t="s">
        <v>763</v>
      </c>
      <c r="C54" s="899" t="s">
        <v>875</v>
      </c>
      <c r="D54" s="891"/>
      <c r="F54" s="911" t="s">
        <v>929</v>
      </c>
      <c r="G54" s="901" t="s">
        <v>907</v>
      </c>
      <c r="H54" s="892" t="s">
        <v>901</v>
      </c>
    </row>
    <row r="55" spans="1:8" s="44" customFormat="1">
      <c r="A55" s="914">
        <v>3.139999999999997</v>
      </c>
      <c r="B55" s="913" t="s">
        <v>764</v>
      </c>
      <c r="C55" s="899" t="s">
        <v>876</v>
      </c>
      <c r="D55" s="890"/>
      <c r="F55" s="921" t="s">
        <v>935</v>
      </c>
      <c r="G55" s="901" t="s">
        <v>907</v>
      </c>
      <c r="H55" s="892" t="s">
        <v>902</v>
      </c>
    </row>
    <row r="56" spans="1:8" s="44" customFormat="1">
      <c r="A56" s="914">
        <v>3.1499999999999968</v>
      </c>
      <c r="B56" s="913" t="s">
        <v>765</v>
      </c>
      <c r="C56" s="899" t="s">
        <v>877</v>
      </c>
      <c r="D56" s="890"/>
      <c r="F56" s="921" t="s">
        <v>940</v>
      </c>
      <c r="G56" s="901" t="s">
        <v>907</v>
      </c>
      <c r="H56" s="892" t="s">
        <v>903</v>
      </c>
    </row>
    <row r="57" spans="1:8" s="150" customFormat="1" ht="56.25" customHeight="1">
      <c r="A57" s="908">
        <v>3.1599999999999966</v>
      </c>
      <c r="B57" s="913" t="s">
        <v>686</v>
      </c>
      <c r="C57" s="897" t="s">
        <v>878</v>
      </c>
      <c r="D57" s="891"/>
      <c r="F57" s="922" t="s">
        <v>938</v>
      </c>
      <c r="G57" s="901" t="s">
        <v>907</v>
      </c>
      <c r="H57" s="931" t="s">
        <v>904</v>
      </c>
    </row>
    <row r="58" spans="1:8" s="150" customFormat="1" ht="38.25">
      <c r="A58" s="908" t="s">
        <v>972</v>
      </c>
      <c r="B58" s="913" t="s">
        <v>745</v>
      </c>
      <c r="C58" s="897" t="s">
        <v>879</v>
      </c>
      <c r="D58" s="890"/>
      <c r="F58" s="922" t="s">
        <v>923</v>
      </c>
      <c r="G58" s="901" t="s">
        <v>907</v>
      </c>
      <c r="H58" s="931" t="s">
        <v>981</v>
      </c>
    </row>
    <row r="59" spans="1:8" s="150" customFormat="1" ht="27" customHeight="1">
      <c r="A59" s="908" t="s">
        <v>973</v>
      </c>
      <c r="B59" s="913" t="s">
        <v>974</v>
      </c>
      <c r="C59" s="897" t="s">
        <v>975</v>
      </c>
      <c r="D59" s="954"/>
      <c r="F59" s="922"/>
      <c r="G59" s="955"/>
      <c r="H59" s="931" t="s">
        <v>980</v>
      </c>
    </row>
    <row r="60" spans="1:8" s="150" customFormat="1" ht="54" customHeight="1">
      <c r="A60" s="908" t="s">
        <v>837</v>
      </c>
      <c r="B60" s="913" t="s">
        <v>748</v>
      </c>
      <c r="C60" s="897" t="s">
        <v>880</v>
      </c>
      <c r="D60" s="890"/>
      <c r="F60" s="922" t="s">
        <v>939</v>
      </c>
      <c r="G60" s="901" t="s">
        <v>907</v>
      </c>
      <c r="H60" s="931" t="s">
        <v>977</v>
      </c>
    </row>
    <row r="61" spans="1:8" s="150" customFormat="1" ht="29.25" customHeight="1">
      <c r="A61" s="908" t="str">
        <f>'ADJ DETAIL-INPUT'!AY$10</f>
        <v>3.18PV</v>
      </c>
      <c r="B61" s="913" t="str">
        <f>'ADJ DETAIL-INPUT'!AY$11</f>
        <v>E-PEIMp</v>
      </c>
      <c r="C61" s="897" t="str">
        <f>TRIM(CONCATENATE('ADJ DETAIL-INPUT'!AY$7," ",'ADJ DETAIL-INPUT'!AY$8," ",'ADJ DETAIL-INPUT'!AY$9))</f>
        <v>Provisional EIM Expenditures</v>
      </c>
      <c r="D61" s="890"/>
      <c r="F61" s="922"/>
      <c r="G61" s="901"/>
      <c r="H61" s="931" t="s">
        <v>976</v>
      </c>
    </row>
    <row r="62" spans="1:8" s="150" customFormat="1" ht="156" customHeight="1">
      <c r="A62" s="908" t="s">
        <v>838</v>
      </c>
      <c r="B62" s="913" t="s">
        <v>693</v>
      </c>
      <c r="C62" s="897" t="s">
        <v>881</v>
      </c>
      <c r="D62" s="890"/>
      <c r="F62" s="922" t="s">
        <v>927</v>
      </c>
      <c r="G62" s="901" t="s">
        <v>907</v>
      </c>
      <c r="H62" s="931" t="s">
        <v>978</v>
      </c>
    </row>
    <row r="63" spans="1:8" s="150" customFormat="1" ht="30" customHeight="1">
      <c r="A63" s="908" t="str">
        <f>'ADJ DETAIL-INPUT'!BA$10</f>
        <v>3.19PV</v>
      </c>
      <c r="B63" s="913" t="str">
        <f>'ADJ DETAIL-INPUT'!BA$11</f>
        <v>E-PCOLp</v>
      </c>
      <c r="C63" s="897" t="str">
        <f>TRIM(CONCATENATE('ADJ DETAIL-INPUT'!BA$7," ",'ADJ DETAIL-INPUT'!BA$8," ",'ADJ DETAIL-INPUT'!BA$9))</f>
        <v>Provisional Colstrip Cap &amp; Amortization</v>
      </c>
      <c r="D63" s="890"/>
      <c r="F63" s="922"/>
      <c r="G63" s="901"/>
      <c r="H63" s="931" t="s">
        <v>979</v>
      </c>
    </row>
    <row r="64" spans="1:8" s="150" customFormat="1" ht="14.25" customHeight="1">
      <c r="A64" s="908">
        <v>3.2</v>
      </c>
      <c r="B64" s="913" t="s">
        <v>639</v>
      </c>
      <c r="C64" s="897" t="s">
        <v>882</v>
      </c>
      <c r="D64" s="890"/>
      <c r="F64" s="921" t="s">
        <v>956</v>
      </c>
      <c r="G64" s="901" t="s">
        <v>907</v>
      </c>
      <c r="H64" s="930" t="s">
        <v>905</v>
      </c>
    </row>
    <row r="65" spans="1:8" s="150" customFormat="1" ht="51">
      <c r="A65" s="908">
        <v>3.21</v>
      </c>
      <c r="B65" s="913" t="s">
        <v>777</v>
      </c>
      <c r="C65" s="897" t="s">
        <v>883</v>
      </c>
      <c r="D65" s="890"/>
      <c r="E65" s="901" t="s">
        <v>887</v>
      </c>
      <c r="F65" s="922" t="s">
        <v>931</v>
      </c>
      <c r="G65" s="922"/>
      <c r="H65" s="930"/>
    </row>
    <row r="66" spans="1:8">
      <c r="A66" s="915"/>
      <c r="B66" s="915"/>
      <c r="C66" s="894"/>
      <c r="D66" s="892"/>
      <c r="E66" s="903"/>
    </row>
    <row r="67" spans="1:8" s="150" customFormat="1">
      <c r="A67" s="911" t="s">
        <v>587</v>
      </c>
      <c r="B67" s="916" t="s">
        <v>588</v>
      </c>
      <c r="C67" s="900" t="s">
        <v>136</v>
      </c>
      <c r="D67" s="893"/>
      <c r="E67" s="901" t="s">
        <v>887</v>
      </c>
      <c r="F67" s="921" t="s">
        <v>908</v>
      </c>
      <c r="G67" s="921"/>
      <c r="H67" s="930"/>
    </row>
    <row r="68" spans="1:8" ht="18" customHeight="1">
      <c r="A68" s="917" t="s">
        <v>794</v>
      </c>
      <c r="B68" s="918"/>
      <c r="D68" s="890"/>
      <c r="E68" s="901"/>
    </row>
    <row r="69" spans="1:8" ht="12" customHeight="1">
      <c r="A69" s="908" t="s">
        <v>791</v>
      </c>
      <c r="B69" s="913" t="s">
        <v>780</v>
      </c>
      <c r="C69" s="897" t="s">
        <v>884</v>
      </c>
      <c r="D69" s="1013" t="s">
        <v>968</v>
      </c>
      <c r="E69" s="1013"/>
    </row>
    <row r="70" spans="1:8">
      <c r="C70" s="923" t="s">
        <v>795</v>
      </c>
      <c r="D70" s="1013"/>
      <c r="E70" s="1013"/>
      <c r="F70" s="911" t="s">
        <v>913</v>
      </c>
      <c r="H70" s="932" t="s">
        <v>914</v>
      </c>
    </row>
  </sheetData>
  <mergeCells count="16">
    <mergeCell ref="E7:E8"/>
    <mergeCell ref="F1:F6"/>
    <mergeCell ref="H1:H6"/>
    <mergeCell ref="A1:C1"/>
    <mergeCell ref="A2:C2"/>
    <mergeCell ref="A3:C3"/>
    <mergeCell ref="A4:C4"/>
    <mergeCell ref="D7:D8"/>
    <mergeCell ref="G27:G30"/>
    <mergeCell ref="H27:H30"/>
    <mergeCell ref="D69:E70"/>
    <mergeCell ref="A27:A30"/>
    <mergeCell ref="B27:B30"/>
    <mergeCell ref="C27:C30"/>
    <mergeCell ref="D27:D30"/>
    <mergeCell ref="E27:E30"/>
  </mergeCells>
  <pageMargins left="0.6" right="0.5" top="1.1299999999999999" bottom="0.75" header="0.5" footer="0.5"/>
  <pageSetup scale="48" fitToHeight="2" orientation="landscape" r:id="rId1"/>
  <headerFooter alignWithMargins="0">
    <oddHeader>&amp;C
&amp;RExh. EMA - 8</oddHeader>
    <oddFooter>&amp;C
&amp;RPage &amp;P of &amp;N</oddFooter>
  </headerFooter>
  <rowBreaks count="2" manualBreakCount="2">
    <brk id="38" max="7" man="1"/>
    <brk id="63"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E134"/>
  <sheetViews>
    <sheetView topLeftCell="A31" workbookViewId="0">
      <selection activeCell="S54" sqref="S54"/>
    </sheetView>
  </sheetViews>
  <sheetFormatPr defaultColWidth="9.140625" defaultRowHeight="12.75"/>
  <cols>
    <col min="1" max="1" width="8" style="324"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21" hidden="1" customWidth="1"/>
    <col min="17" max="17" width="9.85546875" style="146" bestFit="1" customWidth="1"/>
    <col min="18" max="18" width="8.7109375" style="99" bestFit="1" customWidth="1"/>
    <col min="19" max="19" width="7.42578125" style="25" bestFit="1" customWidth="1"/>
    <col min="20" max="20" width="9.140625" style="25"/>
    <col min="21" max="21" width="40.5703125" style="25" customWidth="1"/>
    <col min="22" max="22" width="9.85546875" style="25" bestFit="1" customWidth="1"/>
    <col min="23" max="16384" width="9.140625" style="25"/>
  </cols>
  <sheetData>
    <row r="1" spans="1:22" ht="18.75">
      <c r="A1" s="1031" t="s">
        <v>89</v>
      </c>
      <c r="B1" s="1031"/>
      <c r="C1" s="1031"/>
      <c r="D1" s="1031"/>
      <c r="E1" s="1031"/>
      <c r="F1" s="1031"/>
      <c r="G1" s="1031"/>
      <c r="H1" s="1031"/>
      <c r="I1" s="1031"/>
      <c r="J1" s="1031"/>
      <c r="K1" s="1031"/>
      <c r="L1" s="1031"/>
      <c r="M1" s="1031"/>
      <c r="N1" s="1031"/>
    </row>
    <row r="2" spans="1:22" ht="21.75" customHeight="1">
      <c r="A2" s="1031" t="s">
        <v>116</v>
      </c>
      <c r="B2" s="1031"/>
      <c r="C2" s="1031"/>
      <c r="D2" s="1031"/>
      <c r="E2" s="1031"/>
      <c r="F2" s="1031"/>
      <c r="G2" s="1031"/>
      <c r="H2" s="1031"/>
      <c r="I2" s="1031"/>
      <c r="J2" s="1031"/>
      <c r="K2" s="1031"/>
      <c r="L2" s="1031"/>
      <c r="M2" s="1031"/>
      <c r="N2" s="1031"/>
      <c r="O2" s="226"/>
    </row>
    <row r="3" spans="1:22" ht="15.75" customHeight="1">
      <c r="A3" s="1031" t="s">
        <v>251</v>
      </c>
      <c r="B3" s="1031"/>
      <c r="C3" s="1031"/>
      <c r="D3" s="1031"/>
      <c r="E3" s="1031"/>
      <c r="F3" s="1031"/>
      <c r="G3" s="1031"/>
      <c r="H3" s="1031"/>
      <c r="I3" s="1031"/>
      <c r="J3" s="1031"/>
      <c r="K3" s="1031"/>
      <c r="L3" s="1031"/>
      <c r="M3" s="1031"/>
      <c r="N3" s="1031"/>
      <c r="O3" s="226"/>
    </row>
    <row r="4" spans="1:22" ht="15.75" customHeight="1">
      <c r="A4" s="1031" t="s">
        <v>247</v>
      </c>
      <c r="B4" s="1031"/>
      <c r="C4" s="1031"/>
      <c r="D4" s="1031"/>
      <c r="E4" s="1031"/>
      <c r="F4" s="1031"/>
      <c r="G4" s="1031"/>
      <c r="H4" s="1031"/>
      <c r="I4" s="1031"/>
      <c r="J4" s="1031"/>
      <c r="K4" s="1031"/>
      <c r="L4" s="1031"/>
      <c r="M4" s="1031"/>
      <c r="N4" s="1031"/>
      <c r="O4" s="226"/>
    </row>
    <row r="5" spans="1:22" s="27" customFormat="1">
      <c r="A5" s="324"/>
      <c r="B5" s="49"/>
      <c r="C5" s="49"/>
      <c r="D5" s="25"/>
      <c r="E5" s="150"/>
      <c r="F5" s="43"/>
      <c r="G5" s="25"/>
      <c r="H5" s="150"/>
      <c r="J5" s="25"/>
      <c r="K5" s="25"/>
      <c r="L5" s="25"/>
      <c r="M5" s="25"/>
      <c r="N5" s="25"/>
      <c r="O5" s="25"/>
      <c r="P5" s="221"/>
      <c r="Q5" s="138"/>
      <c r="R5" s="105"/>
    </row>
    <row r="6" spans="1:22">
      <c r="B6" s="49"/>
      <c r="C6" s="49"/>
      <c r="H6" s="25"/>
      <c r="I6" s="29"/>
      <c r="J6" s="25"/>
      <c r="K6" s="27"/>
      <c r="L6" s="218"/>
      <c r="M6" s="1009" t="s">
        <v>242</v>
      </c>
      <c r="N6" s="1009"/>
      <c r="O6" s="225"/>
    </row>
    <row r="7" spans="1:22">
      <c r="B7" s="49"/>
      <c r="C7" s="49"/>
      <c r="D7" s="1033" t="s">
        <v>243</v>
      </c>
      <c r="E7" s="1033"/>
      <c r="G7" s="1033"/>
      <c r="H7" s="1033"/>
      <c r="I7" s="29"/>
      <c r="J7" s="1009" t="s">
        <v>244</v>
      </c>
      <c r="K7" s="1009"/>
      <c r="L7" s="27"/>
      <c r="M7" s="1009" t="s">
        <v>245</v>
      </c>
      <c r="N7" s="1009"/>
      <c r="O7" s="225"/>
    </row>
    <row r="8" spans="1:22">
      <c r="B8" s="49"/>
      <c r="C8" s="49"/>
      <c r="D8" s="1032" t="s">
        <v>78</v>
      </c>
      <c r="E8" s="1032"/>
      <c r="G8" s="1032" t="s">
        <v>78</v>
      </c>
      <c r="H8" s="1032"/>
      <c r="I8" s="29"/>
      <c r="J8" s="1032" t="s">
        <v>78</v>
      </c>
      <c r="K8" s="1032"/>
      <c r="L8" s="27"/>
      <c r="M8" s="28" t="s">
        <v>246</v>
      </c>
      <c r="N8" s="28" t="s">
        <v>24</v>
      </c>
      <c r="O8" s="225"/>
    </row>
    <row r="9" spans="1:22">
      <c r="A9" s="325" t="s">
        <v>79</v>
      </c>
      <c r="B9" s="31" t="s">
        <v>80</v>
      </c>
      <c r="C9" s="28"/>
      <c r="D9" s="31" t="s">
        <v>81</v>
      </c>
      <c r="E9" s="31" t="s">
        <v>24</v>
      </c>
      <c r="F9" s="28"/>
      <c r="G9" s="31" t="s">
        <v>81</v>
      </c>
      <c r="H9" s="31" t="s">
        <v>24</v>
      </c>
      <c r="I9" s="29"/>
      <c r="J9" s="31" t="s">
        <v>81</v>
      </c>
      <c r="K9" s="31" t="s">
        <v>24</v>
      </c>
      <c r="M9" s="154">
        <f>'CF '!E24</f>
        <v>0.75529400000000002</v>
      </c>
      <c r="N9" s="181">
        <f>'RR SUMMARY'!N15</f>
        <v>7.4300000000000005E-2</v>
      </c>
      <c r="O9" s="39"/>
      <c r="Q9" s="146" t="s">
        <v>681</v>
      </c>
    </row>
    <row r="10" spans="1:22">
      <c r="A10" s="327">
        <f>'ADJ DETAIL-INPUT'!E$10</f>
        <v>1</v>
      </c>
      <c r="B10" s="49" t="str">
        <f>TRIM(CONCATENATE('ADJ DETAIL-INPUT'!E$8," ",'ADJ DETAIL-INPUT'!E$9," "))</f>
        <v>Results of Operations</v>
      </c>
      <c r="C10" s="50"/>
      <c r="D10" s="52">
        <v>115023</v>
      </c>
      <c r="E10" s="52">
        <v>1710135</v>
      </c>
      <c r="F10" s="50"/>
      <c r="G10" s="51">
        <f>'ADJ DETAIL-INPUT'!E$57</f>
        <v>115023</v>
      </c>
      <c r="H10" s="52">
        <f>'ADJ DETAIL-INPUT'!E$81</f>
        <v>1710135</v>
      </c>
      <c r="I10" s="53"/>
      <c r="J10" s="51">
        <f>G10-D10</f>
        <v>0</v>
      </c>
      <c r="K10" s="51">
        <f>H10-E10</f>
        <v>0</v>
      </c>
      <c r="L10" s="44"/>
      <c r="M10" s="174">
        <f>J10/$M$9*-1</f>
        <v>0</v>
      </c>
      <c r="N10" s="174">
        <f>K10*$N$9/$M$9</f>
        <v>0</v>
      </c>
      <c r="O10" s="174">
        <f>(H10*$N$9/$M$9)-(G10/$M$9)</f>
        <v>15940.852833466197</v>
      </c>
      <c r="P10" s="222">
        <f>SUM(M10:N10)</f>
        <v>0</v>
      </c>
      <c r="Q10" s="175">
        <f>SUM(M10:N10)</f>
        <v>0</v>
      </c>
    </row>
    <row r="11" spans="1:22" s="50" customFormat="1">
      <c r="A11" s="327">
        <f>'ADJ DETAIL-INPUT'!F$10</f>
        <v>1.01</v>
      </c>
      <c r="B11" s="49" t="str">
        <f>TRIM(CONCATENATE('ADJ DETAIL-INPUT'!F$7," ",'ADJ DETAIL-INPUT'!F$8," ",'ADJ DETAIL-INPUT'!F$9))</f>
        <v>Deferred FIT Rate Base</v>
      </c>
      <c r="D11" s="52">
        <v>0.24477599999999999</v>
      </c>
      <c r="E11" s="52">
        <v>47</v>
      </c>
      <c r="G11" s="52">
        <f>'ADJ DETAIL-INPUT'!F$57</f>
        <v>0.24477599999999999</v>
      </c>
      <c r="H11" s="52">
        <f>'ADJ DETAIL-INPUT'!F$81</f>
        <v>47</v>
      </c>
      <c r="I11" s="129"/>
      <c r="J11" s="51">
        <f t="shared" ref="J11:J13" si="0">G11-D11</f>
        <v>0</v>
      </c>
      <c r="K11" s="51">
        <f t="shared" ref="K11:K13" si="1">H11-E11</f>
        <v>0</v>
      </c>
      <c r="L11" s="44"/>
      <c r="M11" s="174">
        <f t="shared" ref="M11:M13" si="2">J11/$M$9*-1</f>
        <v>0</v>
      </c>
      <c r="N11" s="174">
        <f t="shared" ref="N11:N13" si="3">K11*$N$9/$M$9</f>
        <v>0</v>
      </c>
      <c r="O11" s="174">
        <f>(H11*$N$9/$M$9)-(G11/$M$9)</f>
        <v>4.2994171805945767</v>
      </c>
      <c r="P11" s="222">
        <f>SUM(M11:N11)</f>
        <v>0</v>
      </c>
      <c r="Q11" s="175">
        <f t="shared" ref="Q11:Q13" si="4">SUM(M11:N11)</f>
        <v>0</v>
      </c>
      <c r="R11" s="134"/>
    </row>
    <row r="12" spans="1:22" s="50" customFormat="1">
      <c r="A12" s="327">
        <f>'ADJ DETAIL-INPUT'!G$10</f>
        <v>1.02</v>
      </c>
      <c r="B12" s="49" t="str">
        <f>TRIM(CONCATENATE('ADJ DETAIL-INPUT'!G$7," ",'ADJ DETAIL-INPUT'!G$8," ",'ADJ DETAIL-INPUT'!G$9))</f>
        <v>Deferred Debits and Credits</v>
      </c>
      <c r="D12" s="52">
        <v>-45.024792000000005</v>
      </c>
      <c r="E12" s="52">
        <v>1</v>
      </c>
      <c r="G12" s="52">
        <f>'ADJ DETAIL-INPUT'!G$57</f>
        <v>-45.024792000000005</v>
      </c>
      <c r="H12" s="52">
        <f>'ADJ DETAIL-INPUT'!G$81</f>
        <v>1</v>
      </c>
      <c r="I12" s="129"/>
      <c r="J12" s="51">
        <f t="shared" si="0"/>
        <v>0</v>
      </c>
      <c r="K12" s="51">
        <f t="shared" si="1"/>
        <v>0</v>
      </c>
      <c r="L12" s="182"/>
      <c r="M12" s="174">
        <f t="shared" si="2"/>
        <v>0</v>
      </c>
      <c r="N12" s="174">
        <f t="shared" si="3"/>
        <v>0</v>
      </c>
      <c r="O12" s="174">
        <f t="shared" ref="O12:O38" si="5">(H12*$N$9/$M$9)-(G12/$M$9)</f>
        <v>59.710645126268716</v>
      </c>
      <c r="P12" s="222">
        <f t="shared" ref="P12:P13" si="6">SUM(M12:N12)</f>
        <v>0</v>
      </c>
      <c r="Q12" s="175">
        <f t="shared" si="4"/>
        <v>0</v>
      </c>
      <c r="R12" s="134"/>
      <c r="S12" s="149"/>
    </row>
    <row r="13" spans="1:22" ht="12.75" customHeight="1">
      <c r="A13" s="327">
        <f>'ADJ DETAIL-INPUT'!H$10</f>
        <v>1.03</v>
      </c>
      <c r="B13" s="1030" t="str">
        <f>TRIM(CONCATENATE('ADJ DETAIL-INPUT'!H$7," ",'ADJ DETAIL-INPUT'!H$8," ",'ADJ DETAIL-INPUT'!H$9))</f>
        <v>Working Capital</v>
      </c>
      <c r="C13" s="1030"/>
      <c r="D13" s="52">
        <v>-19.540416</v>
      </c>
      <c r="E13" s="52">
        <v>-3752</v>
      </c>
      <c r="F13" s="50"/>
      <c r="G13" s="52">
        <f>'ADJ DETAIL-INPUT'!H$57</f>
        <v>-19.540416</v>
      </c>
      <c r="H13" s="52">
        <f>'ADJ DETAIL-INPUT'!H$81</f>
        <v>-3752</v>
      </c>
      <c r="I13" s="59"/>
      <c r="J13" s="51">
        <f t="shared" si="0"/>
        <v>0</v>
      </c>
      <c r="K13" s="51">
        <f t="shared" si="1"/>
        <v>0</v>
      </c>
      <c r="M13" s="174">
        <f t="shared" si="2"/>
        <v>0</v>
      </c>
      <c r="N13" s="174">
        <f t="shared" si="3"/>
        <v>0</v>
      </c>
      <c r="O13" s="174">
        <f t="shared" si="5"/>
        <v>-343.22155875725218</v>
      </c>
      <c r="P13" s="222">
        <f t="shared" si="6"/>
        <v>0</v>
      </c>
      <c r="Q13" s="175">
        <f t="shared" si="4"/>
        <v>0</v>
      </c>
      <c r="R13" s="227"/>
      <c r="S13" s="689"/>
      <c r="V13" s="36"/>
    </row>
    <row r="14" spans="1:22" ht="12.75" customHeight="1">
      <c r="A14" s="327">
        <f>'ADJ DETAIL-INPUT'!I$10</f>
        <v>1.04</v>
      </c>
      <c r="B14" s="49" t="str">
        <f>TRIM(CONCATENATE('ADJ DETAIL-INPUT'!I$7," ",'ADJ DETAIL-INPUT'!I$8," ",'ADJ DETAIL-INPUT'!I$9))</f>
        <v>Remove AMI Rate Base</v>
      </c>
      <c r="C14" s="50"/>
      <c r="D14" s="52">
        <v>-251.483904</v>
      </c>
      <c r="E14" s="52">
        <v>-48288</v>
      </c>
      <c r="F14" s="50"/>
      <c r="G14" s="52">
        <f>'ADJ DETAIL-INPUT'!I$57</f>
        <v>-251.483904</v>
      </c>
      <c r="H14" s="52">
        <f>'ADJ DETAIL-INPUT'!I$81</f>
        <v>-48288</v>
      </c>
      <c r="I14" s="59"/>
      <c r="J14" s="51">
        <f t="shared" ref="J14" si="7">G14-D14</f>
        <v>0</v>
      </c>
      <c r="K14" s="51">
        <f t="shared" ref="K14" si="8">H14-E14</f>
        <v>0</v>
      </c>
      <c r="M14" s="174">
        <f t="shared" ref="M14" si="9">J14/$M$9*-1</f>
        <v>0</v>
      </c>
      <c r="N14" s="174">
        <f t="shared" ref="N14" si="10">K14*$N$9/$M$9</f>
        <v>0</v>
      </c>
      <c r="O14" s="174">
        <f t="shared" ref="O14" si="11">(H14*$N$9/$M$9)-(G14/$M$9)</f>
        <v>-4417.2395067351263</v>
      </c>
      <c r="P14" s="222">
        <f t="shared" ref="P14" si="12">SUM(M14:N14)</f>
        <v>0</v>
      </c>
      <c r="Q14" s="175">
        <f t="shared" ref="Q14" si="13">SUM(M14:N14)</f>
        <v>0</v>
      </c>
      <c r="R14" s="227"/>
      <c r="S14" s="689"/>
      <c r="V14" s="36"/>
    </row>
    <row r="15" spans="1:22">
      <c r="A15" s="328"/>
      <c r="B15" s="25" t="s">
        <v>83</v>
      </c>
      <c r="D15" s="37">
        <f>SUM(D10:D14)</f>
        <v>114707.19566400001</v>
      </c>
      <c r="E15" s="37">
        <f>SUM(E10:E14)</f>
        <v>1658143</v>
      </c>
      <c r="G15" s="37">
        <f>SUM(G10:G14)</f>
        <v>114707.19566400001</v>
      </c>
      <c r="H15" s="37">
        <f>SUM(H10:H14)</f>
        <v>1658143</v>
      </c>
      <c r="I15" s="57"/>
      <c r="J15" s="37">
        <f>SUM(J10:J14)</f>
        <v>0</v>
      </c>
      <c r="K15" s="37">
        <f>SUM(K10:K14)</f>
        <v>0</v>
      </c>
      <c r="L15" s="28"/>
      <c r="M15" s="37">
        <f>SUM(M10:M14)</f>
        <v>0</v>
      </c>
      <c r="N15" s="37">
        <f>SUM(N10:N14)</f>
        <v>0</v>
      </c>
      <c r="O15" s="174">
        <f t="shared" si="5"/>
        <v>11244.401830280636</v>
      </c>
      <c r="S15" s="146"/>
    </row>
    <row r="16" spans="1:22">
      <c r="A16" s="326"/>
      <c r="G16" s="38"/>
      <c r="H16" s="38"/>
      <c r="I16" s="59"/>
      <c r="J16" s="34"/>
      <c r="K16" s="168"/>
      <c r="L16" s="28"/>
      <c r="O16" s="174">
        <f t="shared" si="5"/>
        <v>0</v>
      </c>
      <c r="S16" s="690"/>
      <c r="T16" s="50"/>
    </row>
    <row r="17" spans="1:31" s="44" customFormat="1">
      <c r="A17" s="327">
        <f>'ADJ DETAIL-INPUT'!J$10</f>
        <v>2.0099999999999998</v>
      </c>
      <c r="B17" s="49" t="str">
        <f>TRIM(CONCATENATE('ADJ DETAIL-INPUT'!J$7," ",'ADJ DETAIL-INPUT'!J$8," ",'ADJ DETAIL-INPUT'!J$9))</f>
        <v>Eliminate B &amp; O Taxes</v>
      </c>
      <c r="C17" s="50"/>
      <c r="D17" s="52">
        <v>-63.2</v>
      </c>
      <c r="E17" s="52">
        <v>0</v>
      </c>
      <c r="F17" s="50"/>
      <c r="G17" s="52">
        <f>'ADJ DETAIL-INPUT'!J$57</f>
        <v>-63.2</v>
      </c>
      <c r="H17" s="52">
        <f>'ADJ DETAIL-INPUT'!J$81</f>
        <v>0</v>
      </c>
      <c r="I17" s="59"/>
      <c r="J17" s="51">
        <f t="shared" ref="J17:J32" si="14">G17-D17</f>
        <v>0</v>
      </c>
      <c r="K17" s="51">
        <f t="shared" ref="K17:K32" si="15">H17-E17</f>
        <v>0</v>
      </c>
      <c r="L17" s="183"/>
      <c r="M17" s="174">
        <f t="shared" ref="M17:M32" si="16">J17/$M$9*-1</f>
        <v>0</v>
      </c>
      <c r="N17" s="174">
        <f t="shared" ref="N17:N32" si="17">K17*$N$9/$M$9</f>
        <v>0</v>
      </c>
      <c r="O17" s="174">
        <f t="shared" si="5"/>
        <v>83.676025494708028</v>
      </c>
      <c r="P17" s="222">
        <f t="shared" ref="P17:P26" si="18">SUM(M17:N17)</f>
        <v>0</v>
      </c>
      <c r="Q17" s="175">
        <f t="shared" ref="Q17:Q35" si="19">SUM(M17:N17)</f>
        <v>0</v>
      </c>
      <c r="R17" s="203"/>
      <c r="S17" s="691"/>
      <c r="T17" s="50"/>
    </row>
    <row r="18" spans="1:31" s="44" customFormat="1">
      <c r="A18" s="327">
        <f>'ADJ DETAIL-INPUT'!K$10</f>
        <v>2.0199999999999996</v>
      </c>
      <c r="B18" s="49" t="str">
        <f>TRIM(CONCATENATE('ADJ DETAIL-INPUT'!K$7," ",'ADJ DETAIL-INPUT'!K$8," ",'ADJ DETAIL-INPUT'!K$9))</f>
        <v>Restate Property Tax</v>
      </c>
      <c r="C18" s="50"/>
      <c r="D18" s="52">
        <v>-790.79</v>
      </c>
      <c r="E18" s="52">
        <v>0</v>
      </c>
      <c r="F18" s="50"/>
      <c r="G18" s="52">
        <f>'ADJ DETAIL-INPUT'!K$57</f>
        <v>-790.79</v>
      </c>
      <c r="H18" s="52">
        <f>'ADJ DETAIL-INPUT'!K$81</f>
        <v>0</v>
      </c>
      <c r="I18" s="59"/>
      <c r="J18" s="51">
        <f t="shared" si="14"/>
        <v>0</v>
      </c>
      <c r="K18" s="51">
        <f t="shared" si="15"/>
        <v>0</v>
      </c>
      <c r="L18" s="183"/>
      <c r="M18" s="174">
        <f t="shared" si="16"/>
        <v>0</v>
      </c>
      <c r="N18" s="174">
        <f t="shared" si="17"/>
        <v>0</v>
      </c>
      <c r="O18" s="174">
        <f t="shared" ref="O18" si="20">(H18*$N$9/$M$9)-(G18/$M$9)</f>
        <v>1046.9962690025341</v>
      </c>
      <c r="P18" s="222">
        <f t="shared" ref="P18" si="21">SUM(M18:N18)</f>
        <v>0</v>
      </c>
      <c r="Q18" s="175">
        <f t="shared" si="19"/>
        <v>0</v>
      </c>
      <c r="R18" s="203"/>
      <c r="S18" s="691"/>
      <c r="T18" s="50"/>
    </row>
    <row r="19" spans="1:31" s="44" customFormat="1">
      <c r="A19" s="327">
        <f>'ADJ DETAIL-INPUT'!L$10</f>
        <v>2.0299999999999994</v>
      </c>
      <c r="B19" s="49" t="str">
        <f>TRIM(CONCATENATE('ADJ DETAIL-INPUT'!L$7," ",'ADJ DETAIL-INPUT'!L$8," ",'ADJ DETAIL-INPUT'!L$9))</f>
        <v>Uncollect. Expense</v>
      </c>
      <c r="C19" s="50"/>
      <c r="D19" s="52">
        <v>-1135.23</v>
      </c>
      <c r="E19" s="52">
        <v>0</v>
      </c>
      <c r="F19" s="50"/>
      <c r="G19" s="52">
        <f>'ADJ DETAIL-INPUT'!L$57</f>
        <v>-1135.23</v>
      </c>
      <c r="H19" s="52">
        <f>'ADJ DETAIL-INPUT'!L$81</f>
        <v>0</v>
      </c>
      <c r="I19" s="59"/>
      <c r="J19" s="51">
        <f t="shared" si="14"/>
        <v>0</v>
      </c>
      <c r="K19" s="51">
        <f t="shared" si="15"/>
        <v>0</v>
      </c>
      <c r="L19" s="183"/>
      <c r="M19" s="174">
        <f t="shared" si="16"/>
        <v>0</v>
      </c>
      <c r="N19" s="174">
        <f t="shared" si="17"/>
        <v>0</v>
      </c>
      <c r="O19" s="174">
        <f t="shared" si="5"/>
        <v>1503.0306079486927</v>
      </c>
      <c r="P19" s="222">
        <f t="shared" si="18"/>
        <v>0</v>
      </c>
      <c r="Q19" s="175">
        <f t="shared" si="19"/>
        <v>0</v>
      </c>
      <c r="R19" s="203"/>
      <c r="S19" s="689"/>
    </row>
    <row r="20" spans="1:31" s="44" customFormat="1">
      <c r="A20" s="327">
        <f>'ADJ DETAIL-INPUT'!M$10</f>
        <v>2.0399999999999991</v>
      </c>
      <c r="B20" s="49" t="str">
        <f>TRIM(CONCATENATE('ADJ DETAIL-INPUT'!M$7," ",'ADJ DETAIL-INPUT'!M$8," ",'ADJ DETAIL-INPUT'!M$9))</f>
        <v>Regulatory Expense</v>
      </c>
      <c r="C20" s="50"/>
      <c r="D20" s="52">
        <v>293.88</v>
      </c>
      <c r="E20" s="52">
        <v>0</v>
      </c>
      <c r="F20" s="50"/>
      <c r="G20" s="52">
        <f>'ADJ DETAIL-INPUT'!M$57</f>
        <v>-29.23</v>
      </c>
      <c r="H20" s="52">
        <f>'ADJ DETAIL-INPUT'!M$81</f>
        <v>0</v>
      </c>
      <c r="I20" s="59"/>
      <c r="J20" s="51">
        <f t="shared" si="14"/>
        <v>-323.11</v>
      </c>
      <c r="K20" s="51">
        <f t="shared" si="15"/>
        <v>0</v>
      </c>
      <c r="L20" s="183"/>
      <c r="M20" s="174">
        <f t="shared" si="16"/>
        <v>427.79368034169477</v>
      </c>
      <c r="N20" s="174">
        <f t="shared" si="17"/>
        <v>0</v>
      </c>
      <c r="O20" s="174">
        <f t="shared" si="5"/>
        <v>38.700161791302456</v>
      </c>
      <c r="P20" s="222">
        <f t="shared" si="18"/>
        <v>427.79368034169477</v>
      </c>
      <c r="Q20" s="175">
        <f t="shared" si="19"/>
        <v>427.79368034169477</v>
      </c>
      <c r="R20" s="203"/>
      <c r="S20" s="689"/>
    </row>
    <row r="21" spans="1:31" s="44" customFormat="1">
      <c r="A21" s="327">
        <f>'ADJ DETAIL-INPUT'!N$10</f>
        <v>2.0499999999999989</v>
      </c>
      <c r="B21" s="49" t="str">
        <f>TRIM(CONCATENATE('ADJ DETAIL-INPUT'!N$7," ",'ADJ DETAIL-INPUT'!N$8," ",'ADJ DETAIL-INPUT'!N$9))</f>
        <v>Injuries and Damages</v>
      </c>
      <c r="C21" s="50"/>
      <c r="D21" s="52">
        <v>-40.29</v>
      </c>
      <c r="E21" s="52">
        <v>0</v>
      </c>
      <c r="F21" s="50"/>
      <c r="G21" s="52">
        <f>'ADJ DETAIL-INPUT'!N$57</f>
        <v>-40.29</v>
      </c>
      <c r="H21" s="52">
        <f>'ADJ DETAIL-INPUT'!N$81</f>
        <v>0</v>
      </c>
      <c r="I21" s="59"/>
      <c r="J21" s="51">
        <f t="shared" si="14"/>
        <v>0</v>
      </c>
      <c r="K21" s="51">
        <f t="shared" si="15"/>
        <v>0</v>
      </c>
      <c r="L21" s="183"/>
      <c r="M21" s="174">
        <f t="shared" si="16"/>
        <v>0</v>
      </c>
      <c r="N21" s="174">
        <f t="shared" si="17"/>
        <v>0</v>
      </c>
      <c r="O21" s="174">
        <f t="shared" si="5"/>
        <v>53.343466252876361</v>
      </c>
      <c r="P21" s="222">
        <f t="shared" si="18"/>
        <v>0</v>
      </c>
      <c r="Q21" s="175">
        <f t="shared" si="19"/>
        <v>0</v>
      </c>
      <c r="R21" s="203"/>
      <c r="S21" s="689"/>
      <c r="V21" s="530"/>
    </row>
    <row r="22" spans="1:31" s="127" customFormat="1">
      <c r="A22" s="327">
        <f>'ADJ DETAIL-INPUT'!O$10</f>
        <v>2.0599999999999987</v>
      </c>
      <c r="B22" s="49" t="str">
        <f>TRIM(CONCATENATE('ADJ DETAIL-INPUT'!O$7," ",'ADJ DETAIL-INPUT'!O$8," ",'ADJ DETAIL-INPUT'!O$9))</f>
        <v>FIT/DFIT/ ITC Expense</v>
      </c>
      <c r="C22" s="50"/>
      <c r="D22" s="52">
        <v>3</v>
      </c>
      <c r="E22" s="52">
        <v>0</v>
      </c>
      <c r="F22" s="50"/>
      <c r="G22" s="52">
        <f>'ADJ DETAIL-INPUT'!O$57</f>
        <v>3</v>
      </c>
      <c r="H22" s="52">
        <f>'ADJ DETAIL-INPUT'!O$81</f>
        <v>0</v>
      </c>
      <c r="I22" s="125"/>
      <c r="J22" s="51">
        <f t="shared" si="14"/>
        <v>0</v>
      </c>
      <c r="K22" s="51">
        <f t="shared" si="15"/>
        <v>0</v>
      </c>
      <c r="L22" s="126"/>
      <c r="M22" s="174">
        <f t="shared" si="16"/>
        <v>0</v>
      </c>
      <c r="N22" s="174">
        <f t="shared" si="17"/>
        <v>0</v>
      </c>
      <c r="O22" s="174">
        <f t="shared" si="5"/>
        <v>-3.9719632355082921</v>
      </c>
      <c r="P22" s="222">
        <f t="shared" si="18"/>
        <v>0</v>
      </c>
      <c r="Q22" s="175">
        <f t="shared" si="19"/>
        <v>0</v>
      </c>
      <c r="R22" s="204"/>
      <c r="S22" s="689"/>
      <c r="V22" s="174"/>
    </row>
    <row r="23" spans="1:31">
      <c r="A23" s="327">
        <f>'ADJ DETAIL-INPUT'!P$10</f>
        <v>2.0699999999999985</v>
      </c>
      <c r="B23" s="49" t="str">
        <f>TRIM(CONCATENATE('ADJ DETAIL-INPUT'!P$7," ",'ADJ DETAIL-INPUT'!P$8," ",'ADJ DETAIL-INPUT'!P$9))</f>
        <v>Office Space Charges to Non-Utility</v>
      </c>
      <c r="C23" s="50"/>
      <c r="D23" s="52">
        <v>41.08</v>
      </c>
      <c r="E23" s="52">
        <v>0</v>
      </c>
      <c r="F23" s="50"/>
      <c r="G23" s="52">
        <f>'ADJ DETAIL-INPUT'!P$57</f>
        <v>41.08</v>
      </c>
      <c r="H23" s="52">
        <f>'ADJ DETAIL-INPUT'!P$81</f>
        <v>0</v>
      </c>
      <c r="I23" s="59"/>
      <c r="J23" s="51">
        <f t="shared" si="14"/>
        <v>0</v>
      </c>
      <c r="K23" s="51">
        <f t="shared" si="15"/>
        <v>0</v>
      </c>
      <c r="L23" s="28"/>
      <c r="M23" s="174">
        <f t="shared" si="16"/>
        <v>0</v>
      </c>
      <c r="N23" s="174">
        <f t="shared" si="17"/>
        <v>0</v>
      </c>
      <c r="O23" s="174">
        <f t="shared" si="5"/>
        <v>-54.389416571560211</v>
      </c>
      <c r="P23" s="222">
        <f t="shared" si="18"/>
        <v>0</v>
      </c>
      <c r="Q23" s="175">
        <f t="shared" si="19"/>
        <v>0</v>
      </c>
      <c r="S23" s="689"/>
      <c r="V23" s="36"/>
    </row>
    <row r="24" spans="1:31" s="127" customFormat="1">
      <c r="A24" s="327">
        <f>'ADJ DETAIL-INPUT'!Q$10</f>
        <v>2.0799999999999983</v>
      </c>
      <c r="B24" s="49" t="str">
        <f>TRIM(CONCATENATE('ADJ DETAIL-INPUT'!Q$7," ",'ADJ DETAIL-INPUT'!Q$8," ",'ADJ DETAIL-INPUT'!Q$9))</f>
        <v>Restate Excise Taxes</v>
      </c>
      <c r="C24" s="50"/>
      <c r="D24" s="52">
        <v>-26.86</v>
      </c>
      <c r="E24" s="52">
        <v>0</v>
      </c>
      <c r="F24" s="50"/>
      <c r="G24" s="52">
        <f>'ADJ DETAIL-INPUT'!Q$57</f>
        <v>-26.86</v>
      </c>
      <c r="H24" s="52">
        <f>'ADJ DETAIL-INPUT'!Q$81</f>
        <v>0</v>
      </c>
      <c r="I24" s="136"/>
      <c r="J24" s="51">
        <f t="shared" si="14"/>
        <v>0</v>
      </c>
      <c r="K24" s="51">
        <f t="shared" si="15"/>
        <v>0</v>
      </c>
      <c r="L24" s="126"/>
      <c r="M24" s="174">
        <f t="shared" si="16"/>
        <v>0</v>
      </c>
      <c r="N24" s="174">
        <f t="shared" si="17"/>
        <v>0</v>
      </c>
      <c r="O24" s="174">
        <f t="shared" si="5"/>
        <v>35.562310835250905</v>
      </c>
      <c r="P24" s="222">
        <f t="shared" si="18"/>
        <v>0</v>
      </c>
      <c r="Q24" s="175">
        <f t="shared" si="19"/>
        <v>0</v>
      </c>
      <c r="R24" s="204"/>
      <c r="S24" s="150"/>
    </row>
    <row r="25" spans="1:31" s="127" customFormat="1">
      <c r="A25" s="327">
        <f>'ADJ DETAIL-INPUT'!R$10</f>
        <v>2.0899999999999981</v>
      </c>
      <c r="B25" s="49" t="str">
        <f>TRIM(CONCATENATE('ADJ DETAIL-INPUT'!R$7," ",'ADJ DETAIL-INPUT'!R$8," ",'ADJ DETAIL-INPUT'!R$9))</f>
        <v>Net Gains &amp; Losses</v>
      </c>
      <c r="C25" s="50"/>
      <c r="D25" s="52">
        <v>45.82</v>
      </c>
      <c r="E25" s="52">
        <v>0</v>
      </c>
      <c r="F25" s="50"/>
      <c r="G25" s="52">
        <f>'ADJ DETAIL-INPUT'!R$57</f>
        <v>45.82</v>
      </c>
      <c r="H25" s="52">
        <f>'ADJ DETAIL-INPUT'!R$81</f>
        <v>0</v>
      </c>
      <c r="I25" s="136"/>
      <c r="J25" s="51">
        <f t="shared" si="14"/>
        <v>0</v>
      </c>
      <c r="K25" s="51">
        <f t="shared" si="15"/>
        <v>0</v>
      </c>
      <c r="L25" s="126"/>
      <c r="M25" s="174">
        <f t="shared" si="16"/>
        <v>0</v>
      </c>
      <c r="N25" s="174">
        <f t="shared" si="17"/>
        <v>0</v>
      </c>
      <c r="O25" s="174">
        <f t="shared" si="5"/>
        <v>-60.665118483663313</v>
      </c>
      <c r="P25" s="222">
        <f t="shared" si="18"/>
        <v>0</v>
      </c>
      <c r="Q25" s="175">
        <f t="shared" si="19"/>
        <v>0</v>
      </c>
      <c r="R25" s="204"/>
      <c r="S25" s="689"/>
      <c r="T25" s="218"/>
    </row>
    <row r="26" spans="1:31">
      <c r="A26" s="327">
        <f>'ADJ DETAIL-INPUT'!S$10</f>
        <v>2.0999999999999979</v>
      </c>
      <c r="B26" s="49" t="str">
        <f>TRIM(CONCATENATE('ADJ DETAIL-INPUT'!S$7," ",'ADJ DETAIL-INPUT'!S$8," ",'ADJ DETAIL-INPUT'!S$9))</f>
        <v>Weather Normalization</v>
      </c>
      <c r="C26" s="50"/>
      <c r="D26" s="52">
        <v>-619.36</v>
      </c>
      <c r="E26" s="52">
        <v>0</v>
      </c>
      <c r="F26" s="50"/>
      <c r="G26" s="52">
        <f>'ADJ DETAIL-INPUT'!S$57</f>
        <v>-619.36</v>
      </c>
      <c r="H26" s="52">
        <f>'ADJ DETAIL-INPUT'!S$81</f>
        <v>0</v>
      </c>
      <c r="I26" s="137"/>
      <c r="J26" s="51">
        <f t="shared" si="14"/>
        <v>0</v>
      </c>
      <c r="K26" s="51">
        <f t="shared" si="15"/>
        <v>0</v>
      </c>
      <c r="L26" s="28"/>
      <c r="M26" s="174">
        <f t="shared" si="16"/>
        <v>0</v>
      </c>
      <c r="N26" s="174">
        <f t="shared" si="17"/>
        <v>0</v>
      </c>
      <c r="O26" s="174">
        <f t="shared" si="5"/>
        <v>820.02504984813856</v>
      </c>
      <c r="P26" s="222">
        <f t="shared" si="18"/>
        <v>0</v>
      </c>
      <c r="Q26" s="175">
        <f t="shared" si="19"/>
        <v>0</v>
      </c>
      <c r="S26" s="146"/>
      <c r="T26" s="219"/>
    </row>
    <row r="27" spans="1:31" s="127" customFormat="1">
      <c r="A27" s="327">
        <f>'ADJ DETAIL-INPUT'!T$10</f>
        <v>2.1099999999999977</v>
      </c>
      <c r="B27" s="49" t="str">
        <f>TRIM(CONCATENATE('ADJ DETAIL-INPUT'!T$7," ",'ADJ DETAIL-INPUT'!T$8," ",'ADJ DETAIL-INPUT'!T$9))</f>
        <v>Eliminate Adder Schedules</v>
      </c>
      <c r="C27" s="50"/>
      <c r="D27" s="52">
        <v>-1103.6300000000001</v>
      </c>
      <c r="E27" s="52">
        <v>0</v>
      </c>
      <c r="F27" s="50"/>
      <c r="G27" s="52">
        <f>'ADJ DETAIL-INPUT'!T$57</f>
        <v>-1103.6300000000001</v>
      </c>
      <c r="H27" s="52">
        <f>'ADJ DETAIL-INPUT'!U$81</f>
        <v>0</v>
      </c>
      <c r="I27" s="125"/>
      <c r="J27" s="51">
        <f t="shared" si="14"/>
        <v>0</v>
      </c>
      <c r="K27" s="51">
        <f t="shared" si="15"/>
        <v>0</v>
      </c>
      <c r="M27" s="174">
        <f t="shared" si="16"/>
        <v>0</v>
      </c>
      <c r="N27" s="174">
        <f t="shared" si="17"/>
        <v>0</v>
      </c>
      <c r="O27" s="174">
        <f t="shared" ref="O27" si="22">(H27*$N$9/$M$9)-(G27/$M$9)</f>
        <v>1461.1925952013389</v>
      </c>
      <c r="P27" s="222">
        <f t="shared" ref="P27" si="23">SUM(M27:N27)</f>
        <v>0</v>
      </c>
      <c r="Q27" s="175">
        <f t="shared" si="19"/>
        <v>0</v>
      </c>
      <c r="R27" s="204"/>
      <c r="S27" s="689"/>
    </row>
    <row r="28" spans="1:31" s="127" customFormat="1">
      <c r="A28" s="327">
        <f>'ADJ DETAIL-INPUT'!U$10</f>
        <v>2.1199999999999974</v>
      </c>
      <c r="B28" s="49" t="str">
        <f>TRIM(CONCATENATE('ADJ DETAIL-INPUT'!U$7," ",'ADJ DETAIL-INPUT'!U$8," ",'ADJ DETAIL-INPUT'!U$9))</f>
        <v>Misc. Restating Non-Util / Non- Recurring Expenses</v>
      </c>
      <c r="C28" s="50"/>
      <c r="D28" s="52">
        <v>966.96</v>
      </c>
      <c r="E28" s="52">
        <v>0</v>
      </c>
      <c r="F28" s="50"/>
      <c r="G28" s="52">
        <f>'ADJ DETAIL-INPUT'!U$57</f>
        <v>966.96</v>
      </c>
      <c r="H28" s="52">
        <f>'ADJ DETAIL-INPUT'!U$81</f>
        <v>0</v>
      </c>
      <c r="I28" s="125"/>
      <c r="J28" s="51">
        <f t="shared" si="14"/>
        <v>0</v>
      </c>
      <c r="K28" s="51">
        <f t="shared" si="15"/>
        <v>0</v>
      </c>
      <c r="M28" s="174">
        <f t="shared" si="16"/>
        <v>0</v>
      </c>
      <c r="N28" s="174">
        <f t="shared" si="17"/>
        <v>0</v>
      </c>
      <c r="O28" s="174">
        <f>(H28*$N$9/$M$9)-(G28/$M$9)</f>
        <v>-1280.2431900690328</v>
      </c>
      <c r="P28" s="222">
        <f>SUM(M28:N28)</f>
        <v>0</v>
      </c>
      <c r="Q28" s="175">
        <f t="shared" si="19"/>
        <v>0</v>
      </c>
      <c r="R28" s="204"/>
      <c r="S28" s="689"/>
      <c r="T28" s="688"/>
      <c r="U28" s="539"/>
      <c r="V28" s="539"/>
      <c r="W28" s="539"/>
      <c r="X28" s="539"/>
      <c r="Y28" s="539"/>
      <c r="Z28" s="539"/>
      <c r="AA28" s="539"/>
      <c r="AB28" s="539"/>
      <c r="AC28" s="539"/>
      <c r="AD28" s="539"/>
      <c r="AE28" s="539"/>
    </row>
    <row r="29" spans="1:31" s="44" customFormat="1" ht="12" customHeight="1">
      <c r="A29" s="327">
        <f>'ADJ DETAIL-INPUT'!V$10</f>
        <v>2.1299999999999972</v>
      </c>
      <c r="B29" s="49" t="str">
        <f>TRIM(CONCATENATE('ADJ DETAIL-INPUT'!V$7," ",'ADJ DETAIL-INPUT'!V$8," ",'ADJ DETAIL-INPUT'!V$9))</f>
        <v>Restating Incentives</v>
      </c>
      <c r="C29" s="50"/>
      <c r="D29" s="52">
        <v>-594.87</v>
      </c>
      <c r="E29" s="52">
        <v>0</v>
      </c>
      <c r="F29" s="50"/>
      <c r="G29" s="52">
        <f>'ADJ DETAIL-INPUT'!V$57</f>
        <v>-594.87</v>
      </c>
      <c r="H29" s="52">
        <f>'ADJ DETAIL-INPUT'!V$81</f>
        <v>0</v>
      </c>
      <c r="I29" s="59"/>
      <c r="J29" s="51">
        <f t="shared" ref="J29" si="24">G29-D29</f>
        <v>0</v>
      </c>
      <c r="K29" s="51">
        <f t="shared" ref="K29" si="25">H29-E29</f>
        <v>0</v>
      </c>
      <c r="L29" s="183"/>
      <c r="M29" s="174">
        <f t="shared" ref="M29" si="26">J29/$M$9*-1</f>
        <v>0</v>
      </c>
      <c r="N29" s="174">
        <f t="shared" ref="N29" si="27">K29*$N$9/$M$9</f>
        <v>0</v>
      </c>
      <c r="O29" s="174">
        <f>(H29*$N$9/$M$9)-(G29/$M$9)</f>
        <v>787.60058996893918</v>
      </c>
      <c r="P29" s="222">
        <f>SUM(M29:N29)</f>
        <v>0</v>
      </c>
      <c r="Q29" s="175">
        <f>SUM(M29:N29)</f>
        <v>0</v>
      </c>
      <c r="R29" s="203"/>
      <c r="S29" s="689"/>
      <c r="T29" s="688"/>
      <c r="U29" s="539"/>
      <c r="V29" s="45"/>
      <c r="W29" s="45"/>
      <c r="X29" s="45"/>
      <c r="Y29" s="45"/>
      <c r="Z29" s="45"/>
      <c r="AA29" s="45"/>
      <c r="AB29" s="45"/>
      <c r="AC29" s="45"/>
      <c r="AD29" s="45"/>
      <c r="AE29" s="45"/>
    </row>
    <row r="30" spans="1:31" s="150" customFormat="1">
      <c r="A30" s="329">
        <f>'ADJ DETAIL-INPUT'!W$10</f>
        <v>2.139999999999997</v>
      </c>
      <c r="B30" s="148" t="str">
        <f>TRIM(CONCATENATE('ADJ DETAIL-INPUT'!W$7," ",'ADJ DETAIL-INPUT'!W$8," ",'ADJ DETAIL-INPUT'!W$9))</f>
        <v>Restate Debt Interest</v>
      </c>
      <c r="C30" s="149"/>
      <c r="D30" s="52">
        <v>-934</v>
      </c>
      <c r="E30" s="52">
        <v>0</v>
      </c>
      <c r="F30" s="149"/>
      <c r="G30" s="135">
        <f>'ADJ DETAIL-INPUT'!W$57</f>
        <v>-934</v>
      </c>
      <c r="H30" s="135">
        <f>'ADJ DETAIL-INPUT'!W$81</f>
        <v>0</v>
      </c>
      <c r="I30" s="172"/>
      <c r="J30" s="51">
        <f>G30-D30</f>
        <v>0</v>
      </c>
      <c r="K30" s="51">
        <f>H30-E30</f>
        <v>0</v>
      </c>
      <c r="L30" s="184"/>
      <c r="M30" s="174">
        <f>J30/$M$9*-1</f>
        <v>0</v>
      </c>
      <c r="N30" s="174">
        <f>K30*$N$9/$M$9</f>
        <v>0</v>
      </c>
      <c r="O30" s="174">
        <f>(H30*$N$9/$M$9)-(G30/$M$9)</f>
        <v>1236.6045539882482</v>
      </c>
      <c r="P30" s="222">
        <f>SUM(M30:N30)</f>
        <v>0</v>
      </c>
      <c r="Q30" s="175">
        <f>SUM(M30:N30)</f>
        <v>0</v>
      </c>
      <c r="R30" s="162"/>
      <c r="S30" s="689"/>
      <c r="T30" s="688"/>
      <c r="U30" s="539"/>
      <c r="V30" s="376"/>
      <c r="W30" s="138"/>
      <c r="X30" s="138"/>
      <c r="Y30" s="138"/>
      <c r="Z30" s="138"/>
      <c r="AA30" s="138"/>
      <c r="AB30" s="138"/>
      <c r="AC30" s="408"/>
      <c r="AD30" s="408"/>
      <c r="AE30" s="408"/>
    </row>
    <row r="31" spans="1:31" s="44" customFormat="1">
      <c r="A31" s="327">
        <f>'ADJ DETAIL-INPUT'!X$10</f>
        <v>2.1499999999999968</v>
      </c>
      <c r="B31" s="49" t="str">
        <f>TRIM(CONCATENATE('ADJ DETAIL-INPUT'!X$7," ",'ADJ DETAIL-INPUT'!X$8," ",'ADJ DETAIL-INPUT'!X$9))</f>
        <v>Eliminate WA Power Cost Defer</v>
      </c>
      <c r="C31" s="50"/>
      <c r="D31" s="52">
        <v>1074</v>
      </c>
      <c r="E31" s="52">
        <v>0</v>
      </c>
      <c r="F31" s="50"/>
      <c r="G31" s="52">
        <f>'ADJ DETAIL-INPUT'!X$57</f>
        <v>1074</v>
      </c>
      <c r="H31" s="52">
        <f>'ADJ DETAIL-INPUT'!X$81</f>
        <v>0</v>
      </c>
      <c r="I31" s="59"/>
      <c r="J31" s="51">
        <f t="shared" si="14"/>
        <v>0</v>
      </c>
      <c r="K31" s="51">
        <f t="shared" si="15"/>
        <v>0</v>
      </c>
      <c r="L31" s="183"/>
      <c r="M31" s="174">
        <f t="shared" si="16"/>
        <v>0</v>
      </c>
      <c r="N31" s="174">
        <f t="shared" si="17"/>
        <v>0</v>
      </c>
      <c r="O31" s="174">
        <f>(H31*$N$9/$M$9)-(G31/$M$9)</f>
        <v>-1421.9628383119687</v>
      </c>
      <c r="P31" s="222">
        <f>SUM(M31:N31)</f>
        <v>0</v>
      </c>
      <c r="Q31" s="175">
        <f t="shared" si="19"/>
        <v>0</v>
      </c>
      <c r="R31" s="203"/>
      <c r="S31" s="159"/>
      <c r="T31" s="688"/>
      <c r="U31" s="539"/>
      <c r="V31" s="45"/>
      <c r="W31" s="45"/>
      <c r="X31" s="45"/>
      <c r="Y31" s="45"/>
      <c r="Z31" s="45"/>
      <c r="AA31" s="45"/>
      <c r="AB31" s="45"/>
      <c r="AC31" s="45"/>
      <c r="AD31" s="45"/>
      <c r="AE31" s="45"/>
    </row>
    <row r="32" spans="1:31" s="44" customFormat="1" ht="12" customHeight="1">
      <c r="A32" s="327">
        <f>'ADJ DETAIL-INPUT'!Y$10</f>
        <v>2.1599999999999966</v>
      </c>
      <c r="B32" s="49" t="str">
        <f>TRIM(CONCATENATE('ADJ DETAIL-INPUT'!Y$7," ",'ADJ DETAIL-INPUT'!Y$8," ",'ADJ DETAIL-INPUT'!Y$9))</f>
        <v>Nez Perce Settlement Adjustment</v>
      </c>
      <c r="C32" s="50"/>
      <c r="D32" s="52">
        <v>3.95</v>
      </c>
      <c r="E32" s="52">
        <v>0</v>
      </c>
      <c r="F32" s="50"/>
      <c r="G32" s="52">
        <f>'ADJ DETAIL-INPUT'!Y$57</f>
        <v>3.95</v>
      </c>
      <c r="H32" s="52">
        <f>'ADJ DETAIL-INPUT'!Y$81</f>
        <v>0</v>
      </c>
      <c r="I32" s="59"/>
      <c r="J32" s="51">
        <f t="shared" si="14"/>
        <v>0</v>
      </c>
      <c r="K32" s="51">
        <f t="shared" si="15"/>
        <v>0</v>
      </c>
      <c r="L32" s="183"/>
      <c r="M32" s="174">
        <f t="shared" si="16"/>
        <v>0</v>
      </c>
      <c r="N32" s="174">
        <f t="shared" si="17"/>
        <v>0</v>
      </c>
      <c r="O32" s="174">
        <f>(H32*$N$9/$M$9)-(G32/$M$9)</f>
        <v>-5.2297515934192518</v>
      </c>
      <c r="P32" s="222">
        <f>SUM(M32:N32)</f>
        <v>0</v>
      </c>
      <c r="Q32" s="175">
        <f t="shared" si="19"/>
        <v>0</v>
      </c>
      <c r="R32" s="203"/>
      <c r="S32" s="689"/>
      <c r="T32" s="688"/>
      <c r="U32" s="539"/>
      <c r="V32" s="45"/>
      <c r="W32" s="45"/>
      <c r="X32" s="45"/>
      <c r="Y32" s="45"/>
      <c r="Z32" s="45"/>
      <c r="AA32" s="45"/>
      <c r="AB32" s="45"/>
      <c r="AC32" s="45"/>
      <c r="AD32" s="45"/>
      <c r="AE32" s="45"/>
    </row>
    <row r="33" spans="1:31">
      <c r="A33" s="473">
        <f>'ADJ DETAIL-INPUT'!Z$10</f>
        <v>2.1699999999999964</v>
      </c>
      <c r="B33" s="382" t="str">
        <f>TRIM(CONCATENATE('ADJ DETAIL-INPUT'!Z$7," ",'ADJ DETAIL-INPUT'!Z$8," ",'ADJ DETAIL-INPUT'!Z$9))</f>
        <v>Normalize CS2/Colstrip Major Maint</v>
      </c>
      <c r="C33" s="169"/>
      <c r="D33" s="52">
        <v>731.54</v>
      </c>
      <c r="E33" s="52">
        <v>0</v>
      </c>
      <c r="F33" s="130"/>
      <c r="G33" s="109">
        <f>'ADJ DETAIL-INPUT'!Z$57</f>
        <v>731.54</v>
      </c>
      <c r="H33" s="109">
        <f>'ADJ DETAIL-INPUT'!Z$81</f>
        <v>0</v>
      </c>
      <c r="I33" s="59"/>
      <c r="J33" s="51">
        <f>G33-D33</f>
        <v>0</v>
      </c>
      <c r="K33" s="51">
        <f>H33-E33</f>
        <v>0</v>
      </c>
      <c r="L33" s="29"/>
      <c r="M33" s="174">
        <f>J33/$M$9*-1</f>
        <v>0</v>
      </c>
      <c r="N33" s="174">
        <f>K33*$N$9/$M$9</f>
        <v>0</v>
      </c>
      <c r="O33" s="174">
        <f t="shared" ref="O33" si="28">(H33*$N$9/$M$9)-(G33/$M$9)</f>
        <v>-968.54999510124526</v>
      </c>
      <c r="P33" s="222">
        <f t="shared" ref="P33" si="29">SUM(M33:N33)</f>
        <v>0</v>
      </c>
      <c r="Q33" s="175">
        <f t="shared" si="19"/>
        <v>0</v>
      </c>
      <c r="R33" s="162"/>
      <c r="S33" s="689"/>
      <c r="U33" s="27"/>
      <c r="V33" s="27"/>
      <c r="W33" s="27"/>
      <c r="X33" s="27"/>
      <c r="Y33" s="27"/>
      <c r="Z33" s="27"/>
      <c r="AA33" s="27"/>
      <c r="AB33" s="27"/>
      <c r="AC33" s="27"/>
      <c r="AD33" s="27"/>
      <c r="AE33" s="27"/>
    </row>
    <row r="34" spans="1:31" s="150" customFormat="1">
      <c r="A34" s="329">
        <f>'ADJ DETAIL-INPUT'!AA$10</f>
        <v>2.1799999999999962</v>
      </c>
      <c r="B34" s="148" t="str">
        <f>TRIM(CONCATENATE('ADJ DETAIL-INPUT'!AA$7," ",'ADJ DETAIL-INPUT'!AA$8," ",'ADJ DETAIL-INPUT'!AA$9))</f>
        <v>Authorized Power Supply</v>
      </c>
      <c r="C34" s="149"/>
      <c r="D34" s="52">
        <v>-4633.3500000000004</v>
      </c>
      <c r="E34" s="52">
        <v>0</v>
      </c>
      <c r="F34" s="149"/>
      <c r="G34" s="135">
        <f>'ADJ DETAIL-INPUT'!AA$57</f>
        <v>-4633.3500000000004</v>
      </c>
      <c r="H34" s="135">
        <f>'ADJ DETAIL-INPUT'!AA$81</f>
        <v>0</v>
      </c>
      <c r="I34" s="172"/>
      <c r="J34" s="51">
        <f t="shared" ref="J34" si="30">G34-D34</f>
        <v>0</v>
      </c>
      <c r="K34" s="51">
        <f t="shared" ref="K34" si="31">H34-E34</f>
        <v>0</v>
      </c>
      <c r="L34" s="184"/>
      <c r="M34" s="174">
        <f t="shared" ref="M34" si="32">J34/$M$9*-1</f>
        <v>0</v>
      </c>
      <c r="N34" s="174">
        <f t="shared" ref="N34" si="33">K34*$N$9/$M$9</f>
        <v>0</v>
      </c>
      <c r="O34" s="174">
        <f>(H34*$N$9/$M$9)-(G34/$M$9)</f>
        <v>6134.4986190807822</v>
      </c>
      <c r="P34" s="222">
        <f>SUM(M34:N34)</f>
        <v>0</v>
      </c>
      <c r="Q34" s="175">
        <f t="shared" si="19"/>
        <v>0</v>
      </c>
      <c r="R34" s="429"/>
      <c r="S34" s="689"/>
      <c r="U34" s="408"/>
      <c r="V34" s="138"/>
      <c r="W34" s="138"/>
      <c r="X34" s="138"/>
      <c r="Y34" s="138"/>
      <c r="Z34" s="138"/>
      <c r="AA34" s="138"/>
      <c r="AB34" s="138"/>
      <c r="AC34" s="408"/>
      <c r="AD34" s="408"/>
      <c r="AE34" s="408"/>
    </row>
    <row r="35" spans="1:31" s="150" customFormat="1">
      <c r="A35" s="329">
        <f>'ADJ DETAIL-INPUT'!AB$10</f>
        <v>2.1899999999999959</v>
      </c>
      <c r="B35" s="148" t="str">
        <f>TRIM(CONCATENATE('ADJ DETAIL-INPUT'!AB$7," ",'ADJ DETAIL-INPUT'!AB$8," ",'ADJ DETAIL-INPUT'!AB$9))</f>
        <v>Restate 2019 AMA Rate Base to EOP</v>
      </c>
      <c r="C35" s="149"/>
      <c r="D35" s="52">
        <v>-1356.6166570440068</v>
      </c>
      <c r="E35" s="52">
        <v>21049.028985405777</v>
      </c>
      <c r="F35" s="149"/>
      <c r="G35" s="135">
        <f>'ADJ DETAIL-INPUT'!AB$57</f>
        <v>-2074.6903455720067</v>
      </c>
      <c r="H35" s="135">
        <f>'ADJ DETAIL-INPUT'!AB$81</f>
        <v>20145.862985405809</v>
      </c>
      <c r="I35" s="172"/>
      <c r="J35" s="51">
        <f t="shared" ref="J35" si="34">G35-D35</f>
        <v>-718.07368852799982</v>
      </c>
      <c r="K35" s="51">
        <f t="shared" ref="K35" si="35">H35-E35</f>
        <v>-903.16599999996834</v>
      </c>
      <c r="L35" s="184"/>
      <c r="M35" s="174">
        <f t="shared" ref="M35" si="36">J35/$M$9*-1</f>
        <v>950.72076373968252</v>
      </c>
      <c r="N35" s="174">
        <f t="shared" ref="N35" si="37">K35*$N$9/$M$9</f>
        <v>-88.846507187926349</v>
      </c>
      <c r="O35" s="174">
        <f>(H35*$N$9/$M$9)-(G35/$M$9)</f>
        <v>4728.6592577031706</v>
      </c>
      <c r="P35" s="222">
        <f>SUM(M35:N35)</f>
        <v>861.87425655175616</v>
      </c>
      <c r="Q35" s="175">
        <f t="shared" si="19"/>
        <v>861.87425655175616</v>
      </c>
      <c r="R35" s="429"/>
      <c r="S35" s="689"/>
      <c r="U35" s="408"/>
      <c r="V35" s="540"/>
      <c r="W35" s="138"/>
      <c r="X35" s="540"/>
      <c r="Y35" s="138"/>
      <c r="Z35" s="541"/>
      <c r="AA35" s="138"/>
      <c r="AB35" s="138"/>
      <c r="AC35" s="408"/>
      <c r="AD35" s="408"/>
      <c r="AE35" s="408"/>
    </row>
    <row r="36" spans="1:31" s="107" customFormat="1">
      <c r="A36" s="330"/>
      <c r="B36" s="49"/>
      <c r="C36" s="50"/>
      <c r="D36" s="191"/>
      <c r="E36" s="191"/>
      <c r="F36" s="50"/>
      <c r="G36" s="122"/>
      <c r="H36" s="122"/>
      <c r="I36" s="59"/>
      <c r="J36" s="193"/>
      <c r="K36" s="824"/>
      <c r="L36" s="185"/>
      <c r="M36" s="194"/>
      <c r="N36" s="194"/>
      <c r="O36" s="174"/>
      <c r="P36" s="221"/>
      <c r="Q36" s="215"/>
      <c r="R36" s="232"/>
      <c r="S36" s="689"/>
      <c r="U36" s="27"/>
      <c r="V36" s="534"/>
      <c r="W36" s="27"/>
      <c r="X36" s="534"/>
      <c r="Y36" s="27"/>
      <c r="Z36" s="534"/>
      <c r="AA36" s="27"/>
      <c r="AB36" s="27"/>
      <c r="AC36" s="542"/>
      <c r="AD36" s="542"/>
      <c r="AE36" s="542"/>
    </row>
    <row r="37" spans="1:31" ht="13.5" thickBot="1">
      <c r="A37" s="331"/>
      <c r="B37" s="25" t="s">
        <v>84</v>
      </c>
      <c r="D37" s="42">
        <f>SUM(D15:D36)</f>
        <v>106569.22900695603</v>
      </c>
      <c r="E37" s="42">
        <f>SUM(E15:E36)</f>
        <v>1679192.0289854058</v>
      </c>
      <c r="G37" s="42">
        <f>SUM(G15:G36)</f>
        <v>105528.04531842803</v>
      </c>
      <c r="H37" s="42">
        <f>SUM(H15:H36)</f>
        <v>1678288.8629854058</v>
      </c>
      <c r="I37" s="57"/>
      <c r="J37" s="42">
        <f>SUM(J15:J36)</f>
        <v>-1041.1836885279999</v>
      </c>
      <c r="K37" s="825">
        <f>SUM(K15:K36)</f>
        <v>-903.16599999996834</v>
      </c>
      <c r="L37" s="28"/>
      <c r="M37" s="42">
        <f>SUM(M15:M36)</f>
        <v>1378.5144440813774</v>
      </c>
      <c r="N37" s="42">
        <f>SUM(N15:N36)</f>
        <v>-88.846507187926349</v>
      </c>
      <c r="O37" s="174">
        <f t="shared" si="5"/>
        <v>25379.279064030212</v>
      </c>
      <c r="R37" s="162"/>
      <c r="S37" s="217"/>
      <c r="U37" s="27"/>
      <c r="V37" s="33"/>
      <c r="W37" s="27"/>
      <c r="X37" s="33"/>
      <c r="Y37" s="27"/>
      <c r="Z37" s="534"/>
      <c r="AA37" s="27"/>
      <c r="AB37" s="27"/>
      <c r="AC37" s="27"/>
      <c r="AD37" s="27"/>
      <c r="AE37" s="27"/>
    </row>
    <row r="38" spans="1:31" ht="14.25" customHeight="1" thickTop="1">
      <c r="A38" s="482" t="s">
        <v>273</v>
      </c>
      <c r="B38" s="146"/>
      <c r="C38" s="146"/>
      <c r="D38" s="146"/>
      <c r="E38" s="146"/>
      <c r="G38" s="119"/>
      <c r="H38" s="33"/>
      <c r="I38" s="57"/>
      <c r="J38" s="34"/>
      <c r="K38" s="826"/>
      <c r="L38" s="28"/>
      <c r="O38" s="174">
        <f t="shared" si="5"/>
        <v>0</v>
      </c>
      <c r="R38" s="827"/>
      <c r="S38" s="124"/>
      <c r="U38" s="59"/>
      <c r="V38" s="33"/>
      <c r="W38" s="27"/>
      <c r="X38" s="33"/>
      <c r="Y38" s="27"/>
      <c r="Z38" s="534"/>
      <c r="AA38" s="27"/>
      <c r="AB38" s="27"/>
      <c r="AC38" s="27"/>
      <c r="AD38" s="27"/>
      <c r="AE38" s="27"/>
    </row>
    <row r="39" spans="1:31">
      <c r="A39" s="329" t="str">
        <f>'ADJ DETAIL-INPUT'!AD$10</f>
        <v>3.00P</v>
      </c>
      <c r="B39" s="148" t="str">
        <f>TRIM(CONCATENATE('ADJ DETAIL-INPUT'!AD$7," ",'ADJ DETAIL-INPUT'!AD$8," ",'ADJ DETAIL-INPUT'!AD$9))</f>
        <v>Pro Forma Power Supply</v>
      </c>
      <c r="C39" s="149"/>
      <c r="D39" s="52">
        <v>11520.57</v>
      </c>
      <c r="E39" s="52">
        <v>0</v>
      </c>
      <c r="F39" s="50"/>
      <c r="G39" s="52">
        <f>'ADJ DETAIL-INPUT'!AD$57</f>
        <v>13453.5578</v>
      </c>
      <c r="H39" s="52">
        <f>'ADJ DETAIL-INPUT'!AD$81</f>
        <v>0</v>
      </c>
      <c r="I39" s="59"/>
      <c r="J39" s="51">
        <f t="shared" ref="J39:J64" si="38">G39-D39</f>
        <v>1932.9878000000008</v>
      </c>
      <c r="K39" s="51">
        <f t="shared" ref="K39:K64" si="39">H39-E39</f>
        <v>0</v>
      </c>
      <c r="L39" s="28"/>
      <c r="M39" s="174">
        <f t="shared" ref="M39:M64" si="40">J39/$M$9*-1</f>
        <v>-2559.2521587620195</v>
      </c>
      <c r="N39" s="174">
        <f t="shared" ref="N39:N64" si="41">K39*$N$9/$M$9</f>
        <v>0</v>
      </c>
      <c r="O39" s="174">
        <f t="shared" ref="O39:O46" si="42">(H39*$N$9/$M$9)-(G39/$M$9)</f>
        <v>-17812.345656128608</v>
      </c>
      <c r="P39" s="222">
        <f t="shared" ref="P39:P46" si="43">SUM(M39:N39)</f>
        <v>-2559.2521587620195</v>
      </c>
      <c r="Q39" s="175">
        <f t="shared" ref="Q39:Q64" si="44">SUM(M39:N39)</f>
        <v>-2559.2521587620195</v>
      </c>
      <c r="R39" s="162"/>
      <c r="S39" s="139"/>
      <c r="U39" s="27"/>
      <c r="V39" s="27"/>
      <c r="W39" s="27"/>
      <c r="X39" s="33"/>
      <c r="Y39" s="27"/>
      <c r="Z39" s="534"/>
      <c r="AA39" s="27"/>
      <c r="AB39" s="27"/>
      <c r="AC39" s="27"/>
      <c r="AD39" s="27"/>
      <c r="AE39" s="27"/>
    </row>
    <row r="40" spans="1:31">
      <c r="A40" s="329" t="str">
        <f>'ADJ DETAIL-INPUT'!AE$10</f>
        <v>3.00T</v>
      </c>
      <c r="B40" s="148" t="str">
        <f>TRIM(CONCATENATE('ADJ DETAIL-INPUT'!AE$7," ",'ADJ DETAIL-INPUT'!AE$8," ",'ADJ DETAIL-INPUT'!AE$9))</f>
        <v>Pro Forma Transmission Revenue/Expense</v>
      </c>
      <c r="C40" s="149"/>
      <c r="D40" s="151">
        <v>872.95</v>
      </c>
      <c r="E40" s="151">
        <v>0</v>
      </c>
      <c r="F40" s="149"/>
      <c r="G40" s="151">
        <f>'ADJ DETAIL-INPUT'!AE$57</f>
        <v>872.95</v>
      </c>
      <c r="H40" s="151">
        <f>'ADJ DETAIL-INPUT'!AE$81</f>
        <v>0</v>
      </c>
      <c r="I40" s="407"/>
      <c r="J40" s="216">
        <f t="shared" ref="J40" si="45">G40-D40</f>
        <v>0</v>
      </c>
      <c r="K40" s="216">
        <f t="shared" ref="K40" si="46">H40-E40</f>
        <v>0</v>
      </c>
      <c r="L40" s="828"/>
      <c r="M40" s="841">
        <f t="shared" ref="M40" si="47">J40/$M$9*-1</f>
        <v>0</v>
      </c>
      <c r="N40" s="841">
        <f t="shared" ref="N40" si="48">K40*$N$9/$M$9</f>
        <v>0</v>
      </c>
      <c r="O40" s="841">
        <f t="shared" ref="O40" si="49">(H40*$N$9/$M$9)-(G40/$M$9)</f>
        <v>-1155.7751021456545</v>
      </c>
      <c r="P40" s="222">
        <f t="shared" ref="P40" si="50">SUM(M40:N40)</f>
        <v>0</v>
      </c>
      <c r="Q40" s="175">
        <f t="shared" ref="Q40" si="51">SUM(M40:N40)</f>
        <v>0</v>
      </c>
      <c r="R40" s="429"/>
      <c r="S40" s="217"/>
      <c r="U40" s="27"/>
      <c r="V40" s="27"/>
      <c r="W40" s="27"/>
      <c r="X40" s="33"/>
      <c r="Y40" s="27"/>
      <c r="Z40" s="534"/>
      <c r="AA40" s="27"/>
      <c r="AB40" s="27"/>
      <c r="AC40" s="27"/>
      <c r="AD40" s="27"/>
      <c r="AE40" s="27"/>
    </row>
    <row r="41" spans="1:31">
      <c r="A41" s="329">
        <f>'ADJ DETAIL-INPUT'!AF$10</f>
        <v>3.01</v>
      </c>
      <c r="B41" s="148" t="str">
        <f>TRIM(CONCATENATE('ADJ DETAIL-INPUT'!AF$7," ",'ADJ DETAIL-INPUT'!AF$8," ",'ADJ DETAIL-INPUT'!AF$9))</f>
        <v>Pro Forma Revenue Normalization</v>
      </c>
      <c r="C41" s="149"/>
      <c r="D41" s="52">
        <v>11740.19</v>
      </c>
      <c r="E41" s="52">
        <v>0</v>
      </c>
      <c r="F41" s="50"/>
      <c r="G41" s="52">
        <f>'ADJ DETAIL-INPUT'!AF$57</f>
        <v>10876.720000000001</v>
      </c>
      <c r="H41" s="52">
        <f>'ADJ DETAIL-INPUT'!AF$81</f>
        <v>0</v>
      </c>
      <c r="I41" s="59"/>
      <c r="J41" s="51">
        <f t="shared" ref="J41" si="52">G41-D41</f>
        <v>-863.46999999999935</v>
      </c>
      <c r="K41" s="51">
        <f t="shared" ref="K41" si="53">H41-E41</f>
        <v>0</v>
      </c>
      <c r="L41" s="818"/>
      <c r="M41" s="174">
        <f t="shared" ref="M41" si="54">J41/$M$9*-1</f>
        <v>1143.2236983214475</v>
      </c>
      <c r="N41" s="174">
        <f t="shared" ref="N41" si="55">K41*$N$9/$M$9</f>
        <v>0</v>
      </c>
      <c r="O41" s="174">
        <f t="shared" ref="O41" si="56">(H41*$N$9/$M$9)-(G41/$M$9)</f>
        <v>-14400.643987639252</v>
      </c>
      <c r="P41" s="222">
        <f t="shared" ref="P41" si="57">SUM(M41:N41)</f>
        <v>1143.2236983214475</v>
      </c>
      <c r="Q41" s="175">
        <f t="shared" ref="Q41" si="58">SUM(M41:N41)</f>
        <v>1143.2236983214475</v>
      </c>
      <c r="R41" s="429"/>
      <c r="S41" s="217"/>
      <c r="U41" s="27"/>
      <c r="V41" s="27"/>
      <c r="W41" s="27"/>
      <c r="X41" s="33"/>
      <c r="Y41" s="27"/>
      <c r="Z41" s="534"/>
      <c r="AA41" s="27"/>
      <c r="AB41" s="27"/>
      <c r="AC41" s="27"/>
      <c r="AD41" s="27"/>
      <c r="AE41" s="27"/>
    </row>
    <row r="42" spans="1:31">
      <c r="A42" s="329">
        <f>'ADJ DETAIL-INPUT'!AG$10</f>
        <v>3.0199999999999996</v>
      </c>
      <c r="B42" s="49" t="str">
        <f>TRIM(CONCATENATE('ADJ DETAIL-INPUT'!AG$7," ",'ADJ DETAIL-INPUT'!AG$8," ",'ADJ DETAIL-INPUT'!AG$9))</f>
        <v>Pro Forma Def. Debits, Credits &amp; Regulatory Amorts</v>
      </c>
      <c r="C42" s="50"/>
      <c r="D42" s="52">
        <v>1905.4406719999999</v>
      </c>
      <c r="E42" s="52">
        <v>-766</v>
      </c>
      <c r="F42" s="50"/>
      <c r="G42" s="52">
        <f>'ADJ DETAIL-INPUT'!AG$57</f>
        <v>1905.4406719999999</v>
      </c>
      <c r="H42" s="52">
        <f>'ADJ DETAIL-INPUT'!AG$81</f>
        <v>-766</v>
      </c>
      <c r="I42" s="59"/>
      <c r="J42" s="51">
        <f>G42-D42</f>
        <v>0</v>
      </c>
      <c r="K42" s="51">
        <f>H42-E42</f>
        <v>0</v>
      </c>
      <c r="M42" s="174">
        <f>J42/$M$9*-1</f>
        <v>0</v>
      </c>
      <c r="N42" s="174">
        <f>K42*$N$9/$M$9</f>
        <v>0</v>
      </c>
      <c r="O42" s="174">
        <f>(H42*$N$9/$M$9)-(G42/$M$9)</f>
        <v>-2598.1332726064288</v>
      </c>
      <c r="P42" s="222">
        <f>SUM(M42:N42)</f>
        <v>0</v>
      </c>
      <c r="Q42" s="175">
        <f>SUM(M42:N42)</f>
        <v>0</v>
      </c>
      <c r="R42" s="202"/>
      <c r="S42" s="220"/>
      <c r="U42" s="517"/>
      <c r="V42" s="27"/>
      <c r="W42" s="27"/>
      <c r="X42" s="27"/>
      <c r="Y42" s="27"/>
      <c r="Z42" s="27"/>
      <c r="AA42" s="27"/>
      <c r="AB42" s="27"/>
      <c r="AC42" s="27"/>
      <c r="AD42" s="27"/>
      <c r="AE42" s="27"/>
    </row>
    <row r="43" spans="1:31">
      <c r="A43" s="329">
        <f>'ADJ DETAIL-INPUT'!AH$10</f>
        <v>3.0299999999999994</v>
      </c>
      <c r="B43" s="49" t="str">
        <f>TRIM(CONCATENATE('ADJ DETAIL-INPUT'!AH$7," ",'ADJ DETAIL-INPUT'!AH$8," ",'ADJ DETAIL-INPUT'!AH$9))</f>
        <v>Pro Forma ARAM DFIT</v>
      </c>
      <c r="C43" s="50"/>
      <c r="D43" s="52">
        <v>500</v>
      </c>
      <c r="E43" s="52">
        <v>0</v>
      </c>
      <c r="F43" s="50"/>
      <c r="G43" s="52">
        <f>'ADJ DETAIL-INPUT'!AH$57</f>
        <v>485</v>
      </c>
      <c r="H43" s="52">
        <f>'ADJ DETAIL-INPUT'!AH$81</f>
        <v>0</v>
      </c>
      <c r="I43" s="59"/>
      <c r="J43" s="51">
        <f>G43-D43</f>
        <v>-15</v>
      </c>
      <c r="K43" s="51">
        <f>H43-E43</f>
        <v>0</v>
      </c>
      <c r="M43" s="174">
        <f>J43/$M$9*-1</f>
        <v>19.859816177541461</v>
      </c>
      <c r="N43" s="174">
        <f>K43*$N$9/$M$9</f>
        <v>0</v>
      </c>
      <c r="O43" s="174">
        <f>(H43*$N$9/$M$9)-(G43/$M$9)</f>
        <v>-642.13405640717383</v>
      </c>
      <c r="P43" s="222">
        <f>SUM(M43:N43)</f>
        <v>19.859816177541461</v>
      </c>
      <c r="Q43" s="175">
        <f>SUM(M43:N43)</f>
        <v>19.859816177541461</v>
      </c>
      <c r="R43" s="202"/>
      <c r="S43" s="220"/>
      <c r="U43" s="517"/>
      <c r="V43" s="27"/>
      <c r="W43" s="27"/>
      <c r="X43" s="27"/>
      <c r="Y43" s="27"/>
      <c r="Z43" s="27"/>
      <c r="AA43" s="27"/>
      <c r="AB43" s="27"/>
      <c r="AC43" s="27"/>
      <c r="AD43" s="27"/>
      <c r="AE43" s="27"/>
    </row>
    <row r="44" spans="1:31">
      <c r="A44" s="329">
        <f>'ADJ DETAIL-INPUT'!AI$10</f>
        <v>3.0399999999999991</v>
      </c>
      <c r="B44" s="148" t="str">
        <f>TRIM(CONCATENATE('ADJ DETAIL-INPUT'!AI$7," ",'ADJ DETAIL-INPUT'!AI$8," ",'ADJ DETAIL-INPUT'!AI$9))</f>
        <v>Pro Forma Labor Non-Exec</v>
      </c>
      <c r="C44" s="149"/>
      <c r="D44" s="52">
        <v>-2580.9300000000003</v>
      </c>
      <c r="E44" s="52">
        <v>0</v>
      </c>
      <c r="F44" s="50"/>
      <c r="G44" s="52">
        <f>'ADJ DETAIL-INPUT'!AI$57</f>
        <v>-2580.9300000000003</v>
      </c>
      <c r="H44" s="52">
        <f>'ADJ DETAIL-INPUT'!AI$81</f>
        <v>0</v>
      </c>
      <c r="I44" s="59"/>
      <c r="J44" s="51">
        <f t="shared" si="38"/>
        <v>0</v>
      </c>
      <c r="K44" s="51">
        <f t="shared" si="39"/>
        <v>0</v>
      </c>
      <c r="L44" s="28"/>
      <c r="M44" s="174">
        <f t="shared" si="40"/>
        <v>0</v>
      </c>
      <c r="N44" s="174">
        <f t="shared" si="41"/>
        <v>0</v>
      </c>
      <c r="O44" s="174">
        <f t="shared" si="42"/>
        <v>3417.1196911401389</v>
      </c>
      <c r="P44" s="222">
        <f t="shared" si="43"/>
        <v>0</v>
      </c>
      <c r="Q44" s="175">
        <f t="shared" si="44"/>
        <v>0</v>
      </c>
      <c r="R44" s="162"/>
      <c r="S44" s="217"/>
      <c r="U44" s="27"/>
      <c r="V44" s="534"/>
      <c r="W44" s="27"/>
      <c r="X44" s="534"/>
      <c r="Y44" s="27"/>
      <c r="Z44" s="534"/>
      <c r="AA44" s="27"/>
      <c r="AB44" s="27"/>
      <c r="AC44" s="27"/>
      <c r="AD44" s="27"/>
      <c r="AE44" s="27"/>
    </row>
    <row r="45" spans="1:31" ht="12" customHeight="1">
      <c r="A45" s="329">
        <f>'ADJ DETAIL-INPUT'!AJ$10</f>
        <v>3.0499999999999989</v>
      </c>
      <c r="B45" s="148" t="str">
        <f>TRIM(CONCATENATE('ADJ DETAIL-INPUT'!AJ$7," ",'ADJ DETAIL-INPUT'!AJ$8," ",'ADJ DETAIL-INPUT'!AJ$9))</f>
        <v>Pro Forma Labor Exec</v>
      </c>
      <c r="C45" s="149"/>
      <c r="D45" s="52">
        <v>251.22</v>
      </c>
      <c r="E45" s="52">
        <v>0</v>
      </c>
      <c r="F45" s="50"/>
      <c r="G45" s="52">
        <f>'ADJ DETAIL-INPUT'!AJ$57</f>
        <v>251.22</v>
      </c>
      <c r="H45" s="52">
        <f>'ADJ DETAIL-INPUT'!AJ$81</f>
        <v>0</v>
      </c>
      <c r="I45" s="59"/>
      <c r="J45" s="51">
        <f t="shared" si="38"/>
        <v>0</v>
      </c>
      <c r="K45" s="51">
        <f t="shared" si="39"/>
        <v>0</v>
      </c>
      <c r="L45" s="28"/>
      <c r="M45" s="174">
        <f t="shared" si="40"/>
        <v>0</v>
      </c>
      <c r="N45" s="174">
        <f t="shared" si="41"/>
        <v>0</v>
      </c>
      <c r="O45" s="174">
        <f t="shared" si="42"/>
        <v>-332.61220134146436</v>
      </c>
      <c r="P45" s="222">
        <f t="shared" si="43"/>
        <v>0</v>
      </c>
      <c r="Q45" s="175">
        <f t="shared" si="44"/>
        <v>0</v>
      </c>
      <c r="R45" s="162"/>
      <c r="S45" s="217"/>
      <c r="U45" s="27"/>
      <c r="V45" s="27"/>
      <c r="W45" s="27"/>
      <c r="X45" s="27"/>
      <c r="Y45" s="27"/>
      <c r="Z45" s="27"/>
      <c r="AA45" s="27"/>
      <c r="AB45" s="27"/>
      <c r="AC45" s="27"/>
      <c r="AD45" s="27"/>
      <c r="AE45" s="27"/>
    </row>
    <row r="46" spans="1:31">
      <c r="A46" s="329">
        <f>'ADJ DETAIL-INPUT'!AK$10</f>
        <v>3.0599999999999987</v>
      </c>
      <c r="B46" s="148" t="str">
        <f>TRIM(CONCATENATE('ADJ DETAIL-INPUT'!AK$7," ",'ADJ DETAIL-INPUT'!AK$8," ",'ADJ DETAIL-INPUT'!AK$9))</f>
        <v>Pro Forma Employee Benefits</v>
      </c>
      <c r="C46" s="149"/>
      <c r="D46" s="52">
        <v>-884.8</v>
      </c>
      <c r="E46" s="52">
        <v>0</v>
      </c>
      <c r="F46" s="50"/>
      <c r="G46" s="52">
        <f>'ADJ DETAIL-INPUT'!AK$57</f>
        <v>-963.8</v>
      </c>
      <c r="H46" s="52">
        <f>'ADJ DETAIL-INPUT'!AK$81</f>
        <v>0</v>
      </c>
      <c r="I46" s="59"/>
      <c r="J46" s="51">
        <f t="shared" si="38"/>
        <v>-79</v>
      </c>
      <c r="K46" s="51">
        <f t="shared" si="39"/>
        <v>0</v>
      </c>
      <c r="M46" s="174">
        <f t="shared" si="40"/>
        <v>104.59503186838502</v>
      </c>
      <c r="N46" s="174">
        <f t="shared" si="41"/>
        <v>0</v>
      </c>
      <c r="O46" s="174">
        <f t="shared" si="42"/>
        <v>1276.0593887942973</v>
      </c>
      <c r="P46" s="222">
        <f t="shared" si="43"/>
        <v>104.59503186838502</v>
      </c>
      <c r="Q46" s="175">
        <f t="shared" si="44"/>
        <v>104.59503186838502</v>
      </c>
      <c r="R46" s="202"/>
      <c r="S46" s="220"/>
      <c r="U46" s="517"/>
      <c r="V46" s="33"/>
      <c r="W46" s="27"/>
      <c r="X46" s="33"/>
      <c r="Y46" s="27"/>
      <c r="Z46" s="27"/>
      <c r="AA46" s="27"/>
      <c r="AB46" s="27"/>
      <c r="AC46" s="27"/>
      <c r="AD46" s="27"/>
      <c r="AE46" s="27"/>
    </row>
    <row r="47" spans="1:31" s="150" customFormat="1">
      <c r="A47" s="329">
        <f>'ADJ DETAIL-INPUT'!AL$10</f>
        <v>3.0699999999999985</v>
      </c>
      <c r="B47" s="148" t="str">
        <f>TRIM(CONCATENATE('ADJ DETAIL-INPUT'!AL$7," ",'ADJ DETAIL-INPUT'!AL$8," ",'ADJ DETAIL-INPUT'!AL$9))</f>
        <v>Pro Forma Insurance Expense</v>
      </c>
      <c r="C47" s="149"/>
      <c r="D47" s="52">
        <v>-2795.81</v>
      </c>
      <c r="E47" s="52">
        <v>0</v>
      </c>
      <c r="F47" s="149"/>
      <c r="G47" s="135">
        <f>'ADJ DETAIL-INPUT'!AL$57</f>
        <v>-1940.24</v>
      </c>
      <c r="H47" s="135">
        <f>'ADJ DETAIL-INPUT'!AL$81</f>
        <v>0</v>
      </c>
      <c r="I47" s="172"/>
      <c r="J47" s="51">
        <f>G47-D47</f>
        <v>855.56999999999994</v>
      </c>
      <c r="K47" s="51">
        <f>H47-E47</f>
        <v>0</v>
      </c>
      <c r="L47" s="184"/>
      <c r="M47" s="174">
        <f>J47/$M$9*-1</f>
        <v>-1132.7641951346097</v>
      </c>
      <c r="N47" s="174">
        <f>K47*$N$9/$M$9</f>
        <v>0</v>
      </c>
      <c r="O47" s="174">
        <f>(H47*$N$9/$M$9)-(G47/$M$9)</f>
        <v>2568.8539826875362</v>
      </c>
      <c r="P47" s="222">
        <f>SUM(M47:N47)</f>
        <v>-1132.7641951346097</v>
      </c>
      <c r="Q47" s="175">
        <f t="shared" si="44"/>
        <v>-1132.7641951346097</v>
      </c>
      <c r="R47" s="205"/>
      <c r="S47" s="217"/>
      <c r="U47" s="517"/>
      <c r="V47" s="33"/>
      <c r="W47" s="408"/>
      <c r="X47" s="408"/>
      <c r="Y47" s="408"/>
      <c r="Z47" s="408"/>
      <c r="AA47" s="408"/>
      <c r="AB47" s="408"/>
      <c r="AC47" s="408"/>
      <c r="AD47" s="408"/>
      <c r="AE47" s="408"/>
    </row>
    <row r="48" spans="1:31" s="44" customFormat="1">
      <c r="A48" s="329">
        <f>'ADJ DETAIL-INPUT'!AM$10</f>
        <v>3.0799999999999983</v>
      </c>
      <c r="B48" s="49" t="str">
        <f>TRIM(CONCATENATE('ADJ DETAIL-INPUT'!AM$7," ",'ADJ DETAIL-INPUT'!AM$8," ",'ADJ DETAIL-INPUT'!AM$9))</f>
        <v>Pro Forma IS/IT Expense</v>
      </c>
      <c r="C48" s="50"/>
      <c r="D48" s="52">
        <v>-1590.27</v>
      </c>
      <c r="E48" s="52">
        <v>0</v>
      </c>
      <c r="F48" s="50"/>
      <c r="G48" s="52">
        <f>'ADJ DETAIL-INPUT'!AM$57</f>
        <v>-1590.27</v>
      </c>
      <c r="H48" s="52">
        <f>'ADJ DETAIL-INPUT'!AM$81</f>
        <v>0</v>
      </c>
      <c r="I48" s="59"/>
      <c r="J48" s="51">
        <f t="shared" ref="J48" si="59">G48-D48</f>
        <v>0</v>
      </c>
      <c r="K48" s="51">
        <f t="shared" ref="K48" si="60">H48-E48</f>
        <v>0</v>
      </c>
      <c r="L48" s="183"/>
      <c r="M48" s="174">
        <f t="shared" ref="M48" si="61">J48/$M$9*-1</f>
        <v>0</v>
      </c>
      <c r="N48" s="174">
        <f t="shared" ref="N48" si="62">K48*$N$9/$M$9</f>
        <v>0</v>
      </c>
      <c r="O48" s="174">
        <f>(H48*$N$9/$M$9)-(G48/$M$9)</f>
        <v>2105.4979915105905</v>
      </c>
      <c r="P48" s="222">
        <f>SUM(M48:N48)</f>
        <v>0</v>
      </c>
      <c r="Q48" s="175">
        <f t="shared" si="44"/>
        <v>0</v>
      </c>
      <c r="R48" s="203"/>
      <c r="S48" s="217"/>
      <c r="U48" s="45"/>
      <c r="V48" s="45"/>
      <c r="W48" s="45"/>
      <c r="X48" s="209"/>
      <c r="Y48" s="45"/>
      <c r="Z48" s="45"/>
      <c r="AA48" s="45"/>
      <c r="AB48" s="45"/>
      <c r="AC48" s="45"/>
      <c r="AD48" s="45"/>
      <c r="AE48" s="45"/>
    </row>
    <row r="49" spans="1:31" s="44" customFormat="1">
      <c r="A49" s="329">
        <f>'ADJ DETAIL-INPUT'!AN$10</f>
        <v>3.0899999999999981</v>
      </c>
      <c r="B49" s="49" t="str">
        <f>TRIM(CONCATENATE('ADJ DETAIL-INPUT'!AN$7," ",'ADJ DETAIL-INPUT'!AN$8," ",'ADJ DETAIL-INPUT'!AN$9))</f>
        <v>Pro Forma Property Tax</v>
      </c>
      <c r="C49" s="50"/>
      <c r="D49" s="52">
        <v>-1349.32</v>
      </c>
      <c r="E49" s="52">
        <v>0</v>
      </c>
      <c r="F49" s="50"/>
      <c r="G49" s="52">
        <f>'ADJ DETAIL-INPUT'!AN$57</f>
        <v>-500.86</v>
      </c>
      <c r="H49" s="52">
        <f>'ADJ DETAIL-INPUT'!AN$81</f>
        <v>0</v>
      </c>
      <c r="I49" s="59"/>
      <c r="J49" s="51">
        <f>G49-D49</f>
        <v>848.45999999999992</v>
      </c>
      <c r="K49" s="51">
        <f>H49-E49</f>
        <v>0</v>
      </c>
      <c r="L49" s="183"/>
      <c r="M49" s="174">
        <f>J49/$M$9*-1</f>
        <v>-1123.350642266455</v>
      </c>
      <c r="N49" s="174">
        <f>K49*$N$9/$M$9</f>
        <v>0</v>
      </c>
      <c r="O49" s="174">
        <f>(H49*$N$9/$M$9)-(G49/$M$9)</f>
        <v>663.13250204556107</v>
      </c>
      <c r="P49" s="222">
        <f>SUM(M49:N49)</f>
        <v>-1123.350642266455</v>
      </c>
      <c r="Q49" s="175">
        <f>SUM(M49:N49)</f>
        <v>-1123.350642266455</v>
      </c>
      <c r="R49" s="203"/>
      <c r="S49" s="217"/>
      <c r="U49" s="543"/>
      <c r="V49" s="33"/>
      <c r="W49" s="45"/>
      <c r="X49" s="45"/>
      <c r="Y49" s="45"/>
      <c r="Z49" s="45"/>
      <c r="AA49" s="45"/>
      <c r="AB49" s="45"/>
      <c r="AC49" s="45"/>
      <c r="AD49" s="45"/>
      <c r="AE49" s="45"/>
    </row>
    <row r="50" spans="1:31">
      <c r="A50" s="473">
        <f>'ADJ DETAIL-INPUT'!AO$10</f>
        <v>3.0999999999999979</v>
      </c>
      <c r="B50" s="382" t="str">
        <f>TRIM(CONCATENATE('ADJ DETAIL-INPUT'!AO$7," ",'ADJ DETAIL-INPUT'!AO$8," ",'ADJ DETAIL-INPUT'!AO$9))</f>
        <v>Pro Forma Fee Free Amortization</v>
      </c>
      <c r="C50" s="169"/>
      <c r="D50" s="52">
        <v>-1052.28</v>
      </c>
      <c r="E50" s="52">
        <v>0</v>
      </c>
      <c r="F50" s="130"/>
      <c r="G50" s="109">
        <f>'ADJ DETAIL-INPUT'!AO$57</f>
        <v>-1052.28</v>
      </c>
      <c r="H50" s="109">
        <f>'ADJ DETAIL-INPUT'!AO$81</f>
        <v>0</v>
      </c>
      <c r="I50" s="59"/>
      <c r="J50" s="51">
        <f t="shared" ref="J50" si="63">G50-D50</f>
        <v>0</v>
      </c>
      <c r="K50" s="51">
        <f t="shared" ref="K50" si="64">H50-E50</f>
        <v>0</v>
      </c>
      <c r="L50" s="27"/>
      <c r="M50" s="174">
        <f t="shared" ref="M50" si="65">J50/$M$9*-1</f>
        <v>0</v>
      </c>
      <c r="N50" s="174">
        <f t="shared" ref="N50" si="66">K50*$N$9/$M$9</f>
        <v>0</v>
      </c>
      <c r="O50" s="174">
        <f t="shared" ref="O50" si="67">(H50*$N$9/$M$9)-(G50/$M$9)</f>
        <v>1393.2058244868886</v>
      </c>
      <c r="P50" s="222">
        <f t="shared" ref="P50" si="68">SUM(M50:N50)</f>
        <v>0</v>
      </c>
      <c r="Q50" s="175">
        <f>SUM(M50:N50)</f>
        <v>0</v>
      </c>
      <c r="R50" s="202"/>
      <c r="S50" s="220"/>
      <c r="V50" s="139"/>
    </row>
    <row r="51" spans="1:31">
      <c r="A51" s="473">
        <f>'ADJ DETAIL-INPUT'!AP$10</f>
        <v>3.1099999999999977</v>
      </c>
      <c r="B51" s="382" t="str">
        <f>TRIM(CONCATENATE('ADJ DETAIL-INPUT'!AP$7," ",'ADJ DETAIL-INPUT'!AP$8," ",'ADJ DETAIL-INPUT'!AP$9))</f>
        <v>Pro Forma 2020 Customer At Center</v>
      </c>
      <c r="C51" s="169"/>
      <c r="D51" s="52">
        <v>-1403.5019231731299</v>
      </c>
      <c r="E51" s="52">
        <v>9316.0669790457214</v>
      </c>
      <c r="F51" s="130"/>
      <c r="G51" s="109">
        <f>'ADJ DETAIL-INPUT'!AP$57</f>
        <v>-1559.646968</v>
      </c>
      <c r="H51" s="109">
        <f>'ADJ DETAIL-INPUT'!AP$81</f>
        <v>10279</v>
      </c>
      <c r="I51" s="59"/>
      <c r="J51" s="51">
        <f>G51-D51</f>
        <v>-156.14504482687016</v>
      </c>
      <c r="K51" s="51">
        <f>H51-E51</f>
        <v>962.93302095427862</v>
      </c>
      <c r="L51" s="29"/>
      <c r="M51" s="174">
        <f>J51/$M$9*-1</f>
        <v>206.73412581970751</v>
      </c>
      <c r="N51" s="174">
        <f>K51*$N$9/$M$9</f>
        <v>94.725925873769569</v>
      </c>
      <c r="O51" s="174">
        <f>(H51*$N$9/$M$9)-(G51/$M$9)</f>
        <v>3076.1222358445848</v>
      </c>
      <c r="P51" s="222">
        <f>SUM(M51:N51)</f>
        <v>301.46005169347711</v>
      </c>
      <c r="Q51" s="175">
        <f>SUM(M51:N51)</f>
        <v>301.46005169347711</v>
      </c>
      <c r="R51" s="162"/>
      <c r="S51" s="217"/>
      <c r="U51" s="27"/>
      <c r="V51" s="534"/>
      <c r="W51" s="27"/>
      <c r="X51" s="27"/>
      <c r="Y51" s="27"/>
      <c r="Z51" s="27"/>
      <c r="AA51" s="27"/>
      <c r="AB51" s="27"/>
      <c r="AC51" s="27"/>
      <c r="AD51" s="27"/>
      <c r="AE51" s="27"/>
    </row>
    <row r="52" spans="1:31" s="146" customFormat="1" ht="11.25" customHeight="1">
      <c r="A52" s="329">
        <f>'ADJ DETAIL-INPUT'!AQ$10</f>
        <v>3.1199999999999974</v>
      </c>
      <c r="B52" s="148" t="str">
        <f>TRIM(CONCATENATE('ADJ DETAIL-INPUT'!AQ$7," ",'ADJ DETAIL-INPUT'!AQ$8," ",'ADJ DETAIL-INPUT'!AQ$9))</f>
        <v>Pro Forma 2020 Large &amp; Distinct</v>
      </c>
      <c r="C52" s="149"/>
      <c r="D52" s="52">
        <v>-237.87314855879669</v>
      </c>
      <c r="E52" s="52">
        <v>23307.524261841289</v>
      </c>
      <c r="F52" s="149"/>
      <c r="G52" s="151">
        <f>'ADJ DETAIL-INPUT'!AQ$57</f>
        <v>-94.249960000000016</v>
      </c>
      <c r="H52" s="151">
        <f>'ADJ DETAIL-INPUT'!AQ$81</f>
        <v>18005</v>
      </c>
      <c r="I52" s="173"/>
      <c r="J52" s="51">
        <f t="shared" si="38"/>
        <v>143.62318855879667</v>
      </c>
      <c r="K52" s="51">
        <f t="shared" si="39"/>
        <v>-5302.5242618412885</v>
      </c>
      <c r="L52" s="40"/>
      <c r="M52" s="174">
        <f t="shared" si="40"/>
        <v>-190.15534157400518</v>
      </c>
      <c r="N52" s="174">
        <f t="shared" si="41"/>
        <v>-521.6214515868096</v>
      </c>
      <c r="O52" s="174">
        <f t="shared" ref="O52" si="69">(H52*$N$9/$M$9)-(G52/$M$9)</f>
        <v>1895.9788638596362</v>
      </c>
      <c r="P52" s="222">
        <f t="shared" ref="P52" si="70">SUM(M52:N52)</f>
        <v>-711.7767931608148</v>
      </c>
      <c r="Q52" s="175">
        <f t="shared" si="44"/>
        <v>-711.7767931608148</v>
      </c>
      <c r="R52" s="162"/>
      <c r="S52" s="217"/>
      <c r="U52" s="138"/>
      <c r="V52" s="33"/>
      <c r="W52" s="138"/>
      <c r="X52" s="47"/>
      <c r="Y52" s="138"/>
      <c r="Z52" s="138"/>
      <c r="AA52" s="138"/>
      <c r="AB52" s="138"/>
      <c r="AC52" s="138"/>
      <c r="AD52" s="138"/>
      <c r="AE52" s="138"/>
    </row>
    <row r="53" spans="1:31" s="146" customFormat="1" ht="11.25" customHeight="1">
      <c r="A53" s="329">
        <f>'ADJ DETAIL-INPUT'!AR$10</f>
        <v>3.1299999999999972</v>
      </c>
      <c r="B53" s="148" t="str">
        <f>TRIM(CONCATENATE('ADJ DETAIL-INPUT'!AR$7," ",'ADJ DETAIL-INPUT'!AR$8," ",'ADJ DETAIL-INPUT'!AR$9))</f>
        <v>Pro Forma 2020 Programmatic</v>
      </c>
      <c r="C53" s="149"/>
      <c r="D53" s="52">
        <v>-749.11178108126501</v>
      </c>
      <c r="E53" s="52">
        <v>51537.676443689525</v>
      </c>
      <c r="F53" s="149"/>
      <c r="G53" s="151">
        <f>'ADJ DETAIL-INPUT'!AR$57</f>
        <v>-422.64936800000004</v>
      </c>
      <c r="H53" s="151">
        <f>'ADJ DETAIL-INPUT'!AR$81</f>
        <v>47479</v>
      </c>
      <c r="I53" s="173"/>
      <c r="J53" s="51">
        <f t="shared" ref="J53:J59" si="71">G53-D53</f>
        <v>326.46241308126497</v>
      </c>
      <c r="K53" s="51">
        <f t="shared" ref="K53:K59" si="72">H53-E53</f>
        <v>-4058.6764436895246</v>
      </c>
      <c r="L53" s="516"/>
      <c r="M53" s="174">
        <f t="shared" ref="M53:M59" si="73">J53/$M$9*-1</f>
        <v>-432.23223417803524</v>
      </c>
      <c r="N53" s="174">
        <f t="shared" ref="N53:N59" si="74">K53*$N$9/$M$9</f>
        <v>-399.26129396782136</v>
      </c>
      <c r="O53" s="174">
        <f t="shared" ref="O53:O59" si="75">(H53*$N$9/$M$9)-(G53/$M$9)</f>
        <v>5230.200515296031</v>
      </c>
      <c r="P53" s="222">
        <f t="shared" ref="P53:P59" si="76">SUM(M53:N53)</f>
        <v>-831.49352814585654</v>
      </c>
      <c r="Q53" s="175">
        <f t="shared" ref="Q53:Q59" si="77">SUM(M53:N53)</f>
        <v>-831.49352814585654</v>
      </c>
      <c r="R53" s="429"/>
      <c r="S53" s="217"/>
      <c r="U53" s="138"/>
      <c r="V53" s="33"/>
      <c r="W53" s="138"/>
      <c r="X53" s="47"/>
      <c r="Y53" s="138"/>
      <c r="Z53" s="138"/>
      <c r="AA53" s="138"/>
      <c r="AB53" s="138"/>
      <c r="AC53" s="138"/>
      <c r="AD53" s="138"/>
      <c r="AE53" s="138"/>
    </row>
    <row r="54" spans="1:31" s="146" customFormat="1" ht="11.25" customHeight="1">
      <c r="A54" s="329">
        <f>'ADJ DETAIL-INPUT'!AS$10</f>
        <v>3.139999999999997</v>
      </c>
      <c r="B54" s="148" t="str">
        <f>TRIM(CONCATENATE('ADJ DETAIL-INPUT'!AS$7," ",'ADJ DETAIL-INPUT'!AS$8," ",'ADJ DETAIL-INPUT'!AS$9))</f>
        <v>Pro Forma 2020 Mandatory &amp; Compliance</v>
      </c>
      <c r="C54" s="149"/>
      <c r="D54" s="52">
        <v>-375.20826212708823</v>
      </c>
      <c r="E54" s="52">
        <v>35583.899668735903</v>
      </c>
      <c r="F54" s="149"/>
      <c r="G54" s="151">
        <f>'ADJ DETAIL-INPUT'!AS$57</f>
        <v>-336.720192</v>
      </c>
      <c r="H54" s="151">
        <f>'ADJ DETAIL-INPUT'!AS$81</f>
        <v>36826</v>
      </c>
      <c r="I54" s="173"/>
      <c r="J54" s="51">
        <f t="shared" si="71"/>
        <v>38.488070127088235</v>
      </c>
      <c r="K54" s="51">
        <f t="shared" si="72"/>
        <v>1242.1003312640969</v>
      </c>
      <c r="L54" s="516"/>
      <c r="M54" s="174">
        <f t="shared" si="73"/>
        <v>-50.957733183486475</v>
      </c>
      <c r="N54" s="174">
        <f t="shared" si="74"/>
        <v>122.18825333303641</v>
      </c>
      <c r="O54" s="174">
        <f t="shared" si="75"/>
        <v>4068.4713396372799</v>
      </c>
      <c r="P54" s="222">
        <f t="shared" si="76"/>
        <v>71.230520149549932</v>
      </c>
      <c r="Q54" s="175">
        <f t="shared" si="77"/>
        <v>71.230520149549932</v>
      </c>
      <c r="R54" s="429"/>
      <c r="S54" s="217"/>
      <c r="U54" s="138"/>
      <c r="V54" s="33"/>
      <c r="W54" s="138"/>
      <c r="X54" s="47"/>
      <c r="Y54" s="138"/>
      <c r="Z54" s="138"/>
      <c r="AA54" s="138"/>
      <c r="AB54" s="138"/>
      <c r="AC54" s="138"/>
      <c r="AD54" s="138"/>
      <c r="AE54" s="138"/>
    </row>
    <row r="55" spans="1:31" s="146" customFormat="1" ht="11.25" customHeight="1">
      <c r="A55" s="329">
        <f>'ADJ DETAIL-INPUT'!AT$10</f>
        <v>3.1499999999999968</v>
      </c>
      <c r="B55" s="148" t="str">
        <f>TRIM(CONCATENATE('ADJ DETAIL-INPUT'!AT$7," ",'ADJ DETAIL-INPUT'!AT$8," ",'ADJ DETAIL-INPUT'!AT$9))</f>
        <v>Pro Forma 2020 Short Lived</v>
      </c>
      <c r="C55" s="149"/>
      <c r="D55" s="52">
        <v>-1496.0519802474223</v>
      </c>
      <c r="E55" s="52">
        <v>10885.756480909702</v>
      </c>
      <c r="F55" s="149"/>
      <c r="G55" s="151">
        <f>'ADJ DETAIL-INPUT'!AT$57</f>
        <v>-1465.36256</v>
      </c>
      <c r="H55" s="151">
        <f>'ADJ DETAIL-INPUT'!AT$81</f>
        <v>10180</v>
      </c>
      <c r="I55" s="173"/>
      <c r="J55" s="51">
        <f t="shared" si="71"/>
        <v>30.689420247422277</v>
      </c>
      <c r="K55" s="51">
        <f t="shared" si="72"/>
        <v>-705.75648090970208</v>
      </c>
      <c r="L55" s="516"/>
      <c r="M55" s="174">
        <f t="shared" si="73"/>
        <v>-40.63241631394169</v>
      </c>
      <c r="N55" s="174">
        <f t="shared" si="74"/>
        <v>-69.426880832617329</v>
      </c>
      <c r="O55" s="174">
        <f t="shared" si="75"/>
        <v>2941.5519784348876</v>
      </c>
      <c r="P55" s="222">
        <f t="shared" si="76"/>
        <v>-110.05929714655902</v>
      </c>
      <c r="Q55" s="175">
        <f t="shared" si="77"/>
        <v>-110.05929714655902</v>
      </c>
      <c r="R55" s="429"/>
      <c r="S55" s="217"/>
      <c r="U55" s="138"/>
      <c r="V55" s="33"/>
      <c r="W55" s="138"/>
      <c r="X55" s="47"/>
      <c r="Y55" s="138"/>
      <c r="Z55" s="138"/>
      <c r="AA55" s="138"/>
      <c r="AB55" s="138"/>
      <c r="AC55" s="138"/>
      <c r="AD55" s="138"/>
      <c r="AE55" s="138"/>
    </row>
    <row r="56" spans="1:31" s="146" customFormat="1" ht="11.25" customHeight="1">
      <c r="A56" s="329">
        <f>'ADJ DETAIL-INPUT'!AU$10</f>
        <v>3.1599999999999966</v>
      </c>
      <c r="B56" s="148" t="str">
        <f>TRIM(CONCATENATE('ADJ DETAIL-INPUT'!AU$7," ",'ADJ DETAIL-INPUT'!AU$8," ",'ADJ DETAIL-INPUT'!AU$9))</f>
        <v>Pro Forma AMI Capital</v>
      </c>
      <c r="C56" s="149"/>
      <c r="D56" s="52">
        <v>-7152.9950960000006</v>
      </c>
      <c r="E56" s="52">
        <v>92163</v>
      </c>
      <c r="F56" s="149"/>
      <c r="G56" s="151">
        <f>'ADJ DETAIL-INPUT'!AU$57</f>
        <v>-7148.39732</v>
      </c>
      <c r="H56" s="151">
        <f>'ADJ DETAIL-INPUT'!AU$81</f>
        <v>87585</v>
      </c>
      <c r="I56" s="173"/>
      <c r="J56" s="51">
        <f t="shared" si="71"/>
        <v>4.5977760000005219</v>
      </c>
      <c r="K56" s="51">
        <f t="shared" si="72"/>
        <v>-4578</v>
      </c>
      <c r="L56" s="516"/>
      <c r="M56" s="174">
        <f t="shared" si="73"/>
        <v>-6.0873990790348156</v>
      </c>
      <c r="N56" s="174">
        <f t="shared" si="74"/>
        <v>-450.34834117575406</v>
      </c>
      <c r="O56" s="174">
        <f t="shared" si="75"/>
        <v>18080.327422169379</v>
      </c>
      <c r="P56" s="222">
        <f t="shared" si="76"/>
        <v>-456.43574025478887</v>
      </c>
      <c r="Q56" s="175">
        <f t="shared" si="77"/>
        <v>-456.43574025478887</v>
      </c>
      <c r="R56" s="429"/>
      <c r="S56" s="217"/>
      <c r="U56" s="138"/>
      <c r="V56" s="33"/>
      <c r="W56" s="138"/>
      <c r="X56" s="47"/>
      <c r="Y56" s="138"/>
      <c r="Z56" s="138"/>
      <c r="AA56" s="138"/>
      <c r="AB56" s="138"/>
      <c r="AC56" s="138"/>
      <c r="AD56" s="138"/>
      <c r="AE56" s="138"/>
    </row>
    <row r="57" spans="1:31" s="146" customFormat="1" ht="11.25" customHeight="1">
      <c r="A57" s="329" t="str">
        <f>'ADJ DETAIL-INPUT'!AV$10</f>
        <v>3.17PF</v>
      </c>
      <c r="B57" s="148" t="str">
        <f>TRIM(CONCATENATE('ADJ DETAIL-INPUT'!AV$7," ",'ADJ DETAIL-INPUT'!AV$8," ",'ADJ DETAIL-INPUT'!AV$9))</f>
        <v>Pro Forma WildFire Plan</v>
      </c>
      <c r="C57" s="149"/>
      <c r="D57" s="52">
        <v>-3358.6597919999999</v>
      </c>
      <c r="E57" s="52">
        <v>13126</v>
      </c>
      <c r="F57" s="149"/>
      <c r="G57" s="151">
        <f>'ADJ DETAIL-INPUT'!AV$57</f>
        <v>-3345.64630278408</v>
      </c>
      <c r="H57" s="151">
        <f>'ADJ DETAIL-INPUT'!AV$81</f>
        <v>9405.4718156527888</v>
      </c>
      <c r="I57" s="173"/>
      <c r="J57" s="51">
        <f t="shared" si="71"/>
        <v>13.01348921591989</v>
      </c>
      <c r="K57" s="51">
        <f t="shared" si="72"/>
        <v>-3720.5281843472112</v>
      </c>
      <c r="L57" s="516"/>
      <c r="M57" s="174">
        <f t="shared" si="73"/>
        <v>-17.229700243772477</v>
      </c>
      <c r="N57" s="174">
        <f t="shared" si="74"/>
        <v>-365.9968755173453</v>
      </c>
      <c r="O57" s="174">
        <f t="shared" si="75"/>
        <v>5354.8325005720717</v>
      </c>
      <c r="P57" s="222">
        <f t="shared" si="76"/>
        <v>-383.22657576111777</v>
      </c>
      <c r="Q57" s="175">
        <f t="shared" si="77"/>
        <v>-383.22657576111777</v>
      </c>
      <c r="R57" s="429"/>
      <c r="S57" s="217"/>
      <c r="U57" s="138"/>
      <c r="V57" s="33"/>
      <c r="W57" s="138"/>
      <c r="X57" s="47"/>
      <c r="Y57" s="138"/>
      <c r="Z57" s="138"/>
      <c r="AA57" s="138"/>
      <c r="AB57" s="138"/>
      <c r="AC57" s="138"/>
      <c r="AD57" s="138"/>
      <c r="AE57" s="138"/>
    </row>
    <row r="58" spans="1:31" s="146" customFormat="1" ht="11.25" customHeight="1">
      <c r="A58" s="329" t="str">
        <f>'ADJ DETAIL-INPUT'!AW$10</f>
        <v>3.17PV</v>
      </c>
      <c r="B58" s="148" t="str">
        <f>TRIM(CONCATENATE('ADJ DETAIL-INPUT'!AW$7," ",'ADJ DETAIL-INPUT'!AW$8," ",'ADJ DETAIL-INPUT'!AW$9))</f>
        <v>Provisional WildFire Plan</v>
      </c>
      <c r="C58" s="149"/>
      <c r="D58" s="52"/>
      <c r="E58" s="52"/>
      <c r="F58" s="149"/>
      <c r="G58" s="151">
        <f>'ADJ DETAIL-INPUT'!AW$57</f>
        <v>-25.494366247875153</v>
      </c>
      <c r="H58" s="151">
        <f>'ADJ DETAIL-INPUT'!AW$81</f>
        <v>1779.1155438027743</v>
      </c>
      <c r="I58" s="173"/>
      <c r="J58" s="51">
        <f t="shared" ref="J58" si="78">G58-D58</f>
        <v>-25.494366247875153</v>
      </c>
      <c r="K58" s="51">
        <f t="shared" ref="K58" si="79">H58-E58</f>
        <v>1779.1155438027743</v>
      </c>
      <c r="L58" s="956"/>
      <c r="M58" s="174">
        <f t="shared" ref="M58" si="80">J58/$M$9*-1</f>
        <v>33.754228483047861</v>
      </c>
      <c r="N58" s="174">
        <f t="shared" ref="N58" si="81">K58*$N$9/$M$9</f>
        <v>175.0156692685843</v>
      </c>
      <c r="O58" s="174">
        <f t="shared" ref="O58" si="82">(H58*$N$9/$M$9)-(G58/$M$9)</f>
        <v>208.76989775163216</v>
      </c>
      <c r="P58" s="222">
        <f t="shared" ref="P58" si="83">SUM(M58:N58)</f>
        <v>208.76989775163216</v>
      </c>
      <c r="Q58" s="175">
        <f t="shared" ref="Q58" si="84">SUM(M58:N58)</f>
        <v>208.76989775163216</v>
      </c>
      <c r="R58" s="429"/>
      <c r="S58" s="217"/>
      <c r="U58" s="138"/>
      <c r="V58" s="33"/>
      <c r="W58" s="138"/>
      <c r="X58" s="47"/>
      <c r="Y58" s="138"/>
      <c r="Z58" s="138"/>
      <c r="AA58" s="138"/>
      <c r="AB58" s="138"/>
      <c r="AC58" s="138"/>
      <c r="AD58" s="138"/>
      <c r="AE58" s="138"/>
    </row>
    <row r="59" spans="1:31" s="146" customFormat="1" ht="11.25" customHeight="1">
      <c r="A59" s="329" t="str">
        <f>'ADJ DETAIL-INPUT'!AX$10</f>
        <v>3.18PF</v>
      </c>
      <c r="B59" s="148" t="str">
        <f>TRIM(CONCATENATE('ADJ DETAIL-INPUT'!AX$7," ",'ADJ DETAIL-INPUT'!AX$8," ",'ADJ DETAIL-INPUT'!AX$9))</f>
        <v>Pro Forma EIM Expenditures</v>
      </c>
      <c r="C59" s="149"/>
      <c r="D59" s="52">
        <v>-2160.1035360000001</v>
      </c>
      <c r="E59" s="52">
        <v>9358</v>
      </c>
      <c r="F59" s="149"/>
      <c r="G59" s="151">
        <f>'ADJ DETAIL-INPUT'!AX$57</f>
        <v>-1993.5510496299439</v>
      </c>
      <c r="H59" s="151">
        <f>'ADJ DETAIL-INPUT'!AX$81</f>
        <v>8724.836860609852</v>
      </c>
      <c r="I59" s="173"/>
      <c r="J59" s="51">
        <f t="shared" si="71"/>
        <v>166.55248637005616</v>
      </c>
      <c r="K59" s="51">
        <f t="shared" si="72"/>
        <v>-633.16313939014799</v>
      </c>
      <c r="L59" s="516"/>
      <c r="M59" s="174">
        <f t="shared" si="73"/>
        <v>-220.513450881453</v>
      </c>
      <c r="N59" s="174">
        <f t="shared" si="74"/>
        <v>-62.285707627345111</v>
      </c>
      <c r="O59" s="174">
        <f t="shared" si="75"/>
        <v>3497.7193362760145</v>
      </c>
      <c r="P59" s="222">
        <f t="shared" si="76"/>
        <v>-282.79915850879809</v>
      </c>
      <c r="Q59" s="175">
        <f t="shared" si="77"/>
        <v>-282.79915850879809</v>
      </c>
      <c r="R59" s="429"/>
      <c r="S59" s="217"/>
      <c r="U59" s="138"/>
      <c r="V59" s="33"/>
      <c r="W59" s="138"/>
      <c r="X59" s="47"/>
      <c r="Y59" s="138"/>
      <c r="Z59" s="138"/>
      <c r="AA59" s="138"/>
      <c r="AB59" s="138"/>
      <c r="AC59" s="138"/>
      <c r="AD59" s="138"/>
      <c r="AE59" s="138"/>
    </row>
    <row r="60" spans="1:31" s="146" customFormat="1" ht="11.25" customHeight="1">
      <c r="A60" s="329" t="str">
        <f>'ADJ DETAIL-INPUT'!AY$10</f>
        <v>3.18PV</v>
      </c>
      <c r="B60" s="148" t="str">
        <f>TRIM(CONCATENATE('ADJ DETAIL-INPUT'!AY$7," ",'ADJ DETAIL-INPUT'!AY$8," ",'ADJ DETAIL-INPUT'!AY$9))</f>
        <v>Provisional EIM Expenditures</v>
      </c>
      <c r="C60" s="149"/>
      <c r="D60" s="52"/>
      <c r="E60" s="52"/>
      <c r="F60" s="149"/>
      <c r="G60" s="151">
        <f>'ADJ DETAIL-INPUT'!AY$57</f>
        <v>-626.95548766127899</v>
      </c>
      <c r="H60" s="151">
        <f>'ADJ DETAIL-INPUT'!AY$81</f>
        <v>3850.7128146545883</v>
      </c>
      <c r="I60" s="173"/>
      <c r="J60" s="51">
        <f t="shared" ref="J60" si="85">G60-D60</f>
        <v>-626.95548766127899</v>
      </c>
      <c r="K60" s="51">
        <f t="shared" ref="K60" si="86">H60-E60</f>
        <v>3850.7128146545883</v>
      </c>
      <c r="L60" s="888"/>
      <c r="M60" s="174">
        <f t="shared" ref="M60" si="87">J60/$M$9*-1</f>
        <v>830.08138243025758</v>
      </c>
      <c r="N60" s="174">
        <f t="shared" ref="N60" si="88">K60*$N$9/$M$9</f>
        <v>378.80343565397834</v>
      </c>
      <c r="O60" s="174">
        <f t="shared" ref="O60" si="89">(H60*$N$9/$M$9)-(G60/$M$9)</f>
        <v>1208.884818084236</v>
      </c>
      <c r="P60" s="222">
        <f t="shared" ref="P60" si="90">SUM(M60:N60)</f>
        <v>1208.884818084236</v>
      </c>
      <c r="Q60" s="175">
        <f t="shared" ref="Q60" si="91">SUM(M60:N60)</f>
        <v>1208.884818084236</v>
      </c>
      <c r="R60" s="429"/>
      <c r="S60" s="217"/>
      <c r="U60" s="138"/>
      <c r="V60" s="33"/>
      <c r="W60" s="138"/>
      <c r="X60" s="47"/>
      <c r="Y60" s="138"/>
      <c r="Z60" s="138"/>
      <c r="AA60" s="138"/>
      <c r="AB60" s="138"/>
      <c r="AC60" s="138"/>
      <c r="AD60" s="138"/>
      <c r="AE60" s="138"/>
    </row>
    <row r="61" spans="1:31">
      <c r="A61" s="473" t="str">
        <f>'ADJ DETAIL-INPUT'!AZ$10</f>
        <v>3.19PF</v>
      </c>
      <c r="B61" s="382" t="str">
        <f>TRIM(CONCATENATE('ADJ DETAIL-INPUT'!AZ$7," ",'ADJ DETAIL-INPUT'!AZ$8," ",'ADJ DETAIL-INPUT'!AZ$9))</f>
        <v>Pro Forma Colstrip Cap &amp; Amortization</v>
      </c>
      <c r="C61" s="169"/>
      <c r="D61" s="52">
        <v>104.71915999999999</v>
      </c>
      <c r="E61" s="52">
        <v>-15605</v>
      </c>
      <c r="F61" s="130"/>
      <c r="G61" s="109">
        <f>'ADJ DETAIL-INPUT'!AZ$57</f>
        <v>1063.818816</v>
      </c>
      <c r="H61" s="109">
        <f>'ADJ DETAIL-INPUT'!AZ$81</f>
        <v>-21448</v>
      </c>
      <c r="I61" s="59"/>
      <c r="J61" s="51">
        <f t="shared" ref="J61" si="92">G61-D61</f>
        <v>959.09965599999998</v>
      </c>
      <c r="K61" s="51">
        <f t="shared" ref="K61" si="93">H61-E61</f>
        <v>-5843</v>
      </c>
      <c r="L61" s="27"/>
      <c r="M61" s="174">
        <f t="shared" ref="M61" si="94">J61/$M$9*-1</f>
        <v>-1269.8361909402165</v>
      </c>
      <c r="N61" s="174">
        <f t="shared" ref="N61" si="95">K61*$N$9/$M$9</f>
        <v>-574.78928735035629</v>
      </c>
      <c r="O61" s="174">
        <f t="shared" ref="O61" si="96">(H61*$N$9/$M$9)-(G61/$M$9)</f>
        <v>-3518.371939933324</v>
      </c>
      <c r="P61" s="222">
        <f t="shared" ref="P61" si="97">SUM(M61:N61)</f>
        <v>-1844.6254782905728</v>
      </c>
      <c r="Q61" s="175">
        <f>SUM(M61:N61)</f>
        <v>-1844.6254782905728</v>
      </c>
      <c r="R61" s="202"/>
      <c r="S61" s="220"/>
      <c r="V61" s="139"/>
    </row>
    <row r="62" spans="1:31">
      <c r="A62" s="473" t="str">
        <f>'ADJ DETAIL-INPUT'!BA$10</f>
        <v>3.19PV</v>
      </c>
      <c r="B62" s="382" t="str">
        <f>TRIM(CONCATENATE('ADJ DETAIL-INPUT'!BA$7," ",'ADJ DETAIL-INPUT'!BA$8," ",'ADJ DETAIL-INPUT'!BA$9))</f>
        <v>Provisional Colstrip Cap &amp; Amortization</v>
      </c>
      <c r="C62" s="169"/>
      <c r="D62" s="52"/>
      <c r="E62" s="52"/>
      <c r="F62" s="130"/>
      <c r="G62" s="109">
        <f>'ADJ DETAIL-INPUT'!BA$57</f>
        <v>-690.21594400000004</v>
      </c>
      <c r="H62" s="109">
        <f>'ADJ DETAIL-INPUT'!BA$81</f>
        <v>957</v>
      </c>
      <c r="I62" s="59"/>
      <c r="J62" s="51">
        <f t="shared" ref="J62" si="98">G62-D62</f>
        <v>-690.21594400000004</v>
      </c>
      <c r="K62" s="51">
        <f t="shared" ref="K62" si="99">H62-E62</f>
        <v>957</v>
      </c>
      <c r="L62" s="27"/>
      <c r="M62" s="174">
        <f t="shared" ref="M62" si="100">J62/$M$9*-1</f>
        <v>913.83745137655012</v>
      </c>
      <c r="N62" s="174">
        <f t="shared" ref="N62" si="101">K62*$N$9/$M$9</f>
        <v>94.142281019046891</v>
      </c>
      <c r="O62" s="174">
        <f t="shared" ref="O62" si="102">(H62*$N$9/$M$9)-(G62/$M$9)</f>
        <v>1007.979732395597</v>
      </c>
      <c r="P62" s="222">
        <f t="shared" ref="P62" si="103">SUM(M62:N62)</f>
        <v>1007.979732395597</v>
      </c>
      <c r="Q62" s="175">
        <f>SUM(M62:N62)</f>
        <v>1007.979732395597</v>
      </c>
      <c r="R62" s="202"/>
      <c r="S62" s="220"/>
      <c r="V62" s="139"/>
    </row>
    <row r="63" spans="1:31">
      <c r="A63" s="473">
        <f>'ADJ DETAIL-INPUT'!BB$10</f>
        <v>3.2</v>
      </c>
      <c r="B63" s="382" t="str">
        <f>TRIM(CONCATENATE('ADJ DETAIL-INPUT'!BB$7," ",'ADJ DETAIL-INPUT'!BB$8," ",'ADJ DETAIL-INPUT'!BB$9))</f>
        <v>PF Normalize CS2/Colstrip Major Maint</v>
      </c>
      <c r="C63" s="169"/>
      <c r="D63" s="52">
        <v>12.64</v>
      </c>
      <c r="E63" s="52">
        <v>0</v>
      </c>
      <c r="F63" s="130"/>
      <c r="G63" s="109">
        <f>'ADJ DETAIL-INPUT'!BB$57</f>
        <v>-26.07</v>
      </c>
      <c r="H63" s="109">
        <f>'ADJ DETAIL-INPUT'!BB$81</f>
        <v>0</v>
      </c>
      <c r="I63" s="59"/>
      <c r="J63" s="51">
        <f>G63-D63</f>
        <v>-38.71</v>
      </c>
      <c r="K63" s="51">
        <f>H63-E63</f>
        <v>0</v>
      </c>
      <c r="L63" s="27"/>
      <c r="M63" s="174">
        <f>J63/$M$9*-1</f>
        <v>51.25156561550866</v>
      </c>
      <c r="N63" s="174">
        <f>K63*$N$9/$M$9</f>
        <v>0</v>
      </c>
      <c r="O63" s="174">
        <f>(H63*$N$9/$M$9)-(G63/$M$9)</f>
        <v>34.516360516567055</v>
      </c>
      <c r="P63" s="222">
        <f>SUM(M63:N63)</f>
        <v>51.25156561550866</v>
      </c>
      <c r="Q63" s="175">
        <f>SUM(M63:N63)</f>
        <v>51.25156561550866</v>
      </c>
      <c r="R63" s="202"/>
      <c r="S63" s="220"/>
      <c r="V63" s="139"/>
    </row>
    <row r="64" spans="1:31">
      <c r="A64" s="473">
        <f>'ADJ DETAIL-INPUT'!BC$10</f>
        <v>3.21</v>
      </c>
      <c r="B64" s="382" t="str">
        <f>TRIM(CONCATENATE('ADJ DETAIL-INPUT'!BC$7," ",'ADJ DETAIL-INPUT'!BC$8," ",'ADJ DETAIL-INPUT'!BC$9))</f>
        <v>Restate 2019 ADFIT</v>
      </c>
      <c r="C64" s="169"/>
      <c r="D64" s="52">
        <v>-159.062736</v>
      </c>
      <c r="E64" s="52">
        <v>-30542</v>
      </c>
      <c r="F64" s="130"/>
      <c r="G64" s="109">
        <f>'ADJ DETAIL-INPUT'!BC$57</f>
        <v>-159.062736</v>
      </c>
      <c r="H64" s="109">
        <f>'ADJ DETAIL-INPUT'!BC$81</f>
        <v>-30542</v>
      </c>
      <c r="I64" s="59"/>
      <c r="J64" s="51">
        <f t="shared" si="38"/>
        <v>0</v>
      </c>
      <c r="K64" s="51">
        <f t="shared" si="39"/>
        <v>0</v>
      </c>
      <c r="L64" s="27"/>
      <c r="M64" s="174">
        <f t="shared" si="40"/>
        <v>0</v>
      </c>
      <c r="N64" s="174">
        <f t="shared" si="41"/>
        <v>0</v>
      </c>
      <c r="O64" s="174">
        <f t="shared" ref="O64" si="104">(H64*$N$9/$M$9)-(G64/$M$9)</f>
        <v>-2793.8893516961612</v>
      </c>
      <c r="P64" s="222">
        <f t="shared" ref="P64" si="105">SUM(M64:N64)</f>
        <v>0</v>
      </c>
      <c r="Q64" s="175">
        <f t="shared" si="44"/>
        <v>0</v>
      </c>
      <c r="R64" s="202"/>
      <c r="S64" s="220"/>
      <c r="U64" s="27"/>
      <c r="V64" s="534"/>
      <c r="W64" s="27"/>
      <c r="X64" s="27"/>
      <c r="Y64" s="27"/>
      <c r="Z64" s="27"/>
      <c r="AA64" s="27"/>
      <c r="AB64" s="27"/>
      <c r="AC64" s="27"/>
      <c r="AD64" s="27"/>
      <c r="AE64" s="27"/>
    </row>
    <row r="65" spans="1:23">
      <c r="A65" s="332"/>
      <c r="B65" s="95"/>
      <c r="C65" s="27"/>
      <c r="D65" s="27"/>
      <c r="E65" s="41"/>
      <c r="F65" s="41"/>
      <c r="G65" s="141"/>
      <c r="H65" s="141"/>
      <c r="I65" s="59"/>
      <c r="J65" s="34"/>
      <c r="K65" s="130"/>
      <c r="L65" s="28"/>
      <c r="N65" s="144"/>
      <c r="O65" s="144"/>
      <c r="R65" s="207"/>
      <c r="S65" s="220"/>
      <c r="V65" s="139"/>
    </row>
    <row r="66" spans="1:23" ht="13.5" thickBot="1">
      <c r="A66" s="332"/>
      <c r="B66" s="27" t="s">
        <v>184</v>
      </c>
      <c r="C66" s="27"/>
      <c r="D66" s="170">
        <f>SUM(D37:D65)</f>
        <v>106130.98058376832</v>
      </c>
      <c r="E66" s="170">
        <f>SUM(E37:E65)</f>
        <v>1877556.9528196279</v>
      </c>
      <c r="F66" s="41"/>
      <c r="G66" s="170">
        <f>SUM(G37:G65)</f>
        <v>107914.35035210486</v>
      </c>
      <c r="H66" s="377">
        <f>SUM(H37:H65)</f>
        <v>1860604.0000201259</v>
      </c>
      <c r="I66" s="57"/>
      <c r="J66" s="170">
        <f>SUM(J37:J65)</f>
        <v>1783.3697683365258</v>
      </c>
      <c r="K66" s="170">
        <f>SUM(K37:K65)</f>
        <v>-16952.952799502105</v>
      </c>
      <c r="L66" s="28"/>
      <c r="M66" s="170">
        <f>SUM(M37:M65)</f>
        <v>-2361.1597183832064</v>
      </c>
      <c r="N66" s="170">
        <f>SUM(N37:N65)</f>
        <v>-1667.7007800975603</v>
      </c>
      <c r="O66" s="119"/>
      <c r="P66" s="231">
        <f>SUM(P9:P52)+P30+SUM(P39:P64)</f>
        <v>-7986.8656897438141</v>
      </c>
      <c r="Q66" s="222"/>
      <c r="S66" s="220"/>
      <c r="V66" s="509"/>
    </row>
    <row r="67" spans="1:23" ht="13.5" thickTop="1">
      <c r="A67" s="332"/>
      <c r="B67" s="27"/>
      <c r="C67" s="27"/>
      <c r="D67" s="27"/>
      <c r="E67" s="41"/>
      <c r="F67" s="119"/>
      <c r="G67" s="119"/>
      <c r="H67" s="57"/>
      <c r="I67" s="33"/>
      <c r="J67" s="168"/>
      <c r="K67" s="28"/>
      <c r="L67" s="27"/>
      <c r="M67" s="175"/>
      <c r="N67" s="195">
        <f>M66+N66</f>
        <v>-4028.8604984807666</v>
      </c>
      <c r="O67" s="195"/>
      <c r="Q67" s="175"/>
      <c r="S67" s="138"/>
      <c r="V67" s="36"/>
      <c r="W67" s="36"/>
    </row>
    <row r="68" spans="1:23">
      <c r="A68" s="332"/>
      <c r="B68" s="27"/>
      <c r="C68" s="27"/>
      <c r="D68" s="27"/>
      <c r="E68" s="41"/>
      <c r="F68" s="119"/>
      <c r="G68" s="119"/>
      <c r="H68" s="57"/>
      <c r="I68" s="33"/>
      <c r="J68" s="168"/>
      <c r="K68" s="28"/>
      <c r="L68" s="143"/>
      <c r="M68" s="176" t="s">
        <v>719</v>
      </c>
      <c r="N68" s="230"/>
      <c r="O68" s="195"/>
      <c r="P68" s="231"/>
      <c r="Q68" s="175"/>
      <c r="R68" s="25"/>
      <c r="S68" s="213"/>
      <c r="T68" s="36"/>
      <c r="V68" s="139"/>
    </row>
    <row r="69" spans="1:23" ht="13.5" thickBot="1">
      <c r="A69" s="332"/>
      <c r="B69" s="27"/>
      <c r="C69" s="27"/>
      <c r="D69" s="27"/>
      <c r="E69" s="41"/>
      <c r="F69" s="119"/>
      <c r="G69" s="119"/>
      <c r="H69" s="57"/>
      <c r="I69" s="33"/>
      <c r="J69" s="168"/>
      <c r="K69" s="28"/>
      <c r="M69" s="176" t="s">
        <v>248</v>
      </c>
      <c r="N69" s="196">
        <f>SUM(N67:P68)</f>
        <v>-4028.8604984807666</v>
      </c>
      <c r="O69" s="228"/>
      <c r="S69" s="214"/>
    </row>
    <row r="70" spans="1:23" ht="13.5" thickTop="1">
      <c r="A70" s="332"/>
      <c r="B70" s="138"/>
      <c r="C70" s="27"/>
      <c r="D70" s="27"/>
      <c r="E70" s="41"/>
      <c r="F70" s="119"/>
      <c r="G70" s="119"/>
      <c r="H70" s="57"/>
      <c r="I70" s="33"/>
      <c r="J70" s="168"/>
      <c r="K70" s="28"/>
      <c r="M70" s="177" t="s">
        <v>249</v>
      </c>
      <c r="N70" s="481">
        <v>44183</v>
      </c>
      <c r="O70" s="178"/>
      <c r="Q70" s="175"/>
      <c r="S70" s="210"/>
    </row>
    <row r="71" spans="1:23" ht="13.5" thickBot="1">
      <c r="A71" s="332"/>
      <c r="B71" s="27"/>
      <c r="C71" s="27"/>
      <c r="D71" s="27"/>
      <c r="E71" s="41"/>
      <c r="F71" s="124"/>
      <c r="G71" s="119"/>
      <c r="H71" s="57"/>
      <c r="I71" s="33"/>
      <c r="J71" s="168"/>
      <c r="K71" s="29"/>
      <c r="L71" s="27"/>
      <c r="M71" s="179" t="s">
        <v>250</v>
      </c>
      <c r="N71" s="180">
        <f>N70+N69</f>
        <v>40154.139501519232</v>
      </c>
      <c r="O71" s="229"/>
      <c r="P71" s="222"/>
      <c r="R71" s="99">
        <f>N71-'RR SUMMARY'!E24</f>
        <v>-0.45837413606204791</v>
      </c>
      <c r="S71" s="138"/>
    </row>
    <row r="72" spans="1:23" s="27" customFormat="1" ht="13.5" hidden="1" thickTop="1">
      <c r="A72" s="324"/>
      <c r="B72" s="25"/>
      <c r="C72" s="25"/>
      <c r="D72" s="28" t="e">
        <f>#REF!</f>
        <v>#REF!</v>
      </c>
      <c r="E72" s="25"/>
      <c r="G72" s="25"/>
      <c r="H72" s="53"/>
      <c r="J72" s="130"/>
      <c r="K72" s="29"/>
      <c r="P72" s="223"/>
      <c r="Q72" s="138"/>
      <c r="R72" s="105"/>
      <c r="S72" s="138"/>
    </row>
    <row r="73" spans="1:23" s="27" customFormat="1" ht="13.5" hidden="1" thickTop="1">
      <c r="A73" s="333"/>
      <c r="B73" s="25"/>
      <c r="C73" s="25"/>
      <c r="D73" s="28"/>
      <c r="E73" s="25"/>
      <c r="F73" s="25"/>
      <c r="G73" s="25"/>
      <c r="H73" s="53"/>
      <c r="I73" s="34"/>
      <c r="J73" s="130"/>
      <c r="K73" s="29"/>
      <c r="P73" s="223"/>
      <c r="Q73" s="138"/>
      <c r="R73" s="105"/>
      <c r="S73" s="138"/>
    </row>
    <row r="74" spans="1:23" s="27" customFormat="1" ht="13.5" hidden="1" thickTop="1">
      <c r="A74" s="333"/>
      <c r="B74" s="25"/>
      <c r="C74" s="25"/>
      <c r="D74" s="28" t="s">
        <v>77</v>
      </c>
      <c r="E74" s="25"/>
      <c r="F74" s="25"/>
      <c r="G74" s="25"/>
      <c r="H74" s="53"/>
      <c r="I74" s="34"/>
      <c r="J74" s="130"/>
      <c r="K74" s="29"/>
      <c r="P74" s="223"/>
      <c r="Q74" s="138"/>
      <c r="R74" s="105"/>
      <c r="S74" s="138"/>
    </row>
    <row r="75" spans="1:23" s="27" customFormat="1" ht="13.5" hidden="1" thickTop="1">
      <c r="A75" s="333"/>
      <c r="B75" s="25"/>
      <c r="C75" s="25"/>
      <c r="D75" s="28" t="s">
        <v>85</v>
      </c>
      <c r="E75" s="25"/>
      <c r="F75" s="25"/>
      <c r="G75" s="25"/>
      <c r="H75" s="53"/>
      <c r="I75" s="34"/>
      <c r="J75" s="130"/>
      <c r="K75" s="29"/>
      <c r="P75" s="223"/>
      <c r="Q75" s="138"/>
      <c r="R75" s="105"/>
      <c r="S75" s="138"/>
    </row>
    <row r="76" spans="1:23" s="27" customFormat="1" ht="13.5" hidden="1" thickTop="1">
      <c r="A76" s="324"/>
      <c r="B76" s="25"/>
      <c r="C76" s="25"/>
      <c r="D76" s="43" t="e">
        <f>#REF!</f>
        <v>#REF!</v>
      </c>
      <c r="E76" s="25"/>
      <c r="F76" s="25"/>
      <c r="G76" s="150"/>
      <c r="H76" s="152"/>
      <c r="I76" s="34"/>
      <c r="J76" s="130"/>
      <c r="K76" s="28"/>
      <c r="L76" s="25"/>
      <c r="M76" s="25"/>
      <c r="N76" s="25"/>
      <c r="O76" s="25"/>
      <c r="P76" s="223"/>
      <c r="Q76" s="138"/>
      <c r="R76" s="105"/>
      <c r="S76" s="138"/>
    </row>
    <row r="77" spans="1:23" ht="13.5" hidden="1" thickTop="1">
      <c r="I77" s="27"/>
      <c r="J77" s="130"/>
      <c r="K77" s="28"/>
      <c r="S77" s="138"/>
    </row>
    <row r="78" spans="1:23" ht="13.5" hidden="1" thickTop="1">
      <c r="I78" s="27"/>
      <c r="J78" s="130"/>
      <c r="K78" s="28"/>
      <c r="S78" s="138"/>
    </row>
    <row r="79" spans="1:23" ht="13.5" hidden="1" thickTop="1">
      <c r="F79" s="30"/>
      <c r="G79" s="31" t="s">
        <v>85</v>
      </c>
      <c r="I79" s="27"/>
      <c r="J79" s="130"/>
      <c r="K79" s="28"/>
      <c r="S79" s="138"/>
    </row>
    <row r="80" spans="1:23" ht="13.5" hidden="1" thickTop="1">
      <c r="A80" s="325" t="s">
        <v>79</v>
      </c>
      <c r="B80" s="31" t="s">
        <v>80</v>
      </c>
      <c r="C80" s="28"/>
      <c r="D80" s="28"/>
      <c r="F80" s="31" t="s">
        <v>81</v>
      </c>
      <c r="G80" s="31" t="s">
        <v>24</v>
      </c>
      <c r="H80" s="60" t="s">
        <v>82</v>
      </c>
      <c r="I80" s="27"/>
      <c r="J80" s="130"/>
      <c r="K80" s="28"/>
      <c r="S80" s="138"/>
    </row>
    <row r="81" spans="1:19" ht="13.5" hidden="1" thickTop="1">
      <c r="A81" s="327" t="e">
        <f>#REF!</f>
        <v>#REF!</v>
      </c>
      <c r="B81" s="148" t="e">
        <f>TRIM(CONCATENATE(#REF!," ",#REF!," ",#REF!))</f>
        <v>#REF!</v>
      </c>
      <c r="C81" s="155"/>
      <c r="D81" s="155"/>
      <c r="E81" s="155"/>
      <c r="F81" s="164" t="e">
        <f>#REF!</f>
        <v>#REF!</v>
      </c>
      <c r="G81" s="164" t="e">
        <f>#REF!</f>
        <v>#REF!</v>
      </c>
      <c r="H81" s="163"/>
      <c r="I81" s="27"/>
      <c r="J81" s="130"/>
      <c r="K81" s="183"/>
      <c r="L81" s="44"/>
      <c r="M81" s="44"/>
      <c r="N81" s="44"/>
      <c r="O81" s="44"/>
      <c r="S81" s="138"/>
    </row>
    <row r="82" spans="1:19" s="44" customFormat="1" ht="13.5" hidden="1" thickTop="1">
      <c r="A82" s="327" t="e">
        <f>#REF!</f>
        <v>#REF!</v>
      </c>
      <c r="B82" s="49" t="e">
        <f>TRIM(CONCATENATE(#REF!," ",#REF!," ",#REF!))</f>
        <v>#REF!</v>
      </c>
      <c r="F82" s="52" t="e">
        <f>#REF!</f>
        <v>#REF!</v>
      </c>
      <c r="G82" s="52" t="e">
        <f>#REF!</f>
        <v>#REF!</v>
      </c>
      <c r="H82" s="53"/>
      <c r="I82" s="45"/>
      <c r="J82" s="130"/>
      <c r="K82" s="183"/>
      <c r="P82" s="221"/>
      <c r="Q82" s="159"/>
      <c r="R82" s="203"/>
      <c r="S82" s="211"/>
    </row>
    <row r="83" spans="1:19" s="44" customFormat="1" ht="13.5" hidden="1" thickTop="1">
      <c r="A83" s="327" t="e">
        <f>#REF!</f>
        <v>#REF!</v>
      </c>
      <c r="B83" s="49" t="e">
        <f>TRIM(CONCATENATE(#REF!," ",#REF!," ",#REF!))</f>
        <v>#REF!</v>
      </c>
      <c r="F83" s="52" t="e">
        <f>#REF!</f>
        <v>#REF!</v>
      </c>
      <c r="G83" s="52" t="e">
        <f>#REF!</f>
        <v>#REF!</v>
      </c>
      <c r="H83" s="53"/>
      <c r="I83" s="45"/>
      <c r="J83" s="130"/>
      <c r="K83" s="183"/>
      <c r="P83" s="221"/>
      <c r="Q83" s="159"/>
      <c r="R83" s="203"/>
      <c r="S83" s="211"/>
    </row>
    <row r="84" spans="1:19" s="44" customFormat="1" ht="13.5" hidden="1" thickTop="1">
      <c r="A84" s="327" t="e">
        <f>#REF!</f>
        <v>#REF!</v>
      </c>
      <c r="B84" s="49" t="e">
        <f>TRIM(CONCATENATE(#REF!," ",#REF!," ",#REF!))</f>
        <v>#REF!</v>
      </c>
      <c r="F84" s="52" t="e">
        <f>#REF!</f>
        <v>#REF!</v>
      </c>
      <c r="G84" s="52" t="e">
        <f>#REF!</f>
        <v>#REF!</v>
      </c>
      <c r="H84" s="53"/>
      <c r="I84" s="46"/>
      <c r="J84" s="130"/>
      <c r="K84" s="183"/>
      <c r="P84" s="221"/>
      <c r="Q84" s="159"/>
      <c r="R84" s="203"/>
      <c r="S84" s="211"/>
    </row>
    <row r="85" spans="1:19" s="44" customFormat="1" ht="13.5" hidden="1" thickTop="1">
      <c r="A85" s="327" t="e">
        <f>#REF!</f>
        <v>#REF!</v>
      </c>
      <c r="B85" s="49" t="e">
        <f>TRIM(CONCATENATE(#REF!," ",#REF!," ",#REF!))</f>
        <v>#REF!</v>
      </c>
      <c r="F85" s="52" t="e">
        <f>#REF!</f>
        <v>#REF!</v>
      </c>
      <c r="G85" s="52" t="e">
        <f>#REF!</f>
        <v>#REF!</v>
      </c>
      <c r="H85" s="53"/>
      <c r="I85" s="46"/>
      <c r="J85" s="167"/>
      <c r="K85" s="183"/>
      <c r="P85" s="221"/>
      <c r="Q85" s="159"/>
      <c r="R85" s="203"/>
      <c r="S85" s="211"/>
    </row>
    <row r="86" spans="1:19" s="44" customFormat="1" ht="13.5" hidden="1" thickTop="1">
      <c r="A86" s="327" t="e">
        <f>#REF!</f>
        <v>#REF!</v>
      </c>
      <c r="B86" s="49" t="e">
        <f>TRIM(CONCATENATE(#REF!," ",#REF!," ",#REF!))</f>
        <v>#REF!</v>
      </c>
      <c r="F86" s="52" t="e">
        <f>#REF!</f>
        <v>#REF!</v>
      </c>
      <c r="G86" s="52" t="e">
        <f>#REF!</f>
        <v>#REF!</v>
      </c>
      <c r="H86" s="53"/>
      <c r="I86" s="47"/>
      <c r="J86" s="130"/>
      <c r="K86" s="183"/>
      <c r="P86" s="221"/>
      <c r="Q86" s="159"/>
      <c r="R86" s="203"/>
      <c r="S86" s="211"/>
    </row>
    <row r="87" spans="1:19" s="44" customFormat="1" ht="13.5" hidden="1" thickTop="1">
      <c r="A87" s="327" t="e">
        <f>#REF!</f>
        <v>#REF!</v>
      </c>
      <c r="B87" s="49" t="e">
        <f>TRIM(CONCATENATE(#REF!," ",#REF!," ",#REF!))</f>
        <v>#REF!</v>
      </c>
      <c r="F87" s="52" t="e">
        <f>#REF!</f>
        <v>#REF!</v>
      </c>
      <c r="G87" s="52" t="e">
        <f>#REF!</f>
        <v>#REF!</v>
      </c>
      <c r="I87" s="48"/>
      <c r="J87" s="130"/>
      <c r="K87" s="183"/>
      <c r="P87" s="221"/>
      <c r="Q87" s="159"/>
      <c r="R87" s="203"/>
      <c r="S87" s="211"/>
    </row>
    <row r="88" spans="1:19" s="44" customFormat="1" ht="13.5" hidden="1" thickTop="1">
      <c r="A88" s="327" t="e">
        <f>#REF!</f>
        <v>#REF!</v>
      </c>
      <c r="B88" s="49" t="e">
        <f>TRIM(CONCATENATE(#REF!," ",#REF!," ",#REF!))</f>
        <v>#REF!</v>
      </c>
      <c r="F88" s="52" t="e">
        <f>#REF!</f>
        <v>#REF!</v>
      </c>
      <c r="G88" s="52" t="e">
        <f>#REF!</f>
        <v>#REF!</v>
      </c>
      <c r="H88" s="53"/>
      <c r="I88" s="48"/>
      <c r="J88" s="130"/>
      <c r="K88" s="183"/>
      <c r="P88" s="221"/>
      <c r="Q88" s="159"/>
      <c r="R88" s="203"/>
      <c r="S88" s="211"/>
    </row>
    <row r="89" spans="1:19" s="44" customFormat="1" ht="13.5" hidden="1" thickTop="1">
      <c r="A89" s="327"/>
      <c r="B89" s="49"/>
      <c r="F89" s="52"/>
      <c r="G89" s="52"/>
      <c r="H89" s="53"/>
      <c r="I89" s="48"/>
      <c r="J89" s="130"/>
      <c r="K89" s="183"/>
      <c r="P89" s="221"/>
      <c r="Q89" s="159"/>
      <c r="R89" s="203"/>
      <c r="S89" s="211"/>
    </row>
    <row r="90" spans="1:19" s="44" customFormat="1" ht="13.5" hidden="1" thickTop="1">
      <c r="A90" s="327"/>
      <c r="B90" s="49"/>
      <c r="F90" s="52"/>
      <c r="G90" s="52"/>
      <c r="H90" s="53"/>
      <c r="I90" s="48"/>
      <c r="J90" s="130"/>
      <c r="K90" s="28"/>
      <c r="L90" s="25"/>
      <c r="M90" s="25"/>
      <c r="N90" s="25"/>
      <c r="O90" s="25"/>
      <c r="P90" s="221"/>
      <c r="Q90" s="159"/>
      <c r="R90" s="203"/>
      <c r="S90" s="211"/>
    </row>
    <row r="91" spans="1:19" ht="13.5" hidden="1" thickTop="1">
      <c r="B91" s="25" t="s">
        <v>83</v>
      </c>
      <c r="F91" s="37" t="e">
        <f>SUM(F81:F90)</f>
        <v>#REF!</v>
      </c>
      <c r="G91" s="37" t="e">
        <f>SUM(G81:G90)</f>
        <v>#REF!</v>
      </c>
      <c r="H91" s="56" t="e">
        <f>F91/G91</f>
        <v>#REF!</v>
      </c>
      <c r="I91" s="34"/>
      <c r="J91" s="130"/>
      <c r="K91" s="28"/>
      <c r="S91" s="138"/>
    </row>
    <row r="92" spans="1:19" ht="13.5" hidden="1" thickTop="1">
      <c r="A92" s="332"/>
      <c r="F92" s="38"/>
      <c r="G92" s="38"/>
      <c r="I92" s="34"/>
      <c r="J92" s="130"/>
      <c r="K92" s="183"/>
      <c r="L92" s="44"/>
      <c r="M92" s="44"/>
      <c r="N92" s="44"/>
      <c r="O92" s="44"/>
      <c r="S92" s="138"/>
    </row>
    <row r="93" spans="1:19" s="44" customFormat="1" ht="13.5" hidden="1" thickTop="1">
      <c r="A93" s="327" t="e">
        <f>#REF!</f>
        <v>#REF!</v>
      </c>
      <c r="B93" s="49" t="e">
        <f>TRIM(CONCATENATE(#REF!," ",#REF!," ",#REF!))</f>
        <v>#REF!</v>
      </c>
      <c r="F93" s="52" t="e">
        <f>#REF!</f>
        <v>#REF!</v>
      </c>
      <c r="G93" s="52" t="e">
        <f>#REF!</f>
        <v>#REF!</v>
      </c>
      <c r="I93" s="48"/>
      <c r="J93" s="130"/>
      <c r="K93" s="183"/>
      <c r="P93" s="221"/>
      <c r="Q93" s="159"/>
      <c r="R93" s="203"/>
      <c r="S93" s="211"/>
    </row>
    <row r="94" spans="1:19" s="44" customFormat="1" ht="13.5" hidden="1" thickTop="1">
      <c r="A94" s="327" t="e">
        <f>#REF!</f>
        <v>#REF!</v>
      </c>
      <c r="B94" s="49" t="e">
        <f>TRIM(CONCATENATE(#REF!," ",#REF!," ",#REF!))</f>
        <v>#REF!</v>
      </c>
      <c r="C94" s="50"/>
      <c r="F94" s="52" t="e">
        <f>#REF!</f>
        <v>#REF!</v>
      </c>
      <c r="G94" s="52" t="e">
        <f>#REF!</f>
        <v>#REF!</v>
      </c>
      <c r="H94" s="53"/>
      <c r="I94" s="48"/>
      <c r="J94" s="130"/>
      <c r="K94" s="183"/>
      <c r="P94" s="221"/>
      <c r="Q94" s="159"/>
      <c r="R94" s="203"/>
      <c r="S94" s="211"/>
    </row>
    <row r="95" spans="1:19" s="44" customFormat="1" ht="13.5" hidden="1" thickTop="1">
      <c r="A95" s="327" t="e">
        <f>#REF!</f>
        <v>#REF!</v>
      </c>
      <c r="B95" s="49" t="e">
        <f>TRIM(CONCATENATE(#REF!," ",#REF!," ",#REF!))</f>
        <v>#REF!</v>
      </c>
      <c r="C95" s="50"/>
      <c r="F95" s="52" t="e">
        <f>#REF!</f>
        <v>#REF!</v>
      </c>
      <c r="G95" s="52" t="e">
        <f>#REF!</f>
        <v>#REF!</v>
      </c>
      <c r="H95" s="53"/>
      <c r="I95" s="48"/>
      <c r="J95" s="130"/>
      <c r="K95" s="183"/>
      <c r="P95" s="221"/>
      <c r="Q95" s="159"/>
      <c r="R95" s="203"/>
      <c r="S95" s="211"/>
    </row>
    <row r="96" spans="1:19" s="44" customFormat="1" ht="13.5" hidden="1" thickTop="1">
      <c r="A96" s="327" t="e">
        <f>#REF!</f>
        <v>#REF!</v>
      </c>
      <c r="B96" s="49" t="e">
        <f>TRIM(CONCATENATE(#REF!," ",#REF!," ",#REF!))</f>
        <v>#REF!</v>
      </c>
      <c r="C96" s="50"/>
      <c r="F96" s="52" t="e">
        <f>#REF!</f>
        <v>#REF!</v>
      </c>
      <c r="G96" s="52" t="e">
        <f>#REF!</f>
        <v>#REF!</v>
      </c>
      <c r="H96" s="53"/>
      <c r="I96" s="48"/>
      <c r="J96" s="168"/>
      <c r="K96" s="183"/>
      <c r="P96" s="221"/>
      <c r="Q96" s="159"/>
      <c r="R96" s="203"/>
      <c r="S96" s="211"/>
    </row>
    <row r="97" spans="1:19" s="44" customFormat="1" ht="13.5" hidden="1" thickTop="1">
      <c r="A97" s="327" t="e">
        <f>#REF!</f>
        <v>#REF!</v>
      </c>
      <c r="B97" s="49" t="e">
        <f>TRIM(CONCATENATE(#REF!," ",#REF!," ",#REF!))</f>
        <v>#REF!</v>
      </c>
      <c r="C97" s="50"/>
      <c r="F97" s="52" t="e">
        <f>#REF!</f>
        <v>#REF!</v>
      </c>
      <c r="G97" s="52" t="e">
        <f>#REF!</f>
        <v>#REF!</v>
      </c>
      <c r="H97" s="53"/>
      <c r="I97" s="48"/>
      <c r="J97" s="130"/>
      <c r="K97" s="183"/>
      <c r="P97" s="221"/>
      <c r="Q97" s="159"/>
      <c r="R97" s="203"/>
      <c r="S97" s="211"/>
    </row>
    <row r="98" spans="1:19" s="44" customFormat="1" ht="13.5" hidden="1" thickTop="1">
      <c r="A98" s="327" t="e">
        <f>#REF!</f>
        <v>#REF!</v>
      </c>
      <c r="B98" s="49" t="e">
        <f>TRIM(CONCATENATE(#REF!," ",#REF!," ",#REF!))</f>
        <v>#REF!</v>
      </c>
      <c r="C98" s="50"/>
      <c r="F98" s="52" t="e">
        <f>#REF!</f>
        <v>#REF!</v>
      </c>
      <c r="G98" s="52" t="e">
        <f>#REF!</f>
        <v>#REF!</v>
      </c>
      <c r="H98" s="53"/>
      <c r="I98" s="48"/>
      <c r="J98" s="130"/>
      <c r="K98" s="183"/>
      <c r="P98" s="221"/>
      <c r="Q98" s="159"/>
      <c r="R98" s="203"/>
      <c r="S98" s="211"/>
    </row>
    <row r="99" spans="1:19" s="44" customFormat="1" ht="13.5" hidden="1" thickTop="1">
      <c r="A99" s="327" t="e">
        <f>#REF!</f>
        <v>#REF!</v>
      </c>
      <c r="B99" s="49" t="e">
        <f>TRIM(CONCATENATE(#REF!," ",#REF!," ",#REF!))</f>
        <v>#REF!</v>
      </c>
      <c r="C99" s="50"/>
      <c r="F99" s="52" t="e">
        <f>#REF!</f>
        <v>#REF!</v>
      </c>
      <c r="G99" s="52" t="e">
        <f>#REF!</f>
        <v>#REF!</v>
      </c>
      <c r="H99" s="55"/>
      <c r="I99" s="48"/>
      <c r="J99" s="130"/>
      <c r="K99" s="183"/>
      <c r="P99" s="221"/>
      <c r="Q99" s="159"/>
      <c r="R99" s="203"/>
      <c r="S99" s="211"/>
    </row>
    <row r="100" spans="1:19" s="44" customFormat="1" ht="13.5" hidden="1" thickTop="1">
      <c r="A100" s="327" t="e">
        <f>#REF!</f>
        <v>#REF!</v>
      </c>
      <c r="B100" s="49" t="e">
        <f>TRIM(CONCATENATE(#REF!," ",#REF!," ",#REF!))</f>
        <v>#REF!</v>
      </c>
      <c r="C100" s="50"/>
      <c r="F100" s="52" t="e">
        <f>#REF!</f>
        <v>#REF!</v>
      </c>
      <c r="G100" s="52" t="e">
        <f>#REF!</f>
        <v>#REF!</v>
      </c>
      <c r="H100" s="55"/>
      <c r="I100" s="48"/>
      <c r="J100" s="130"/>
      <c r="K100" s="183"/>
      <c r="P100" s="221"/>
      <c r="Q100" s="159"/>
      <c r="R100" s="203"/>
      <c r="S100" s="211"/>
    </row>
    <row r="101" spans="1:19" s="44" customFormat="1" ht="13.5" hidden="1" thickTop="1">
      <c r="A101" s="327" t="e">
        <f>#REF!</f>
        <v>#REF!</v>
      </c>
      <c r="B101" s="49" t="e">
        <f>TRIM(CONCATENATE(#REF!," ",#REF!," ",#REF!))</f>
        <v>#REF!</v>
      </c>
      <c r="C101" s="50"/>
      <c r="F101" s="52" t="e">
        <f>#REF!</f>
        <v>#REF!</v>
      </c>
      <c r="G101" s="52" t="e">
        <f>#REF!</f>
        <v>#REF!</v>
      </c>
      <c r="H101" s="55"/>
      <c r="I101" s="48"/>
      <c r="J101" s="130"/>
      <c r="K101" s="186"/>
      <c r="L101" s="159"/>
      <c r="M101" s="159"/>
      <c r="N101" s="159"/>
      <c r="O101" s="159"/>
      <c r="P101" s="221"/>
      <c r="Q101" s="159"/>
      <c r="R101" s="203"/>
      <c r="S101" s="211"/>
    </row>
    <row r="102" spans="1:19" s="159" customFormat="1" ht="13.5" hidden="1" thickTop="1">
      <c r="A102" s="329" t="e">
        <f>#REF!</f>
        <v>#REF!</v>
      </c>
      <c r="B102" s="148" t="e">
        <f>TRIM(CONCATENATE(#REF!," ",#REF!," ",#REF!))</f>
        <v>#REF!</v>
      </c>
      <c r="C102" s="149"/>
      <c r="F102" s="151" t="e">
        <f>#REF!</f>
        <v>#REF!</v>
      </c>
      <c r="G102" s="151" t="e">
        <f>#REF!</f>
        <v>#REF!</v>
      </c>
      <c r="H102" s="160"/>
      <c r="I102" s="161"/>
      <c r="J102" s="169"/>
      <c r="K102" s="185"/>
      <c r="L102" s="107"/>
      <c r="M102" s="107"/>
      <c r="N102" s="107"/>
      <c r="O102" s="107"/>
      <c r="P102" s="221"/>
      <c r="R102" s="208"/>
      <c r="S102" s="211"/>
    </row>
    <row r="103" spans="1:19" s="107" customFormat="1" ht="13.5" hidden="1" thickTop="1">
      <c r="A103" s="327" t="e">
        <f>#REF!</f>
        <v>#REF!</v>
      </c>
      <c r="B103" s="49" t="e">
        <f>TRIM(CONCATENATE(#REF!," ",#REF!," ",#REF!))</f>
        <v>#REF!</v>
      </c>
      <c r="C103" s="50"/>
      <c r="D103" s="44"/>
      <c r="E103" s="44"/>
      <c r="F103" s="52" t="e">
        <f>#REF!</f>
        <v>#REF!</v>
      </c>
      <c r="G103" s="52" t="e">
        <f>#REF!</f>
        <v>#REF!</v>
      </c>
      <c r="H103" s="110"/>
      <c r="I103" s="108"/>
      <c r="J103" s="130"/>
      <c r="K103" s="28"/>
      <c r="L103" s="25"/>
      <c r="M103" s="25"/>
      <c r="N103" s="25"/>
      <c r="O103" s="25"/>
      <c r="P103" s="221"/>
      <c r="Q103" s="215"/>
      <c r="R103" s="206"/>
      <c r="S103" s="212"/>
    </row>
    <row r="104" spans="1:19" ht="12" hidden="1" customHeight="1">
      <c r="A104" s="327" t="e">
        <f>#REF!</f>
        <v>#REF!</v>
      </c>
      <c r="B104" s="49" t="e">
        <f>TRIM(CONCATENATE(#REF!," ",#REF!," ",#REF!))</f>
        <v>#REF!</v>
      </c>
      <c r="C104" s="50"/>
      <c r="D104" s="44"/>
      <c r="E104" s="44"/>
      <c r="F104" s="52" t="e">
        <f>#REF!</f>
        <v>#REF!</v>
      </c>
      <c r="G104" s="52" t="e">
        <f>#REF!</f>
        <v>#REF!</v>
      </c>
      <c r="I104" s="34"/>
      <c r="J104" s="130"/>
      <c r="K104" s="186"/>
      <c r="L104" s="159"/>
      <c r="M104" s="159"/>
      <c r="N104" s="159"/>
      <c r="O104" s="159"/>
      <c r="S104" s="138"/>
    </row>
    <row r="105" spans="1:19" s="159" customFormat="1" ht="11.25" hidden="1" customHeight="1">
      <c r="A105" s="329" t="e">
        <f>#REF!</f>
        <v>#REF!</v>
      </c>
      <c r="B105" s="148" t="e">
        <f>TRIM(CONCATENATE(#REF!," ",#REF!," ",#REF!))</f>
        <v>#REF!</v>
      </c>
      <c r="C105" s="149"/>
      <c r="F105" s="151" t="e">
        <f>#REF!</f>
        <v>#REF!</v>
      </c>
      <c r="G105" s="151" t="e">
        <f>#REF!</f>
        <v>#REF!</v>
      </c>
      <c r="H105" s="160"/>
      <c r="I105" s="161"/>
      <c r="J105" s="169"/>
      <c r="K105" s="28"/>
      <c r="L105" s="25"/>
      <c r="M105" s="25"/>
      <c r="N105" s="25"/>
      <c r="O105" s="25"/>
      <c r="P105" s="221"/>
      <c r="R105" s="208"/>
      <c r="S105" s="211"/>
    </row>
    <row r="106" spans="1:19" ht="13.5" hidden="1" thickTop="1">
      <c r="A106" s="329" t="e">
        <f>#REF!</f>
        <v>#REF!</v>
      </c>
      <c r="B106" s="148" t="e">
        <f>TRIM(CONCATENATE(#REF!," ",#REF!," ",#REF!))</f>
        <v>#REF!</v>
      </c>
      <c r="C106" s="149"/>
      <c r="D106" s="159"/>
      <c r="E106" s="159"/>
      <c r="F106" s="151" t="e">
        <f>#REF!</f>
        <v>#REF!</v>
      </c>
      <c r="G106" s="151" t="e">
        <f>#REF!</f>
        <v>#REF!</v>
      </c>
      <c r="H106" s="156"/>
      <c r="I106" s="34"/>
      <c r="J106" s="130"/>
      <c r="K106" s="28"/>
      <c r="S106" s="138"/>
    </row>
    <row r="107" spans="1:19" ht="0.75" hidden="1" customHeight="1">
      <c r="A107" s="329"/>
      <c r="B107" s="148"/>
      <c r="C107" s="149"/>
      <c r="D107" s="149"/>
      <c r="E107" s="149"/>
      <c r="F107" s="151"/>
      <c r="G107" s="151"/>
      <c r="H107" s="156"/>
      <c r="I107" s="34"/>
      <c r="J107" s="130"/>
      <c r="K107" s="28"/>
      <c r="S107" s="138"/>
    </row>
    <row r="108" spans="1:19" ht="13.5" hidden="1" thickTop="1">
      <c r="A108" s="329"/>
      <c r="B108" s="148"/>
      <c r="C108" s="149"/>
      <c r="D108" s="149"/>
      <c r="E108" s="149"/>
      <c r="F108" s="151"/>
      <c r="G108" s="151"/>
      <c r="H108" s="156"/>
      <c r="I108" s="34"/>
      <c r="J108" s="130"/>
      <c r="K108" s="28"/>
      <c r="S108" s="138"/>
    </row>
    <row r="109" spans="1:19" ht="14.25" hidden="1" thickTop="1" thickBot="1">
      <c r="A109" s="331"/>
      <c r="B109" s="146" t="s">
        <v>84</v>
      </c>
      <c r="C109" s="146"/>
      <c r="D109" s="146"/>
      <c r="E109" s="146"/>
      <c r="F109" s="166" t="e">
        <f>SUM(F91:F108)</f>
        <v>#REF!</v>
      </c>
      <c r="G109" s="166" t="e">
        <f>SUM(G91:G108)</f>
        <v>#REF!</v>
      </c>
      <c r="H109" s="187" t="e">
        <f>F109/G109</f>
        <v>#REF!</v>
      </c>
      <c r="I109" s="34"/>
      <c r="J109" s="130"/>
      <c r="K109" s="28"/>
      <c r="S109" s="138"/>
    </row>
    <row r="110" spans="1:19" ht="13.5" hidden="1" thickTop="1">
      <c r="A110" s="331"/>
      <c r="B110" s="146"/>
      <c r="C110" s="146"/>
      <c r="D110" s="146"/>
      <c r="E110" s="146"/>
      <c r="F110" s="146"/>
      <c r="G110" s="146"/>
      <c r="H110" s="156"/>
      <c r="I110" s="34"/>
      <c r="J110" s="130"/>
      <c r="K110" s="28"/>
      <c r="S110" s="138"/>
    </row>
    <row r="111" spans="1:19" ht="12.75" hidden="1" customHeight="1">
      <c r="A111" s="329" t="e">
        <f>#REF!</f>
        <v>#REF!</v>
      </c>
      <c r="B111" s="148" t="e">
        <f>TRIM(CONCATENATE(#REF!," ",#REF!," ",#REF!))</f>
        <v>#REF!</v>
      </c>
      <c r="C111" s="149"/>
      <c r="D111" s="155"/>
      <c r="E111" s="155"/>
      <c r="F111" s="151" t="e">
        <f>#REF!</f>
        <v>#REF!</v>
      </c>
      <c r="G111" s="151" t="e">
        <f>#REF!</f>
        <v>#REF!</v>
      </c>
      <c r="H111" s="153"/>
      <c r="I111" s="34"/>
      <c r="J111" s="130"/>
      <c r="K111" s="28"/>
      <c r="S111" s="138"/>
    </row>
    <row r="112" spans="1:19" ht="13.5" hidden="1" thickTop="1">
      <c r="A112" s="329" t="e">
        <f>#REF!</f>
        <v>#REF!</v>
      </c>
      <c r="B112" s="148" t="e">
        <f>TRIM(CONCATENATE(#REF!," ",#REF!," ",#REF!))</f>
        <v>#REF!</v>
      </c>
      <c r="C112" s="149"/>
      <c r="D112" s="155"/>
      <c r="E112" s="155"/>
      <c r="F112" s="151" t="e">
        <f>#REF!</f>
        <v>#REF!</v>
      </c>
      <c r="G112" s="151" t="e">
        <f>#REF!</f>
        <v>#REF!</v>
      </c>
      <c r="H112" s="156"/>
      <c r="I112" s="34"/>
      <c r="J112" s="130"/>
      <c r="K112" s="28"/>
      <c r="S112" s="138"/>
    </row>
    <row r="113" spans="1:19" ht="13.5" hidden="1" thickTop="1">
      <c r="A113" s="329" t="e">
        <f>#REF!</f>
        <v>#REF!</v>
      </c>
      <c r="B113" s="148" t="e">
        <f>TRIM(CONCATENATE(#REF!," ",#REF!," ",#REF!))</f>
        <v>#REF!</v>
      </c>
      <c r="C113" s="149"/>
      <c r="D113" s="155"/>
      <c r="E113" s="155"/>
      <c r="F113" s="151" t="e">
        <f>#REF!</f>
        <v>#REF!</v>
      </c>
      <c r="G113" s="151" t="e">
        <f>#REF!</f>
        <v>#REF!</v>
      </c>
      <c r="H113" s="156"/>
      <c r="I113" s="34"/>
      <c r="J113" s="130"/>
      <c r="K113" s="28"/>
      <c r="S113" s="138"/>
    </row>
    <row r="114" spans="1:19" ht="13.5" hidden="1" thickTop="1">
      <c r="A114" s="327" t="e">
        <f>#REF!</f>
        <v>#REF!</v>
      </c>
      <c r="B114" s="49" t="e">
        <f>TRIM(CONCATENATE(#REF!," ",#REF!," ",#REF!))</f>
        <v>#REF!</v>
      </c>
      <c r="C114" s="50"/>
      <c r="D114" s="32"/>
      <c r="E114" s="32"/>
      <c r="F114" s="52" t="e">
        <f>#REF!</f>
        <v>#REF!</v>
      </c>
      <c r="G114" s="52" t="e">
        <f>#REF!</f>
        <v>#REF!</v>
      </c>
      <c r="I114" s="34"/>
      <c r="J114" s="130"/>
      <c r="K114" s="28"/>
      <c r="S114" s="138"/>
    </row>
    <row r="115" spans="1:19" ht="13.5" hidden="1" thickTop="1">
      <c r="A115" s="327" t="e">
        <f>#REF!</f>
        <v>#REF!</v>
      </c>
      <c r="B115" s="49" t="e">
        <f>TRIM(CONCATENATE(#REF!," ",#REF!," ",#REF!))</f>
        <v>#REF!</v>
      </c>
      <c r="C115" s="50"/>
      <c r="D115" s="32"/>
      <c r="E115" s="32"/>
      <c r="F115" s="52" t="e">
        <f>#REF!</f>
        <v>#REF!</v>
      </c>
      <c r="G115" s="52" t="e">
        <f>#REF!</f>
        <v>#REF!</v>
      </c>
      <c r="I115" s="34"/>
      <c r="J115" s="130"/>
      <c r="K115" s="28"/>
      <c r="S115" s="138"/>
    </row>
    <row r="116" spans="1:19" ht="13.5" hidden="1" thickTop="1">
      <c r="A116" s="327" t="e">
        <f>#REF!</f>
        <v>#REF!</v>
      </c>
      <c r="B116" s="49" t="e">
        <f>TRIM(CONCATENATE(#REF!," ",#REF!," ",#REF!))</f>
        <v>#REF!</v>
      </c>
      <c r="C116" s="50"/>
      <c r="D116" s="32"/>
      <c r="E116" s="32"/>
      <c r="F116" s="52" t="e">
        <f>#REF!</f>
        <v>#REF!</v>
      </c>
      <c r="G116" s="52" t="e">
        <f>#REF!</f>
        <v>#REF!</v>
      </c>
      <c r="I116" s="34"/>
      <c r="J116" s="130"/>
      <c r="K116" s="28"/>
      <c r="S116" s="138"/>
    </row>
    <row r="117" spans="1:19" ht="13.5" hidden="1" thickTop="1">
      <c r="A117" s="327" t="e">
        <f>#REF!</f>
        <v>#REF!</v>
      </c>
      <c r="B117" s="49" t="e">
        <f>TRIM(CONCATENATE(#REF!," ",#REF!," ",#REF!))</f>
        <v>#REF!</v>
      </c>
      <c r="C117" s="50"/>
      <c r="D117" s="32"/>
      <c r="E117" s="32"/>
      <c r="F117" s="52" t="e">
        <f>#REF!</f>
        <v>#REF!</v>
      </c>
      <c r="G117" s="52" t="e">
        <f>#REF!</f>
        <v>#REF!</v>
      </c>
      <c r="I117" s="34"/>
      <c r="J117" s="130"/>
      <c r="K117" s="28"/>
      <c r="S117" s="138"/>
    </row>
    <row r="118" spans="1:19" ht="13.5" hidden="1" thickTop="1">
      <c r="A118" s="327" t="e">
        <f>#REF!</f>
        <v>#REF!</v>
      </c>
      <c r="B118" s="49" t="e">
        <f>TRIM(CONCATENATE(#REF!," ",#REF!," ",#REF!))</f>
        <v>#REF!</v>
      </c>
      <c r="C118" s="50"/>
      <c r="D118" s="32"/>
      <c r="E118" s="32"/>
      <c r="F118" s="109" t="e">
        <f>#REF!</f>
        <v>#REF!</v>
      </c>
      <c r="G118" s="109" t="e">
        <f>#REF!</f>
        <v>#REF!</v>
      </c>
      <c r="I118" s="34"/>
      <c r="J118" s="130"/>
      <c r="K118" s="28"/>
      <c r="S118" s="138"/>
    </row>
    <row r="119" spans="1:19" ht="13.5" hidden="1" thickTop="1">
      <c r="A119" s="327" t="e">
        <f>#REF!</f>
        <v>#REF!</v>
      </c>
      <c r="B119" s="49" t="e">
        <f>TRIM(CONCATENATE(#REF!," ",#REF!," ",#REF!))</f>
        <v>#REF!</v>
      </c>
      <c r="C119" s="50"/>
      <c r="D119" s="32"/>
      <c r="E119" s="32"/>
      <c r="F119" s="109" t="e">
        <f>#REF!</f>
        <v>#REF!</v>
      </c>
      <c r="G119" s="109" t="e">
        <f>#REF!</f>
        <v>#REF!</v>
      </c>
      <c r="I119" s="34"/>
      <c r="J119" s="130"/>
      <c r="K119" s="28"/>
      <c r="S119" s="138"/>
    </row>
    <row r="120" spans="1:19" ht="13.5" hidden="1" thickTop="1">
      <c r="A120" s="327" t="e">
        <f>#REF!</f>
        <v>#REF!</v>
      </c>
      <c r="B120" s="49" t="e">
        <f>TRIM(CONCATENATE(#REF!," ",#REF!," ",#REF!))</f>
        <v>#REF!</v>
      </c>
      <c r="C120" s="50"/>
      <c r="D120" s="32"/>
      <c r="E120" s="32"/>
      <c r="F120" s="109" t="e">
        <f>#REF!</f>
        <v>#REF!</v>
      </c>
      <c r="G120" s="109" t="e">
        <f>#REF!</f>
        <v>#REF!</v>
      </c>
      <c r="I120" s="34"/>
      <c r="J120" s="130"/>
      <c r="K120" s="28"/>
      <c r="S120" s="138"/>
    </row>
    <row r="121" spans="1:19" ht="13.5" hidden="1" thickTop="1">
      <c r="A121" s="327" t="e">
        <f>#REF!</f>
        <v>#REF!</v>
      </c>
      <c r="B121" s="49" t="e">
        <f>TRIM(CONCATENATE(#REF!," ",#REF!," ",#REF!))</f>
        <v>#REF!</v>
      </c>
      <c r="C121" s="50"/>
      <c r="D121" s="32"/>
      <c r="E121" s="32"/>
      <c r="F121" s="109" t="e">
        <f>#REF!</f>
        <v>#REF!</v>
      </c>
      <c r="G121" s="109" t="e">
        <f>#REF!</f>
        <v>#REF!</v>
      </c>
      <c r="I121" s="34"/>
      <c r="J121" s="130"/>
      <c r="K121" s="28"/>
      <c r="S121" s="138"/>
    </row>
    <row r="122" spans="1:19" ht="13.5" hidden="1" thickTop="1">
      <c r="A122" s="327" t="e">
        <f>#REF!</f>
        <v>#REF!</v>
      </c>
      <c r="B122" s="49" t="e">
        <f>TRIM(CONCATENATE(#REF!," ",#REF!," ",#REF!))</f>
        <v>#REF!</v>
      </c>
      <c r="C122" s="50"/>
      <c r="D122" s="32"/>
      <c r="E122" s="32"/>
      <c r="F122" s="109" t="e">
        <f>#REF!</f>
        <v>#REF!</v>
      </c>
      <c r="G122" s="109" t="e">
        <f>#REF!</f>
        <v>#REF!</v>
      </c>
      <c r="I122" s="34"/>
      <c r="J122" s="130"/>
      <c r="K122" s="28"/>
      <c r="S122" s="138"/>
    </row>
    <row r="123" spans="1:19" ht="13.5" hidden="1" thickTop="1">
      <c r="A123" s="327" t="e">
        <f>#REF!</f>
        <v>#REF!</v>
      </c>
      <c r="B123" s="49" t="e">
        <f>TRIM(CONCATENATE(#REF!," ",#REF!," ",#REF!))</f>
        <v>#REF!</v>
      </c>
      <c r="C123" s="50"/>
      <c r="D123" s="32"/>
      <c r="E123" s="32"/>
      <c r="F123" s="109" t="e">
        <f>#REF!</f>
        <v>#REF!</v>
      </c>
      <c r="G123" s="109" t="e">
        <f>#REF!</f>
        <v>#REF!</v>
      </c>
      <c r="I123" s="34"/>
      <c r="J123" s="130"/>
      <c r="K123" s="28"/>
      <c r="S123" s="138"/>
    </row>
    <row r="124" spans="1:19" ht="13.5" hidden="1" customHeight="1">
      <c r="A124" s="329" t="e">
        <f>#REF!</f>
        <v>#REF!</v>
      </c>
      <c r="B124" s="148" t="e">
        <f>TRIM(CONCATENATE(#REF!," ",#REF!," ",#REF!))</f>
        <v>#REF!</v>
      </c>
      <c r="C124" s="149"/>
      <c r="D124" s="155"/>
      <c r="E124" s="155"/>
      <c r="F124" s="135" t="e">
        <f>#REF!</f>
        <v>#REF!</v>
      </c>
      <c r="G124" s="135" t="e">
        <f>#REF!</f>
        <v>#REF!</v>
      </c>
      <c r="H124" s="156"/>
      <c r="I124" s="34"/>
      <c r="J124" s="130"/>
      <c r="K124" s="28"/>
      <c r="S124" s="138"/>
    </row>
    <row r="125" spans="1:19" ht="12.75" hidden="1" customHeight="1">
      <c r="A125" s="327" t="e">
        <f>#REF!</f>
        <v>#REF!</v>
      </c>
      <c r="B125" s="49" t="e">
        <f>TRIM(CONCATENATE(#REF!," ",#REF!," ",#REF!))</f>
        <v>#REF!</v>
      </c>
      <c r="C125" s="50"/>
      <c r="D125" s="32"/>
      <c r="E125" s="32"/>
      <c r="F125" s="109" t="e">
        <f>#REF!</f>
        <v>#REF!</v>
      </c>
      <c r="G125" s="109" t="e">
        <f>#REF!</f>
        <v>#REF!</v>
      </c>
      <c r="I125" s="34"/>
      <c r="J125" s="130"/>
      <c r="K125" s="28"/>
      <c r="S125" s="138"/>
    </row>
    <row r="126" spans="1:19" ht="1.5" hidden="1" customHeight="1">
      <c r="A126" s="327" t="e">
        <f>#REF!</f>
        <v>#REF!</v>
      </c>
      <c r="B126" s="49" t="e">
        <f>TRIM(CONCATENATE(#REF!," ",#REF!," ",#REF!))</f>
        <v>#REF!</v>
      </c>
      <c r="C126" s="50"/>
      <c r="D126" s="32"/>
      <c r="E126" s="32"/>
      <c r="F126" s="109" t="e">
        <f>#REF!</f>
        <v>#REF!</v>
      </c>
      <c r="G126" s="109" t="e">
        <f>#REF!</f>
        <v>#REF!</v>
      </c>
      <c r="I126" s="34"/>
      <c r="J126" s="130"/>
      <c r="K126" s="28"/>
      <c r="S126" s="138"/>
    </row>
    <row r="127" spans="1:19" ht="13.5" hidden="1" customHeight="1">
      <c r="A127" s="332"/>
      <c r="B127" s="27"/>
      <c r="C127" s="27"/>
      <c r="D127" s="27"/>
      <c r="E127" s="41"/>
      <c r="F127" s="141"/>
      <c r="G127" s="141"/>
      <c r="H127" s="59"/>
      <c r="I127" s="34"/>
      <c r="J127" s="130"/>
      <c r="K127" s="28"/>
      <c r="S127" s="138"/>
    </row>
    <row r="128" spans="1:19" ht="13.5" hidden="1" customHeight="1" thickBot="1">
      <c r="B128" s="27" t="s">
        <v>184</v>
      </c>
      <c r="C128" s="27"/>
      <c r="D128" s="27"/>
      <c r="E128" s="41"/>
      <c r="F128" s="42" t="e">
        <f>SUM(F109:F127)</f>
        <v>#REF!</v>
      </c>
      <c r="G128" s="42" t="e">
        <f>SUM(G109:G127)</f>
        <v>#REF!</v>
      </c>
      <c r="H128" s="188" t="e">
        <f>F128/G128</f>
        <v>#REF!</v>
      </c>
      <c r="I128" s="34"/>
      <c r="J128" s="130"/>
      <c r="K128" s="28"/>
      <c r="M128" s="145"/>
      <c r="S128" s="138"/>
    </row>
    <row r="129" spans="2:19" ht="14.25" customHeight="1" thickTop="1">
      <c r="B129" s="27"/>
      <c r="C129" s="27"/>
      <c r="D129" s="27"/>
      <c r="E129" s="41"/>
      <c r="F129" s="34"/>
      <c r="G129" s="34"/>
      <c r="H129" s="59"/>
      <c r="I129" s="34"/>
      <c r="J129" s="130"/>
      <c r="L129" s="147"/>
      <c r="M129" s="50"/>
      <c r="N129" s="50"/>
      <c r="O129" s="50"/>
      <c r="P129" s="224"/>
      <c r="S129" s="138"/>
    </row>
    <row r="130" spans="2:19" ht="14.25" customHeight="1">
      <c r="F130" s="124"/>
      <c r="L130" s="27"/>
      <c r="M130" s="50"/>
      <c r="N130" s="51">
        <f>'RR SUMMARY'!E24</f>
        <v>40154.597875655294</v>
      </c>
      <c r="O130" s="51"/>
      <c r="P130" s="216"/>
      <c r="Q130" s="175">
        <f>N71-N130</f>
        <v>-0.45837413606204791</v>
      </c>
      <c r="S130" s="198"/>
    </row>
    <row r="131" spans="2:19" ht="14.25" customHeight="1">
      <c r="L131" s="143"/>
      <c r="M131" s="50"/>
      <c r="N131" s="50"/>
      <c r="O131" s="50"/>
      <c r="P131" s="51"/>
      <c r="Q131" s="207"/>
      <c r="S131" s="209"/>
    </row>
    <row r="132" spans="2:19" ht="14.25" customHeight="1">
      <c r="L132" s="143"/>
      <c r="M132" s="50"/>
      <c r="N132" s="50"/>
      <c r="O132" s="50"/>
      <c r="P132" s="224"/>
      <c r="Q132" s="175"/>
      <c r="S132" s="210"/>
    </row>
    <row r="133" spans="2:19">
      <c r="S133" s="138"/>
    </row>
    <row r="134" spans="2:19">
      <c r="S134" s="138"/>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 - Bench Request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2021-06-14T07:00:00+00:00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Props1.xml><?xml version="1.0" encoding="utf-8"?>
<ds:datastoreItem xmlns:ds="http://schemas.openxmlformats.org/officeDocument/2006/customXml" ds:itemID="{992402DF-B7A2-4B30-AE9A-C8AB9D1D0849}"/>
</file>

<file path=customXml/itemProps2.xml><?xml version="1.0" encoding="utf-8"?>
<ds:datastoreItem xmlns:ds="http://schemas.openxmlformats.org/officeDocument/2006/customXml" ds:itemID="{07049964-D050-48AB-ABD9-8133AD90074F}"/>
</file>

<file path=customXml/itemProps3.xml><?xml version="1.0" encoding="utf-8"?>
<ds:datastoreItem xmlns:ds="http://schemas.openxmlformats.org/officeDocument/2006/customXml" ds:itemID="{E0A2F61D-00D4-4AC5-85D6-B48BEAA8FB56}"/>
</file>

<file path=customXml/itemProps4.xml><?xml version="1.0" encoding="utf-8"?>
<ds:datastoreItem xmlns:ds="http://schemas.openxmlformats.org/officeDocument/2006/customXml" ds:itemID="{01E83F4A-2436-47E8-A595-C97430C237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PROPOSED RATES-Revised BR-1b</vt:lpstr>
      <vt:lpstr>PROPOSED RATES-Original</vt:lpstr>
      <vt:lpstr>RR SUMMARY</vt:lpstr>
      <vt:lpstr>CF </vt:lpstr>
      <vt:lpstr>ADJ DETAIL-INPUT</vt:lpstr>
      <vt:lpstr>ADJ SUMMARY</vt:lpstr>
      <vt:lpstr>ADJ Cites to Exh EMA-5 &amp; EMA-11</vt:lpstr>
      <vt:lpstr>COMPARISON</vt:lpstr>
      <vt:lpstr>LEAD SHEETS-DO NOT ENTER</vt:lpstr>
      <vt:lpstr>ROO INPUT</vt:lpstr>
      <vt:lpstr>DEBT CALC</vt:lpstr>
      <vt:lpstr>ID_Elec</vt:lpstr>
      <vt:lpstr>'ADJ Cites to Exh EMA-5 &amp; EMA-11'!Print_Area</vt:lpstr>
      <vt:lpstr>'ADJ DETAIL-INPUT'!Print_Area</vt:lpstr>
      <vt:lpstr>'ADJ SUMMARY'!Print_Area</vt:lpstr>
      <vt:lpstr>'CF '!Print_Area</vt:lpstr>
      <vt:lpstr>COMPARISON!Print_Area</vt:lpstr>
      <vt:lpstr>'DEBT CALC'!Print_Area</vt:lpstr>
      <vt:lpstr>'LEAD SHEETS-DO NOT ENTER'!Print_Area</vt:lpstr>
      <vt:lpstr>'PROPOSED RATES-Original'!Print_Area</vt:lpstr>
      <vt:lpstr>'PROPOSED RATES-Revised BR-1b'!Print_Area</vt:lpstr>
      <vt:lpstr>'ROO INPUT'!Print_Area</vt:lpstr>
      <vt:lpstr>'RR SUMMARY'!Print_Area</vt:lpstr>
      <vt:lpstr>'ADJ Cites to Exh EMA-5 &amp; EMA-11'!Print_for_CBReport</vt:lpstr>
      <vt:lpstr>COMPARISON!Print_for_CBReport</vt:lpstr>
      <vt:lpstr>Print_for_CBReport</vt:lpstr>
      <vt:lpstr>'ADJ Cites to Exh EMA-5 &amp; EMA-11'!Print_Titles</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Andrews, Liz</cp:lastModifiedBy>
  <cp:lastPrinted>2021-06-14T18:23:11Z</cp:lastPrinted>
  <dcterms:created xsi:type="dcterms:W3CDTF">1997-05-15T21:41:44Z</dcterms:created>
  <dcterms:modified xsi:type="dcterms:W3CDTF">2021-06-14T19:09:00Z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