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23.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xl/externalLinks/externalLink5.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05" windowWidth="14520" windowHeight="15450" tabRatio="918"/>
  </bookViews>
  <sheets>
    <sheet name="Lead Sheet" sheetId="38" r:id="rId1"/>
    <sheet name="Reconciliations" sheetId="48" r:id="rId2"/>
    <sheet name="Summary Normlz'd x Month" sheetId="40" r:id="rId3"/>
    <sheet name="benefits" sheetId="46" r:id="rId4"/>
    <sheet name="GAAP-only fuel valuation" sheetId="45" r:id="rId5"/>
    <sheet name="Fixed Cost Deferral=&gt;" sheetId="34" r:id="rId6"/>
    <sheet name="Summary FPC Deferral" sheetId="47" r:id="rId7"/>
    <sheet name="FPC Deferral" sheetId="43" r:id="rId8"/>
    <sheet name="Staff Calc w weather norm" sheetId="41" r:id="rId9"/>
    <sheet name="Staff Calc UE-180280" sheetId="42" r:id="rId10"/>
    <sheet name="Load Temp Adj Dec 17CBR" sheetId="44" r:id="rId11"/>
    <sheet name="Adj PC for Temp Norm=&gt;" sheetId="33" r:id="rId12"/>
    <sheet name="Summary Normalization" sheetId="6" r:id="rId13"/>
    <sheet name="Load Impact to Cost &amp; Rev" sheetId="8" r:id="rId14"/>
    <sheet name="Load Temp Adj" sheetId="9" r:id="rId15"/>
    <sheet name="2018 Hydro" sheetId="10" r:id="rId16"/>
    <sheet name="2018 Wind" sheetId="19" r:id="rId17"/>
    <sheet name="Wind Integration Costs" sheetId="37" r:id="rId18"/>
    <sheet name="Price" sheetId="13" r:id="rId19"/>
    <sheet name="PCA Calc=&gt;" sheetId="32" r:id="rId20"/>
    <sheet name="CBR Jun 18 Sch B" sheetId="17" r:id="rId21"/>
    <sheet name="Sched B 2017" sheetId="24" r:id="rId22"/>
    <sheet name="Sched B 2018" sheetId="26" r:id="rId23"/>
  </sheets>
  <externalReferences>
    <externalReference r:id="rId24"/>
    <externalReference r:id="rId25"/>
    <externalReference r:id="rId26"/>
    <externalReference r:id="rId27"/>
    <externalReference r:id="rId28"/>
  </externalReferences>
  <calcPr calcId="145621"/>
</workbook>
</file>

<file path=xl/calcChain.xml><?xml version="1.0" encoding="utf-8"?>
<calcChain xmlns="http://schemas.openxmlformats.org/spreadsheetml/2006/main">
  <c r="B56" i="48" l="1"/>
  <c r="B50" i="48"/>
  <c r="B26" i="48"/>
  <c r="B14" i="48"/>
  <c r="O3" i="40"/>
  <c r="C18" i="38"/>
  <c r="C17" i="38"/>
  <c r="C14" i="38"/>
  <c r="C24" i="38"/>
  <c r="B13" i="48"/>
  <c r="C15" i="38" s="1"/>
  <c r="P10" i="41"/>
  <c r="O10" i="41"/>
  <c r="N10" i="41"/>
  <c r="M10" i="41"/>
  <c r="L10" i="41"/>
  <c r="K10" i="41"/>
  <c r="B11" i="48" l="1"/>
  <c r="C16" i="38"/>
  <c r="N58" i="48"/>
  <c r="H58" i="48"/>
  <c r="B58" i="48"/>
  <c r="B55" i="48"/>
  <c r="N48" i="48"/>
  <c r="M48" i="48"/>
  <c r="L48" i="48"/>
  <c r="K48" i="48"/>
  <c r="J48" i="48"/>
  <c r="I48" i="48"/>
  <c r="H48" i="48"/>
  <c r="G48" i="48"/>
  <c r="F48" i="48"/>
  <c r="E48" i="48"/>
  <c r="D48" i="48"/>
  <c r="C48" i="48"/>
  <c r="B48" i="48" s="1"/>
  <c r="N47" i="48"/>
  <c r="M47" i="48"/>
  <c r="L47" i="48"/>
  <c r="K47" i="48"/>
  <c r="J47" i="48"/>
  <c r="I47" i="48"/>
  <c r="H47" i="48"/>
  <c r="G47" i="48"/>
  <c r="F47" i="48"/>
  <c r="E47" i="48"/>
  <c r="D47" i="48"/>
  <c r="B47" i="48" s="1"/>
  <c r="C47" i="48"/>
  <c r="B45" i="48"/>
  <c r="B40" i="48"/>
  <c r="B30" i="48"/>
  <c r="C28" i="48" a="1"/>
  <c r="K28" i="48" s="1"/>
  <c r="B27" i="48"/>
  <c r="B25" i="48"/>
  <c r="B24" i="48"/>
  <c r="D14" i="48"/>
  <c r="G20" i="48"/>
  <c r="H12" i="48"/>
  <c r="F10" i="48"/>
  <c r="D10" i="48"/>
  <c r="G10" i="48" s="1"/>
  <c r="J10" i="48" s="1"/>
  <c r="D9" i="48"/>
  <c r="G9" i="48" s="1"/>
  <c r="J9" i="48" s="1"/>
  <c r="C8" i="48"/>
  <c r="C12" i="48" s="1"/>
  <c r="C15" i="48" s="1"/>
  <c r="J20" i="48" l="1"/>
  <c r="D13" i="48"/>
  <c r="G13" i="48" s="1"/>
  <c r="J13" i="48" s="1"/>
  <c r="H28" i="48"/>
  <c r="L28" i="48"/>
  <c r="D28" i="48"/>
  <c r="E28" i="48"/>
  <c r="I28" i="48"/>
  <c r="M28" i="48"/>
  <c r="C28" i="48"/>
  <c r="F28" i="48"/>
  <c r="J28" i="48"/>
  <c r="N28" i="48"/>
  <c r="B35" i="48"/>
  <c r="B38" i="48" s="1"/>
  <c r="G28" i="48"/>
  <c r="B28" i="48" l="1"/>
  <c r="C19" i="38" l="1"/>
  <c r="J10" i="41" l="1"/>
  <c r="I10" i="41"/>
  <c r="H10" i="41"/>
  <c r="G10" i="41"/>
  <c r="F10" i="41"/>
  <c r="E10" i="41"/>
  <c r="M68" i="40" l="1"/>
  <c r="L68" i="40"/>
  <c r="K68" i="40"/>
  <c r="J68" i="40"/>
  <c r="I68" i="40"/>
  <c r="H68" i="40"/>
  <c r="G68" i="40"/>
  <c r="F68" i="40"/>
  <c r="E68" i="40"/>
  <c r="D68" i="40"/>
  <c r="C68" i="40"/>
  <c r="B68" i="40"/>
  <c r="N68" i="40" l="1"/>
  <c r="H77" i="40" l="1"/>
  <c r="M33" i="47" l="1"/>
  <c r="C35" i="48" l="1"/>
  <c r="F29" i="47" l="1"/>
  <c r="G29" i="47" s="1"/>
  <c r="F28" i="47"/>
  <c r="G28" i="47" s="1"/>
  <c r="G27" i="47"/>
  <c r="G26" i="47"/>
  <c r="G25" i="47"/>
  <c r="G24" i="47"/>
  <c r="B12" i="47"/>
  <c r="C12" i="47"/>
  <c r="B13" i="47"/>
  <c r="C13" i="47"/>
  <c r="B14" i="47"/>
  <c r="C14" i="47"/>
  <c r="B15" i="47"/>
  <c r="C15" i="47"/>
  <c r="B16" i="47"/>
  <c r="C16" i="47"/>
  <c r="B17" i="47"/>
  <c r="C17" i="47"/>
  <c r="B18" i="47"/>
  <c r="C18" i="47"/>
  <c r="B19" i="47"/>
  <c r="C19" i="47"/>
  <c r="B20" i="47"/>
  <c r="C20" i="47"/>
  <c r="B21" i="47"/>
  <c r="C21" i="47"/>
  <c r="B22" i="47"/>
  <c r="C22" i="47"/>
  <c r="B23" i="47"/>
  <c r="C23" i="47"/>
  <c r="D24" i="47"/>
  <c r="F24" i="47"/>
  <c r="D25" i="47"/>
  <c r="F25" i="47"/>
  <c r="D26" i="47"/>
  <c r="F26" i="47"/>
  <c r="D27" i="47"/>
  <c r="F27" i="47"/>
  <c r="D28" i="47"/>
  <c r="D29" i="47"/>
  <c r="D21" i="47" l="1"/>
  <c r="D22" i="47"/>
  <c r="D18" i="47"/>
  <c r="D17" i="47"/>
  <c r="D14" i="47"/>
  <c r="D15" i="47"/>
  <c r="D12" i="47"/>
  <c r="D20" i="47"/>
  <c r="I31" i="47"/>
  <c r="B31" i="47"/>
  <c r="D23" i="47"/>
  <c r="B33" i="47"/>
  <c r="D16" i="47"/>
  <c r="D13" i="47"/>
  <c r="C33" i="47"/>
  <c r="C31" i="47"/>
  <c r="D19" i="47"/>
  <c r="D33" i="47" l="1"/>
  <c r="D31" i="47"/>
  <c r="Q11" i="17" l="1"/>
  <c r="R11" i="17"/>
  <c r="S11" i="17"/>
  <c r="T11" i="17"/>
  <c r="U11" i="17"/>
  <c r="Q12" i="17"/>
  <c r="R12" i="17"/>
  <c r="S12" i="17"/>
  <c r="T12" i="17"/>
  <c r="U12" i="17"/>
  <c r="Q13" i="17"/>
  <c r="R13" i="17"/>
  <c r="S13" i="17"/>
  <c r="T13" i="17"/>
  <c r="U13" i="17"/>
  <c r="Q14" i="17"/>
  <c r="R14" i="17"/>
  <c r="S14" i="17"/>
  <c r="T14" i="17"/>
  <c r="U14" i="17"/>
  <c r="P14" i="17"/>
  <c r="P13" i="17"/>
  <c r="P12" i="17"/>
  <c r="P11" i="17"/>
  <c r="I77" i="40" l="1"/>
  <c r="J77" i="40"/>
  <c r="K77" i="40"/>
  <c r="L77" i="40"/>
  <c r="M77" i="40"/>
  <c r="N77" i="40" l="1"/>
  <c r="C67" i="40"/>
  <c r="D67" i="40"/>
  <c r="E67" i="40"/>
  <c r="F67" i="40"/>
  <c r="G67" i="40"/>
  <c r="H67" i="40"/>
  <c r="H76" i="40" s="1"/>
  <c r="I67" i="40"/>
  <c r="I76" i="40" s="1"/>
  <c r="J67" i="40"/>
  <c r="J76" i="40" s="1"/>
  <c r="K67" i="40"/>
  <c r="K76" i="40" s="1"/>
  <c r="L67" i="40"/>
  <c r="L76" i="40" s="1"/>
  <c r="M67" i="40"/>
  <c r="M76" i="40" s="1"/>
  <c r="C69" i="40"/>
  <c r="D69" i="40"/>
  <c r="E69" i="40"/>
  <c r="F69" i="40"/>
  <c r="G69" i="40"/>
  <c r="H69" i="40"/>
  <c r="H78" i="40" s="1"/>
  <c r="I69" i="40"/>
  <c r="I78" i="40" s="1"/>
  <c r="J69" i="40"/>
  <c r="J78" i="40" s="1"/>
  <c r="K69" i="40"/>
  <c r="K78" i="40" s="1"/>
  <c r="L69" i="40"/>
  <c r="L78" i="40" s="1"/>
  <c r="M69" i="40"/>
  <c r="M78" i="40" s="1"/>
  <c r="B69" i="40"/>
  <c r="B67" i="40"/>
  <c r="N78" i="40" l="1"/>
  <c r="N76" i="40"/>
  <c r="E8" i="19"/>
  <c r="C53" i="40" l="1"/>
  <c r="D53" i="40"/>
  <c r="E53" i="40"/>
  <c r="F53" i="40"/>
  <c r="G53" i="40"/>
  <c r="H53" i="40"/>
  <c r="I53" i="40"/>
  <c r="J53" i="40"/>
  <c r="K53" i="40"/>
  <c r="L53" i="40"/>
  <c r="M53" i="40"/>
  <c r="B53" i="40"/>
  <c r="W18" i="46" l="1"/>
  <c r="B11" i="43" l="1"/>
  <c r="B10" i="43"/>
  <c r="B9" i="43"/>
  <c r="B8" i="43"/>
  <c r="B7" i="43"/>
  <c r="B6" i="43"/>
  <c r="M60" i="40" l="1"/>
  <c r="M64" i="40" s="1"/>
  <c r="L60" i="40"/>
  <c r="L64" i="40" s="1"/>
  <c r="K60" i="40"/>
  <c r="K64" i="40" s="1"/>
  <c r="K73" i="40" s="1"/>
  <c r="J60" i="40"/>
  <c r="J64" i="40" s="1"/>
  <c r="I60" i="40"/>
  <c r="I64" i="40" s="1"/>
  <c r="H60" i="40"/>
  <c r="H64" i="40" s="1"/>
  <c r="H73" i="40" s="1"/>
  <c r="G60" i="40"/>
  <c r="G64" i="40" s="1"/>
  <c r="F60" i="40"/>
  <c r="F64" i="40" s="1"/>
  <c r="E60" i="40"/>
  <c r="E64" i="40" s="1"/>
  <c r="D60" i="40"/>
  <c r="D64" i="40" s="1"/>
  <c r="C60" i="40"/>
  <c r="C64" i="40" s="1"/>
  <c r="B60" i="40"/>
  <c r="N15" i="45"/>
  <c r="M15" i="45"/>
  <c r="L15" i="45"/>
  <c r="K15" i="45"/>
  <c r="J15" i="45"/>
  <c r="I15" i="45"/>
  <c r="H15" i="45"/>
  <c r="G15" i="45"/>
  <c r="F15" i="45"/>
  <c r="E15" i="45"/>
  <c r="D15" i="45"/>
  <c r="C15" i="45"/>
  <c r="B14" i="45"/>
  <c r="B15" i="45" s="1"/>
  <c r="B13" i="45"/>
  <c r="I73" i="40" l="1"/>
  <c r="M73" i="40"/>
  <c r="N60" i="40"/>
  <c r="F17" i="38" s="1"/>
  <c r="E14" i="38" s="1"/>
  <c r="B64" i="40"/>
  <c r="J73" i="40"/>
  <c r="L73" i="40"/>
  <c r="M48" i="40"/>
  <c r="L48" i="40"/>
  <c r="K48" i="40"/>
  <c r="J48" i="40"/>
  <c r="I48" i="40"/>
  <c r="H48" i="40"/>
  <c r="G48" i="40"/>
  <c r="F48" i="40"/>
  <c r="E48" i="40"/>
  <c r="D48" i="40"/>
  <c r="C48" i="40"/>
  <c r="B48" i="40"/>
  <c r="N73" i="40" l="1"/>
  <c r="C59" i="40"/>
  <c r="D59" i="40"/>
  <c r="E59" i="40"/>
  <c r="F59" i="40"/>
  <c r="G59" i="40"/>
  <c r="H59" i="40"/>
  <c r="I59" i="40"/>
  <c r="J59" i="40"/>
  <c r="K59" i="40"/>
  <c r="L59" i="40"/>
  <c r="M59" i="40"/>
  <c r="B59" i="40"/>
  <c r="I52" i="40"/>
  <c r="L52" i="40"/>
  <c r="M52" i="40"/>
  <c r="J52" i="40"/>
  <c r="N46" i="40"/>
  <c r="N45" i="40"/>
  <c r="N44" i="40"/>
  <c r="N43" i="40"/>
  <c r="N42" i="40"/>
  <c r="N41" i="40"/>
  <c r="N40" i="40"/>
  <c r="N39" i="40"/>
  <c r="N38" i="40"/>
  <c r="N37" i="40"/>
  <c r="N36" i="40"/>
  <c r="N35" i="40"/>
  <c r="N34" i="40"/>
  <c r="N33" i="40"/>
  <c r="N32" i="40"/>
  <c r="N31" i="40"/>
  <c r="N30" i="40"/>
  <c r="N29" i="40"/>
  <c r="N28" i="40"/>
  <c r="N27" i="40"/>
  <c r="N26" i="40"/>
  <c r="N25" i="40"/>
  <c r="N24" i="40"/>
  <c r="N23" i="40"/>
  <c r="N22" i="40"/>
  <c r="N21" i="40"/>
  <c r="N20" i="40"/>
  <c r="N19" i="40"/>
  <c r="N18" i="40"/>
  <c r="N17" i="40"/>
  <c r="N16" i="40"/>
  <c r="N15" i="40"/>
  <c r="N14" i="40"/>
  <c r="N13" i="40"/>
  <c r="N12" i="40"/>
  <c r="N11" i="40"/>
  <c r="N10" i="40"/>
  <c r="N9" i="40"/>
  <c r="N69" i="40" l="1"/>
  <c r="N64" i="40"/>
  <c r="N67" i="40"/>
  <c r="N48" i="40"/>
  <c r="N59" i="40"/>
  <c r="F14" i="38" l="1"/>
  <c r="A11" i="44"/>
  <c r="F11" i="44"/>
  <c r="H11" i="44"/>
  <c r="F20" i="44" s="1"/>
  <c r="A12" i="44"/>
  <c r="A13" i="44" s="1"/>
  <c r="A14" i="44" s="1"/>
  <c r="A15" i="44" s="1"/>
  <c r="A16" i="44" s="1"/>
  <c r="A17" i="44" s="1"/>
  <c r="A18" i="44" s="1"/>
  <c r="A19" i="44" s="1"/>
  <c r="A20" i="44" s="1"/>
  <c r="A21" i="44" s="1"/>
  <c r="A22" i="44" s="1"/>
  <c r="A23" i="44" s="1"/>
  <c r="A24" i="44" s="1"/>
  <c r="A25" i="44" s="1"/>
  <c r="A26" i="44" s="1"/>
  <c r="A27" i="44" s="1"/>
  <c r="A28" i="44" s="1"/>
  <c r="A29" i="44" s="1"/>
  <c r="A30" i="44" s="1"/>
  <c r="A31" i="44" s="1"/>
  <c r="A32" i="44" s="1"/>
  <c r="A33" i="44" s="1"/>
  <c r="A34" i="44" s="1"/>
  <c r="A35" i="44" s="1"/>
  <c r="E12" i="44"/>
  <c r="F12" i="44"/>
  <c r="E13" i="44"/>
  <c r="F13" i="44" s="1"/>
  <c r="E14" i="44"/>
  <c r="F14" i="44"/>
  <c r="E15" i="44"/>
  <c r="F15" i="44"/>
  <c r="E16" i="44"/>
  <c r="F16" i="44"/>
  <c r="E17" i="44"/>
  <c r="F17" i="44" s="1"/>
  <c r="E18" i="44"/>
  <c r="F18" i="44"/>
  <c r="E19" i="44"/>
  <c r="F19" i="44"/>
  <c r="E20" i="44"/>
  <c r="E21" i="44"/>
  <c r="F21" i="44" s="1"/>
  <c r="E22" i="44"/>
  <c r="F22" i="44"/>
  <c r="E23" i="44"/>
  <c r="F23" i="44"/>
  <c r="C24" i="44"/>
  <c r="D24" i="44"/>
  <c r="E35" i="44"/>
  <c r="F35" i="44"/>
  <c r="B12" i="43"/>
  <c r="B8" i="48" s="1"/>
  <c r="C12" i="43"/>
  <c r="D12" i="43"/>
  <c r="E12" i="43"/>
  <c r="K50" i="40" s="1"/>
  <c r="F12" i="43"/>
  <c r="G12" i="43"/>
  <c r="H12" i="43"/>
  <c r="H50" i="40" s="1"/>
  <c r="I12" i="43"/>
  <c r="G50" i="40" s="1"/>
  <c r="J12" i="43"/>
  <c r="F50" i="40" s="1"/>
  <c r="K12" i="43"/>
  <c r="E50" i="40" s="1"/>
  <c r="L12" i="43"/>
  <c r="D50" i="40" s="1"/>
  <c r="M12" i="43"/>
  <c r="C50" i="40" s="1"/>
  <c r="N12" i="43"/>
  <c r="B50" i="40" s="1"/>
  <c r="O12" i="43"/>
  <c r="P12" i="43"/>
  <c r="Q12" i="43"/>
  <c r="R12" i="43"/>
  <c r="S12" i="43"/>
  <c r="T12" i="43"/>
  <c r="E7" i="42"/>
  <c r="F7" i="42"/>
  <c r="G7" i="42"/>
  <c r="H7" i="42" s="1"/>
  <c r="I7" i="42" s="1"/>
  <c r="J7" i="42" s="1"/>
  <c r="K7" i="42" s="1"/>
  <c r="L7" i="42" s="1"/>
  <c r="M7" i="42" s="1"/>
  <c r="N7" i="42" s="1"/>
  <c r="O7" i="42" s="1"/>
  <c r="P7" i="42" s="1"/>
  <c r="E9" i="42"/>
  <c r="F9" i="42"/>
  <c r="G9" i="42"/>
  <c r="H9" i="42"/>
  <c r="I9" i="42"/>
  <c r="J9" i="42"/>
  <c r="K9" i="42"/>
  <c r="L9" i="42"/>
  <c r="M9" i="42"/>
  <c r="N9" i="42"/>
  <c r="O9" i="42"/>
  <c r="P9" i="42"/>
  <c r="Q9" i="42"/>
  <c r="Q11" i="42"/>
  <c r="E12" i="42"/>
  <c r="F12" i="42"/>
  <c r="G12" i="42"/>
  <c r="H12" i="42"/>
  <c r="I12" i="42"/>
  <c r="J12" i="42"/>
  <c r="K12" i="42"/>
  <c r="L12" i="42"/>
  <c r="M12" i="42"/>
  <c r="N12" i="42"/>
  <c r="O12" i="42"/>
  <c r="P12" i="42"/>
  <c r="Q12" i="42"/>
  <c r="E14" i="42"/>
  <c r="F14" i="42"/>
  <c r="G14" i="42"/>
  <c r="H14" i="42"/>
  <c r="I14" i="42"/>
  <c r="J14" i="42"/>
  <c r="K14" i="42"/>
  <c r="L14" i="42"/>
  <c r="M14" i="42"/>
  <c r="N14" i="42"/>
  <c r="O14" i="42"/>
  <c r="P14" i="42"/>
  <c r="Q14" i="42"/>
  <c r="E16" i="42"/>
  <c r="F16" i="42"/>
  <c r="G16" i="42"/>
  <c r="H16" i="42"/>
  <c r="I16" i="42"/>
  <c r="J16" i="42"/>
  <c r="K16" i="42"/>
  <c r="L16" i="42"/>
  <c r="M16" i="42"/>
  <c r="N16" i="42"/>
  <c r="O16" i="42"/>
  <c r="P16" i="42"/>
  <c r="Q16" i="42"/>
  <c r="E17" i="42"/>
  <c r="F17" i="42"/>
  <c r="G17" i="42"/>
  <c r="H17" i="42"/>
  <c r="I17" i="42"/>
  <c r="J17" i="42"/>
  <c r="K17" i="42"/>
  <c r="L17" i="42"/>
  <c r="M17" i="42"/>
  <c r="N17" i="42"/>
  <c r="O17" i="42"/>
  <c r="P17" i="42"/>
  <c r="Q17" i="42"/>
  <c r="K18" i="42"/>
  <c r="N18" i="42"/>
  <c r="E24" i="42"/>
  <c r="F24" i="42"/>
  <c r="Q24" i="42" s="1"/>
  <c r="G24" i="42"/>
  <c r="G25" i="42" s="1"/>
  <c r="G29" i="42" s="1"/>
  <c r="G32" i="42" s="1"/>
  <c r="H24" i="42"/>
  <c r="I24" i="42"/>
  <c r="J24" i="42"/>
  <c r="K24" i="42"/>
  <c r="K25" i="42" s="1"/>
  <c r="K29" i="42" s="1"/>
  <c r="K32" i="42" s="1"/>
  <c r="L24" i="42"/>
  <c r="M24" i="42"/>
  <c r="N24" i="42"/>
  <c r="O24" i="42"/>
  <c r="O25" i="42" s="1"/>
  <c r="O29" i="42" s="1"/>
  <c r="O32" i="42" s="1"/>
  <c r="P24" i="42"/>
  <c r="E25" i="42"/>
  <c r="F25" i="42"/>
  <c r="F29" i="42" s="1"/>
  <c r="H25" i="42"/>
  <c r="I25" i="42"/>
  <c r="J25" i="42"/>
  <c r="L25" i="42"/>
  <c r="M25" i="42"/>
  <c r="N25" i="42"/>
  <c r="P25" i="42"/>
  <c r="Q25" i="42" s="1"/>
  <c r="E26" i="42"/>
  <c r="F26" i="42"/>
  <c r="G26" i="42"/>
  <c r="H26" i="42"/>
  <c r="I26" i="42"/>
  <c r="J26" i="42"/>
  <c r="K26" i="42"/>
  <c r="L26" i="42"/>
  <c r="M26" i="42"/>
  <c r="N26" i="42"/>
  <c r="O26" i="42"/>
  <c r="P26" i="42"/>
  <c r="Q26" i="42"/>
  <c r="C27" i="42"/>
  <c r="E27" i="42"/>
  <c r="F27" i="42"/>
  <c r="G27" i="42"/>
  <c r="H27" i="42"/>
  <c r="I27" i="42"/>
  <c r="J27" i="42"/>
  <c r="K27" i="42"/>
  <c r="L27" i="42"/>
  <c r="M27" i="42"/>
  <c r="N27" i="42"/>
  <c r="O27" i="42"/>
  <c r="P27" i="42"/>
  <c r="Q27" i="42"/>
  <c r="E29" i="42"/>
  <c r="E32" i="42" s="1"/>
  <c r="H29" i="42"/>
  <c r="I29" i="42"/>
  <c r="I32" i="42" s="1"/>
  <c r="J29" i="42"/>
  <c r="J32" i="42" s="1"/>
  <c r="L29" i="42"/>
  <c r="M29" i="42"/>
  <c r="M32" i="42" s="1"/>
  <c r="N29" i="42"/>
  <c r="N32" i="42" s="1"/>
  <c r="P29" i="42"/>
  <c r="C31" i="42"/>
  <c r="H32" i="42"/>
  <c r="L32" i="42"/>
  <c r="P32" i="42"/>
  <c r="Q36" i="42"/>
  <c r="Q38" i="42" s="1"/>
  <c r="Q41" i="42"/>
  <c r="E42" i="42"/>
  <c r="F42" i="42"/>
  <c r="G42" i="42"/>
  <c r="H42" i="42"/>
  <c r="I42" i="42"/>
  <c r="J42" i="42"/>
  <c r="K42" i="42"/>
  <c r="L42" i="42"/>
  <c r="M42" i="42"/>
  <c r="N42" i="42"/>
  <c r="O42" i="42"/>
  <c r="P42" i="42"/>
  <c r="E7" i="41"/>
  <c r="F7" i="41" s="1"/>
  <c r="G7" i="41" s="1"/>
  <c r="H7" i="41" s="1"/>
  <c r="I7" i="41" s="1"/>
  <c r="J7" i="41" s="1"/>
  <c r="K7" i="41" s="1"/>
  <c r="L7" i="41" s="1"/>
  <c r="M7" i="41" s="1"/>
  <c r="N7" i="41" s="1"/>
  <c r="O7" i="41" s="1"/>
  <c r="P7" i="41" s="1"/>
  <c r="Q9" i="41"/>
  <c r="P11" i="41"/>
  <c r="P12" i="41" s="1"/>
  <c r="Q27" i="41"/>
  <c r="F28" i="41" s="1"/>
  <c r="F17" i="41" s="1"/>
  <c r="D8" i="48" l="1"/>
  <c r="D11" i="48"/>
  <c r="C52" i="40"/>
  <c r="G52" i="40"/>
  <c r="K52" i="40"/>
  <c r="D52" i="40"/>
  <c r="E52" i="40"/>
  <c r="F52" i="40"/>
  <c r="O18" i="42"/>
  <c r="M18" i="42"/>
  <c r="H52" i="40"/>
  <c r="P18" i="42"/>
  <c r="L18" i="42"/>
  <c r="N50" i="40"/>
  <c r="B52" i="40"/>
  <c r="P28" i="41"/>
  <c r="P17" i="41" s="1"/>
  <c r="P18" i="41" s="1"/>
  <c r="L28" i="41"/>
  <c r="L17" i="41" s="1"/>
  <c r="L18" i="41" s="1"/>
  <c r="H28" i="41"/>
  <c r="H17" i="41" s="1"/>
  <c r="H18" i="41" s="1"/>
  <c r="M28" i="41"/>
  <c r="M17" i="41" s="1"/>
  <c r="M18" i="41" s="1"/>
  <c r="E28" i="41"/>
  <c r="E17" i="41" s="1"/>
  <c r="E18" i="41" s="1"/>
  <c r="I28" i="41"/>
  <c r="I17" i="41" s="1"/>
  <c r="I18" i="41" s="1"/>
  <c r="O28" i="41"/>
  <c r="O17" i="41" s="1"/>
  <c r="O18" i="41" s="1"/>
  <c r="K28" i="41"/>
  <c r="K17" i="41" s="1"/>
  <c r="K18" i="41" s="1"/>
  <c r="G28" i="41"/>
  <c r="G17" i="41" s="1"/>
  <c r="G18" i="41" s="1"/>
  <c r="N28" i="41"/>
  <c r="N17" i="41" s="1"/>
  <c r="N18" i="41" s="1"/>
  <c r="J28" i="41"/>
  <c r="J17" i="41" s="1"/>
  <c r="J18" i="41" s="1"/>
  <c r="F24" i="44"/>
  <c r="J11" i="41"/>
  <c r="J19" i="41" s="1"/>
  <c r="J20" i="41" s="1"/>
  <c r="E24" i="44"/>
  <c r="F18" i="41"/>
  <c r="F32" i="42"/>
  <c r="Q29" i="42"/>
  <c r="Q32" i="42"/>
  <c r="P19" i="41"/>
  <c r="P20" i="41" s="1"/>
  <c r="P22" i="41" s="1"/>
  <c r="P24" i="41" s="1"/>
  <c r="B12" i="48" l="1"/>
  <c r="D12" i="48"/>
  <c r="D15" i="48" s="1"/>
  <c r="N52" i="40"/>
  <c r="J22" i="41"/>
  <c r="J24" i="41" s="1"/>
  <c r="J25" i="41" s="1"/>
  <c r="Q17" i="41"/>
  <c r="Q18" i="41"/>
  <c r="E11" i="41"/>
  <c r="E12" i="41" s="1"/>
  <c r="O11" i="41"/>
  <c r="H11" i="41"/>
  <c r="L11" i="41"/>
  <c r="I11" i="41"/>
  <c r="N11" i="41"/>
  <c r="M11" i="41"/>
  <c r="M12" i="41" s="1"/>
  <c r="G11" i="41"/>
  <c r="G19" i="41" s="1"/>
  <c r="G20" i="41" s="1"/>
  <c r="G22" i="41" s="1"/>
  <c r="G24" i="41" s="1"/>
  <c r="J12" i="41"/>
  <c r="F11" i="41"/>
  <c r="F19" i="41" s="1"/>
  <c r="F20" i="41" s="1"/>
  <c r="F22" i="41" s="1"/>
  <c r="F24" i="41" s="1"/>
  <c r="K11" i="41"/>
  <c r="K12" i="41" s="1"/>
  <c r="P25" i="41"/>
  <c r="B17" i="48" l="1"/>
  <c r="B15" i="48"/>
  <c r="M19" i="41"/>
  <c r="M20" i="41" s="1"/>
  <c r="M22" i="41" s="1"/>
  <c r="M24" i="41" s="1"/>
  <c r="K19" i="41"/>
  <c r="K20" i="41" s="1"/>
  <c r="K22" i="41" s="1"/>
  <c r="E19" i="41"/>
  <c r="E20" i="41" s="1"/>
  <c r="E22" i="41" s="1"/>
  <c r="E24" i="41" s="1"/>
  <c r="Q10" i="41"/>
  <c r="Q11" i="41" s="1"/>
  <c r="E17" i="47"/>
  <c r="G12" i="41"/>
  <c r="E23" i="47"/>
  <c r="N19" i="41"/>
  <c r="N20" i="41" s="1"/>
  <c r="N22" i="41" s="1"/>
  <c r="N24" i="41" s="1"/>
  <c r="N12" i="41"/>
  <c r="O12" i="41"/>
  <c r="O19" i="41"/>
  <c r="O20" i="41" s="1"/>
  <c r="O22" i="41" s="1"/>
  <c r="O24" i="41" s="1"/>
  <c r="I12" i="41"/>
  <c r="I19" i="41"/>
  <c r="I20" i="41" s="1"/>
  <c r="I22" i="41" s="1"/>
  <c r="L12" i="41"/>
  <c r="L19" i="41"/>
  <c r="L20" i="41" s="1"/>
  <c r="L22" i="41" s="1"/>
  <c r="F12" i="41"/>
  <c r="H12" i="41"/>
  <c r="H19" i="41"/>
  <c r="H20" i="41" s="1"/>
  <c r="H22" i="41" s="1"/>
  <c r="G25" i="41"/>
  <c r="F25" i="41"/>
  <c r="F17" i="47" l="1"/>
  <c r="G17" i="47" s="1"/>
  <c r="M25" i="41"/>
  <c r="E20" i="47" s="1"/>
  <c r="K24" i="41"/>
  <c r="K25" i="41" s="1"/>
  <c r="E25" i="41"/>
  <c r="E12" i="47" s="1"/>
  <c r="L24" i="41"/>
  <c r="L25" i="41" s="1"/>
  <c r="H24" i="41"/>
  <c r="H25" i="41" s="1"/>
  <c r="E15" i="47" s="1"/>
  <c r="I24" i="41"/>
  <c r="I25" i="41" s="1"/>
  <c r="E13" i="47"/>
  <c r="E14" i="47"/>
  <c r="Q22" i="41"/>
  <c r="F23" i="47"/>
  <c r="G23" i="47" s="1"/>
  <c r="J23" i="47"/>
  <c r="Q20" i="41"/>
  <c r="N25" i="41"/>
  <c r="E21" i="47" s="1"/>
  <c r="Q19" i="41"/>
  <c r="O25" i="41"/>
  <c r="Q12" i="41"/>
  <c r="F15" i="47" l="1"/>
  <c r="G15" i="47" s="1"/>
  <c r="E18" i="47"/>
  <c r="E19" i="47"/>
  <c r="E16" i="47"/>
  <c r="K23" i="47"/>
  <c r="J21" i="47"/>
  <c r="F21" i="47"/>
  <c r="G21" i="47" s="1"/>
  <c r="F14" i="47"/>
  <c r="G14" i="47" s="1"/>
  <c r="E22" i="47"/>
  <c r="F13" i="47"/>
  <c r="G13" i="47" s="1"/>
  <c r="J20" i="47"/>
  <c r="F20" i="47"/>
  <c r="G20" i="47" s="1"/>
  <c r="F12" i="47"/>
  <c r="Q25" i="41"/>
  <c r="Q24" i="41"/>
  <c r="F19" i="47" l="1"/>
  <c r="G19" i="47" s="1"/>
  <c r="F18" i="47"/>
  <c r="J18" i="47"/>
  <c r="J19" i="47"/>
  <c r="E31" i="47"/>
  <c r="F16" i="47"/>
  <c r="G16" i="47" s="1"/>
  <c r="E33" i="47"/>
  <c r="G12" i="47"/>
  <c r="K20" i="47"/>
  <c r="F22" i="47"/>
  <c r="J22" i="47"/>
  <c r="K21" i="47"/>
  <c r="A14" i="38"/>
  <c r="B15" i="6"/>
  <c r="A15" i="38"/>
  <c r="B16" i="6"/>
  <c r="B17" i="6"/>
  <c r="B18" i="6"/>
  <c r="C29" i="48" l="1" a="1"/>
  <c r="M29" i="48" s="1"/>
  <c r="A16" i="38"/>
  <c r="A17" i="38" s="1"/>
  <c r="A18" i="38" s="1"/>
  <c r="A19" i="38" s="1"/>
  <c r="A20" i="38" s="1"/>
  <c r="A21" i="38" s="1"/>
  <c r="A22" i="38" s="1"/>
  <c r="A23" i="38" s="1"/>
  <c r="A24" i="38" s="1"/>
  <c r="A25" i="38" s="1"/>
  <c r="K19" i="47"/>
  <c r="G18" i="47"/>
  <c r="K18" i="47" s="1"/>
  <c r="B19" i="6"/>
  <c r="J31" i="47"/>
  <c r="G22" i="47"/>
  <c r="F33" i="47"/>
  <c r="E8" i="48" s="1"/>
  <c r="F31" i="47"/>
  <c r="D19" i="38"/>
  <c r="C54" i="40"/>
  <c r="G54" i="40"/>
  <c r="K54" i="40"/>
  <c r="J54" i="40"/>
  <c r="D54" i="40"/>
  <c r="H54" i="40"/>
  <c r="L54" i="40"/>
  <c r="F54" i="40"/>
  <c r="E54" i="40"/>
  <c r="I54" i="40"/>
  <c r="M54" i="40"/>
  <c r="C20" i="38"/>
  <c r="D17" i="38"/>
  <c r="D18" i="38"/>
  <c r="D14" i="38"/>
  <c r="B8" i="6"/>
  <c r="C8" i="6"/>
  <c r="D8" i="6"/>
  <c r="E8" i="6"/>
  <c r="F8" i="6"/>
  <c r="G8" i="6"/>
  <c r="B24" i="6"/>
  <c r="C24" i="6"/>
  <c r="D24" i="6"/>
  <c r="E24" i="6"/>
  <c r="F24" i="6"/>
  <c r="G24" i="6"/>
  <c r="B25" i="6"/>
  <c r="C25" i="6"/>
  <c r="D25" i="6"/>
  <c r="E25" i="6"/>
  <c r="F25" i="6"/>
  <c r="G25" i="6"/>
  <c r="C27" i="6"/>
  <c r="D27" i="6"/>
  <c r="G27" i="6"/>
  <c r="K29" i="48" l="1"/>
  <c r="H29" i="48"/>
  <c r="I29" i="48"/>
  <c r="N29" i="48"/>
  <c r="F29" i="48"/>
  <c r="C29" i="48"/>
  <c r="L29" i="48"/>
  <c r="D29" i="48"/>
  <c r="G29" i="48"/>
  <c r="E29" i="48"/>
  <c r="J29" i="48"/>
  <c r="E12" i="48"/>
  <c r="G8" i="48"/>
  <c r="B58" i="40" a="1"/>
  <c r="K22" i="47"/>
  <c r="G33" i="47"/>
  <c r="F16" i="38" s="1"/>
  <c r="G31" i="47"/>
  <c r="O54" i="40"/>
  <c r="B54" i="40"/>
  <c r="N53" i="40"/>
  <c r="E27" i="6"/>
  <c r="F27" i="6"/>
  <c r="B27" i="6"/>
  <c r="B29" i="48" l="1"/>
  <c r="B36" i="48" s="1"/>
  <c r="G19" i="48"/>
  <c r="I8" i="48"/>
  <c r="B58" i="40"/>
  <c r="I58" i="40"/>
  <c r="D58" i="40"/>
  <c r="J58" i="40"/>
  <c r="E58" i="40"/>
  <c r="K58" i="40"/>
  <c r="F58" i="40"/>
  <c r="L58" i="40"/>
  <c r="G58" i="40"/>
  <c r="M58" i="40"/>
  <c r="H58" i="40"/>
  <c r="C58" i="40"/>
  <c r="O2" i="40"/>
  <c r="F21" i="38"/>
  <c r="E16" i="38"/>
  <c r="K31" i="47"/>
  <c r="N54" i="40"/>
  <c r="I47" i="17"/>
  <c r="H47" i="17"/>
  <c r="G47" i="17"/>
  <c r="F47" i="17"/>
  <c r="E47" i="17"/>
  <c r="D47" i="17"/>
  <c r="P49" i="17"/>
  <c r="Q49" i="17"/>
  <c r="R49" i="17"/>
  <c r="S49" i="17"/>
  <c r="T49" i="17"/>
  <c r="U49" i="17"/>
  <c r="O49" i="17"/>
  <c r="E49" i="17"/>
  <c r="F49" i="17"/>
  <c r="G49" i="17"/>
  <c r="H49" i="17"/>
  <c r="I49" i="17"/>
  <c r="J49" i="17"/>
  <c r="K49" i="17"/>
  <c r="L49" i="17"/>
  <c r="M49" i="17"/>
  <c r="N49" i="17"/>
  <c r="D49" i="17"/>
  <c r="B39" i="48" l="1"/>
  <c r="J8" i="48"/>
  <c r="I12" i="48"/>
  <c r="I15" i="48" s="1"/>
  <c r="I19" i="48"/>
  <c r="I21" i="48" s="1"/>
  <c r="N58" i="40"/>
  <c r="D16" i="38"/>
  <c r="C36" i="48" s="1"/>
  <c r="U8" i="8"/>
  <c r="U7" i="8"/>
  <c r="G6" i="8"/>
  <c r="J19" i="48" l="1"/>
  <c r="I16" i="48"/>
  <c r="G20" i="6"/>
  <c r="G19" i="6"/>
  <c r="G18" i="6"/>
  <c r="G17" i="6"/>
  <c r="B21" i="6" l="1"/>
  <c r="G15" i="6"/>
  <c r="E31" i="37" l="1"/>
  <c r="F31" i="37"/>
  <c r="G31" i="37"/>
  <c r="H31" i="37"/>
  <c r="I31" i="37"/>
  <c r="J31" i="37"/>
  <c r="K31" i="37"/>
  <c r="L31" i="37"/>
  <c r="M31" i="37"/>
  <c r="N31" i="37"/>
  <c r="O31" i="37"/>
  <c r="D31" i="37"/>
  <c r="E15" i="8" l="1"/>
  <c r="I46" i="17"/>
  <c r="H46" i="17"/>
  <c r="E6" i="8" l="1"/>
  <c r="E9" i="8" s="1"/>
  <c r="G46" i="17"/>
  <c r="G15" i="8"/>
  <c r="H13" i="8"/>
  <c r="I13" i="8" s="1"/>
  <c r="J13" i="8" s="1"/>
  <c r="K13" i="8" s="1"/>
  <c r="L13" i="8" s="1"/>
  <c r="M13" i="8" s="1"/>
  <c r="F15" i="8"/>
  <c r="F6" i="8"/>
  <c r="F9" i="8" s="1"/>
  <c r="G9" i="8"/>
  <c r="C42" i="37"/>
  <c r="B42" i="37"/>
  <c r="C36" i="37"/>
  <c r="B36" i="37"/>
  <c r="C35" i="37"/>
  <c r="B35" i="37"/>
  <c r="C34" i="37"/>
  <c r="B34" i="37"/>
  <c r="C33" i="37"/>
  <c r="B33" i="37"/>
  <c r="A27" i="37"/>
  <c r="I18" i="37"/>
  <c r="F18" i="37"/>
  <c r="S24" i="17"/>
  <c r="S28" i="17" s="1"/>
  <c r="S29" i="17" s="1"/>
  <c r="T24" i="17"/>
  <c r="T28" i="17" s="1"/>
  <c r="T29" i="17" s="1"/>
  <c r="U24" i="17"/>
  <c r="U28" i="17" s="1"/>
  <c r="U29" i="17" s="1"/>
  <c r="S19" i="17"/>
  <c r="T19" i="17"/>
  <c r="U19" i="17"/>
  <c r="S18" i="17"/>
  <c r="T18" i="17"/>
  <c r="U18" i="17"/>
  <c r="I33" i="10"/>
  <c r="J33" i="10"/>
  <c r="K33" i="10"/>
  <c r="L33" i="10"/>
  <c r="M33" i="10"/>
  <c r="H33" i="10"/>
  <c r="C33" i="10"/>
  <c r="D33" i="10"/>
  <c r="E33" i="10"/>
  <c r="F33" i="10"/>
  <c r="G33" i="10"/>
  <c r="B33" i="10"/>
  <c r="I29" i="19"/>
  <c r="J29" i="19"/>
  <c r="K29" i="19"/>
  <c r="L29" i="19"/>
  <c r="M29" i="19"/>
  <c r="H29" i="19"/>
  <c r="N14" i="8" l="1"/>
  <c r="O14" i="8"/>
  <c r="P14" i="8"/>
  <c r="Q14" i="8"/>
  <c r="R14" i="8"/>
  <c r="S14" i="8"/>
  <c r="M14" i="8"/>
  <c r="O8" i="8"/>
  <c r="P8" i="8"/>
  <c r="Q8" i="8"/>
  <c r="R8" i="8"/>
  <c r="S8" i="8"/>
  <c r="N8" i="8"/>
  <c r="M8" i="8"/>
  <c r="M7" i="8"/>
  <c r="L7" i="8"/>
  <c r="I7" i="8"/>
  <c r="J7" i="8"/>
  <c r="K7" i="8"/>
  <c r="H7" i="8"/>
  <c r="C29" i="19" l="1"/>
  <c r="D29" i="19"/>
  <c r="E29" i="19"/>
  <c r="F29" i="19"/>
  <c r="G29" i="19"/>
  <c r="B29" i="19"/>
  <c r="D2" i="19" l="1"/>
  <c r="E2" i="19"/>
  <c r="F2" i="19"/>
  <c r="G2" i="19"/>
  <c r="H2" i="19"/>
  <c r="I2" i="19"/>
  <c r="J2" i="19"/>
  <c r="K2" i="19"/>
  <c r="L2" i="19"/>
  <c r="M2" i="19"/>
  <c r="C2" i="19"/>
  <c r="B2" i="19"/>
  <c r="C2" i="10"/>
  <c r="D2" i="10"/>
  <c r="E2" i="10"/>
  <c r="F2" i="10"/>
  <c r="G2" i="10"/>
  <c r="H2" i="10"/>
  <c r="I2" i="10"/>
  <c r="J2" i="10"/>
  <c r="K2" i="10"/>
  <c r="L2" i="10"/>
  <c r="M2" i="10"/>
  <c r="B2" i="10"/>
  <c r="F74" i="17" l="1"/>
  <c r="F73" i="17"/>
  <c r="D73" i="17"/>
  <c r="F72" i="17"/>
  <c r="F71" i="17"/>
  <c r="C15" i="8" l="1"/>
  <c r="D6" i="8"/>
  <c r="D9" i="8" s="1"/>
  <c r="D46" i="17"/>
  <c r="F46" i="17"/>
  <c r="C6" i="8"/>
  <c r="C9" i="8" s="1"/>
  <c r="D15" i="8"/>
  <c r="B15" i="8"/>
  <c r="B6" i="8"/>
  <c r="B9" i="8" s="1"/>
  <c r="E46" i="17" l="1"/>
  <c r="V29" i="17" l="1"/>
  <c r="I24" i="6" l="1"/>
  <c r="K24" i="6" l="1"/>
  <c r="M24" i="6"/>
  <c r="J24" i="6"/>
  <c r="I25" i="6"/>
  <c r="H24" i="6"/>
  <c r="L24" i="6" l="1"/>
  <c r="M25" i="6"/>
  <c r="K25" i="6"/>
  <c r="J25" i="6"/>
  <c r="H25" i="6"/>
  <c r="L25" i="6" l="1"/>
  <c r="T25" i="6" l="1"/>
  <c r="L52" i="10" l="1"/>
  <c r="M45" i="10"/>
  <c r="L45" i="10"/>
  <c r="J45" i="10"/>
  <c r="I45" i="10"/>
  <c r="H45" i="10"/>
  <c r="F45" i="10"/>
  <c r="E45" i="10"/>
  <c r="D45" i="10"/>
  <c r="B45" i="10"/>
  <c r="N6" i="10"/>
  <c r="N5" i="10"/>
  <c r="M9" i="10"/>
  <c r="K52" i="10"/>
  <c r="I9" i="10"/>
  <c r="H9" i="10"/>
  <c r="G52" i="10"/>
  <c r="E52" i="10"/>
  <c r="C52" i="10"/>
  <c r="E26" i="10" l="1"/>
  <c r="L26" i="10"/>
  <c r="F9" i="10"/>
  <c r="J9" i="10"/>
  <c r="M26" i="10"/>
  <c r="M52" i="10"/>
  <c r="G9" i="10"/>
  <c r="D52" i="10"/>
  <c r="D9" i="10"/>
  <c r="L9" i="10"/>
  <c r="N7" i="10"/>
  <c r="N8" i="10"/>
  <c r="B9" i="10"/>
  <c r="H52" i="10"/>
  <c r="C9" i="10"/>
  <c r="K9" i="10"/>
  <c r="N14" i="10"/>
  <c r="K18" i="10"/>
  <c r="L18" i="10"/>
  <c r="E18" i="10"/>
  <c r="N15" i="10"/>
  <c r="I26" i="10"/>
  <c r="N33" i="10"/>
  <c r="O33" i="10" s="1"/>
  <c r="C26" i="10"/>
  <c r="D26" i="10"/>
  <c r="I52" i="10"/>
  <c r="B52" i="10"/>
  <c r="F52" i="10"/>
  <c r="J52" i="10"/>
  <c r="N4" i="10"/>
  <c r="C45" i="10"/>
  <c r="G45" i="10"/>
  <c r="K45" i="10"/>
  <c r="E9" i="10"/>
  <c r="J26" i="10"/>
  <c r="H26" i="10"/>
  <c r="E54" i="10" l="1"/>
  <c r="E59" i="10" s="1"/>
  <c r="E53" i="10"/>
  <c r="K26" i="10"/>
  <c r="K28" i="10" s="1"/>
  <c r="K31" i="10" s="1"/>
  <c r="K32" i="10" s="1"/>
  <c r="K34" i="10" s="1"/>
  <c r="N25" i="10"/>
  <c r="N16" i="10"/>
  <c r="N17" i="10"/>
  <c r="J18" i="10"/>
  <c r="J46" i="10" s="1"/>
  <c r="G26" i="10"/>
  <c r="G53" i="10" s="1"/>
  <c r="N45" i="10"/>
  <c r="F26" i="10"/>
  <c r="F53" i="10" s="1"/>
  <c r="I18" i="10"/>
  <c r="I47" i="10" s="1"/>
  <c r="C18" i="10"/>
  <c r="C47" i="10" s="1"/>
  <c r="D54" i="10"/>
  <c r="D53" i="10"/>
  <c r="E47" i="10"/>
  <c r="E28" i="10"/>
  <c r="E31" i="10" s="1"/>
  <c r="E32" i="10" s="1"/>
  <c r="E34" i="10" s="1"/>
  <c r="E46" i="10"/>
  <c r="I53" i="10"/>
  <c r="I54" i="10"/>
  <c r="H54" i="10"/>
  <c r="H53" i="10"/>
  <c r="M18" i="10"/>
  <c r="L54" i="10"/>
  <c r="L53" i="10"/>
  <c r="B26" i="10"/>
  <c r="N23" i="10"/>
  <c r="N52" i="10"/>
  <c r="C53" i="10"/>
  <c r="C54" i="10"/>
  <c r="N20" i="10"/>
  <c r="K47" i="10"/>
  <c r="K46" i="10"/>
  <c r="N24" i="10"/>
  <c r="F54" i="10"/>
  <c r="N9" i="10"/>
  <c r="L47" i="10"/>
  <c r="L28" i="10"/>
  <c r="L31" i="10" s="1"/>
  <c r="L32" i="10" s="1"/>
  <c r="L34" i="10" s="1"/>
  <c r="L46" i="10"/>
  <c r="M53" i="10"/>
  <c r="M54" i="10"/>
  <c r="B18" i="10"/>
  <c r="N13" i="10"/>
  <c r="G18" i="10"/>
  <c r="J54" i="10"/>
  <c r="J53" i="10"/>
  <c r="H18" i="10"/>
  <c r="D18" i="10"/>
  <c r="F18" i="10"/>
  <c r="H2" i="8" a="1"/>
  <c r="J2" i="8" s="1"/>
  <c r="M27" i="13"/>
  <c r="L27" i="13"/>
  <c r="K27" i="13"/>
  <c r="J27" i="13"/>
  <c r="I27" i="13"/>
  <c r="H27" i="13"/>
  <c r="G27" i="13"/>
  <c r="F27" i="13"/>
  <c r="E27" i="13"/>
  <c r="D27" i="13"/>
  <c r="C27" i="13"/>
  <c r="B27" i="13"/>
  <c r="M26" i="13"/>
  <c r="L26" i="13"/>
  <c r="K26" i="13"/>
  <c r="J26" i="13"/>
  <c r="I26" i="13"/>
  <c r="H26" i="13"/>
  <c r="G26" i="13"/>
  <c r="F26" i="13"/>
  <c r="E26" i="13"/>
  <c r="D26" i="13"/>
  <c r="C26" i="13"/>
  <c r="B26" i="13"/>
  <c r="M25" i="13"/>
  <c r="L25" i="13"/>
  <c r="K25" i="13"/>
  <c r="J25" i="13"/>
  <c r="I25" i="13"/>
  <c r="H25" i="13"/>
  <c r="G25" i="13"/>
  <c r="F25" i="13"/>
  <c r="E25" i="13"/>
  <c r="D25" i="13"/>
  <c r="C25" i="13"/>
  <c r="B25" i="13"/>
  <c r="P24" i="13"/>
  <c r="N24" i="13"/>
  <c r="N23" i="13"/>
  <c r="N26" i="13" s="1"/>
  <c r="P26" i="13" s="1"/>
  <c r="P22" i="13"/>
  <c r="N22" i="13"/>
  <c r="P21" i="13"/>
  <c r="N20" i="13"/>
  <c r="P20" i="13" s="1"/>
  <c r="N19" i="13"/>
  <c r="P19" i="13" s="1"/>
  <c r="N18" i="13"/>
  <c r="P18" i="13" s="1"/>
  <c r="M12" i="13"/>
  <c r="L12" i="13"/>
  <c r="K12" i="13"/>
  <c r="J12" i="13"/>
  <c r="I12" i="13"/>
  <c r="H12" i="13"/>
  <c r="G12" i="13"/>
  <c r="F12" i="13"/>
  <c r="E12" i="13"/>
  <c r="D12" i="13"/>
  <c r="C12" i="13"/>
  <c r="B12" i="13"/>
  <c r="M11" i="13"/>
  <c r="L11" i="13"/>
  <c r="K11" i="13"/>
  <c r="J11" i="13"/>
  <c r="I11" i="13"/>
  <c r="H11" i="13"/>
  <c r="G11" i="13"/>
  <c r="F11" i="13"/>
  <c r="E11" i="13"/>
  <c r="D11" i="13"/>
  <c r="C11" i="13"/>
  <c r="B11" i="13"/>
  <c r="M10" i="13"/>
  <c r="L10" i="13"/>
  <c r="K10" i="13"/>
  <c r="J10" i="13"/>
  <c r="I10" i="13"/>
  <c r="H10" i="13"/>
  <c r="G10" i="13"/>
  <c r="F10" i="13"/>
  <c r="E10" i="13"/>
  <c r="D10" i="13"/>
  <c r="C10" i="13"/>
  <c r="B10" i="13"/>
  <c r="N9" i="13"/>
  <c r="N12" i="13" s="1"/>
  <c r="P12" i="13" s="1"/>
  <c r="N8" i="13"/>
  <c r="P8" i="13" s="1"/>
  <c r="N7" i="13"/>
  <c r="N10" i="13" s="1"/>
  <c r="P10" i="13" s="1"/>
  <c r="N6" i="13"/>
  <c r="P6" i="13" s="1"/>
  <c r="N5" i="13"/>
  <c r="P5" i="13" s="1"/>
  <c r="N4" i="13"/>
  <c r="P4" i="13" s="1"/>
  <c r="N3" i="13"/>
  <c r="N27" i="13" s="1"/>
  <c r="P27" i="13" s="1"/>
  <c r="A12" i="9"/>
  <c r="A13" i="9" s="1"/>
  <c r="A14" i="9" s="1"/>
  <c r="A15" i="9" s="1"/>
  <c r="A16" i="9" s="1"/>
  <c r="A17" i="9" s="1"/>
  <c r="A18" i="9" s="1"/>
  <c r="A19" i="9" s="1"/>
  <c r="A20" i="9" s="1"/>
  <c r="A21" i="9" s="1"/>
  <c r="A22" i="9" s="1"/>
  <c r="A23" i="9" s="1"/>
  <c r="A24" i="9" s="1"/>
  <c r="H11" i="9"/>
  <c r="F11" i="9"/>
  <c r="A11" i="9"/>
  <c r="E55" i="10" l="1"/>
  <c r="E56" i="10" s="1"/>
  <c r="K53" i="10"/>
  <c r="K54" i="10"/>
  <c r="K55" i="10" s="1"/>
  <c r="K56" i="10" s="1"/>
  <c r="G54" i="10"/>
  <c r="G55" i="10" s="1"/>
  <c r="G56" i="10" s="1"/>
  <c r="N18" i="10"/>
  <c r="N47" i="10" s="1"/>
  <c r="J28" i="10"/>
  <c r="J31" i="10" s="1"/>
  <c r="J32" i="10" s="1"/>
  <c r="J34" i="10" s="1"/>
  <c r="C28" i="10"/>
  <c r="C31" i="10" s="1"/>
  <c r="C32" i="10" s="1"/>
  <c r="C34" i="10" s="1"/>
  <c r="C46" i="10"/>
  <c r="P2" i="8"/>
  <c r="O2" i="8"/>
  <c r="K2" i="8"/>
  <c r="Q2" i="8"/>
  <c r="I2" i="8"/>
  <c r="I46" i="10"/>
  <c r="J47" i="10"/>
  <c r="J48" i="10" s="1"/>
  <c r="J49" i="10" s="1"/>
  <c r="G21" i="19"/>
  <c r="I28" i="10"/>
  <c r="I31" i="10" s="1"/>
  <c r="I32" i="10" s="1"/>
  <c r="I34" i="10" s="1"/>
  <c r="C21" i="19"/>
  <c r="L2" i="8"/>
  <c r="S2" i="8"/>
  <c r="M2" i="8"/>
  <c r="H2" i="8"/>
  <c r="B46" i="10"/>
  <c r="B47" i="10"/>
  <c r="B28" i="10"/>
  <c r="F59" i="10"/>
  <c r="F55" i="10"/>
  <c r="F56" i="10" s="1"/>
  <c r="K58" i="10"/>
  <c r="K48" i="10"/>
  <c r="K49" i="10" s="1"/>
  <c r="C55" i="10"/>
  <c r="C56" i="10" s="1"/>
  <c r="C59" i="10"/>
  <c r="B53" i="10"/>
  <c r="B54" i="10"/>
  <c r="E58" i="10"/>
  <c r="E60" i="10" s="1"/>
  <c r="E35" i="10" s="1"/>
  <c r="E48" i="10"/>
  <c r="E49" i="10" s="1"/>
  <c r="F46" i="10"/>
  <c r="F47" i="10"/>
  <c r="F28" i="10"/>
  <c r="F31" i="10" s="1"/>
  <c r="F32" i="10" s="1"/>
  <c r="F34" i="10" s="1"/>
  <c r="J59" i="10"/>
  <c r="J55" i="10"/>
  <c r="J56" i="10" s="1"/>
  <c r="M59" i="10"/>
  <c r="M55" i="10"/>
  <c r="M56" i="10" s="1"/>
  <c r="L48" i="10"/>
  <c r="L49" i="10" s="1"/>
  <c r="L58" i="10"/>
  <c r="H59" i="10"/>
  <c r="H55" i="10"/>
  <c r="H56" i="10" s="1"/>
  <c r="D46" i="10"/>
  <c r="D47" i="10"/>
  <c r="D28" i="10"/>
  <c r="D31" i="10" s="1"/>
  <c r="D32" i="10" s="1"/>
  <c r="D34" i="10" s="1"/>
  <c r="G47" i="10"/>
  <c r="G28" i="10"/>
  <c r="G31" i="10" s="1"/>
  <c r="G32" i="10" s="1"/>
  <c r="G34" i="10" s="1"/>
  <c r="G46" i="10"/>
  <c r="C58" i="10"/>
  <c r="C48" i="10"/>
  <c r="C49" i="10" s="1"/>
  <c r="I58" i="10"/>
  <c r="I48" i="10"/>
  <c r="I49" i="10" s="1"/>
  <c r="L59" i="10"/>
  <c r="L55" i="10"/>
  <c r="L56" i="10" s="1"/>
  <c r="M47" i="10"/>
  <c r="M28" i="10"/>
  <c r="M31" i="10" s="1"/>
  <c r="M32" i="10" s="1"/>
  <c r="M34" i="10" s="1"/>
  <c r="M46" i="10"/>
  <c r="I55" i="10"/>
  <c r="I56" i="10" s="1"/>
  <c r="I59" i="10"/>
  <c r="D59" i="10"/>
  <c r="D55" i="10"/>
  <c r="D56" i="10" s="1"/>
  <c r="H46" i="10"/>
  <c r="H47" i="10"/>
  <c r="H28" i="10"/>
  <c r="H31" i="10" s="1"/>
  <c r="H32" i="10" s="1"/>
  <c r="H34" i="10" s="1"/>
  <c r="N26" i="10"/>
  <c r="N54" i="10" s="1"/>
  <c r="J21" i="19"/>
  <c r="B21" i="19"/>
  <c r="I21" i="19"/>
  <c r="E21" i="19"/>
  <c r="E19" i="19"/>
  <c r="G24" i="37" s="1"/>
  <c r="M21" i="19"/>
  <c r="N29" i="19"/>
  <c r="O29" i="19" s="1"/>
  <c r="T7" i="8"/>
  <c r="R2" i="8"/>
  <c r="N2" i="8"/>
  <c r="T8" i="8"/>
  <c r="N11" i="13"/>
  <c r="P11" i="13" s="1"/>
  <c r="P3" i="13"/>
  <c r="P7" i="13"/>
  <c r="P9" i="13"/>
  <c r="N25" i="13"/>
  <c r="P25" i="13" s="1"/>
  <c r="P23" i="13"/>
  <c r="J18" i="19"/>
  <c r="L23" i="37" s="1"/>
  <c r="N4" i="19"/>
  <c r="D8" i="19"/>
  <c r="J8" i="19"/>
  <c r="K20" i="19"/>
  <c r="M25" i="37" s="1"/>
  <c r="G20" i="19"/>
  <c r="I25" i="37" s="1"/>
  <c r="C20" i="19"/>
  <c r="E25" i="37" s="1"/>
  <c r="E18" i="19"/>
  <c r="G23" i="37" s="1"/>
  <c r="N7" i="19"/>
  <c r="F8" i="19"/>
  <c r="K8" i="19"/>
  <c r="J19" i="19"/>
  <c r="L24" i="37" s="1"/>
  <c r="F19" i="19"/>
  <c r="H24" i="37" s="1"/>
  <c r="B19" i="19"/>
  <c r="D24" i="37" s="1"/>
  <c r="G19" i="19"/>
  <c r="I24" i="37" s="1"/>
  <c r="L19" i="19"/>
  <c r="N24" i="37" s="1"/>
  <c r="H20" i="19"/>
  <c r="J25" i="37" s="1"/>
  <c r="M20" i="19"/>
  <c r="O25" i="37" s="1"/>
  <c r="N5" i="19"/>
  <c r="B8" i="19"/>
  <c r="G8" i="19"/>
  <c r="L8" i="19"/>
  <c r="L18" i="19"/>
  <c r="N23" i="37" s="1"/>
  <c r="H19" i="19"/>
  <c r="J24" i="37" s="1"/>
  <c r="M19" i="19"/>
  <c r="O24" i="37" s="1"/>
  <c r="D20" i="19"/>
  <c r="F25" i="37" s="1"/>
  <c r="I20" i="19"/>
  <c r="K25" i="37" s="1"/>
  <c r="I8" i="19"/>
  <c r="M8" i="19"/>
  <c r="C19" i="19"/>
  <c r="E24" i="37" s="1"/>
  <c r="K19" i="19"/>
  <c r="M24" i="37" s="1"/>
  <c r="F20" i="19"/>
  <c r="H25" i="37" s="1"/>
  <c r="N6" i="19"/>
  <c r="C8" i="19"/>
  <c r="H8" i="19"/>
  <c r="D19" i="19"/>
  <c r="F24" i="37" s="1"/>
  <c r="I19" i="19"/>
  <c r="K24" i="37" s="1"/>
  <c r="E20" i="19"/>
  <c r="G25" i="37" s="1"/>
  <c r="J20" i="19"/>
  <c r="L25" i="37" s="1"/>
  <c r="L21" i="19"/>
  <c r="H21" i="19"/>
  <c r="F21" i="19"/>
  <c r="K21" i="19"/>
  <c r="L20" i="19"/>
  <c r="N25" i="37" s="1"/>
  <c r="M18" i="19"/>
  <c r="O23" i="37" s="1"/>
  <c r="K59" i="10" l="1"/>
  <c r="K60" i="10" s="1"/>
  <c r="K35" i="10" s="1"/>
  <c r="N53" i="10"/>
  <c r="G59" i="10"/>
  <c r="F34" i="19"/>
  <c r="H26" i="37"/>
  <c r="H36" i="37" s="1"/>
  <c r="G42" i="37"/>
  <c r="G44" i="37" s="1"/>
  <c r="G35" i="37"/>
  <c r="E34" i="37"/>
  <c r="E48" i="37"/>
  <c r="K35" i="37"/>
  <c r="K42" i="37"/>
  <c r="K44" i="37" s="1"/>
  <c r="N47" i="37"/>
  <c r="N33" i="37"/>
  <c r="I48" i="37"/>
  <c r="I34" i="37"/>
  <c r="E42" i="37"/>
  <c r="E44" i="37" s="1"/>
  <c r="E35" i="37"/>
  <c r="G48" i="37"/>
  <c r="G34" i="37"/>
  <c r="E34" i="19"/>
  <c r="G26" i="37"/>
  <c r="G36" i="37" s="1"/>
  <c r="J34" i="19"/>
  <c r="L26" i="37"/>
  <c r="L36" i="37" s="1"/>
  <c r="G34" i="19"/>
  <c r="I26" i="37"/>
  <c r="I36" i="37" s="1"/>
  <c r="O47" i="37"/>
  <c r="O33" i="37"/>
  <c r="H34" i="19"/>
  <c r="J26" i="37"/>
  <c r="J36" i="37" s="1"/>
  <c r="K34" i="37"/>
  <c r="K48" i="37"/>
  <c r="F35" i="37"/>
  <c r="F42" i="37"/>
  <c r="F44" i="37" s="1"/>
  <c r="O42" i="37"/>
  <c r="O44" i="37" s="1"/>
  <c r="O35" i="37"/>
  <c r="D34" i="37"/>
  <c r="D48" i="37"/>
  <c r="P24" i="37"/>
  <c r="I42" i="37"/>
  <c r="I44" i="37" s="1"/>
  <c r="I35" i="37"/>
  <c r="N42" i="37"/>
  <c r="N44" i="37" s="1"/>
  <c r="N35" i="37"/>
  <c r="L34" i="19"/>
  <c r="N26" i="37"/>
  <c r="N36" i="37" s="1"/>
  <c r="F34" i="37"/>
  <c r="F48" i="37"/>
  <c r="H35" i="37"/>
  <c r="H42" i="37"/>
  <c r="H44" i="37" s="1"/>
  <c r="O48" i="37"/>
  <c r="O34" i="37"/>
  <c r="J35" i="37"/>
  <c r="J42" i="37"/>
  <c r="J44" i="37" s="1"/>
  <c r="H34" i="37"/>
  <c r="H48" i="37"/>
  <c r="M35" i="37"/>
  <c r="M42" i="37"/>
  <c r="M44" i="37" s="1"/>
  <c r="L33" i="37"/>
  <c r="L47" i="37"/>
  <c r="L27" i="37"/>
  <c r="I34" i="19"/>
  <c r="K26" i="37"/>
  <c r="K36" i="37" s="1"/>
  <c r="C34" i="19"/>
  <c r="E26" i="37"/>
  <c r="E36" i="37" s="1"/>
  <c r="K34" i="19"/>
  <c r="M26" i="37"/>
  <c r="M36" i="37" s="1"/>
  <c r="L35" i="37"/>
  <c r="L42" i="37"/>
  <c r="L44" i="37" s="1"/>
  <c r="M48" i="37"/>
  <c r="M34" i="37"/>
  <c r="J34" i="37"/>
  <c r="J48" i="37"/>
  <c r="N48" i="37"/>
  <c r="N34" i="37"/>
  <c r="L34" i="37"/>
  <c r="L48" i="37"/>
  <c r="G47" i="37"/>
  <c r="G33" i="37"/>
  <c r="M34" i="19"/>
  <c r="O26" i="37"/>
  <c r="O36" i="37" s="1"/>
  <c r="B34" i="19"/>
  <c r="D26" i="37"/>
  <c r="N28" i="10"/>
  <c r="C40" i="10" s="1"/>
  <c r="J58" i="10"/>
  <c r="J60" i="10" s="1"/>
  <c r="J35" i="10" s="1"/>
  <c r="C60" i="10"/>
  <c r="C35" i="10" s="1"/>
  <c r="C15" i="19"/>
  <c r="H48" i="10"/>
  <c r="H49" i="10" s="1"/>
  <c r="H58" i="10"/>
  <c r="H60" i="10" s="1"/>
  <c r="H35" i="10" s="1"/>
  <c r="M58" i="10"/>
  <c r="M60" i="10" s="1"/>
  <c r="M35" i="10" s="1"/>
  <c r="M48" i="10"/>
  <c r="M49" i="10" s="1"/>
  <c r="I60" i="10"/>
  <c r="I35" i="10" s="1"/>
  <c r="G58" i="10"/>
  <c r="G48" i="10"/>
  <c r="G49" i="10" s="1"/>
  <c r="B31" i="10"/>
  <c r="B32" i="10"/>
  <c r="B34" i="10" s="1"/>
  <c r="H5" i="6" s="1"/>
  <c r="D48" i="10"/>
  <c r="D49" i="10" s="1"/>
  <c r="D58" i="10"/>
  <c r="D60" i="10" s="1"/>
  <c r="D35" i="10" s="1"/>
  <c r="L60" i="10"/>
  <c r="L35" i="10" s="1"/>
  <c r="B58" i="10"/>
  <c r="B48" i="10"/>
  <c r="F58" i="10"/>
  <c r="F60" i="10" s="1"/>
  <c r="F35" i="10" s="1"/>
  <c r="F48" i="10"/>
  <c r="F49" i="10" s="1"/>
  <c r="B59" i="10"/>
  <c r="B55" i="10"/>
  <c r="N46" i="10"/>
  <c r="N14" i="19"/>
  <c r="D15" i="19"/>
  <c r="H15" i="19"/>
  <c r="C18" i="19"/>
  <c r="I15" i="19"/>
  <c r="I18" i="19"/>
  <c r="N13" i="19"/>
  <c r="B15" i="19"/>
  <c r="N11" i="19"/>
  <c r="N8" i="19"/>
  <c r="J22" i="19"/>
  <c r="J33" i="19" s="1"/>
  <c r="M15" i="19"/>
  <c r="L22" i="19"/>
  <c r="L33" i="19" s="1"/>
  <c r="F15" i="19"/>
  <c r="E22" i="19"/>
  <c r="E33" i="19" s="1"/>
  <c r="F18" i="19"/>
  <c r="D21" i="19"/>
  <c r="B20" i="19"/>
  <c r="D25" i="37" s="1"/>
  <c r="H18" i="19"/>
  <c r="K15" i="19"/>
  <c r="J15" i="19"/>
  <c r="K18" i="19"/>
  <c r="E15" i="19"/>
  <c r="B18" i="19"/>
  <c r="D23" i="37" s="1"/>
  <c r="M22" i="19"/>
  <c r="M33" i="19" s="1"/>
  <c r="L15" i="19"/>
  <c r="D18" i="19"/>
  <c r="F23" i="37" s="1"/>
  <c r="N12" i="19"/>
  <c r="G15" i="19"/>
  <c r="G18" i="19"/>
  <c r="N59" i="10" l="1"/>
  <c r="G60" i="10"/>
  <c r="G35" i="10" s="1"/>
  <c r="G27" i="37"/>
  <c r="P34" i="37"/>
  <c r="Q34" i="37" s="1"/>
  <c r="O51" i="37"/>
  <c r="F33" i="37"/>
  <c r="F47" i="37"/>
  <c r="F51" i="37" s="1"/>
  <c r="F22" i="19"/>
  <c r="F33" i="19" s="1"/>
  <c r="H23" i="37"/>
  <c r="I22" i="19"/>
  <c r="I33" i="19" s="1"/>
  <c r="K23" i="37"/>
  <c r="N37" i="37"/>
  <c r="D42" i="37"/>
  <c r="D44" i="37" s="1"/>
  <c r="P44" i="37" s="1"/>
  <c r="D35" i="37"/>
  <c r="P35" i="37" s="1"/>
  <c r="Q35" i="37" s="1"/>
  <c r="P42" i="37"/>
  <c r="Q42" i="37" s="1"/>
  <c r="P25" i="37"/>
  <c r="N18" i="19"/>
  <c r="D36" i="37"/>
  <c r="G37" i="37"/>
  <c r="L51" i="37"/>
  <c r="O37" i="37"/>
  <c r="N51" i="37"/>
  <c r="D33" i="37"/>
  <c r="D27" i="37"/>
  <c r="D47" i="37"/>
  <c r="C22" i="19"/>
  <c r="C33" i="19" s="1"/>
  <c r="E23" i="37"/>
  <c r="G22" i="19"/>
  <c r="G33" i="19" s="1"/>
  <c r="I23" i="37"/>
  <c r="H22" i="19"/>
  <c r="H33" i="19" s="1"/>
  <c r="J23" i="37"/>
  <c r="K22" i="19"/>
  <c r="K33" i="19" s="1"/>
  <c r="M23" i="37"/>
  <c r="D34" i="19"/>
  <c r="N34" i="19" s="1"/>
  <c r="F26" i="37"/>
  <c r="F36" i="37" s="1"/>
  <c r="G51" i="37"/>
  <c r="L37" i="37"/>
  <c r="P48" i="37"/>
  <c r="O27" i="37"/>
  <c r="N27" i="37"/>
  <c r="G40" i="10"/>
  <c r="J40" i="10"/>
  <c r="N21" i="19"/>
  <c r="B22" i="19"/>
  <c r="B33" i="19" s="1"/>
  <c r="N58" i="10"/>
  <c r="B60" i="10"/>
  <c r="B56" i="10"/>
  <c r="N56" i="10" s="1"/>
  <c r="N55" i="10"/>
  <c r="B49" i="10"/>
  <c r="N49" i="10" s="1"/>
  <c r="N48" i="10"/>
  <c r="N34" i="10"/>
  <c r="M40" i="10" s="1"/>
  <c r="D22" i="19"/>
  <c r="D33" i="19" s="1"/>
  <c r="N20" i="19"/>
  <c r="N19" i="19"/>
  <c r="N15" i="19"/>
  <c r="J38" i="19" s="1"/>
  <c r="N33" i="19" l="1"/>
  <c r="J33" i="37"/>
  <c r="J37" i="37" s="1"/>
  <c r="J47" i="37"/>
  <c r="J51" i="37" s="1"/>
  <c r="J27" i="37"/>
  <c r="P23" i="37"/>
  <c r="N53" i="37"/>
  <c r="N38" i="37"/>
  <c r="D51" i="37"/>
  <c r="G53" i="37"/>
  <c r="G38" i="37"/>
  <c r="K33" i="37"/>
  <c r="K37" i="37" s="1"/>
  <c r="K47" i="37"/>
  <c r="K51" i="37" s="1"/>
  <c r="K27" i="37"/>
  <c r="L53" i="37"/>
  <c r="L38" i="37"/>
  <c r="M27" i="37"/>
  <c r="M47" i="37"/>
  <c r="M51" i="37" s="1"/>
  <c r="M33" i="37"/>
  <c r="M37" i="37" s="1"/>
  <c r="I33" i="37"/>
  <c r="I37" i="37" s="1"/>
  <c r="I27" i="37"/>
  <c r="I47" i="37"/>
  <c r="I51" i="37" s="1"/>
  <c r="E33" i="37"/>
  <c r="E37" i="37" s="1"/>
  <c r="E27" i="37"/>
  <c r="E47" i="37"/>
  <c r="E51" i="37" s="1"/>
  <c r="P26" i="37"/>
  <c r="F27" i="37"/>
  <c r="D37" i="37"/>
  <c r="O53" i="37"/>
  <c r="O38" i="37"/>
  <c r="P36" i="37"/>
  <c r="Q36" i="37" s="1"/>
  <c r="H33" i="37"/>
  <c r="H37" i="37" s="1"/>
  <c r="H27" i="37"/>
  <c r="H47" i="37"/>
  <c r="H51" i="37" s="1"/>
  <c r="F37" i="37"/>
  <c r="N22" i="19"/>
  <c r="N31" i="10"/>
  <c r="N32" i="10" s="1"/>
  <c r="B35" i="10"/>
  <c r="N60" i="10"/>
  <c r="N35" i="10" s="1"/>
  <c r="C38" i="19"/>
  <c r="G38" i="19"/>
  <c r="P27" i="37" l="1"/>
  <c r="I53" i="37"/>
  <c r="I38" i="37"/>
  <c r="K38" i="37"/>
  <c r="K53" i="37"/>
  <c r="D53" i="37"/>
  <c r="P51" i="37"/>
  <c r="J38" i="37"/>
  <c r="J53" i="37"/>
  <c r="O54" i="37"/>
  <c r="E38" i="37"/>
  <c r="M53" i="37"/>
  <c r="M38" i="37"/>
  <c r="L54" i="37"/>
  <c r="J32" i="19"/>
  <c r="J35" i="19" s="1"/>
  <c r="H53" i="37"/>
  <c r="H38" i="37"/>
  <c r="P33" i="37"/>
  <c r="Q33" i="37" s="1"/>
  <c r="G54" i="37"/>
  <c r="N54" i="37"/>
  <c r="L32" i="19"/>
  <c r="L35" i="19" s="1"/>
  <c r="F53" i="37"/>
  <c r="F38" i="37"/>
  <c r="D38" i="37"/>
  <c r="P37" i="37"/>
  <c r="E53" i="37"/>
  <c r="P47" i="37"/>
  <c r="D54" i="37" l="1"/>
  <c r="P53" i="37"/>
  <c r="P54" i="37" s="1"/>
  <c r="I54" i="37"/>
  <c r="G32" i="19"/>
  <c r="G35" i="19" s="1"/>
  <c r="H54" i="37"/>
  <c r="F32" i="19"/>
  <c r="F35" i="19" s="1"/>
  <c r="M54" i="37"/>
  <c r="K32" i="19"/>
  <c r="K35" i="19" s="1"/>
  <c r="J54" i="37"/>
  <c r="H32" i="19"/>
  <c r="H35" i="19" s="1"/>
  <c r="K54" i="37"/>
  <c r="I32" i="19"/>
  <c r="I35" i="19" s="1"/>
  <c r="E54" i="37"/>
  <c r="C32" i="19"/>
  <c r="C35" i="19" s="1"/>
  <c r="F54" i="37"/>
  <c r="D32" i="19"/>
  <c r="D35" i="19" s="1"/>
  <c r="P38" i="37"/>
  <c r="Q53" i="37"/>
  <c r="E32" i="19"/>
  <c r="E35" i="19" s="1"/>
  <c r="M32" i="19"/>
  <c r="M35" i="19" s="1"/>
  <c r="N26" i="19" l="1"/>
  <c r="B32" i="19"/>
  <c r="N32" i="19" l="1"/>
  <c r="N35" i="19" s="1"/>
  <c r="L38" i="19" s="1"/>
  <c r="B35" i="19"/>
  <c r="H6" i="6" s="1"/>
  <c r="Q24" i="17" l="1"/>
  <c r="Q28" i="17" s="1"/>
  <c r="Q29" i="17" s="1"/>
  <c r="R24" i="17"/>
  <c r="R28" i="17" s="1"/>
  <c r="R29" i="17" s="1"/>
  <c r="P24" i="17"/>
  <c r="Q18" i="17"/>
  <c r="R18" i="17"/>
  <c r="Q19" i="17"/>
  <c r="R19" i="17"/>
  <c r="P19" i="17"/>
  <c r="P18" i="17"/>
  <c r="O19" i="17"/>
  <c r="V19" i="17" l="1"/>
  <c r="P28" i="17"/>
  <c r="P29" i="17" s="1"/>
  <c r="F23" i="17" l="1"/>
  <c r="F27" i="17" s="1"/>
  <c r="F29" i="17" s="1"/>
  <c r="G23" i="17"/>
  <c r="G27" i="17" s="1"/>
  <c r="G29" i="17" s="1"/>
  <c r="H23" i="17"/>
  <c r="H27" i="17" s="1"/>
  <c r="H29" i="17" s="1"/>
  <c r="I23" i="17"/>
  <c r="I27" i="17" s="1"/>
  <c r="I29" i="17" s="1"/>
  <c r="J23" i="17"/>
  <c r="K23" i="17"/>
  <c r="K27" i="17" s="1"/>
  <c r="K29" i="17" s="1"/>
  <c r="L23" i="17"/>
  <c r="L27" i="17" s="1"/>
  <c r="L29" i="17" s="1"/>
  <c r="M23" i="17"/>
  <c r="M27" i="17" s="1"/>
  <c r="M29" i="17" s="1"/>
  <c r="N23" i="17"/>
  <c r="N27" i="17" s="1"/>
  <c r="N29" i="17" s="1"/>
  <c r="O23" i="17"/>
  <c r="O27" i="17" s="1"/>
  <c r="F24" i="17"/>
  <c r="G24" i="17"/>
  <c r="H24" i="17"/>
  <c r="I24" i="17"/>
  <c r="J24" i="17"/>
  <c r="K24" i="17"/>
  <c r="L24" i="17"/>
  <c r="M24" i="17"/>
  <c r="N24" i="17"/>
  <c r="O24" i="17"/>
  <c r="O28" i="17" s="1"/>
  <c r="E24" i="17"/>
  <c r="E23" i="17"/>
  <c r="E27" i="17" s="1"/>
  <c r="E29" i="17" s="1"/>
  <c r="D23" i="17"/>
  <c r="D27" i="17" s="1"/>
  <c r="D29" i="17" s="1"/>
  <c r="E18" i="17"/>
  <c r="F18" i="17"/>
  <c r="G18" i="17"/>
  <c r="H18" i="17"/>
  <c r="I18" i="17"/>
  <c r="J18" i="17"/>
  <c r="K18" i="17"/>
  <c r="L18" i="17"/>
  <c r="M18" i="17"/>
  <c r="N18" i="17"/>
  <c r="O18" i="17"/>
  <c r="D18" i="17"/>
  <c r="A22" i="17"/>
  <c r="A23" i="17"/>
  <c r="S10" i="17"/>
  <c r="U10" i="17"/>
  <c r="A7" i="26"/>
  <c r="A8" i="26"/>
  <c r="P7" i="17"/>
  <c r="Q7" i="17"/>
  <c r="R7" i="17"/>
  <c r="S7" i="17"/>
  <c r="U7" i="17"/>
  <c r="K16" i="26"/>
  <c r="K21" i="26" s="1"/>
  <c r="K29" i="26" s="1"/>
  <c r="K30" i="26" s="1"/>
  <c r="K33" i="26" s="1"/>
  <c r="K36" i="26" s="1"/>
  <c r="K37" i="26" s="1"/>
  <c r="A9" i="26"/>
  <c r="P8" i="17"/>
  <c r="Q8" i="17"/>
  <c r="R8" i="17"/>
  <c r="T8" i="17"/>
  <c r="U8" i="17"/>
  <c r="N16" i="26"/>
  <c r="N21" i="26" s="1"/>
  <c r="N29" i="26" s="1"/>
  <c r="N30" i="26" s="1"/>
  <c r="N33" i="26" s="1"/>
  <c r="N36" i="26" s="1"/>
  <c r="N37" i="26" s="1"/>
  <c r="A10" i="26"/>
  <c r="P9" i="17"/>
  <c r="Q9" i="17"/>
  <c r="R9" i="17"/>
  <c r="S9" i="17"/>
  <c r="T9" i="17"/>
  <c r="U9" i="17"/>
  <c r="A11" i="26"/>
  <c r="P10" i="17"/>
  <c r="Q10" i="17"/>
  <c r="R10" i="17"/>
  <c r="T10" i="17"/>
  <c r="O16" i="26"/>
  <c r="O21" i="26" s="1"/>
  <c r="O29" i="26" s="1"/>
  <c r="O30" i="26" s="1"/>
  <c r="O33" i="26" s="1"/>
  <c r="O36" i="26" s="1"/>
  <c r="O37" i="26" s="1"/>
  <c r="A12" i="26"/>
  <c r="A13" i="26"/>
  <c r="A14" i="26"/>
  <c r="Q14" i="26"/>
  <c r="A15" i="26"/>
  <c r="A16" i="26"/>
  <c r="M16" i="26"/>
  <c r="M21" i="26" s="1"/>
  <c r="M29" i="26" s="1"/>
  <c r="M30" i="26" s="1"/>
  <c r="M33" i="26" s="1"/>
  <c r="M36" i="26" s="1"/>
  <c r="M37" i="26" s="1"/>
  <c r="A17" i="26"/>
  <c r="A18" i="26"/>
  <c r="A19" i="26"/>
  <c r="Q19" i="26"/>
  <c r="F20" i="26"/>
  <c r="Q20" i="26"/>
  <c r="A21" i="26"/>
  <c r="A22" i="26"/>
  <c r="A23" i="26"/>
  <c r="A24" i="26"/>
  <c r="Q24" i="26"/>
  <c r="A25" i="26"/>
  <c r="A26" i="26"/>
  <c r="A27" i="26"/>
  <c r="E27" i="26"/>
  <c r="F27" i="26"/>
  <c r="G27" i="26"/>
  <c r="H27" i="26"/>
  <c r="I27" i="26"/>
  <c r="J27" i="26"/>
  <c r="K27" i="26"/>
  <c r="L27" i="26"/>
  <c r="M27" i="26"/>
  <c r="N27" i="26"/>
  <c r="O27" i="26"/>
  <c r="P27" i="26"/>
  <c r="Q27" i="26"/>
  <c r="A28" i="26"/>
  <c r="A29" i="26"/>
  <c r="A30" i="26"/>
  <c r="A31" i="26"/>
  <c r="A32" i="26"/>
  <c r="A33" i="26"/>
  <c r="A34" i="26"/>
  <c r="A35" i="26"/>
  <c r="A36" i="26"/>
  <c r="A37" i="26"/>
  <c r="A38" i="26"/>
  <c r="A39" i="26"/>
  <c r="A40" i="26"/>
  <c r="A41" i="26"/>
  <c r="A42" i="26"/>
  <c r="A43" i="26"/>
  <c r="P16" i="26" l="1"/>
  <c r="P21" i="26" s="1"/>
  <c r="P29" i="26" s="1"/>
  <c r="P30" i="26" s="1"/>
  <c r="P33" i="26" s="1"/>
  <c r="P36" i="26" s="1"/>
  <c r="P37" i="26" s="1"/>
  <c r="L16" i="26"/>
  <c r="L21" i="26" s="1"/>
  <c r="L29" i="26" s="1"/>
  <c r="L30" i="26" s="1"/>
  <c r="L33" i="26" s="1"/>
  <c r="L36" i="26" s="1"/>
  <c r="L37" i="26" s="1"/>
  <c r="F16" i="26"/>
  <c r="F21" i="26" s="1"/>
  <c r="Q10" i="26"/>
  <c r="E16" i="26"/>
  <c r="E21" i="26" s="1"/>
  <c r="P21" i="17" s="1"/>
  <c r="V24" i="17"/>
  <c r="V18" i="17"/>
  <c r="J27" i="17"/>
  <c r="J29" i="17" s="1"/>
  <c r="V23" i="17"/>
  <c r="G16" i="26"/>
  <c r="G21" i="26" s="1"/>
  <c r="R21" i="17" s="1"/>
  <c r="Q13" i="26"/>
  <c r="Q12" i="26"/>
  <c r="Q11" i="26"/>
  <c r="Q9" i="26"/>
  <c r="S8" i="17"/>
  <c r="U15" i="17"/>
  <c r="U20" i="17" s="1"/>
  <c r="U30" i="17" s="1"/>
  <c r="J16" i="26"/>
  <c r="J21" i="26" s="1"/>
  <c r="Q15" i="26"/>
  <c r="O29" i="17"/>
  <c r="H16" i="26"/>
  <c r="H21" i="26" s="1"/>
  <c r="F29" i="26" l="1"/>
  <c r="F30" i="26" s="1"/>
  <c r="F33" i="26" s="1"/>
  <c r="F36" i="26" s="1"/>
  <c r="F37" i="26" s="1"/>
  <c r="Q21" i="17"/>
  <c r="E29" i="26"/>
  <c r="E30" i="26" s="1"/>
  <c r="E33" i="26" s="1"/>
  <c r="E36" i="26" s="1"/>
  <c r="U33" i="17"/>
  <c r="U35" i="17" s="1"/>
  <c r="U36" i="17" s="1"/>
  <c r="U45" i="17"/>
  <c r="G29" i="26"/>
  <c r="G30" i="26" s="1"/>
  <c r="G33" i="26" s="1"/>
  <c r="G36" i="26" s="1"/>
  <c r="G37" i="26" s="1"/>
  <c r="H29" i="26"/>
  <c r="H30" i="26" s="1"/>
  <c r="H33" i="26" s="1"/>
  <c r="H36" i="26" s="1"/>
  <c r="H37" i="26" s="1"/>
  <c r="S21" i="17"/>
  <c r="J29" i="26"/>
  <c r="J30" i="26" s="1"/>
  <c r="J33" i="26" s="1"/>
  <c r="J36" i="26" s="1"/>
  <c r="J37" i="26" s="1"/>
  <c r="U21" i="17"/>
  <c r="T7" i="17"/>
  <c r="I16" i="26"/>
  <c r="I21" i="26" s="1"/>
  <c r="Q8" i="26"/>
  <c r="Q16" i="26" s="1"/>
  <c r="Q21" i="26" s="1"/>
  <c r="Q29" i="26" s="1"/>
  <c r="Q30" i="26" s="1"/>
  <c r="S15" i="17"/>
  <c r="S20" i="17" s="1"/>
  <c r="S30" i="17" s="1"/>
  <c r="E39" i="26" l="1"/>
  <c r="F39" i="26" s="1"/>
  <c r="G39" i="26" s="1"/>
  <c r="H39" i="26" s="1"/>
  <c r="E37" i="26"/>
  <c r="E40" i="26" s="1"/>
  <c r="S33" i="17"/>
  <c r="S35" i="17" s="1"/>
  <c r="S36" i="17" s="1"/>
  <c r="S45" i="17"/>
  <c r="T21" i="17"/>
  <c r="I29" i="26"/>
  <c r="I30" i="26" s="1"/>
  <c r="I33" i="26" s="1"/>
  <c r="I36" i="26" s="1"/>
  <c r="I37" i="26" s="1"/>
  <c r="T15" i="17"/>
  <c r="T20" i="17" s="1"/>
  <c r="T30" i="17" s="1"/>
  <c r="I39" i="26" l="1"/>
  <c r="J39" i="26" s="1"/>
  <c r="K39" i="26" s="1"/>
  <c r="L39" i="26" s="1"/>
  <c r="M39" i="26" s="1"/>
  <c r="N39" i="26" s="1"/>
  <c r="O39" i="26" s="1"/>
  <c r="P39" i="26" s="1"/>
  <c r="Q33" i="26"/>
  <c r="Q36" i="26" s="1"/>
  <c r="Q37" i="26" s="1"/>
  <c r="Q40" i="26" s="1"/>
  <c r="F40" i="26"/>
  <c r="P40" i="17"/>
  <c r="T33" i="17"/>
  <c r="T35" i="17" s="1"/>
  <c r="T36" i="17" s="1"/>
  <c r="T45" i="17"/>
  <c r="Q39" i="26"/>
  <c r="A7" i="24"/>
  <c r="A8" i="24"/>
  <c r="D7" i="17"/>
  <c r="E7" i="17"/>
  <c r="F7" i="17"/>
  <c r="G7" i="17"/>
  <c r="H7" i="17"/>
  <c r="I7" i="17"/>
  <c r="J7" i="17"/>
  <c r="K7" i="17"/>
  <c r="L7" i="17"/>
  <c r="M7" i="17"/>
  <c r="N7" i="17"/>
  <c r="O7" i="17"/>
  <c r="R8" i="24"/>
  <c r="A9" i="24"/>
  <c r="D8" i="17"/>
  <c r="E8" i="17"/>
  <c r="F8" i="17"/>
  <c r="G8" i="17"/>
  <c r="H8" i="17"/>
  <c r="I8" i="17"/>
  <c r="J8" i="17"/>
  <c r="K8" i="17"/>
  <c r="L8" i="17"/>
  <c r="M8" i="17"/>
  <c r="N8" i="17"/>
  <c r="A10" i="24"/>
  <c r="D9" i="17"/>
  <c r="F9" i="17"/>
  <c r="G9" i="17"/>
  <c r="H9" i="17"/>
  <c r="I9" i="17"/>
  <c r="J9" i="17"/>
  <c r="K9" i="17"/>
  <c r="L9" i="17"/>
  <c r="M9" i="17"/>
  <c r="N9" i="17"/>
  <c r="O9" i="17"/>
  <c r="A11" i="24"/>
  <c r="E10" i="17"/>
  <c r="F10" i="17"/>
  <c r="G10" i="17"/>
  <c r="I10" i="17"/>
  <c r="J10" i="17"/>
  <c r="K10" i="17"/>
  <c r="M10" i="17"/>
  <c r="N10" i="17"/>
  <c r="O10" i="17"/>
  <c r="R11" i="24"/>
  <c r="A12" i="24"/>
  <c r="D11" i="17"/>
  <c r="E11" i="17"/>
  <c r="F11" i="17"/>
  <c r="G11" i="17"/>
  <c r="H11" i="17"/>
  <c r="I11" i="17"/>
  <c r="J11" i="17"/>
  <c r="K11" i="17"/>
  <c r="L11" i="17"/>
  <c r="M11" i="17"/>
  <c r="N11" i="17"/>
  <c r="O11" i="17"/>
  <c r="A13" i="24"/>
  <c r="D12" i="17"/>
  <c r="E12" i="17"/>
  <c r="F12" i="17"/>
  <c r="G12" i="17"/>
  <c r="H12" i="17"/>
  <c r="I12" i="17"/>
  <c r="J12" i="17"/>
  <c r="K12" i="17"/>
  <c r="L12" i="17"/>
  <c r="M12" i="17"/>
  <c r="N12" i="17"/>
  <c r="O12" i="17"/>
  <c r="R13" i="24"/>
  <c r="A14" i="24"/>
  <c r="D13" i="17"/>
  <c r="F13" i="17"/>
  <c r="G13" i="17"/>
  <c r="H13" i="17"/>
  <c r="I13" i="17"/>
  <c r="J13" i="17"/>
  <c r="K13" i="17"/>
  <c r="L13" i="17"/>
  <c r="M13" i="17"/>
  <c r="N13" i="17"/>
  <c r="O13" i="17"/>
  <c r="A15" i="24"/>
  <c r="D14" i="17"/>
  <c r="E14" i="17"/>
  <c r="F14" i="17"/>
  <c r="G14" i="17"/>
  <c r="H14" i="17"/>
  <c r="I14" i="17"/>
  <c r="J14" i="17"/>
  <c r="K14" i="17"/>
  <c r="L14" i="17"/>
  <c r="M14" i="17"/>
  <c r="N14" i="17"/>
  <c r="O14" i="17"/>
  <c r="A16" i="24"/>
  <c r="I16" i="24"/>
  <c r="I21" i="24" s="1"/>
  <c r="K16" i="24"/>
  <c r="K21" i="24" s="1"/>
  <c r="P16" i="24"/>
  <c r="P21" i="24" s="1"/>
  <c r="A17" i="24"/>
  <c r="A18" i="24"/>
  <c r="A19" i="24"/>
  <c r="Q19" i="24"/>
  <c r="R19" i="24"/>
  <c r="Q20" i="24"/>
  <c r="R20" i="24"/>
  <c r="A21" i="24"/>
  <c r="A22" i="24"/>
  <c r="A23" i="24"/>
  <c r="A24" i="24"/>
  <c r="R24" i="24"/>
  <c r="A25" i="24"/>
  <c r="R25" i="24"/>
  <c r="A26" i="24"/>
  <c r="A27" i="24"/>
  <c r="A28" i="24"/>
  <c r="F28" i="24"/>
  <c r="G28" i="24"/>
  <c r="H28" i="24"/>
  <c r="I28" i="24"/>
  <c r="J28" i="24"/>
  <c r="K28" i="24"/>
  <c r="L28" i="24"/>
  <c r="M28" i="24"/>
  <c r="N28" i="24"/>
  <c r="O28" i="24"/>
  <c r="P28" i="24"/>
  <c r="Q28" i="24"/>
  <c r="R28" i="24"/>
  <c r="A29" i="24"/>
  <c r="Q29" i="24"/>
  <c r="R29" i="24"/>
  <c r="A30" i="24"/>
  <c r="R30" i="24"/>
  <c r="A31" i="24"/>
  <c r="A32" i="24"/>
  <c r="A33" i="24"/>
  <c r="A34" i="24"/>
  <c r="A35" i="24"/>
  <c r="A36" i="24"/>
  <c r="A37" i="24"/>
  <c r="A38" i="24"/>
  <c r="A39" i="24"/>
  <c r="A40" i="24"/>
  <c r="A41" i="24"/>
  <c r="A42" i="24"/>
  <c r="A43" i="24"/>
  <c r="A44" i="24"/>
  <c r="A45" i="24"/>
  <c r="K31" i="24" l="1"/>
  <c r="K32" i="24" s="1"/>
  <c r="K35" i="24" s="1"/>
  <c r="K38" i="24" s="1"/>
  <c r="K39" i="24" s="1"/>
  <c r="I21" i="17"/>
  <c r="G21" i="17"/>
  <c r="I31" i="24"/>
  <c r="I32" i="24" s="1"/>
  <c r="I35" i="24" s="1"/>
  <c r="I38" i="24" s="1"/>
  <c r="I39" i="24" s="1"/>
  <c r="N16" i="24"/>
  <c r="N21" i="24" s="1"/>
  <c r="L10" i="17"/>
  <c r="L15" i="17"/>
  <c r="L20" i="17" s="1"/>
  <c r="L30" i="17" s="1"/>
  <c r="Q40" i="17"/>
  <c r="G40" i="26"/>
  <c r="O16" i="24"/>
  <c r="O21" i="24" s="1"/>
  <c r="O15" i="17"/>
  <c r="O20" i="17" s="1"/>
  <c r="O30" i="17" s="1"/>
  <c r="G15" i="17"/>
  <c r="G20" i="17" s="1"/>
  <c r="G30" i="17" s="1"/>
  <c r="M16" i="24"/>
  <c r="M21" i="24" s="1"/>
  <c r="V10" i="17"/>
  <c r="N15" i="17"/>
  <c r="N20" i="17" s="1"/>
  <c r="N30" i="17" s="1"/>
  <c r="J15" i="17"/>
  <c r="J20" i="17" s="1"/>
  <c r="J30" i="17" s="1"/>
  <c r="V7" i="17"/>
  <c r="F15" i="17"/>
  <c r="F20" i="17" s="1"/>
  <c r="F30" i="17" s="1"/>
  <c r="P31" i="24"/>
  <c r="P32" i="24" s="1"/>
  <c r="P35" i="24" s="1"/>
  <c r="P38" i="24" s="1"/>
  <c r="P39" i="24" s="1"/>
  <c r="N21" i="17"/>
  <c r="V13" i="17"/>
  <c r="V11" i="17"/>
  <c r="J16" i="24"/>
  <c r="J21" i="24" s="1"/>
  <c r="H10" i="17"/>
  <c r="H15" i="17" s="1"/>
  <c r="H20" i="17" s="1"/>
  <c r="H30" i="17" s="1"/>
  <c r="F16" i="24"/>
  <c r="F21" i="24" s="1"/>
  <c r="D21" i="17" s="1"/>
  <c r="D10" i="17"/>
  <c r="R10" i="24"/>
  <c r="E9" i="17"/>
  <c r="E15" i="17" s="1"/>
  <c r="E20" i="17" s="1"/>
  <c r="E30" i="17" s="1"/>
  <c r="R15" i="24"/>
  <c r="R14" i="24"/>
  <c r="E13" i="17"/>
  <c r="K15" i="17"/>
  <c r="K20" i="17" s="1"/>
  <c r="K30" i="17" s="1"/>
  <c r="H16" i="24"/>
  <c r="H21" i="24" s="1"/>
  <c r="V12" i="17"/>
  <c r="R12" i="24"/>
  <c r="L16" i="24"/>
  <c r="L21" i="24" s="1"/>
  <c r="G16" i="24"/>
  <c r="G21" i="24" s="1"/>
  <c r="V14" i="17"/>
  <c r="V9" i="17"/>
  <c r="R9" i="24"/>
  <c r="O8" i="17"/>
  <c r="V8" i="17" s="1"/>
  <c r="M15" i="17"/>
  <c r="M20" i="17" s="1"/>
  <c r="M30" i="17" s="1"/>
  <c r="I15" i="17"/>
  <c r="I20" i="17" s="1"/>
  <c r="I30" i="17" s="1"/>
  <c r="F31" i="24"/>
  <c r="F32" i="24" s="1"/>
  <c r="F35" i="24" s="1"/>
  <c r="Q16" i="24"/>
  <c r="Q21" i="24" s="1"/>
  <c r="E33" i="17" l="1"/>
  <c r="E35" i="17" s="1"/>
  <c r="E36" i="17" s="1"/>
  <c r="E45" i="17"/>
  <c r="E48" i="17" s="1"/>
  <c r="E50" i="17" s="1"/>
  <c r="H33" i="17"/>
  <c r="H35" i="17" s="1"/>
  <c r="H36" i="17" s="1"/>
  <c r="H45" i="17"/>
  <c r="H48" i="17" s="1"/>
  <c r="H50" i="17" s="1"/>
  <c r="Q31" i="24"/>
  <c r="Q32" i="24" s="1"/>
  <c r="Q35" i="24" s="1"/>
  <c r="Q38" i="24" s="1"/>
  <c r="Q39" i="24" s="1"/>
  <c r="O21" i="17"/>
  <c r="I45" i="17"/>
  <c r="I48" i="17" s="1"/>
  <c r="I50" i="17" s="1"/>
  <c r="I33" i="17"/>
  <c r="I35" i="17" s="1"/>
  <c r="I36" i="17" s="1"/>
  <c r="J33" i="17"/>
  <c r="J35" i="17" s="1"/>
  <c r="J36" i="17" s="1"/>
  <c r="J45" i="17"/>
  <c r="G33" i="17"/>
  <c r="G35" i="17" s="1"/>
  <c r="G36" i="17" s="1"/>
  <c r="G45" i="17"/>
  <c r="G48" i="17" s="1"/>
  <c r="G50" i="17" s="1"/>
  <c r="L21" i="17"/>
  <c r="N31" i="24"/>
  <c r="N32" i="24" s="1"/>
  <c r="N35" i="24" s="1"/>
  <c r="N38" i="24" s="1"/>
  <c r="N39" i="24" s="1"/>
  <c r="M33" i="17"/>
  <c r="M35" i="17" s="1"/>
  <c r="M36" i="17" s="1"/>
  <c r="M45" i="17"/>
  <c r="J31" i="24"/>
  <c r="J32" i="24" s="1"/>
  <c r="J35" i="24" s="1"/>
  <c r="J38" i="24" s="1"/>
  <c r="J39" i="24" s="1"/>
  <c r="H21" i="17"/>
  <c r="N45" i="17"/>
  <c r="N33" i="17"/>
  <c r="N35" i="17" s="1"/>
  <c r="N36" i="17" s="1"/>
  <c r="O33" i="17"/>
  <c r="O35" i="17" s="1"/>
  <c r="O36" i="17" s="1"/>
  <c r="O45" i="17"/>
  <c r="L45" i="17"/>
  <c r="L33" i="17"/>
  <c r="L35" i="17" s="1"/>
  <c r="L36" i="17" s="1"/>
  <c r="R21" i="24"/>
  <c r="R31" i="24" s="1"/>
  <c r="R32" i="24" s="1"/>
  <c r="G31" i="24"/>
  <c r="G32" i="24" s="1"/>
  <c r="G35" i="24" s="1"/>
  <c r="G38" i="24" s="1"/>
  <c r="G39" i="24" s="1"/>
  <c r="E21" i="17"/>
  <c r="H31" i="24"/>
  <c r="H32" i="24" s="1"/>
  <c r="H35" i="24" s="1"/>
  <c r="H38" i="24" s="1"/>
  <c r="H39" i="24" s="1"/>
  <c r="F21" i="17"/>
  <c r="F33" i="17"/>
  <c r="F35" i="17" s="1"/>
  <c r="F36" i="17" s="1"/>
  <c r="F45" i="17"/>
  <c r="F48" i="17" s="1"/>
  <c r="F50" i="17" s="1"/>
  <c r="O31" i="24"/>
  <c r="O32" i="24" s="1"/>
  <c r="O35" i="24" s="1"/>
  <c r="O38" i="24" s="1"/>
  <c r="O39" i="24" s="1"/>
  <c r="M21" i="17"/>
  <c r="R16" i="24"/>
  <c r="L31" i="24"/>
  <c r="L32" i="24" s="1"/>
  <c r="L35" i="24" s="1"/>
  <c r="L38" i="24" s="1"/>
  <c r="L39" i="24" s="1"/>
  <c r="J21" i="17"/>
  <c r="K45" i="17"/>
  <c r="K33" i="17"/>
  <c r="K35" i="17" s="1"/>
  <c r="K36" i="17" s="1"/>
  <c r="V15" i="17"/>
  <c r="V20" i="17" s="1"/>
  <c r="V30" i="17" s="1"/>
  <c r="K21" i="17"/>
  <c r="M31" i="24"/>
  <c r="M32" i="24" s="1"/>
  <c r="M35" i="24" s="1"/>
  <c r="M38" i="24" s="1"/>
  <c r="M39" i="24" s="1"/>
  <c r="R40" i="17"/>
  <c r="H40" i="26"/>
  <c r="R35" i="24"/>
  <c r="R38" i="24" s="1"/>
  <c r="F38" i="24"/>
  <c r="S40" i="17" l="1"/>
  <c r="I40" i="26"/>
  <c r="F41" i="24"/>
  <c r="G41" i="24" s="1"/>
  <c r="H41" i="24" s="1"/>
  <c r="I41" i="24" s="1"/>
  <c r="J41" i="24" s="1"/>
  <c r="K41" i="24" s="1"/>
  <c r="L41" i="24" s="1"/>
  <c r="M41" i="24" s="1"/>
  <c r="N41" i="24" s="1"/>
  <c r="O41" i="24" s="1"/>
  <c r="P41" i="24" s="1"/>
  <c r="Q41" i="24" s="1"/>
  <c r="F39" i="24"/>
  <c r="F42" i="24" s="1"/>
  <c r="R41" i="24"/>
  <c r="R39" i="24"/>
  <c r="R42" i="24" s="1"/>
  <c r="J40" i="26" l="1"/>
  <c r="T40" i="17"/>
  <c r="G42" i="24"/>
  <c r="D40" i="17"/>
  <c r="I6" i="6"/>
  <c r="J6" i="6"/>
  <c r="K6" i="6"/>
  <c r="L6" i="6"/>
  <c r="M6" i="6"/>
  <c r="N6" i="6"/>
  <c r="O6" i="6"/>
  <c r="P6" i="6"/>
  <c r="Q6" i="6"/>
  <c r="R6" i="6"/>
  <c r="S6" i="6"/>
  <c r="K40" i="26" l="1"/>
  <c r="L40" i="26" s="1"/>
  <c r="M40" i="26" s="1"/>
  <c r="N40" i="26" s="1"/>
  <c r="O40" i="26" s="1"/>
  <c r="P40" i="26" s="1"/>
  <c r="U40" i="17"/>
  <c r="H42" i="24"/>
  <c r="E40" i="17"/>
  <c r="T6" i="6"/>
  <c r="E16" i="6" s="1"/>
  <c r="E21" i="6" s="1"/>
  <c r="D15" i="17"/>
  <c r="D20" i="17" s="1"/>
  <c r="I42" i="24" l="1"/>
  <c r="F40" i="17"/>
  <c r="D30" i="17"/>
  <c r="T24" i="6"/>
  <c r="J42" i="24" l="1"/>
  <c r="G40" i="17"/>
  <c r="D33" i="17"/>
  <c r="D45" i="17"/>
  <c r="D48" i="17" s="1"/>
  <c r="D50" i="17" s="1"/>
  <c r="D35" i="17"/>
  <c r="D36" i="17" s="1"/>
  <c r="D39" i="17" s="1"/>
  <c r="A19" i="17"/>
  <c r="K42" i="24" l="1"/>
  <c r="H40" i="17"/>
  <c r="D53" i="17"/>
  <c r="D38" i="17"/>
  <c r="E38" i="17" s="1"/>
  <c r="F38" i="17" s="1"/>
  <c r="G38" i="17" s="1"/>
  <c r="H38" i="17" s="1"/>
  <c r="I38" i="17" s="1"/>
  <c r="J38" i="17" s="1"/>
  <c r="K38" i="17" s="1"/>
  <c r="L38" i="17" s="1"/>
  <c r="M38" i="17" s="1"/>
  <c r="N38" i="17" s="1"/>
  <c r="O38" i="17" s="1"/>
  <c r="E39" i="17"/>
  <c r="D41" i="17"/>
  <c r="R15" i="17"/>
  <c r="R20" i="17" s="1"/>
  <c r="Q15" i="17"/>
  <c r="Q20" i="17" s="1"/>
  <c r="Q30" i="17" s="1"/>
  <c r="A24" i="17"/>
  <c r="A20" i="17"/>
  <c r="A18" i="17"/>
  <c r="A17" i="17"/>
  <c r="A16" i="17"/>
  <c r="A15" i="17"/>
  <c r="A14" i="17"/>
  <c r="A13" i="17"/>
  <c r="A12" i="17"/>
  <c r="A11" i="17"/>
  <c r="A10" i="17"/>
  <c r="A9" i="17"/>
  <c r="A8" i="17"/>
  <c r="A7" i="17"/>
  <c r="A6" i="17"/>
  <c r="L42" i="24" l="1"/>
  <c r="I40" i="17"/>
  <c r="Q33" i="17"/>
  <c r="Q35" i="17" s="1"/>
  <c r="Q36" i="17" s="1"/>
  <c r="Q45" i="17"/>
  <c r="E53" i="17"/>
  <c r="D56" i="17"/>
  <c r="R30" i="17"/>
  <c r="E41" i="17"/>
  <c r="F39" i="17"/>
  <c r="P15" i="17"/>
  <c r="P20" i="17" s="1"/>
  <c r="P30" i="17" s="1"/>
  <c r="M42" i="24" l="1"/>
  <c r="J40" i="17"/>
  <c r="P33" i="17"/>
  <c r="P45" i="17"/>
  <c r="R33" i="17"/>
  <c r="R35" i="17" s="1"/>
  <c r="R36" i="17" s="1"/>
  <c r="R45" i="17"/>
  <c r="D57" i="17"/>
  <c r="D63" i="17"/>
  <c r="F53" i="17"/>
  <c r="F56" i="17" s="1"/>
  <c r="F63" i="17" s="1"/>
  <c r="E56" i="17"/>
  <c r="P35" i="17"/>
  <c r="P38" i="17" s="1"/>
  <c r="F41" i="17"/>
  <c r="G39" i="17"/>
  <c r="N42" i="24" l="1"/>
  <c r="K40" i="17"/>
  <c r="E63" i="17"/>
  <c r="E57" i="17"/>
  <c r="D61" i="17"/>
  <c r="D64" i="17"/>
  <c r="F57" i="17"/>
  <c r="F64" i="17" s="1"/>
  <c r="D58" i="17"/>
  <c r="P36" i="17"/>
  <c r="P39" i="17" s="1"/>
  <c r="Q38" i="17"/>
  <c r="R38" i="17" s="1"/>
  <c r="S38" i="17" s="1"/>
  <c r="T38" i="17" s="1"/>
  <c r="U38" i="17" s="1"/>
  <c r="G41" i="17"/>
  <c r="H39" i="17"/>
  <c r="O42" i="24" l="1"/>
  <c r="L40" i="17"/>
  <c r="F58" i="17"/>
  <c r="F59" i="17" s="1"/>
  <c r="F61" i="17"/>
  <c r="E61" i="17"/>
  <c r="E64" i="17"/>
  <c r="E58" i="17"/>
  <c r="D59" i="17"/>
  <c r="D62" i="17"/>
  <c r="D65" i="17"/>
  <c r="I39" i="17"/>
  <c r="H41" i="17"/>
  <c r="P42" i="24" l="1"/>
  <c r="M40" i="17"/>
  <c r="F65" i="17"/>
  <c r="F62" i="17"/>
  <c r="E59" i="17"/>
  <c r="E62" i="17"/>
  <c r="E65" i="17"/>
  <c r="J39" i="17"/>
  <c r="I41" i="17"/>
  <c r="Q42" i="24" l="1"/>
  <c r="O40" i="17" s="1"/>
  <c r="N40" i="17"/>
  <c r="K39" i="17"/>
  <c r="J41" i="17"/>
  <c r="L39" i="17" l="1"/>
  <c r="K41" i="17"/>
  <c r="M39" i="17" l="1"/>
  <c r="L41" i="17"/>
  <c r="N39" i="17" l="1"/>
  <c r="M41" i="17"/>
  <c r="M5" i="6"/>
  <c r="P5" i="6"/>
  <c r="R5" i="6"/>
  <c r="Q5" i="6"/>
  <c r="I5" i="6"/>
  <c r="O5" i="6"/>
  <c r="J5" i="6"/>
  <c r="L5" i="6"/>
  <c r="S5" i="6"/>
  <c r="K5" i="6"/>
  <c r="N5" i="6"/>
  <c r="O39" i="17" l="1"/>
  <c r="N41" i="17"/>
  <c r="T5" i="6"/>
  <c r="D16" i="6" s="1"/>
  <c r="D21" i="6" s="1"/>
  <c r="O41" i="17" l="1"/>
  <c r="U5" i="6"/>
  <c r="Q39" i="17" l="1"/>
  <c r="Q41" i="17" s="1"/>
  <c r="P41" i="17"/>
  <c r="R39" i="17" l="1"/>
  <c r="R41" i="17" s="1"/>
  <c r="S39" i="17" l="1"/>
  <c r="S41" i="17" s="1"/>
  <c r="G53" i="17"/>
  <c r="U6" i="6"/>
  <c r="T39" i="17" l="1"/>
  <c r="T41" i="17" s="1"/>
  <c r="H53" i="17"/>
  <c r="G56" i="17"/>
  <c r="G63" i="17" s="1"/>
  <c r="U39" i="17" l="1"/>
  <c r="U41" i="17" s="1"/>
  <c r="I53" i="17"/>
  <c r="H56" i="17"/>
  <c r="H63" i="17" s="1"/>
  <c r="G57" i="17"/>
  <c r="H57" i="17" l="1"/>
  <c r="H64" i="17" s="1"/>
  <c r="G58" i="17"/>
  <c r="G59" i="17" s="1"/>
  <c r="G61" i="17"/>
  <c r="G64" i="17"/>
  <c r="I56" i="17"/>
  <c r="I63" i="17" s="1"/>
  <c r="H61" i="17" l="1"/>
  <c r="H58" i="17"/>
  <c r="H59" i="17" s="1"/>
  <c r="I57" i="17"/>
  <c r="I64" i="17" s="1"/>
  <c r="G65" i="17"/>
  <c r="G62" i="17"/>
  <c r="I58" i="17" l="1"/>
  <c r="I59" i="17" s="1"/>
  <c r="H62" i="17"/>
  <c r="H65" i="17"/>
  <c r="I61" i="17"/>
  <c r="I65" i="17" l="1"/>
  <c r="I62" i="17"/>
  <c r="I29" i="47" l="1"/>
  <c r="J29" i="47" s="1"/>
  <c r="K29" i="47" s="1"/>
  <c r="I28" i="47"/>
  <c r="J28" i="47" s="1"/>
  <c r="K28" i="47" s="1"/>
  <c r="I27" i="47"/>
  <c r="J27" i="47" s="1"/>
  <c r="K27" i="47" s="1"/>
  <c r="I26" i="47"/>
  <c r="J26" i="47" s="1"/>
  <c r="K26" i="47" s="1"/>
  <c r="I25" i="47"/>
  <c r="J25" i="47" s="1"/>
  <c r="K25" i="47" s="1"/>
  <c r="I24" i="47"/>
  <c r="J24" i="47" l="1"/>
  <c r="I33" i="47"/>
  <c r="K24" i="47" l="1"/>
  <c r="K33" i="47" s="1"/>
  <c r="J33" i="47"/>
  <c r="D23" i="9" l="1"/>
  <c r="E23" i="9" s="1"/>
  <c r="F23" i="9" s="1"/>
  <c r="C23" i="9"/>
  <c r="D22" i="9"/>
  <c r="C22" i="9"/>
  <c r="D21" i="9"/>
  <c r="E21" i="9" s="1"/>
  <c r="F21" i="9" s="1"/>
  <c r="C21" i="9"/>
  <c r="D20" i="9"/>
  <c r="C20" i="9"/>
  <c r="D19" i="9"/>
  <c r="E19" i="9" s="1"/>
  <c r="F19" i="9" s="1"/>
  <c r="C19" i="9"/>
  <c r="D18" i="9"/>
  <c r="C18" i="9"/>
  <c r="D17" i="9"/>
  <c r="E17" i="9" s="1"/>
  <c r="F17" i="9" s="1"/>
  <c r="C17" i="9"/>
  <c r="D16" i="9"/>
  <c r="C16" i="9"/>
  <c r="D15" i="9"/>
  <c r="E15" i="9" s="1"/>
  <c r="F15" i="9" s="1"/>
  <c r="C15" i="9"/>
  <c r="D14" i="9"/>
  <c r="C14" i="9"/>
  <c r="D13" i="9"/>
  <c r="E13" i="9" s="1"/>
  <c r="F13" i="9" s="1"/>
  <c r="C13" i="9"/>
  <c r="D12" i="9"/>
  <c r="C12" i="9"/>
  <c r="N31" i="48" l="1"/>
  <c r="N32" i="48" s="1"/>
  <c r="M66" i="40" s="1"/>
  <c r="J31" i="48"/>
  <c r="J32" i="48" s="1"/>
  <c r="I66" i="40" s="1"/>
  <c r="F31" i="48"/>
  <c r="F32" i="48" s="1"/>
  <c r="E66" i="40" s="1"/>
  <c r="F11" i="48"/>
  <c r="M31" i="48"/>
  <c r="M32" i="48" s="1"/>
  <c r="L66" i="40" s="1"/>
  <c r="I31" i="48"/>
  <c r="I32" i="48" s="1"/>
  <c r="E31" i="48"/>
  <c r="E32" i="48" s="1"/>
  <c r="D66" i="40" s="1"/>
  <c r="L31" i="48"/>
  <c r="L32" i="48" s="1"/>
  <c r="K66" i="40" s="1"/>
  <c r="H31" i="48"/>
  <c r="H32" i="48" s="1"/>
  <c r="G66" i="40" s="1"/>
  <c r="D31" i="48"/>
  <c r="D32" i="48" s="1"/>
  <c r="C66" i="40" s="1"/>
  <c r="K31" i="48"/>
  <c r="K32" i="48" s="1"/>
  <c r="J66" i="40" s="1"/>
  <c r="G31" i="48"/>
  <c r="G32" i="48" s="1"/>
  <c r="F66" i="40" s="1"/>
  <c r="C31" i="48"/>
  <c r="E12" i="9"/>
  <c r="D24" i="9"/>
  <c r="H4" i="8" a="1"/>
  <c r="E14" i="9"/>
  <c r="F14" i="9" s="1"/>
  <c r="E16" i="9"/>
  <c r="F16" i="9" s="1"/>
  <c r="E18" i="9"/>
  <c r="F18" i="9" s="1"/>
  <c r="E20" i="9"/>
  <c r="F20" i="9" s="1"/>
  <c r="E22" i="9"/>
  <c r="F22" i="9" s="1"/>
  <c r="H5" i="8" a="1"/>
  <c r="C24" i="9"/>
  <c r="J75" i="40" l="1"/>
  <c r="K75" i="40"/>
  <c r="H66" i="40"/>
  <c r="H75" i="40" s="1"/>
  <c r="N33" i="48"/>
  <c r="I75" i="40"/>
  <c r="F12" i="48"/>
  <c r="F15" i="48" s="1"/>
  <c r="G11" i="48"/>
  <c r="B31" i="48"/>
  <c r="C32" i="48"/>
  <c r="B66" i="40" s="1"/>
  <c r="L75" i="40"/>
  <c r="M75" i="40"/>
  <c r="S4" i="8"/>
  <c r="K4" i="8"/>
  <c r="M4" i="8"/>
  <c r="N4" i="8"/>
  <c r="R4" i="8"/>
  <c r="O4" i="8"/>
  <c r="O6" i="8" s="1"/>
  <c r="O9" i="8" s="1"/>
  <c r="O4" i="6" s="1"/>
  <c r="O8" i="6" s="1"/>
  <c r="H4" i="8"/>
  <c r="J4" i="8"/>
  <c r="J6" i="8" s="1"/>
  <c r="J9" i="8" s="1"/>
  <c r="J4" i="6" s="1"/>
  <c r="J8" i="6" s="1"/>
  <c r="I4" i="8"/>
  <c r="Q4" i="8"/>
  <c r="Q6" i="8" s="1"/>
  <c r="Q9" i="8" s="1"/>
  <c r="Q4" i="6" s="1"/>
  <c r="Q8" i="6" s="1"/>
  <c r="P4" i="8"/>
  <c r="L4" i="8"/>
  <c r="O5" i="8"/>
  <c r="I5" i="8"/>
  <c r="H5" i="8"/>
  <c r="S5" i="8"/>
  <c r="Q5" i="8"/>
  <c r="P5" i="8"/>
  <c r="M5" i="8"/>
  <c r="L5" i="8"/>
  <c r="J5" i="8"/>
  <c r="R5" i="8"/>
  <c r="N5" i="8"/>
  <c r="K5" i="8"/>
  <c r="E24" i="9"/>
  <c r="F12" i="9"/>
  <c r="N66" i="40" l="1"/>
  <c r="B32" i="48"/>
  <c r="B41" i="48"/>
  <c r="B42" i="48" s="1"/>
  <c r="G18" i="48"/>
  <c r="J18" i="48" s="1"/>
  <c r="J11" i="48"/>
  <c r="J12" i="48" s="1"/>
  <c r="L13" i="48" s="1"/>
  <c r="G12" i="48"/>
  <c r="B33" i="48" s="1"/>
  <c r="N75" i="40"/>
  <c r="N6" i="8"/>
  <c r="N9" i="8" s="1"/>
  <c r="N4" i="6" s="1"/>
  <c r="N8" i="6" s="1"/>
  <c r="L6" i="8"/>
  <c r="L9" i="8" s="1"/>
  <c r="L4" i="6" s="1"/>
  <c r="L8" i="6" s="1"/>
  <c r="E46" i="48"/>
  <c r="E49" i="48" s="1"/>
  <c r="J27" i="6"/>
  <c r="L46" i="17"/>
  <c r="D57" i="40"/>
  <c r="D61" i="40" s="1"/>
  <c r="H57" i="40"/>
  <c r="H61" i="40" s="1"/>
  <c r="N27" i="6"/>
  <c r="P46" i="17"/>
  <c r="I46" i="48"/>
  <c r="I49" i="48" s="1"/>
  <c r="T5" i="8"/>
  <c r="P6" i="8"/>
  <c r="P9" i="8" s="1"/>
  <c r="P4" i="6" s="1"/>
  <c r="P8" i="6" s="1"/>
  <c r="H6" i="8"/>
  <c r="H9" i="8" s="1"/>
  <c r="T4" i="8"/>
  <c r="M6" i="8"/>
  <c r="M9" i="8" s="1"/>
  <c r="M4" i="6" s="1"/>
  <c r="M8" i="6" s="1"/>
  <c r="H12" i="8" a="1"/>
  <c r="F24" i="9"/>
  <c r="K57" i="40"/>
  <c r="K61" i="40" s="1"/>
  <c r="Q27" i="6"/>
  <c r="S46" i="17"/>
  <c r="L46" i="48"/>
  <c r="L49" i="48" s="1"/>
  <c r="O27" i="6"/>
  <c r="I57" i="40"/>
  <c r="I61" i="40" s="1"/>
  <c r="Q46" i="17"/>
  <c r="J46" i="48"/>
  <c r="J49" i="48" s="1"/>
  <c r="K6" i="8"/>
  <c r="K9" i="8" s="1"/>
  <c r="K4" i="6" s="1"/>
  <c r="K8" i="6" s="1"/>
  <c r="I6" i="8"/>
  <c r="I9" i="8" s="1"/>
  <c r="I4" i="6" s="1"/>
  <c r="I8" i="6" s="1"/>
  <c r="R6" i="8"/>
  <c r="R9" i="8" s="1"/>
  <c r="R4" i="6" s="1"/>
  <c r="R8" i="6" s="1"/>
  <c r="S6" i="8"/>
  <c r="S9" i="8" s="1"/>
  <c r="S4" i="6" s="1"/>
  <c r="S8" i="6" s="1"/>
  <c r="M57" i="40" l="1"/>
  <c r="M61" i="40" s="1"/>
  <c r="U46" i="17"/>
  <c r="S27" i="6"/>
  <c r="N46" i="48"/>
  <c r="N49" i="48" s="1"/>
  <c r="J60" i="48"/>
  <c r="I65" i="40"/>
  <c r="L60" i="48"/>
  <c r="K65" i="40"/>
  <c r="H4" i="6"/>
  <c r="T9" i="8"/>
  <c r="R27" i="6"/>
  <c r="L57" i="40"/>
  <c r="L61" i="40" s="1"/>
  <c r="M46" i="48"/>
  <c r="M49" i="48" s="1"/>
  <c r="T46" i="17"/>
  <c r="I12" i="8"/>
  <c r="I15" i="8" s="1"/>
  <c r="K47" i="17" s="1"/>
  <c r="R12" i="8"/>
  <c r="R15" i="8" s="1"/>
  <c r="T47" i="17" s="1"/>
  <c r="N12" i="8"/>
  <c r="N15" i="8" s="1"/>
  <c r="P47" i="17" s="1"/>
  <c r="P48" i="17" s="1"/>
  <c r="P50" i="17" s="1"/>
  <c r="P53" i="17" s="1"/>
  <c r="P12" i="8"/>
  <c r="P15" i="8" s="1"/>
  <c r="R47" i="17" s="1"/>
  <c r="H12" i="8"/>
  <c r="Q12" i="8"/>
  <c r="Q15" i="8" s="1"/>
  <c r="S47" i="17" s="1"/>
  <c r="S48" i="17" s="1"/>
  <c r="S50" i="17" s="1"/>
  <c r="L12" i="8"/>
  <c r="L15" i="8" s="1"/>
  <c r="N47" i="17" s="1"/>
  <c r="O12" i="8"/>
  <c r="O15" i="8" s="1"/>
  <c r="Q47" i="17" s="1"/>
  <c r="Q48" i="17" s="1"/>
  <c r="Q50" i="17" s="1"/>
  <c r="S12" i="8"/>
  <c r="S15" i="8" s="1"/>
  <c r="U47" i="17" s="1"/>
  <c r="K12" i="8"/>
  <c r="K15" i="8" s="1"/>
  <c r="M47" i="17" s="1"/>
  <c r="J12" i="8"/>
  <c r="J15" i="8" s="1"/>
  <c r="L47" i="17" s="1"/>
  <c r="L48" i="17" s="1"/>
  <c r="L50" i="17" s="1"/>
  <c r="M12" i="8"/>
  <c r="M15" i="8" s="1"/>
  <c r="O47" i="17" s="1"/>
  <c r="R46" i="17"/>
  <c r="P27" i="6"/>
  <c r="K46" i="48"/>
  <c r="K49" i="48" s="1"/>
  <c r="N52" i="48" s="1"/>
  <c r="J57" i="40"/>
  <c r="J61" i="40" s="1"/>
  <c r="I27" i="6"/>
  <c r="K46" i="17"/>
  <c r="K48" i="17" s="1"/>
  <c r="K50" i="17" s="1"/>
  <c r="C57" i="40"/>
  <c r="C61" i="40" s="1"/>
  <c r="D46" i="48"/>
  <c r="D49" i="48" s="1"/>
  <c r="G57" i="40"/>
  <c r="G61" i="40" s="1"/>
  <c r="O46" i="17"/>
  <c r="M27" i="6"/>
  <c r="H46" i="48"/>
  <c r="H49" i="48" s="1"/>
  <c r="E60" i="48"/>
  <c r="D65" i="40"/>
  <c r="M46" i="17"/>
  <c r="K27" i="6"/>
  <c r="F46" i="48"/>
  <c r="F49" i="48" s="1"/>
  <c r="E57" i="40"/>
  <c r="E61" i="40" s="1"/>
  <c r="T6" i="8"/>
  <c r="I60" i="48"/>
  <c r="H65" i="40"/>
  <c r="L27" i="6"/>
  <c r="F57" i="40"/>
  <c r="F61" i="40" s="1"/>
  <c r="G46" i="48"/>
  <c r="G49" i="48" s="1"/>
  <c r="N46" i="17"/>
  <c r="U48" i="17" l="1"/>
  <c r="U50" i="17" s="1"/>
  <c r="N48" i="17"/>
  <c r="N50" i="17" s="1"/>
  <c r="P56" i="17"/>
  <c r="P63" i="17" s="1"/>
  <c r="Q53" i="17"/>
  <c r="H60" i="48"/>
  <c r="G65" i="40"/>
  <c r="C65" i="40"/>
  <c r="D60" i="48"/>
  <c r="E61" i="48"/>
  <c r="D70" i="40"/>
  <c r="D71" i="40" s="1"/>
  <c r="O48" i="17"/>
  <c r="O50" i="17" s="1"/>
  <c r="T48" i="17"/>
  <c r="T50" i="17" s="1"/>
  <c r="K74" i="40"/>
  <c r="L61" i="48"/>
  <c r="K70" i="40"/>
  <c r="K71" i="40" s="1"/>
  <c r="M65" i="40"/>
  <c r="N60" i="48"/>
  <c r="G60" i="48"/>
  <c r="F65" i="40"/>
  <c r="H74" i="40"/>
  <c r="I61" i="48"/>
  <c r="H70" i="40"/>
  <c r="H71" i="40" s="1"/>
  <c r="F60" i="48"/>
  <c r="E65" i="40"/>
  <c r="R48" i="17"/>
  <c r="R50" i="17" s="1"/>
  <c r="T12" i="8"/>
  <c r="H15" i="8"/>
  <c r="J47" i="17" s="1"/>
  <c r="M60" i="48"/>
  <c r="L65" i="40"/>
  <c r="I74" i="40"/>
  <c r="J61" i="48"/>
  <c r="I70" i="40"/>
  <c r="I71" i="40" s="1"/>
  <c r="M48" i="17"/>
  <c r="M50" i="17" s="1"/>
  <c r="K60" i="48"/>
  <c r="J65" i="40"/>
  <c r="T4" i="6"/>
  <c r="H8" i="6"/>
  <c r="N63" i="48" l="1"/>
  <c r="U4" i="6"/>
  <c r="T8" i="6"/>
  <c r="T27" i="6" s="1"/>
  <c r="C16" i="6"/>
  <c r="F61" i="48"/>
  <c r="E70" i="40"/>
  <c r="E71" i="40" s="1"/>
  <c r="M74" i="40"/>
  <c r="N61" i="48"/>
  <c r="M70" i="40"/>
  <c r="M71" i="40" s="1"/>
  <c r="R53" i="17"/>
  <c r="Q56" i="17"/>
  <c r="Q63" i="17" s="1"/>
  <c r="K61" i="48"/>
  <c r="J74" i="40"/>
  <c r="J70" i="40"/>
  <c r="J71" i="40" s="1"/>
  <c r="G61" i="48"/>
  <c r="F70" i="40"/>
  <c r="F71" i="40" s="1"/>
  <c r="I79" i="40"/>
  <c r="H61" i="48"/>
  <c r="G70" i="40"/>
  <c r="G71" i="40" s="1"/>
  <c r="B57" i="40"/>
  <c r="H27" i="6"/>
  <c r="C46" i="48"/>
  <c r="J46" i="17"/>
  <c r="J48" i="17" s="1"/>
  <c r="J50" i="17" s="1"/>
  <c r="J53" i="17" s="1"/>
  <c r="M61" i="48"/>
  <c r="L74" i="40"/>
  <c r="L70" i="40"/>
  <c r="L71" i="40" s="1"/>
  <c r="K79" i="40"/>
  <c r="P57" i="17"/>
  <c r="P58" i="17" s="1"/>
  <c r="N74" i="40"/>
  <c r="N79" i="40" s="1"/>
  <c r="H79" i="40"/>
  <c r="D61" i="48"/>
  <c r="C70" i="40"/>
  <c r="C71" i="40" s="1"/>
  <c r="P65" i="17" l="1"/>
  <c r="P62" i="17"/>
  <c r="N57" i="40"/>
  <c r="B61" i="40"/>
  <c r="J56" i="17"/>
  <c r="J63" i="17" s="1"/>
  <c r="K53" i="17"/>
  <c r="J79" i="40"/>
  <c r="Q57" i="17"/>
  <c r="C21" i="6"/>
  <c r="B46" i="48"/>
  <c r="B49" i="48" s="1"/>
  <c r="C49" i="48"/>
  <c r="M79" i="40"/>
  <c r="P61" i="17"/>
  <c r="N10" i="6" s="1"/>
  <c r="P64" i="17"/>
  <c r="P59" i="17"/>
  <c r="L79" i="40"/>
  <c r="S53" i="17"/>
  <c r="R56" i="17"/>
  <c r="R63" i="17" s="1"/>
  <c r="R57" i="17"/>
  <c r="R58" i="17" l="1"/>
  <c r="R59" i="17" s="1"/>
  <c r="R64" i="17"/>
  <c r="R61" i="17"/>
  <c r="P10" i="6" s="1"/>
  <c r="S56" i="17"/>
  <c r="S63" i="17" s="1"/>
  <c r="T53" i="17"/>
  <c r="C60" i="48"/>
  <c r="H52" i="48"/>
  <c r="B52" i="48" s="1"/>
  <c r="B65" i="40"/>
  <c r="Q61" i="17"/>
  <c r="O10" i="6" s="1"/>
  <c r="Q64" i="17"/>
  <c r="Q58" i="17"/>
  <c r="J57" i="17"/>
  <c r="K56" i="17"/>
  <c r="K63" i="17" s="1"/>
  <c r="L53" i="17"/>
  <c r="N61" i="40"/>
  <c r="F15" i="38"/>
  <c r="Q65" i="17" l="1"/>
  <c r="Q62" i="17"/>
  <c r="Q59" i="17"/>
  <c r="C61" i="48"/>
  <c r="B61" i="48" s="1"/>
  <c r="N65" i="40"/>
  <c r="B70" i="40"/>
  <c r="B71" i="40" s="1"/>
  <c r="J17" i="48"/>
  <c r="K57" i="17"/>
  <c r="K58" i="17" s="1"/>
  <c r="J61" i="17"/>
  <c r="H10" i="6" s="1"/>
  <c r="J64" i="17"/>
  <c r="J58" i="17"/>
  <c r="S57" i="17"/>
  <c r="F20" i="38"/>
  <c r="F22" i="38" s="1"/>
  <c r="E14" i="48"/>
  <c r="E15" i="38"/>
  <c r="M53" i="17"/>
  <c r="L56" i="17"/>
  <c r="L63" i="17" s="1"/>
  <c r="H63" i="48"/>
  <c r="B63" i="48" s="1"/>
  <c r="B60" i="48"/>
  <c r="T56" i="17"/>
  <c r="T63" i="17" s="1"/>
  <c r="U53" i="17"/>
  <c r="R62" i="17"/>
  <c r="R65" i="17"/>
  <c r="T57" i="17" l="1"/>
  <c r="T58" i="17" s="1"/>
  <c r="O65" i="40"/>
  <c r="N70" i="40"/>
  <c r="N71" i="40" s="1"/>
  <c r="T64" i="17"/>
  <c r="T61" i="17"/>
  <c r="R10" i="6" s="1"/>
  <c r="M56" i="17"/>
  <c r="M63" i="17" s="1"/>
  <c r="N53" i="17"/>
  <c r="S58" i="17"/>
  <c r="S61" i="17"/>
  <c r="Q10" i="6" s="1"/>
  <c r="S64" i="17"/>
  <c r="J21" i="48"/>
  <c r="K59" i="17"/>
  <c r="K65" i="17"/>
  <c r="K62" i="17"/>
  <c r="U56" i="17"/>
  <c r="U63" i="17" s="1"/>
  <c r="D15" i="38"/>
  <c r="E20" i="38"/>
  <c r="E22" i="38" s="1"/>
  <c r="E24" i="38" s="1"/>
  <c r="E25" i="38" s="1"/>
  <c r="J65" i="17"/>
  <c r="J62" i="17"/>
  <c r="K61" i="17"/>
  <c r="I10" i="6" s="1"/>
  <c r="K64" i="17"/>
  <c r="S59" i="17"/>
  <c r="L57" i="17"/>
  <c r="L58" i="17" s="1"/>
  <c r="G14" i="48"/>
  <c r="E15" i="48"/>
  <c r="J59" i="17"/>
  <c r="T65" i="17" l="1"/>
  <c r="T62" i="17"/>
  <c r="T59" i="17"/>
  <c r="D20" i="38"/>
  <c r="O61" i="40" s="1"/>
  <c r="N62" i="40" s="1"/>
  <c r="S62" i="17"/>
  <c r="S65" i="17"/>
  <c r="G17" i="48"/>
  <c r="G15" i="48"/>
  <c r="B51" i="48"/>
  <c r="L59" i="17"/>
  <c r="L62" i="17"/>
  <c r="L65" i="17"/>
  <c r="L61" i="17"/>
  <c r="J10" i="6" s="1"/>
  <c r="L64" i="17"/>
  <c r="M57" i="17"/>
  <c r="U57" i="17"/>
  <c r="O53" i="17"/>
  <c r="N56" i="17"/>
  <c r="N63" i="17" s="1"/>
  <c r="N57" i="17"/>
  <c r="N58" i="17"/>
  <c r="O56" i="17" l="1"/>
  <c r="O63" i="17" s="1"/>
  <c r="N59" i="17"/>
  <c r="N62" i="17"/>
  <c r="N65" i="17"/>
  <c r="U61" i="17"/>
  <c r="S10" i="6" s="1"/>
  <c r="U64" i="17"/>
  <c r="N61" i="17"/>
  <c r="L10" i="6" s="1"/>
  <c r="N64" i="17"/>
  <c r="M58" i="17"/>
  <c r="M61" i="17"/>
  <c r="K10" i="6" s="1"/>
  <c r="M64" i="17"/>
  <c r="O66" i="40"/>
  <c r="O67" i="40" s="1"/>
  <c r="U58" i="17"/>
  <c r="G21" i="48"/>
  <c r="G16" i="48" s="1"/>
  <c r="H17" i="48"/>
  <c r="H21" i="48" s="1"/>
  <c r="H14" i="48" s="1"/>
  <c r="U59" i="17" l="1"/>
  <c r="U65" i="17"/>
  <c r="U62" i="17"/>
  <c r="M65" i="17"/>
  <c r="M62" i="17"/>
  <c r="M59" i="17"/>
  <c r="H15" i="48"/>
  <c r="H16" i="48" s="1"/>
  <c r="J14" i="48"/>
  <c r="J15" i="48" s="1"/>
  <c r="J16" i="48" s="1"/>
  <c r="O57" i="17"/>
  <c r="O58" i="17" l="1"/>
  <c r="O61" i="17"/>
  <c r="M10" i="6" s="1"/>
  <c r="T10" i="6" s="1"/>
  <c r="F16" i="6" s="1"/>
  <c r="O64" i="17"/>
  <c r="O59" i="17"/>
  <c r="F21" i="6" l="1"/>
  <c r="G16" i="6"/>
  <c r="G21" i="6" s="1"/>
  <c r="O65" i="17"/>
  <c r="O62" i="17"/>
  <c r="B22" i="48" l="1"/>
  <c r="B16" i="48"/>
  <c r="N86" i="40" l="1"/>
  <c r="N87" i="40" l="1"/>
  <c r="B57" i="48"/>
  <c r="N84" i="40" l="1"/>
  <c r="N85" i="40" l="1"/>
  <c r="N88" i="40" s="1"/>
  <c r="N89" i="40" s="1"/>
  <c r="G22" i="48" l="1"/>
  <c r="J22" i="48" l="1"/>
</calcChain>
</file>

<file path=xl/comments1.xml><?xml version="1.0" encoding="utf-8"?>
<comments xmlns="http://schemas.openxmlformats.org/spreadsheetml/2006/main">
  <authors>
    <author>Beverly Ikeda</author>
    <author>jmagat</author>
  </authors>
  <commentList>
    <comment ref="B1" authorId="0">
      <text>
        <r>
          <rPr>
            <b/>
            <sz val="11"/>
            <color indexed="81"/>
            <rFont val="Tahoma"/>
            <family val="2"/>
          </rPr>
          <t xml:space="preserve">Costs from Wind Integration Study based on historic study of ICE and Dow Jones.  </t>
        </r>
        <r>
          <rPr>
            <sz val="8"/>
            <color indexed="81"/>
            <rFont val="Tahoma"/>
            <family val="2"/>
          </rPr>
          <t xml:space="preserve">
</t>
        </r>
      </text>
    </comment>
    <comment ref="A73" authorId="1">
      <text>
        <r>
          <rPr>
            <b/>
            <sz val="8"/>
            <color indexed="81"/>
            <rFont val="Tahoma"/>
            <family val="2"/>
          </rPr>
          <t>jmagat:</t>
        </r>
        <r>
          <rPr>
            <sz val="8"/>
            <color indexed="81"/>
            <rFont val="Tahoma"/>
            <family val="2"/>
          </rPr>
          <t xml:space="preserve">
Uses Rate from 13 PCORC</t>
        </r>
      </text>
    </comment>
    <comment ref="D82" authorId="1">
      <text>
        <r>
          <rPr>
            <b/>
            <sz val="8"/>
            <color indexed="81"/>
            <rFont val="Tahoma"/>
            <family val="2"/>
          </rPr>
          <t>jmagat:</t>
        </r>
        <r>
          <rPr>
            <sz val="8"/>
            <color indexed="81"/>
            <rFont val="Tahoma"/>
            <family val="2"/>
          </rPr>
          <t xml:space="preserve">
Uses rate from 13 PCORC month of 12/13</t>
        </r>
      </text>
    </comment>
    <comment ref="D83" authorId="1">
      <text>
        <r>
          <rPr>
            <b/>
            <sz val="8"/>
            <color indexed="81"/>
            <rFont val="Tahoma"/>
            <family val="2"/>
          </rPr>
          <t>jmagat:</t>
        </r>
        <r>
          <rPr>
            <sz val="8"/>
            <color indexed="81"/>
            <rFont val="Tahoma"/>
            <family val="2"/>
          </rPr>
          <t xml:space="preserve">
Uses rate from 13 PCORC month of 12/13</t>
        </r>
      </text>
    </comment>
  </commentList>
</comments>
</file>

<file path=xl/comments2.xml><?xml version="1.0" encoding="utf-8"?>
<comments xmlns="http://schemas.openxmlformats.org/spreadsheetml/2006/main">
  <authors>
    <author>Annette Moore</author>
  </authors>
  <commentList>
    <comment ref="F20" authorId="0">
      <text>
        <r>
          <rPr>
            <b/>
            <sz val="9"/>
            <color indexed="81"/>
            <rFont val="Tahoma"/>
            <family val="2"/>
          </rPr>
          <t>Annette Moore:</t>
        </r>
        <r>
          <rPr>
            <sz val="9"/>
            <color indexed="81"/>
            <rFont val="Tahoma"/>
            <family val="2"/>
          </rPr>
          <t xml:space="preserve">
Includes $704,939 for the Jan-18 EIM cost adjustment that was missed in the total for the Jan-18 costs.
</t>
        </r>
      </text>
    </comment>
  </commentList>
</comments>
</file>

<file path=xl/sharedStrings.xml><?xml version="1.0" encoding="utf-8"?>
<sst xmlns="http://schemas.openxmlformats.org/spreadsheetml/2006/main" count="874" uniqueCount="605">
  <si>
    <t>Schedule B:  Monthly Power Costs -- PCA PERIOD 16</t>
  </si>
  <si>
    <t>Revised PCA Exhibit B</t>
  </si>
  <si>
    <t>Subject to PCA Sharing</t>
  </si>
  <si>
    <t>Period</t>
  </si>
  <si>
    <t>Row</t>
  </si>
  <si>
    <t>to Date</t>
  </si>
  <si>
    <t>Total Variable Component Actual</t>
  </si>
  <si>
    <t>FERC Acct.</t>
  </si>
  <si>
    <t>Steam Power Generation Fuel</t>
  </si>
  <si>
    <t xml:space="preserve"> 3A</t>
  </si>
  <si>
    <t xml:space="preserve">  Revised for change in coal costs.</t>
  </si>
  <si>
    <t>Other Power Generation Fuel</t>
  </si>
  <si>
    <t>Purchase Power</t>
  </si>
  <si>
    <t>Other Elec Rev -  Non-Core Gas</t>
  </si>
  <si>
    <t>45600080, 81</t>
  </si>
  <si>
    <t>Sales to Other Utilities</t>
  </si>
  <si>
    <t>Wheeling</t>
  </si>
  <si>
    <t>Brokerage Fees</t>
  </si>
  <si>
    <t>Montana Electric Energy Tax</t>
  </si>
  <si>
    <t>Subtotal Variable Components</t>
  </si>
  <si>
    <t>Adjustments:</t>
  </si>
  <si>
    <t xml:space="preserve">  Centralia PPA ROR Equity Adjustment</t>
  </si>
  <si>
    <t>17A</t>
  </si>
  <si>
    <t>Total allowable costs</t>
  </si>
  <si>
    <t xml:space="preserve"> A</t>
  </si>
  <si>
    <t>PCA period delivered load (Kwh)</t>
  </si>
  <si>
    <t xml:space="preserve"> 16A</t>
  </si>
  <si>
    <t>Variable Baseline Rate</t>
  </si>
  <si>
    <t>Jan'17</t>
  </si>
  <si>
    <t xml:space="preserve"> B</t>
  </si>
  <si>
    <t>Imbalance for Sharing: Under / (Over) Recovery</t>
  </si>
  <si>
    <t xml:space="preserve"> Surcharge or underrecovery/(refund or overrecovery)</t>
  </si>
  <si>
    <t xml:space="preserve"> C</t>
  </si>
  <si>
    <t>Dec'14 -</t>
  </si>
  <si>
    <t>Less Firm Wholesale</t>
  </si>
  <si>
    <t xml:space="preserve"> D</t>
  </si>
  <si>
    <t>Gross PCA</t>
  </si>
  <si>
    <t>Gross PCA Contra</t>
  </si>
  <si>
    <t>Cumulative Gross PCA</t>
  </si>
  <si>
    <t xml:space="preserve"> E</t>
  </si>
  <si>
    <t>Cumulative Gross PCA Contra</t>
  </si>
  <si>
    <t>Note:  This schedule was derived from original PCA collaborative exhibit B</t>
  </si>
  <si>
    <t>Total</t>
  </si>
  <si>
    <t>Derived from Original PCA Exhibit B</t>
  </si>
  <si>
    <t>positive is potential cust surcharge, negative is potential cust credit</t>
  </si>
  <si>
    <t>Commission Basis Report for:</t>
  </si>
  <si>
    <t>Power Cost Increase / (Decrease)</t>
  </si>
  <si>
    <t>Weather Normalized Load Impact</t>
  </si>
  <si>
    <t>Normalized Hydro Generation Impact</t>
  </si>
  <si>
    <t>Normalized Wind Generation Impact</t>
  </si>
  <si>
    <t xml:space="preserve">     Power Cost Adjustment Increase / (Decrease)</t>
  </si>
  <si>
    <t xml:space="preserve">     Any PCA Customer Sharing Impact</t>
  </si>
  <si>
    <t>Impact to Power Costs</t>
  </si>
  <si>
    <t>Weather Normalized Load (MWh)</t>
  </si>
  <si>
    <t>Actual Load (MWh)</t>
  </si>
  <si>
    <t xml:space="preserve">     Incr=must buy / (Dcr= must sell)</t>
  </si>
  <si>
    <t>Mid-C Flat</t>
  </si>
  <si>
    <t>Impact to Baseline Rate Revenue:  This is for the PCA sharing adjustment</t>
  </si>
  <si>
    <t>Change in Delivered Load (MWh)</t>
  </si>
  <si>
    <t>Baseline Revenue Increase / (Decrease)</t>
  </si>
  <si>
    <t>PUGET SOUND ENERGY-ELECTRIC SYSTEM</t>
  </si>
  <si>
    <t xml:space="preserve">TEMPERATURE NORMALIZATION </t>
  </si>
  <si>
    <t>LINE</t>
  </si>
  <si>
    <t>NO.</t>
  </si>
  <si>
    <t>DESCRIPTION</t>
  </si>
  <si>
    <t>ACTUAL</t>
  </si>
  <si>
    <t>TEMP ADJ</t>
  </si>
  <si>
    <t>KWH</t>
  </si>
  <si>
    <t>ADJ FOR LOSSES</t>
  </si>
  <si>
    <t>GPI KWH</t>
  </si>
  <si>
    <t>CHANGE</t>
  </si>
  <si>
    <t>TOTAL</t>
  </si>
  <si>
    <t>ACTUAL HYDRO GENERATION</t>
  </si>
  <si>
    <t>Snoqualmie</t>
  </si>
  <si>
    <t>Lower Baker</t>
  </si>
  <si>
    <t>Upper Baker</t>
  </si>
  <si>
    <t>MidC Hydro</t>
  </si>
  <si>
    <t>CEA-EA (see note 1)</t>
  </si>
  <si>
    <t>Total Actual Hydro Generation</t>
  </si>
  <si>
    <t>NORMAL HYDRO</t>
  </si>
  <si>
    <t>PSE's Share of 80 Year Avg</t>
  </si>
  <si>
    <t>Rock Island (25%)</t>
  </si>
  <si>
    <t>Rocky Reach (25%)</t>
  </si>
  <si>
    <t>Wells (29.89%)</t>
  </si>
  <si>
    <t>Priest Rapids (0.64%)</t>
  </si>
  <si>
    <t>Wanapum (0.64%)</t>
  </si>
  <si>
    <t>Total MidC Hydro</t>
  </si>
  <si>
    <t>CEA Obligation CY 2014 (see note 1)</t>
  </si>
  <si>
    <t>Normal Westside Hydro - 80 years</t>
  </si>
  <si>
    <t xml:space="preserve">Lower Baker </t>
  </si>
  <si>
    <t>Total Westside Hydro</t>
  </si>
  <si>
    <t>Normal Hydro Generation</t>
  </si>
  <si>
    <t>Net Increase / (Decrease) Hydro Generation</t>
  </si>
  <si>
    <t>Increase / (Decrease) Market Purchase Volume</t>
  </si>
  <si>
    <t>Mid-C Price</t>
  </si>
  <si>
    <t>&lt;=check</t>
  </si>
  <si>
    <t>Increase / (Decrease) Market Purchase $</t>
  </si>
  <si>
    <t>Note 1: in actuals, Wells and Priest Rapids Project generation is net of CEA.  This is different from how we forecast so to avoid normalizing out CEA, use Mid-C net of CEA numbers.</t>
  </si>
  <si>
    <t>Actual hydro</t>
  </si>
  <si>
    <t xml:space="preserve">Normal hydro, therefore normally there'd be </t>
  </si>
  <si>
    <t>in power costs of:</t>
  </si>
  <si>
    <t>MidC Actual</t>
  </si>
  <si>
    <t>MidC Normal</t>
  </si>
  <si>
    <t>Normalize MidC Hydro Generation</t>
  </si>
  <si>
    <t>MidC Cost Impact</t>
  </si>
  <si>
    <t>Westside Actual</t>
  </si>
  <si>
    <t>Westside Normal</t>
  </si>
  <si>
    <t>Normalize Westside Hydro Generation</t>
  </si>
  <si>
    <t>Westside Cost Impact</t>
  </si>
  <si>
    <t>ACTUAL WIND</t>
  </si>
  <si>
    <t>Hopkins Ridge</t>
  </si>
  <si>
    <t>Lower Snake River</t>
  </si>
  <si>
    <t>Klondike PPA</t>
  </si>
  <si>
    <t>Total Actual Wind</t>
  </si>
  <si>
    <t>Total Normal Wind</t>
  </si>
  <si>
    <t>INCREASE / (DECREASE) TO MARKET PURCHASE VOLUME</t>
  </si>
  <si>
    <t xml:space="preserve">Total </t>
  </si>
  <si>
    <t>WIND INTEGRATION COSTS</t>
  </si>
  <si>
    <t>INCR/(DECR) WIND INTEGRATION COSTS</t>
  </si>
  <si>
    <t>Klondike Contract Price</t>
  </si>
  <si>
    <t>Incr/(Decr) wind integration costs</t>
  </si>
  <si>
    <t>Market Purchases</t>
  </si>
  <si>
    <t>Klondike Contract</t>
  </si>
  <si>
    <t>Increase /(Decrease) to Power Costs</t>
  </si>
  <si>
    <t>Actual wind</t>
  </si>
  <si>
    <t>Normal wind.  Normal wind would cause</t>
  </si>
  <si>
    <t>mkt purchases so need to</t>
  </si>
  <si>
    <t>power costs by</t>
  </si>
  <si>
    <t>Value copy</t>
  </si>
  <si>
    <t>AURORA</t>
  </si>
  <si>
    <t>RY Avg</t>
  </si>
  <si>
    <t>to check</t>
  </si>
  <si>
    <t>check</t>
  </si>
  <si>
    <t>Sumas</t>
  </si>
  <si>
    <t>Stanfield</t>
  </si>
  <si>
    <t>AECO</t>
  </si>
  <si>
    <t>Station 2</t>
  </si>
  <si>
    <t>MidC On-Peak</t>
  </si>
  <si>
    <t>MidC Off-Peak</t>
  </si>
  <si>
    <t>MidC Flat</t>
  </si>
  <si>
    <t>HR - On Peak</t>
  </si>
  <si>
    <t>HR - Off Peak</t>
  </si>
  <si>
    <t>HR - Flat</t>
  </si>
  <si>
    <t>mark date 8.26.16</t>
  </si>
  <si>
    <t>PUGET SOUND ENERGY</t>
  </si>
  <si>
    <t>INCREASE</t>
  </si>
  <si>
    <t>RESTATED</t>
  </si>
  <si>
    <t>(DECREASE)</t>
  </si>
  <si>
    <t>PRODUCTION EXPENSES:</t>
  </si>
  <si>
    <t>SUBTOTAL - POWER COSTS TO BE ADJUSTED</t>
  </si>
  <si>
    <t>INCREASE (DECREASE) INCOME</t>
  </si>
  <si>
    <t>INCREASE (DECREASE) FIT @</t>
  </si>
  <si>
    <t>INCREASE (DECREASE) NOI</t>
  </si>
  <si>
    <t xml:space="preserve">Line </t>
  </si>
  <si>
    <t>No.</t>
  </si>
  <si>
    <t>POWER COSTS</t>
  </si>
  <si>
    <t>COMMISSION BASIS REPORT</t>
  </si>
  <si>
    <t>50106004  Colstrip1&amp;2-Variable Fuel Exp Market ADJ</t>
  </si>
  <si>
    <t>CBR</t>
  </si>
  <si>
    <t>FUEL (501, 547)</t>
  </si>
  <si>
    <t>WHEELING (565)</t>
  </si>
  <si>
    <t>SALES TO OTHER UTILITIES (447)</t>
  </si>
  <si>
    <t>PURCH/SALES OF NON-CORE GAS (456)</t>
  </si>
  <si>
    <t>Puget Sound Energy</t>
  </si>
  <si>
    <t>PCA Period Delivered Load (Kwh)</t>
  </si>
  <si>
    <t>Imbalance to Defer:  Under / (Over) Recovery</t>
  </si>
  <si>
    <t>PCA Fixed Cost Deferral</t>
  </si>
  <si>
    <t>Centralia Equity</t>
  </si>
  <si>
    <t xml:space="preserve">     Total Normalization - Power Cost Increase / (Decrease)</t>
  </si>
  <si>
    <t>Total Normalizing Adjustments</t>
  </si>
  <si>
    <t>&lt;==Check</t>
  </si>
  <si>
    <t>Wild Horse + WH Expansion</t>
  </si>
  <si>
    <t>NORMAL WIND - 2010 DNV Forecast</t>
  </si>
  <si>
    <t>54700004  CT Oil Inventory Write-Down</t>
  </si>
  <si>
    <t>55700132  CLSD-5360-Defer PCA Fixed Cost Imb-Resid</t>
  </si>
  <si>
    <t>55700133  CLSD-5360-Defer PCA Fixed Cost Imbal-Com</t>
  </si>
  <si>
    <t>55700134  CLSD-5360-Defer PCA Fixed Cost Imbal-Ind</t>
  </si>
  <si>
    <t>55700135  5360 - Defer PCA Fixed Cost Imb - Resid</t>
  </si>
  <si>
    <t>55700136  5360 - Defer PCA Fixed Cost Imbal - Comm</t>
  </si>
  <si>
    <t>55700137  5360 - Defer PCA Fixed Cost Imbal - Indu</t>
  </si>
  <si>
    <t>Note: A new PCA rate went into effect on December 19, 2017 with the implementation of the 2017 GRC. Also included in the GRC is the addition of an EIM fixed cost adjustment to the PCA allowable costs.</t>
  </si>
  <si>
    <t xml:space="preserve">              Dec 19, 2017 - </t>
  </si>
  <si>
    <t xml:space="preserve">  Dec 2014 - Dec 18, 2017</t>
  </si>
  <si>
    <t xml:space="preserve">Dec 19, 2017 - </t>
  </si>
  <si>
    <t>Jan 2017 - Dec 18, 2017</t>
  </si>
  <si>
    <t xml:space="preserve">  (Dec-17 split between pre-GRC and post GRC)</t>
  </si>
  <si>
    <t xml:space="preserve">  Energy Imbalance Market Fixed Cost Adjustment</t>
  </si>
  <si>
    <t>Note: A new PCA rate went into effect on December 19, 2017 with the implementation of the 2017 GRC. Also included in the GRC is the addition of an Energy Imbalance Market fixed cost adjustment to the PCA allowable costs.</t>
  </si>
  <si>
    <t>Note:  This schedule was derived from original PCA collaborative Exhibit B.</t>
  </si>
  <si>
    <t xml:space="preserve">              Dec 19, 2017 -   </t>
  </si>
  <si>
    <t xml:space="preserve">Dec 19, 2017 -    </t>
  </si>
  <si>
    <t>Schedule B:  Monthly Power Costs -- PCA PERIOD 17</t>
  </si>
  <si>
    <t>or</t>
  </si>
  <si>
    <t>Wild Horse</t>
  </si>
  <si>
    <t>2016 Power Costs Update</t>
  </si>
  <si>
    <t>2017 GRC</t>
  </si>
  <si>
    <t>mark date 6.23.17</t>
  </si>
  <si>
    <t>Baseline Rate in Effect (1/1/2017-12/18/2017)</t>
  </si>
  <si>
    <t>Baseline Rate in Effect (12/19/2017-12/31/2017)</t>
  </si>
  <si>
    <t>Tot 12MOE 2018</t>
  </si>
  <si>
    <t>PCA Fixed Cost Deferral  - January 1 - December 18, 2017</t>
  </si>
  <si>
    <t>Company Proposal</t>
  </si>
  <si>
    <t>Annual Revenue Requirement</t>
  </si>
  <si>
    <t>Total Allowed Fixed Costs (Jan 1 - Dec 19, 2017)</t>
  </si>
  <si>
    <t>Fixed Baseline Rate, (Allowed/Approved by WUTC)</t>
  </si>
  <si>
    <t>Using 2014 PCORC</t>
  </si>
  <si>
    <t>Jan</t>
  </si>
  <si>
    <t>Feb</t>
  </si>
  <si>
    <t>Mar</t>
  </si>
  <si>
    <t>Apr</t>
  </si>
  <si>
    <t>May</t>
  </si>
  <si>
    <t>Jun</t>
  </si>
  <si>
    <t>Jul</t>
  </si>
  <si>
    <t>Aug</t>
  </si>
  <si>
    <t>Sep</t>
  </si>
  <si>
    <t>Oct</t>
  </si>
  <si>
    <t>Nov</t>
  </si>
  <si>
    <t>Dec</t>
  </si>
  <si>
    <t>Total Allowed Fixed Costs (Jan 1 - Dec 31, 2017)</t>
  </si>
  <si>
    <t>Staff's Memo</t>
  </si>
  <si>
    <t>GRC Weather normalized sales for all decoupled groups (UE-170033)</t>
  </si>
  <si>
    <t>Monthly allocation</t>
  </si>
  <si>
    <t>Imbalance From Above</t>
  </si>
  <si>
    <t xml:space="preserve">     Normalized Imbalance for sharing</t>
  </si>
  <si>
    <t>Going Through the PCA Bands</t>
  </si>
  <si>
    <t>Cumulative (Over)/Under Recovery for PSE</t>
  </si>
  <si>
    <t>(Over)/Under Recovery In:</t>
  </si>
  <si>
    <t>Dead Band $0-$17M</t>
  </si>
  <si>
    <t>1st Band  ($17-$40M)</t>
  </si>
  <si>
    <t>2nd Band ($40M-Above)</t>
  </si>
  <si>
    <t>check=&gt;</t>
  </si>
  <si>
    <t>Deferral (65%/35% for 1st Band)</t>
  </si>
  <si>
    <t>Customer 1st Band  ($17-$40M)</t>
  </si>
  <si>
    <t>Customer 2nd Band ($40-Above)</t>
  </si>
  <si>
    <t>PSE Dead Band $0-$17M</t>
  </si>
  <si>
    <t>PSE 1st Band  ($17-$40M)</t>
  </si>
  <si>
    <t>PSE 2nd Band ($40-Above)</t>
  </si>
  <si>
    <t>Band Markers</t>
  </si>
  <si>
    <t>Sharing Split</t>
  </si>
  <si>
    <t>Band Assumptions:</t>
  </si>
  <si>
    <t>for Calcs</t>
  </si>
  <si>
    <t>Customer</t>
  </si>
  <si>
    <t>PSE</t>
  </si>
  <si>
    <t>Dead Band ($0-$17M)</t>
  </si>
  <si>
    <t>Dead Band (All PSE)</t>
  </si>
  <si>
    <t>Amount 1st Band ($17-$40M)</t>
  </si>
  <si>
    <t>PSE Under-Recovery</t>
  </si>
  <si>
    <t xml:space="preserve">       "                  "               "                   </t>
  </si>
  <si>
    <t>PSE Over-Recovery</t>
  </si>
  <si>
    <t xml:space="preserve">Start of 2nd Band ($40M) </t>
  </si>
  <si>
    <t xml:space="preserve">Above $40M either way, 90% to Customer </t>
  </si>
  <si>
    <t>Imbalance for sharing:  Under / (Over) Recovery</t>
  </si>
  <si>
    <t>Total BLR Revenue</t>
  </si>
  <si>
    <t>Up through this point, Actuals should tie ot Energy accounting</t>
  </si>
  <si>
    <t>Weather Normalization on Fixed Cost Deferral</t>
  </si>
  <si>
    <t>Adjust Fixed Cost Deferral to Staff Methodology</t>
  </si>
  <si>
    <t>FOR THE TWELVE MONTHS ENDED JUNE, 2018</t>
  </si>
  <si>
    <t>Total Power Costs</t>
  </si>
  <si>
    <t>Hydro</t>
  </si>
  <si>
    <t>Load</t>
  </si>
  <si>
    <t>$/MWh</t>
  </si>
  <si>
    <t>2014 PCORC As Filed</t>
  </si>
  <si>
    <t>Day Ahead Cost per Project</t>
  </si>
  <si>
    <t>RY MWh</t>
  </si>
  <si>
    <t>Rate/MWh</t>
  </si>
  <si>
    <t>Notes</t>
  </si>
  <si>
    <t>2017 GRC Settlement</t>
  </si>
  <si>
    <t xml:space="preserve">Hopkins Ridge Average Annual Cost </t>
  </si>
  <si>
    <t>2014 PCORC day ahead study provided total cost per project, not a rate per MWh</t>
  </si>
  <si>
    <t>2017 GRC day ahead study provided total cost per project, not a rate per MWh</t>
  </si>
  <si>
    <t>LSR Average Annual Cost</t>
  </si>
  <si>
    <t>LSR based on Hopkins Ridge $/MWh</t>
  </si>
  <si>
    <t>Wild Horse Average Annual Cost</t>
  </si>
  <si>
    <t xml:space="preserve">Klondike 3 Average Annual Cost </t>
  </si>
  <si>
    <t>Generation Imbalance per 14PCORC &amp; 2017GRC</t>
  </si>
  <si>
    <t>Applies to Hopkins Ridge &amp; LSR - those projects in BPA's Balancing Authority.</t>
  </si>
  <si>
    <t>16PCU</t>
  </si>
  <si>
    <t>17GRC</t>
  </si>
  <si>
    <t>Wind Integration per 2014PCORC &amp; 2017GRC</t>
  </si>
  <si>
    <t>MW</t>
  </si>
  <si>
    <t>MWh RY</t>
  </si>
  <si>
    <t>BPA VERBS $/KW/Mo</t>
  </si>
  <si>
    <t>Wind Integration</t>
  </si>
  <si>
    <t>NIM</t>
  </si>
  <si>
    <t>Difference</t>
  </si>
  <si>
    <t>Wild Horse &amp; WHE</t>
  </si>
  <si>
    <t>2014 PCORC</t>
  </si>
  <si>
    <t xml:space="preserve">PSE Study </t>
  </si>
  <si>
    <t>INCREASE / (DECREASE) TO WIND GENERATION</t>
  </si>
  <si>
    <t>Per 2014</t>
  </si>
  <si>
    <t>Per 2017</t>
  </si>
  <si>
    <t>DAY AHEAD COSTS</t>
  </si>
  <si>
    <t>PCORC</t>
  </si>
  <si>
    <t>GRC</t>
  </si>
  <si>
    <t>ck</t>
  </si>
  <si>
    <t>DAY AHEAD COSTS TOTAL</t>
  </si>
  <si>
    <t>HOUR AHEAD COSTS</t>
  </si>
  <si>
    <t>Fixed VERBS</t>
  </si>
  <si>
    <t>Iberdrola pays</t>
  </si>
  <si>
    <t>HOUR AHEAD COSTS TOTAL</t>
  </si>
  <si>
    <t>GENERATION IMBALANCE COSTS</t>
  </si>
  <si>
    <t>BPA BA</t>
  </si>
  <si>
    <t>GENERATION IMBALANCE COSTS TOTAL</t>
  </si>
  <si>
    <t>TOTAL INCR/(DECR) TO WIND INTEGRATION COSTS</t>
  </si>
  <si>
    <t>Avg $/MWh</t>
  </si>
  <si>
    <t>Wind</t>
  </si>
  <si>
    <t>Fuel</t>
  </si>
  <si>
    <t>Purchased and Interchanged and Other</t>
  </si>
  <si>
    <t>Purchases / Sales of Non Core gas</t>
  </si>
  <si>
    <t>Add Fixed Deferral  Rec'd in Other Rev for GAAP</t>
  </si>
  <si>
    <t xml:space="preserve">     Total Power Costs</t>
  </si>
  <si>
    <t>Normalized</t>
  </si>
  <si>
    <t>Actuals</t>
  </si>
  <si>
    <t>PCA</t>
  </si>
  <si>
    <t>Outlook</t>
  </si>
  <si>
    <t>NEW PCA PERIOD BEGINS HERE</t>
  </si>
  <si>
    <t>Schedule B:  Monthly Power Costs -- PCA PERIOD 16 / 17</t>
  </si>
  <si>
    <t>JUN18 ERF ============================================================================================================================================&gt;</t>
  </si>
  <si>
    <t>12MOE Jun 2018</t>
  </si>
  <si>
    <t>&lt;==PCA 17 Begins</t>
  </si>
  <si>
    <t>PCA 16 Ends==&gt;</t>
  </si>
  <si>
    <t>Check to Energy Acctg=&gt;</t>
  </si>
  <si>
    <t>This section solely for computation of Sharing in 2nd half of 2017</t>
  </si>
  <si>
    <t>For PCA Imbalance only:  Based on December 2017 Comission Basis Report Filing, UE-180255</t>
  </si>
  <si>
    <t>Total 2018</t>
  </si>
  <si>
    <t>market purchases causing</t>
  </si>
  <si>
    <t xml:space="preserve">    Electric Margin</t>
  </si>
  <si>
    <t xml:space="preserve">  Total Power Costs (Excluding Res Exch</t>
  </si>
  <si>
    <t>Total Electric Power Costs</t>
  </si>
  <si>
    <t>Residential Exchange Credit</t>
  </si>
  <si>
    <t>Electric Generataion Fuel</t>
  </si>
  <si>
    <t>Net Purchased Power</t>
  </si>
  <si>
    <t xml:space="preserve">   Power Cost Adjustment</t>
  </si>
  <si>
    <t xml:space="preserve">   Wheeling</t>
  </si>
  <si>
    <t xml:space="preserve">   Payroll Tax Reclass</t>
  </si>
  <si>
    <t xml:space="preserve">   Purchase Power Per SAP</t>
  </si>
  <si>
    <t>Actual</t>
  </si>
  <si>
    <t>Purchased Power Summary</t>
  </si>
  <si>
    <t xml:space="preserve">   SCH. 142 (Decup in BillEngy)</t>
  </si>
  <si>
    <t xml:space="preserve">   SCH. 141 (Expedt in BillEngy)</t>
  </si>
  <si>
    <t xml:space="preserve">   SCH. 140 (Prop Tax in BillEngy)</t>
  </si>
  <si>
    <t xml:space="preserve">   SCH. 137 (REC Proceeds Credit)</t>
  </si>
  <si>
    <t xml:space="preserve">   SCH. 133 (JPUD Gain on Sale CR)</t>
  </si>
  <si>
    <t xml:space="preserve">   SCH. 132 (Merger Rate Credit)</t>
  </si>
  <si>
    <t xml:space="preserve">   Low Income Surcharge</t>
  </si>
  <si>
    <t xml:space="preserve">   SCH. 95A (Fed Incentive)</t>
  </si>
  <si>
    <t xml:space="preserve">   SCH. 120 (Cons. Rider Revenue)</t>
  </si>
  <si>
    <t xml:space="preserve">   SCH. 94 (Res/Farm credit)</t>
  </si>
  <si>
    <t xml:space="preserve">   SCH. 81 (B&amp;O Tax)</t>
  </si>
  <si>
    <t>Total Electric Sale</t>
  </si>
  <si>
    <t>Other Operation revenues</t>
  </si>
  <si>
    <t>Decoupling Revenue</t>
  </si>
  <si>
    <t>Total Electric Sales (Excl Decoup)</t>
  </si>
  <si>
    <t>Other Operating Revenue (Excl Decoup)</t>
  </si>
  <si>
    <t xml:space="preserve">   Other Misc Operating Revenue</t>
  </si>
  <si>
    <t xml:space="preserve">   Non-Core Gas Sales</t>
  </si>
  <si>
    <t>Total Electric Revenue &amp; KWH</t>
  </si>
  <si>
    <t>Sales to other utilities and marketers</t>
  </si>
  <si>
    <t>Transportation (Billed + Chg Unbilled)</t>
  </si>
  <si>
    <t>Total Retail Sales</t>
  </si>
  <si>
    <t xml:space="preserve">   Sales for resale firm</t>
  </si>
  <si>
    <t xml:space="preserve">   Public street &amp; hwy lighting</t>
  </si>
  <si>
    <t xml:space="preserve">   Industrial</t>
  </si>
  <si>
    <t xml:space="preserve">   Commercial</t>
  </si>
  <si>
    <t xml:space="preserve">   Residential</t>
  </si>
  <si>
    <t>Revenue Actual</t>
  </si>
  <si>
    <t>SALES OF ELECTRICITY - REVENUE &amp; KWH</t>
  </si>
  <si>
    <t>12 MOE June</t>
  </si>
  <si>
    <t>Natural Sign:  Debit = Expense</t>
  </si>
  <si>
    <t>&lt;=Staff's method with Weather Norm</t>
  </si>
  <si>
    <t>Weather Normalized PCA Period Delivered Load (Kwh)</t>
  </si>
  <si>
    <t>Weather Normalization</t>
  </si>
  <si>
    <t>Check to SAP</t>
  </si>
  <si>
    <t>&lt;=Deferral as PSE calculated</t>
  </si>
  <si>
    <t>Debit</t>
  </si>
  <si>
    <t>From Inception</t>
  </si>
  <si>
    <t>Orders</t>
  </si>
  <si>
    <t>Test Year</t>
  </si>
  <si>
    <t xml:space="preserve">  Pages:                      0</t>
  </si>
  <si>
    <t xml:space="preserve">  ZO12                      Orders: Actual 12 Month Ended</t>
  </si>
  <si>
    <t>Note: 1)  Line loss factor was estimated to be 7.3% by the study done in August 2016.  The loss factor estimate was lowered to 7.1% from September 2017.</t>
  </si>
  <si>
    <t>Firm Resale</t>
  </si>
  <si>
    <t>Schedule 40</t>
  </si>
  <si>
    <t>Schedule 43</t>
  </si>
  <si>
    <t>Schedule 31</t>
  </si>
  <si>
    <t>Schedule 29</t>
  </si>
  <si>
    <t>Schedule 26</t>
  </si>
  <si>
    <t>Schedule 25</t>
  </si>
  <si>
    <t>Schedule 24</t>
  </si>
  <si>
    <t>(by Rate Schedule)</t>
  </si>
  <si>
    <t>Schedule 7</t>
  </si>
  <si>
    <t>YTD SALES &amp; REVENUE ADJUSTMENT:</t>
  </si>
  <si>
    <t>FOR THE TWELVE MONTHS ENDED DECEMBER, 2017</t>
  </si>
  <si>
    <t>12MOE June 2018</t>
  </si>
  <si>
    <t>Power Costs from Margin Report</t>
  </si>
  <si>
    <t>Fixed Cost Deferral (not  included in Margin)</t>
  </si>
  <si>
    <t>Benefits</t>
  </si>
  <si>
    <t>CBR Normalizing Adjustments:</t>
  </si>
  <si>
    <t>Centralia Equity Kicker</t>
  </si>
  <si>
    <t>Power Costs Before Benefits Reclassed</t>
  </si>
  <si>
    <t>Fixed Cost Deferral (Staffs Method + Weather Norm+ Removal of entry recorded April 2018)</t>
  </si>
  <si>
    <t>TEST YEAR POWER COSTS (ties to FERC I/S)</t>
  </si>
  <si>
    <t>(ties to test year)</t>
  </si>
  <si>
    <t>ZRW_Z103 (Electric Margin Report)</t>
  </si>
  <si>
    <t xml:space="preserve">  Date:                     07/31/2018</t>
  </si>
  <si>
    <t>12 Months</t>
  </si>
  <si>
    <t>Removing this GAAP valuation to temporarily write-down the value of fuel inventory because PSE never values the inventory at market; it is valued at cost</t>
  </si>
  <si>
    <t>when it is finally used for power production.  The write down to market is a non-cash financial transaction that is only required for GAAP purposes and</t>
  </si>
  <si>
    <t>reverses the next month and market is never ultimately used in the accounting for inventory.  This adjustment is consistent with the treatment of these periodic</t>
  </si>
  <si>
    <t>entries in PSE's PCA imbalance for sharing calculation as reported in PSE's Annual PCA Compliance Filings.</t>
  </si>
  <si>
    <t>Remove GAAP only Fuel Valuation</t>
  </si>
  <si>
    <t xml:space="preserve">     Total Normalized Power Costs</t>
  </si>
  <si>
    <t>Removal of GAAP-Only Fuel Valuation</t>
  </si>
  <si>
    <t>FOR THE TWELVE MONTHS ENDED JUNE 30, 2018</t>
  </si>
  <si>
    <t>Load, Hydro, Wind</t>
  </si>
  <si>
    <t>AMA Monthly Reports 2011 GRC Order</t>
  </si>
  <si>
    <t>a-Oct 2016</t>
  </si>
  <si>
    <t>a-Nov 2016</t>
  </si>
  <si>
    <t>a-Dec 2016</t>
  </si>
  <si>
    <t>a-Jan 2017</t>
  </si>
  <si>
    <t>a-Feb 2017</t>
  </si>
  <si>
    <t>a-Mar 2017</t>
  </si>
  <si>
    <t>a-Apr 2017</t>
  </si>
  <si>
    <t>a-May 2017</t>
  </si>
  <si>
    <t>a-Jun 2017</t>
  </si>
  <si>
    <t>a-Jul 2017</t>
  </si>
  <si>
    <t>a-Aug 2017</t>
  </si>
  <si>
    <t>a-Sep 2017</t>
  </si>
  <si>
    <t>a-Oct 2017</t>
  </si>
  <si>
    <t>a-Nov 2017</t>
  </si>
  <si>
    <t>a-Dec 2017</t>
  </si>
  <si>
    <t>a-Jan 2018</t>
  </si>
  <si>
    <t>a-Feb 2018</t>
  </si>
  <si>
    <t>a-Mar 2018</t>
  </si>
  <si>
    <t>a-Apr 2018</t>
  </si>
  <si>
    <t>a-May 2018</t>
  </si>
  <si>
    <t>a-Jun 2018</t>
  </si>
  <si>
    <t>1000ASMT_BENEF - Assessment Use-Benef </t>
  </si>
  <si>
    <t>OPERATING INCOME</t>
  </si>
  <si>
    <t>1 - OPERATING REVENUES:</t>
  </si>
  <si>
    <t>2 - SALES TO CUSTOMERS</t>
  </si>
  <si>
    <t>3 - SALES FOR RESALE-FIRM</t>
  </si>
  <si>
    <t>4 - SALES TO OTHER UTILITIES</t>
  </si>
  <si>
    <t>5 - OTHER OPERATING REVENUES</t>
  </si>
  <si>
    <t>6 - TOTAL OPERATING REVENUES</t>
  </si>
  <si>
    <t>8 - OPERATING REVENUE DEDUCTIONS:</t>
  </si>
  <si>
    <t>10 - POWER COSTS:</t>
  </si>
  <si>
    <t>11 -  FUEL</t>
  </si>
  <si>
    <t>12 -  PURCHASED AND INTERCHANGED</t>
  </si>
  <si>
    <t>13 -  WHEELING</t>
  </si>
  <si>
    <t>14 - RESIDENTIAL EXCHANGE</t>
  </si>
  <si>
    <t>15 - TOTAL PRODUCTION EXPENSES</t>
  </si>
  <si>
    <t>17 - OTHER ENERGY SUPPLY EXPENSES</t>
  </si>
  <si>
    <t>18 - TRANSMISSION EXPENSE</t>
  </si>
  <si>
    <t>19 - DISTRIBUTION EXPENSE</t>
  </si>
  <si>
    <t>20 - CUSTOMER ACCTS EXPENSES</t>
  </si>
  <si>
    <t>21 - CUSTOMER SERVICE EXPENSES</t>
  </si>
  <si>
    <t>22 - CONSERVATION AMORTIZATION</t>
  </si>
  <si>
    <t>23 - ADMIN &amp; GENERAL EXPENSE</t>
  </si>
  <si>
    <t>24 - DEPRECIATION</t>
  </si>
  <si>
    <t>25 - AMORTIZATION</t>
  </si>
  <si>
    <t>26 - AMORTIZ OF PROPERTY LOSS</t>
  </si>
  <si>
    <t>27 - OTHER OPERATING EXPENSES</t>
  </si>
  <si>
    <t>28 - ACS 815</t>
  </si>
  <si>
    <t>29 - TAXES OTHER THAN INCOME TAXES</t>
  </si>
  <si>
    <t>30 - INCOME TAXES</t>
  </si>
  <si>
    <t>31 - DEFERRED INCOME TAXES</t>
  </si>
  <si>
    <t>32 - TOTAL OPERATING REV. DEDUCT.</t>
  </si>
  <si>
    <t>NET OPERATING INCOME</t>
  </si>
  <si>
    <t>NON-OPERATING INCOME</t>
  </si>
  <si>
    <t>99 - OTHER INCOME</t>
  </si>
  <si>
    <t>999 - INTEREST</t>
  </si>
  <si>
    <t>9999 - EXTRAORDINARY ITEMS</t>
  </si>
  <si>
    <t>TOTAL NON-OPERATING INCOME</t>
  </si>
  <si>
    <t>NET INCOME</t>
  </si>
  <si>
    <t>ok</t>
  </si>
  <si>
    <t>(ties to restated year)</t>
  </si>
  <si>
    <t>&lt;=What deferral should be using Staff Calculation</t>
  </si>
  <si>
    <t>Power Cost Normalization (Less Firm Wholesale)==&gt;</t>
  </si>
  <si>
    <t>Baseline Rate Revenue Normalization (Less Firm Wholesale)==&gt;</t>
  </si>
  <si>
    <t>Next, go through bands for 2017 and 2018 with normalizing adjustments (independently without annualizing):</t>
  </si>
  <si>
    <t xml:space="preserve"> 501/547-STEAM FUEL / GAS FOR POWER FUEL</t>
  </si>
  <si>
    <t xml:space="preserve">    565-WHEELING</t>
  </si>
  <si>
    <t xml:space="preserve">    447-SALES FOR RESALE</t>
  </si>
  <si>
    <t xml:space="preserve">    456-PURCHASES/SALES OF NON-CORE GAS</t>
  </si>
  <si>
    <t>Jan-Jun 2018</t>
  </si>
  <si>
    <t>Jan-Jun 2018 for ERF Adjustment:</t>
  </si>
  <si>
    <t>Steam Operating Fuel</t>
  </si>
  <si>
    <t>Purchased &amp; Interchanged</t>
  </si>
  <si>
    <t>Purchases/Sales of Non-Core Gas</t>
  </si>
  <si>
    <t>Sales to Others</t>
  </si>
  <si>
    <t>12ME   6/30/2018</t>
  </si>
  <si>
    <t>12ME 12/31/2017</t>
  </si>
  <si>
    <t>f = e - c</t>
  </si>
  <si>
    <t>e</t>
  </si>
  <si>
    <t>d = c - b</t>
  </si>
  <si>
    <t>c</t>
  </si>
  <si>
    <t>b</t>
  </si>
  <si>
    <t>a</t>
  </si>
  <si>
    <t>Final Method</t>
  </si>
  <si>
    <t>Temp Norm</t>
  </si>
  <si>
    <t>Method</t>
  </si>
  <si>
    <t>Deferral</t>
  </si>
  <si>
    <t>Date</t>
  </si>
  <si>
    <t>to Temp Norm</t>
  </si>
  <si>
    <t>Using  CBR</t>
  </si>
  <si>
    <t>to get to</t>
  </si>
  <si>
    <t>Fixed Cost</t>
  </si>
  <si>
    <t>Adjustment</t>
  </si>
  <si>
    <t>Commission Basis Report</t>
  </si>
  <si>
    <t>Backcast Final</t>
  </si>
  <si>
    <t>ERF Annualizing Adjustments</t>
  </si>
  <si>
    <t>Total CBR &amp;</t>
  </si>
  <si>
    <t>ERF</t>
  </si>
  <si>
    <t>Adjustments</t>
  </si>
  <si>
    <t>h</t>
  </si>
  <si>
    <t>i = h - e</t>
  </si>
  <si>
    <t>g = d + f</t>
  </si>
  <si>
    <t>Total CBR</t>
  </si>
  <si>
    <t>j = g + i</t>
  </si>
  <si>
    <t>Positive Numbers are Debits on the Income Statement</t>
  </si>
  <si>
    <t>Negative Numbers are Credits on the Income Statement</t>
  </si>
  <si>
    <t>this is 557 carried over to ERF annualizing starting point.</t>
  </si>
  <si>
    <t>Subtotal</t>
  </si>
  <si>
    <t>Norm Weather</t>
  </si>
  <si>
    <t>Final</t>
  </si>
  <si>
    <t xml:space="preserve">            555 Power Costs</t>
  </si>
  <si>
    <t>Green Tags</t>
  </si>
  <si>
    <t xml:space="preserve">            557 - PCA Deferral</t>
  </si>
  <si>
    <t xml:space="preserve">            557 - Green Tags</t>
  </si>
  <si>
    <t>Total Line 12 Electric Income Statement</t>
  </si>
  <si>
    <t>Remove</t>
  </si>
  <si>
    <t>GRC PC's</t>
  </si>
  <si>
    <t>Adjust 2017</t>
  </si>
  <si>
    <t xml:space="preserve">            557 - Fixed Cost Deferral</t>
  </si>
  <si>
    <t>Description</t>
  </si>
  <si>
    <t>Incentive Adj &amp;</t>
  </si>
  <si>
    <t>Remove FPC</t>
  </si>
  <si>
    <t xml:space="preserve">Deferral when </t>
  </si>
  <si>
    <t>Rev Annualized</t>
  </si>
  <si>
    <t>Remove Fixed</t>
  </si>
  <si>
    <t>Variable Only for Removal to get to ERF</t>
  </si>
  <si>
    <t xml:space="preserve">            557 Total VARIABLE - Brokerage Fees</t>
  </si>
  <si>
    <t xml:space="preserve">Adjust FCD to </t>
  </si>
  <si>
    <t>Adjust FCD for</t>
  </si>
  <si>
    <r>
      <t>OTHER PWR COSTS</t>
    </r>
    <r>
      <rPr>
        <sz val="10"/>
        <rFont val="Arial"/>
        <family val="2"/>
      </rPr>
      <t xml:space="preserve"> (</t>
    </r>
    <r>
      <rPr>
        <sz val="10"/>
        <color rgb="FF0000FF"/>
        <rFont val="Arial"/>
        <family val="2"/>
      </rPr>
      <t>FIXED 557 excluding brokers fees</t>
    </r>
    <r>
      <rPr>
        <sz val="10"/>
        <rFont val="Arial"/>
        <family val="2"/>
      </rPr>
      <t>)</t>
    </r>
  </si>
  <si>
    <t>Purch Pwr + STOU here</t>
  </si>
  <si>
    <t>Purch Pwr + STOU Inc St</t>
  </si>
  <si>
    <t>Less Brokers Fees 55700003</t>
  </si>
  <si>
    <t>Per SAP</t>
  </si>
  <si>
    <t>Adjust Fixed Cost Deferral to Final Method</t>
  </si>
  <si>
    <t>Weather Normalize Fixed Cost Deferral</t>
  </si>
  <si>
    <t>Remove 55700200  4420 -Green Power Tags Programs</t>
  </si>
  <si>
    <t>Incentive Pay (assuming straight line)</t>
  </si>
  <si>
    <t xml:space="preserve">            557 - All Other</t>
  </si>
  <si>
    <t>557 Jan-Jun 2018 for ERF Rate Year ====================================&gt;</t>
  </si>
  <si>
    <t xml:space="preserve">    447-SALES TO OTHER UTILITIES</t>
  </si>
  <si>
    <t xml:space="preserve"> 555 + BROKERAGE FEES</t>
  </si>
  <si>
    <t xml:space="preserve"> 557 OTHER POWER COSTS - FIXED ONLY</t>
  </si>
  <si>
    <t>Ties to Tot Fixed 557 TOTAL CBR Balance</t>
  </si>
  <si>
    <t>Total 557 Per SAP (info only)</t>
  </si>
  <si>
    <t>ties to I/S (info only)</t>
  </si>
  <si>
    <t>Toatl Fixed 557 for TOTAL CBR</t>
  </si>
  <si>
    <t>Ties to Tot Fixed 557 TY In Power Cost adjustment</t>
  </si>
  <si>
    <t>Ties to Tot Fixed 557 Restated  In Power Cost adjustment</t>
  </si>
  <si>
    <t>&lt;= Lead Sheet</t>
  </si>
  <si>
    <t>Per Qtly Reports</t>
  </si>
  <si>
    <t>Total Test Year 557 Excluding Benefits</t>
  </si>
  <si>
    <t xml:space="preserve"> 557 OTHER POWER COSTS - FIXED ONLY (NOTE 1)</t>
  </si>
  <si>
    <t>By FERC and inlcuding Other CBR (Incentive and Pass-through) adjustments in 557 for Annualzing ERF adjustment:</t>
  </si>
  <si>
    <t>TY</t>
  </si>
  <si>
    <t>Power Cost Adjustment</t>
  </si>
  <si>
    <t>Pass-Through</t>
  </si>
  <si>
    <t>Incentive</t>
  </si>
  <si>
    <t xml:space="preserve">            557 Total FIXED (Excl Brkg Fees)</t>
  </si>
  <si>
    <t>557 excl FPC Dfrl &amp; Brkg Fees</t>
  </si>
  <si>
    <t>557 FPC Deferral</t>
  </si>
  <si>
    <t>557 Brokerage Fees</t>
  </si>
  <si>
    <t>&lt;==s/b $0</t>
  </si>
  <si>
    <r>
      <t xml:space="preserve">PURCH &amp; INT +ALL OTHER (555, 447) </t>
    </r>
    <r>
      <rPr>
        <sz val="8"/>
        <color rgb="FF0000FF"/>
        <rFont val="Arial"/>
        <family val="2"/>
      </rPr>
      <t>includes brokers fees</t>
    </r>
  </si>
  <si>
    <t>Monthly breakdown of 555 incl broker fees for ERF Starting Pt</t>
  </si>
  <si>
    <t>Monthly breakdown of 557 Fixed Costs for ERF Starting Pt</t>
  </si>
  <si>
    <t>FERC 555 included in Income Statement  Line 12</t>
  </si>
  <si>
    <t>Impact for temp, wind, hydro normalization</t>
  </si>
  <si>
    <t>Reclass broker fees from 557</t>
  </si>
  <si>
    <t>Total 555 per CBR</t>
  </si>
  <si>
    <t>6 months ending December 2017</t>
  </si>
  <si>
    <t>6 months ending June 2018</t>
  </si>
  <si>
    <t>Monthly breakdown of STOU incl broker fees for ERF Starting Pt</t>
  </si>
  <si>
    <t>STOU included in Income Statement  Line 4</t>
  </si>
  <si>
    <t>Combined</t>
  </si>
  <si>
    <t>FUEL (501/547)</t>
  </si>
  <si>
    <t>PURCHASED AND INTERCHANGED (555/557)</t>
  </si>
  <si>
    <t>Check s/b $0 ---&gt;</t>
  </si>
  <si>
    <t>s/b $0 ==&gt;</t>
  </si>
  <si>
    <t>FINAL CBR POWER COSTS BEFORE PURCH/SALES NON-CORE GAS</t>
  </si>
  <si>
    <t>Fixed Cost Deferral</t>
  </si>
  <si>
    <t>Cost</t>
  </si>
  <si>
    <t>to get to Remove</t>
  </si>
  <si>
    <t>FPC Deferral</t>
  </si>
  <si>
    <t>UE-180372</t>
  </si>
  <si>
    <t>UE-011570 Filed August 13, 2018</t>
  </si>
  <si>
    <t>Fixed Cost Deferral:  1.  Update to Staff's methodology, 2.  Weather normalize</t>
  </si>
  <si>
    <t xml:space="preserve"> 557 OTHER POWER COSTS - FIXED ONLY (NOTE 1):  This line includes adjustments from the CBR Incentive and Pass-through adjustment and is provided here for the ERF Annualizing adjustment</t>
  </si>
  <si>
    <t>Reconciliations from Test Year to Annualized</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</si>
</sst>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_(&quot;$&quot;* #,##0_);_(&quot;$&quot;* \(#,##0\);_(&quot;$&quot;* &quot;-&quot;??_);_(@_)"/>
    <numFmt numFmtId="166" formatCode="0_);\(0\)"/>
    <numFmt numFmtId="167" formatCode="_(* #,##0_);_(* \(#,##0\);_(* &quot;-&quot;??_);_(@_)"/>
    <numFmt numFmtId="168" formatCode="&quot;$&quot;#,##0.000_);\(&quot;$&quot;#,##0.000\)"/>
    <numFmt numFmtId="169" formatCode="&quot;$&quot;#,##0.000000_);\(&quot;$&quot;#,##0.000000\)"/>
    <numFmt numFmtId="170" formatCode="0.00000%"/>
    <numFmt numFmtId="171" formatCode="[$-409]mmm\-yy;@"/>
    <numFmt numFmtId="172" formatCode="&quot;$&quot;#,##0.0000_);\(&quot;$&quot;#,##0.0000\)"/>
    <numFmt numFmtId="173" formatCode="0.0%"/>
    <numFmt numFmtId="174" formatCode="_(* #,##0.000000_);_(* \(#,##0.000000\);_(* &quot;-&quot;??_);_(@_)"/>
    <numFmt numFmtId="175" formatCode="_(&quot;$&quot;* #,##0.000_);_(&quot;$&quot;* \(#,##0.000\);_(&quot;$&quot;* &quot;-&quot;??_);_(@_)"/>
    <numFmt numFmtId="176" formatCode="0.0000000"/>
    <numFmt numFmtId="177" formatCode="#,##0_);[Red]\(#,##0\);&quot; &quot;"/>
  </numFmts>
  <fonts count="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b/>
      <sz val="10"/>
      <color indexed="10"/>
      <name val="Arial"/>
      <family val="2"/>
    </font>
    <font>
      <b/>
      <sz val="12"/>
      <name val="Arial"/>
      <family val="2"/>
    </font>
    <font>
      <sz val="10"/>
      <name val="Arial"/>
      <family val="2"/>
    </font>
    <font>
      <b/>
      <sz val="14"/>
      <color indexed="10"/>
      <name val="Arial"/>
      <family val="2"/>
    </font>
    <font>
      <b/>
      <sz val="10"/>
      <name val="Arial"/>
      <family val="2"/>
    </font>
    <font>
      <u val="singleAccounting"/>
      <sz val="10"/>
      <name val="Arial"/>
      <family val="2"/>
    </font>
    <font>
      <sz val="10"/>
      <color indexed="12"/>
      <name val="Arial"/>
      <family val="2"/>
    </font>
    <font>
      <b/>
      <sz val="10"/>
      <color rgb="FFFF0000"/>
      <name val="Arial"/>
      <family val="2"/>
    </font>
    <font>
      <b/>
      <u/>
      <sz val="10"/>
      <name val="Arial"/>
      <family val="2"/>
    </font>
    <font>
      <b/>
      <sz val="11"/>
      <name val="Arial"/>
      <family val="2"/>
    </font>
    <font>
      <sz val="10"/>
      <color indexed="10"/>
      <name val="Arial"/>
      <family val="2"/>
    </font>
    <font>
      <sz val="9"/>
      <name val="Arial"/>
      <family val="2"/>
    </font>
    <font>
      <sz val="8"/>
      <name val="Arial"/>
      <family val="2"/>
    </font>
    <font>
      <sz val="10"/>
      <name val="Times New Roman"/>
      <family val="1"/>
    </font>
    <font>
      <sz val="10"/>
      <name val="Geneva"/>
    </font>
    <font>
      <b/>
      <i/>
      <sz val="10"/>
      <name val="Arial"/>
      <family val="2"/>
    </font>
    <font>
      <b/>
      <sz val="9"/>
      <name val="Arial"/>
      <family val="2"/>
    </font>
    <font>
      <b/>
      <sz val="9"/>
      <color indexed="81"/>
      <name val="Tahoma"/>
      <family val="2"/>
    </font>
    <font>
      <sz val="9"/>
      <color indexed="81"/>
      <name val="Tahoma"/>
      <family val="2"/>
    </font>
    <font>
      <b/>
      <sz val="14"/>
      <color theme="1"/>
      <name val="Calibri"/>
      <family val="2"/>
      <scheme val="minor"/>
    </font>
    <font>
      <b/>
      <sz val="9"/>
      <color rgb="FFFF0000"/>
      <name val="Calibri"/>
      <family val="2"/>
      <scheme val="minor"/>
    </font>
    <font>
      <b/>
      <sz val="11"/>
      <color rgb="FFFF0000"/>
      <name val="Calibri"/>
      <family val="2"/>
      <scheme val="minor"/>
    </font>
    <font>
      <u/>
      <sz val="10"/>
      <name val="Times New Roman"/>
      <family val="1"/>
    </font>
    <font>
      <u/>
      <sz val="10"/>
      <name val="Arial"/>
      <family val="2"/>
    </font>
    <font>
      <b/>
      <u/>
      <sz val="9"/>
      <name val="Arial"/>
      <family val="2"/>
    </font>
    <font>
      <b/>
      <u/>
      <sz val="11"/>
      <name val="Arial"/>
      <family val="2"/>
    </font>
    <font>
      <sz val="10"/>
      <color rgb="FFFF0000"/>
      <name val="Arial"/>
      <family val="2"/>
    </font>
    <font>
      <b/>
      <sz val="10"/>
      <color rgb="FF0000FF"/>
      <name val="Arial"/>
      <family val="2"/>
    </font>
    <font>
      <b/>
      <u/>
      <sz val="10"/>
      <name val="Geneva"/>
    </font>
    <font>
      <sz val="10"/>
      <color rgb="FFFF0000"/>
      <name val="Geneva"/>
    </font>
    <font>
      <b/>
      <sz val="10"/>
      <name val="Geneva"/>
    </font>
    <font>
      <b/>
      <sz val="12"/>
      <color theme="0"/>
      <name val="Arial"/>
      <family val="2"/>
    </font>
    <font>
      <sz val="8"/>
      <color rgb="FFFF0000"/>
      <name val="Calibri"/>
      <family val="2"/>
      <scheme val="minor"/>
    </font>
    <font>
      <b/>
      <sz val="8"/>
      <name val="Geneva"/>
    </font>
    <font>
      <sz val="12"/>
      <name val="Arial"/>
      <family val="2"/>
    </font>
    <font>
      <sz val="8"/>
      <color rgb="FFFF0000"/>
      <name val="Arial"/>
      <family val="2"/>
    </font>
    <font>
      <sz val="11"/>
      <color rgb="FFFF0000"/>
      <name val="Calibri"/>
      <family val="2"/>
      <scheme val="minor"/>
    </font>
    <font>
      <b/>
      <i/>
      <sz val="10"/>
      <color rgb="FFFF0000"/>
      <name val="Arial"/>
      <family val="2"/>
    </font>
    <font>
      <sz val="10"/>
      <color theme="1"/>
      <name val="Arial"/>
      <family val="2"/>
    </font>
    <font>
      <b/>
      <sz val="8"/>
      <name val="Arial"/>
      <family val="2"/>
    </font>
    <font>
      <b/>
      <sz val="11"/>
      <name val="Calibri"/>
      <family val="2"/>
      <scheme val="minor"/>
    </font>
    <font>
      <sz val="11"/>
      <name val="Calibri"/>
      <family val="2"/>
      <scheme val="minor"/>
    </font>
    <font>
      <b/>
      <sz val="10"/>
      <color theme="1"/>
      <name val="Arial"/>
      <family val="2"/>
    </font>
    <font>
      <sz val="10"/>
      <color rgb="FF7030A0"/>
      <name val="Arial"/>
      <family val="2"/>
    </font>
    <font>
      <sz val="10"/>
      <color rgb="FF0000FF"/>
      <name val="Arial"/>
      <family val="2"/>
    </font>
    <font>
      <sz val="10"/>
      <color theme="7" tint="-0.249977111117893"/>
      <name val="Arial"/>
      <family val="2"/>
    </font>
    <font>
      <b/>
      <i/>
      <sz val="11"/>
      <name val="Calibri"/>
      <family val="2"/>
      <scheme val="minor"/>
    </font>
    <font>
      <sz val="8"/>
      <name val="Calibri"/>
      <family val="2"/>
      <scheme val="minor"/>
    </font>
    <font>
      <sz val="11"/>
      <color rgb="FF1F497D"/>
      <name val="Calibri"/>
      <family val="2"/>
    </font>
    <font>
      <sz val="8"/>
      <color indexed="81"/>
      <name val="Tahoma"/>
      <family val="2"/>
    </font>
    <font>
      <b/>
      <sz val="8"/>
      <color indexed="81"/>
      <name val="Tahoma"/>
      <family val="2"/>
    </font>
    <font>
      <sz val="11"/>
      <color theme="1"/>
      <name val="Calibri"/>
      <family val="2"/>
    </font>
    <font>
      <b/>
      <u/>
      <sz val="11"/>
      <color theme="1"/>
      <name val="Calibri"/>
      <family val="2"/>
      <scheme val="minor"/>
    </font>
    <font>
      <b/>
      <sz val="11"/>
      <color theme="1"/>
      <name val="Calibri"/>
      <family val="2"/>
    </font>
    <font>
      <b/>
      <sz val="11"/>
      <color indexed="81"/>
      <name val="Tahoma"/>
      <family val="2"/>
    </font>
    <font>
      <sz val="10"/>
      <name val="Arial"/>
      <family val="2"/>
    </font>
    <font>
      <sz val="9"/>
      <color rgb="FFFF0000"/>
      <name val="Calibri"/>
      <family val="2"/>
      <scheme val="minor"/>
    </font>
    <font>
      <b/>
      <sz val="8"/>
      <color rgb="FFFF0000"/>
      <name val="Calibri"/>
      <family val="2"/>
      <scheme val="minor"/>
    </font>
    <font>
      <b/>
      <i/>
      <sz val="11"/>
      <color theme="1"/>
      <name val="Calibri"/>
      <family val="2"/>
      <scheme val="minor"/>
    </font>
    <font>
      <b/>
      <sz val="11"/>
      <color theme="0"/>
      <name val="Calibri"/>
      <family val="2"/>
      <scheme val="minor"/>
    </font>
    <font>
      <sz val="10"/>
      <name val="Arial"/>
      <family val="2"/>
    </font>
    <font>
      <sz val="9"/>
      <color theme="1"/>
      <name val="Arial"/>
      <family val="2"/>
    </font>
    <font>
      <sz val="8"/>
      <color rgb="FF0000FF"/>
      <name val="Arial"/>
      <family val="2"/>
    </font>
    <font>
      <b/>
      <sz val="11"/>
      <color rgb="FF0000FF"/>
      <name val="Calibri"/>
      <family val="2"/>
      <scheme val="minor"/>
    </font>
    <font>
      <sz val="11"/>
      <color rgb="FF0000FF"/>
      <name val="Calibri"/>
      <family val="2"/>
      <scheme val="minor"/>
    </font>
  </fonts>
  <fills count="22">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theme="9" tint="0.79998168889431442"/>
        <bgColor indexed="64"/>
      </patternFill>
    </fill>
    <fill>
      <patternFill patternType="solid">
        <fgColor rgb="FFFFC000"/>
        <bgColor indexed="64"/>
      </patternFill>
    </fill>
    <fill>
      <patternFill patternType="solid">
        <fgColor rgb="FF00B05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CCFF33"/>
        <bgColor indexed="64"/>
      </patternFill>
    </fill>
    <fill>
      <patternFill patternType="solid">
        <fgColor theme="2"/>
        <bgColor indexed="64"/>
      </patternFill>
    </fill>
    <fill>
      <patternFill patternType="solid">
        <fgColor theme="2" tint="-9.9978637043366805E-2"/>
        <bgColor indexed="64"/>
      </patternFill>
    </fill>
    <fill>
      <patternFill patternType="solid">
        <fgColor rgb="FFFFCC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FCC00"/>
        <bgColor indexed="64"/>
      </patternFill>
    </fill>
    <fill>
      <patternFill patternType="solid">
        <fgColor rgb="FFCCCCFF"/>
        <bgColor indexed="64"/>
      </patternFill>
    </fill>
    <fill>
      <patternFill patternType="solid">
        <fgColor rgb="FF00FFFF"/>
        <bgColor indexed="64"/>
      </patternFill>
    </fill>
    <fill>
      <patternFill patternType="solid">
        <fgColor theme="0" tint="-4.9989318521683403E-2"/>
        <bgColor indexed="64"/>
      </patternFill>
    </fill>
    <fill>
      <patternFill patternType="solid">
        <fgColor theme="1"/>
        <bgColor indexed="64"/>
      </patternFill>
    </fill>
  </fills>
  <borders count="43">
    <border>
      <left/>
      <right/>
      <top/>
      <bottom/>
      <diagonal/>
    </border>
    <border>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medium">
        <color indexed="64"/>
      </top>
      <bottom style="medium">
        <color indexed="64"/>
      </bottom>
      <diagonal/>
    </border>
    <border>
      <left/>
      <right/>
      <top style="medium">
        <color indexed="64"/>
      </top>
      <bottom style="double">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top/>
      <bottom style="thin">
        <color auto="1"/>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auto="1"/>
      </bottom>
      <diagonal/>
    </border>
  </borders>
  <cellStyleXfs count="5">
    <xf numFmtId="164" fontId="0" fillId="0" borderId="0">
      <alignment horizontal="left" wrapText="1"/>
    </xf>
    <xf numFmtId="0" fontId="2" fillId="0" borderId="0"/>
    <xf numFmtId="43" fontId="2" fillId="0" borderId="0" applyFont="0" applyFill="0" applyBorder="0" applyAlignment="0" applyProtection="0"/>
    <xf numFmtId="0" fontId="2" fillId="0" borderId="0"/>
    <xf numFmtId="43" fontId="74" fillId="0" borderId="0" applyFont="0" applyFill="0" applyBorder="0" applyAlignment="0" applyProtection="0"/>
  </cellStyleXfs>
  <cellXfs count="704">
    <xf numFmtId="164" fontId="0" fillId="0" borderId="0" xfId="0">
      <alignment horizontal="left" wrapText="1"/>
    </xf>
    <xf numFmtId="0" fontId="0" fillId="18" borderId="27" xfId="0" applyNumberFormat="1" applyFill="1" applyBorder="1" applyAlignment="1">
      <alignment horizontal="center"/>
    </xf>
    <xf numFmtId="0" fontId="0" fillId="18" borderId="9" xfId="0" applyNumberFormat="1" applyFill="1" applyBorder="1" applyAlignment="1">
      <alignment horizontal="center"/>
    </xf>
    <xf numFmtId="0" fontId="30" fillId="18" borderId="7" xfId="0" applyNumberFormat="1" applyFont="1" applyFill="1" applyBorder="1" applyAlignment="1">
      <alignment horizontal="left"/>
    </xf>
    <xf numFmtId="17" fontId="12" fillId="17" borderId="29" xfId="0" applyNumberFormat="1" applyFont="1" applyFill="1" applyBorder="1" applyAlignment="1"/>
    <xf numFmtId="17" fontId="12" fillId="17" borderId="4" xfId="0" applyNumberFormat="1" applyFont="1" applyFill="1" applyBorder="1" applyAlignment="1"/>
    <xf numFmtId="17" fontId="12" fillId="9" borderId="4" xfId="0" applyNumberFormat="1" applyFont="1" applyFill="1" applyBorder="1" applyAlignment="1"/>
    <xf numFmtId="17" fontId="12" fillId="9" borderId="20" xfId="0" applyNumberFormat="1" applyFont="1" applyFill="1" applyBorder="1" applyAlignment="1"/>
    <xf numFmtId="164" fontId="0" fillId="17" borderId="28" xfId="0" applyFill="1" applyBorder="1">
      <alignment horizontal="left" wrapText="1"/>
    </xf>
    <xf numFmtId="0" fontId="0" fillId="9" borderId="11" xfId="0" applyNumberFormat="1" applyFill="1" applyBorder="1" applyAlignment="1">
      <alignment horizontal="center"/>
    </xf>
    <xf numFmtId="17" fontId="12" fillId="9" borderId="0" xfId="0" applyNumberFormat="1" applyFont="1" applyFill="1" applyBorder="1" applyAlignment="1"/>
    <xf numFmtId="0" fontId="0" fillId="9" borderId="0" xfId="0" applyNumberFormat="1" applyFill="1" applyBorder="1" applyAlignment="1">
      <alignment horizontal="left"/>
    </xf>
    <xf numFmtId="164" fontId="0" fillId="9" borderId="0" xfId="0" applyFill="1" applyBorder="1">
      <alignment horizontal="left" wrapText="1"/>
    </xf>
    <xf numFmtId="0" fontId="0" fillId="9" borderId="0" xfId="0" applyNumberFormat="1" applyFill="1" applyBorder="1" applyAlignment="1"/>
    <xf numFmtId="164" fontId="0" fillId="17" borderId="0" xfId="0" applyFill="1" applyBorder="1">
      <alignment horizontal="left" wrapText="1"/>
    </xf>
    <xf numFmtId="164" fontId="18" fillId="17" borderId="0" xfId="0" applyFont="1" applyFill="1" applyBorder="1" applyAlignment="1">
      <alignment horizontal="left"/>
    </xf>
    <xf numFmtId="43" fontId="0" fillId="0" borderId="0" xfId="0" applyNumberFormat="1" applyAlignment="1"/>
    <xf numFmtId="44" fontId="0" fillId="0" borderId="0" xfId="0" applyNumberFormat="1" applyAlignment="1"/>
    <xf numFmtId="167" fontId="16" fillId="2" borderId="0" xfId="0" applyNumberFormat="1" applyFont="1" applyFill="1" applyBorder="1" applyAlignment="1"/>
    <xf numFmtId="0" fontId="0" fillId="0" borderId="0" xfId="0" applyNumberFormat="1" applyAlignment="1">
      <alignment horizontal="center"/>
    </xf>
    <xf numFmtId="0" fontId="13" fillId="0" borderId="0" xfId="0" applyNumberFormat="1" applyFont="1" applyAlignment="1">
      <alignment horizontal="left"/>
    </xf>
    <xf numFmtId="0" fontId="0" fillId="0" borderId="0" xfId="0" applyNumberFormat="1" applyAlignment="1"/>
    <xf numFmtId="164" fontId="14" fillId="0" borderId="0" xfId="0" applyFont="1" applyAlignment="1">
      <alignment horizontal="left"/>
    </xf>
    <xf numFmtId="0" fontId="15" fillId="0" borderId="0" xfId="0" applyNumberFormat="1" applyFont="1" applyAlignment="1">
      <alignment horizontal="left"/>
    </xf>
    <xf numFmtId="0" fontId="17" fillId="0" borderId="0" xfId="0" applyNumberFormat="1" applyFont="1" applyAlignment="1"/>
    <xf numFmtId="0" fontId="0" fillId="0" borderId="0" xfId="0" applyNumberFormat="1" applyAlignment="1">
      <alignment horizontal="left"/>
    </xf>
    <xf numFmtId="0" fontId="18" fillId="0" borderId="0" xfId="0" applyNumberFormat="1" applyFont="1" applyAlignment="1">
      <alignment horizontal="center"/>
    </xf>
    <xf numFmtId="0" fontId="18" fillId="0" borderId="0" xfId="0" applyNumberFormat="1" applyFont="1" applyAlignment="1"/>
    <xf numFmtId="0" fontId="18" fillId="0" borderId="0" xfId="0" applyNumberFormat="1" applyFont="1" applyFill="1" applyBorder="1" applyAlignment="1">
      <alignment horizontal="centerContinuous"/>
    </xf>
    <xf numFmtId="0" fontId="0" fillId="0" borderId="0" xfId="0" applyNumberFormat="1" applyBorder="1" applyAlignment="1"/>
    <xf numFmtId="0" fontId="0" fillId="0" borderId="0" xfId="0" applyNumberFormat="1" applyBorder="1" applyAlignment="1">
      <alignment horizontal="center"/>
    </xf>
    <xf numFmtId="0" fontId="0" fillId="0" borderId="0" xfId="0" applyNumberFormat="1" applyAlignment="1">
      <alignment horizontal="left" indent="1"/>
    </xf>
    <xf numFmtId="0" fontId="0" fillId="0" borderId="0" xfId="0" applyNumberFormat="1" applyFill="1" applyAlignment="1">
      <alignment horizontal="left" indent="1"/>
    </xf>
    <xf numFmtId="0" fontId="18" fillId="0" borderId="0" xfId="0" applyNumberFormat="1" applyFont="1" applyFill="1" applyAlignment="1"/>
    <xf numFmtId="0" fontId="0" fillId="0" borderId="0" xfId="0" applyNumberFormat="1" applyFill="1" applyAlignment="1"/>
    <xf numFmtId="0" fontId="23" fillId="0" borderId="0" xfId="0" applyNumberFormat="1" applyFont="1" applyAlignment="1"/>
    <xf numFmtId="167" fontId="24" fillId="0" borderId="0" xfId="0" applyNumberFormat="1" applyFont="1" applyBorder="1" applyAlignment="1"/>
    <xf numFmtId="0" fontId="0" fillId="0" borderId="0" xfId="0" quotePrefix="1" applyNumberFormat="1" applyAlignment="1" applyProtection="1">
      <alignment horizontal="left"/>
      <protection locked="0"/>
    </xf>
    <xf numFmtId="0" fontId="0" fillId="0" borderId="0" xfId="0" applyNumberFormat="1" applyAlignment="1" applyProtection="1">
      <alignment horizontal="left"/>
      <protection locked="0"/>
    </xf>
    <xf numFmtId="0" fontId="18" fillId="0" borderId="0" xfId="0" applyNumberFormat="1" applyFont="1" applyFill="1" applyAlignment="1" applyProtection="1">
      <alignment horizontal="left"/>
      <protection locked="0"/>
    </xf>
    <xf numFmtId="43" fontId="18" fillId="0" borderId="0" xfId="0" applyNumberFormat="1" applyFont="1" applyFill="1" applyBorder="1" applyAlignment="1"/>
    <xf numFmtId="43" fontId="20" fillId="0" borderId="0" xfId="0" applyNumberFormat="1" applyFont="1" applyFill="1" applyBorder="1" applyAlignment="1"/>
    <xf numFmtId="0" fontId="0" fillId="0" borderId="0" xfId="0" applyNumberFormat="1" applyAlignment="1">
      <alignment horizontal="right"/>
    </xf>
    <xf numFmtId="0" fontId="25" fillId="0" borderId="0" xfId="0" applyNumberFormat="1" applyFont="1" applyAlignment="1"/>
    <xf numFmtId="165" fontId="0" fillId="0" borderId="0" xfId="0" applyNumberFormat="1" applyAlignment="1"/>
    <xf numFmtId="0" fontId="25" fillId="0" borderId="0" xfId="0" quotePrefix="1" applyNumberFormat="1" applyFont="1" applyAlignment="1">
      <alignment horizontal="center"/>
    </xf>
    <xf numFmtId="165" fontId="0" fillId="0" borderId="0" xfId="0" applyNumberFormat="1" applyFill="1" applyBorder="1" applyAlignment="1">
      <alignment horizontal="left" wrapText="1"/>
    </xf>
    <xf numFmtId="0" fontId="0" fillId="0" borderId="0" xfId="0" applyNumberFormat="1" applyBorder="1" applyAlignment="1">
      <alignment horizontal="left" wrapText="1"/>
    </xf>
    <xf numFmtId="0" fontId="0" fillId="0" borderId="0" xfId="0" applyNumberFormat="1" applyBorder="1" applyAlignment="1">
      <alignment wrapText="1"/>
    </xf>
    <xf numFmtId="164" fontId="18" fillId="0" borderId="0" xfId="0" applyFont="1" applyAlignment="1">
      <alignment wrapText="1"/>
    </xf>
    <xf numFmtId="0" fontId="0" fillId="0" borderId="0" xfId="0" applyNumberFormat="1" applyAlignment="1" applyProtection="1">
      <alignment horizontal="center"/>
      <protection locked="0"/>
    </xf>
    <xf numFmtId="165" fontId="16" fillId="0" borderId="0" xfId="0" applyNumberFormat="1" applyFont="1" applyFill="1" applyBorder="1" applyAlignment="1"/>
    <xf numFmtId="43" fontId="19" fillId="0" borderId="0" xfId="0" applyNumberFormat="1" applyFont="1" applyAlignment="1">
      <alignment horizontal="center"/>
    </xf>
    <xf numFmtId="165" fontId="20" fillId="0" borderId="0" xfId="0" applyNumberFormat="1" applyFont="1" applyBorder="1" applyAlignment="1"/>
    <xf numFmtId="166" fontId="16" fillId="0" borderId="0" xfId="0" applyNumberFormat="1" applyFont="1" applyAlignment="1">
      <alignment horizontal="center"/>
    </xf>
    <xf numFmtId="43" fontId="18" fillId="0" borderId="0" xfId="0" applyNumberFormat="1" applyFont="1" applyFill="1" applyAlignment="1">
      <alignment horizontal="center"/>
    </xf>
    <xf numFmtId="167" fontId="16" fillId="0" borderId="0" xfId="0" applyNumberFormat="1" applyFont="1" applyFill="1" applyBorder="1" applyAlignment="1"/>
    <xf numFmtId="166" fontId="16" fillId="0" borderId="0" xfId="0" applyNumberFormat="1" applyFont="1" applyFill="1" applyAlignment="1">
      <alignment horizontal="center"/>
    </xf>
    <xf numFmtId="43" fontId="16" fillId="0" borderId="0" xfId="0" applyNumberFormat="1" applyFont="1" applyFill="1" applyAlignment="1"/>
    <xf numFmtId="43" fontId="18" fillId="0" borderId="0" xfId="0" applyNumberFormat="1" applyFont="1" applyFill="1" applyAlignment="1"/>
    <xf numFmtId="165" fontId="16" fillId="0" borderId="1" xfId="0" applyNumberFormat="1" applyFont="1" applyFill="1" applyBorder="1" applyAlignment="1"/>
    <xf numFmtId="165" fontId="20" fillId="0" borderId="0" xfId="0" applyNumberFormat="1" applyFont="1" applyFill="1" applyBorder="1" applyAlignment="1"/>
    <xf numFmtId="167" fontId="20" fillId="0" borderId="0" xfId="0" applyNumberFormat="1" applyFont="1" applyFill="1" applyBorder="1" applyAlignment="1"/>
    <xf numFmtId="43" fontId="16" fillId="0" borderId="0" xfId="0" applyNumberFormat="1" applyFont="1" applyBorder="1" applyAlignment="1"/>
    <xf numFmtId="165" fontId="16" fillId="0" borderId="0" xfId="0" applyNumberFormat="1" applyFont="1" applyAlignment="1"/>
    <xf numFmtId="167" fontId="16" fillId="0" borderId="0" xfId="0" applyNumberFormat="1" applyFont="1" applyBorder="1" applyAlignment="1"/>
    <xf numFmtId="165" fontId="16" fillId="0" borderId="0" xfId="0" applyNumberFormat="1" applyFont="1" applyBorder="1" applyAlignment="1"/>
    <xf numFmtId="168" fontId="16" fillId="0" borderId="0" xfId="0" applyNumberFormat="1" applyFont="1" applyBorder="1" applyAlignment="1"/>
    <xf numFmtId="165" fontId="16" fillId="0" borderId="2" xfId="0" applyNumberFormat="1" applyFont="1" applyBorder="1" applyAlignment="1"/>
    <xf numFmtId="37" fontId="20" fillId="0" borderId="0" xfId="0" applyNumberFormat="1" applyFont="1" applyBorder="1" applyAlignment="1"/>
    <xf numFmtId="37" fontId="20" fillId="0" borderId="0" xfId="0" applyNumberFormat="1" applyFont="1" applyFill="1" applyBorder="1" applyAlignment="1"/>
    <xf numFmtId="167" fontId="20" fillId="0" borderId="0" xfId="0" applyNumberFormat="1" applyFont="1" applyBorder="1" applyAlignment="1"/>
    <xf numFmtId="169" fontId="25" fillId="0" borderId="0" xfId="0" applyNumberFormat="1" applyFont="1" applyFill="1" applyBorder="1" applyAlignment="1"/>
    <xf numFmtId="0" fontId="33" fillId="0" borderId="0" xfId="0" applyNumberFormat="1" applyFont="1" applyAlignment="1"/>
    <xf numFmtId="0" fontId="11" fillId="0" borderId="0" xfId="0" applyNumberFormat="1" applyFont="1" applyAlignment="1"/>
    <xf numFmtId="0" fontId="12" fillId="0" borderId="0" xfId="0" applyNumberFormat="1" applyFont="1" applyAlignment="1"/>
    <xf numFmtId="17" fontId="11" fillId="0" borderId="0" xfId="0" applyNumberFormat="1" applyFont="1" applyAlignment="1"/>
    <xf numFmtId="17" fontId="12" fillId="0" borderId="0" xfId="0" applyNumberFormat="1" applyFont="1" applyAlignment="1">
      <alignment horizontal="center"/>
    </xf>
    <xf numFmtId="0" fontId="18" fillId="0" borderId="0" xfId="0" applyNumberFormat="1" applyFont="1" applyFill="1" applyBorder="1" applyAlignment="1">
      <alignment horizontal="center"/>
    </xf>
    <xf numFmtId="0" fontId="18" fillId="0" borderId="0" xfId="0" applyNumberFormat="1" applyFont="1" applyAlignment="1" applyProtection="1">
      <alignment horizontal="centerContinuous"/>
      <protection locked="0"/>
    </xf>
    <xf numFmtId="0" fontId="18" fillId="0" borderId="0" xfId="0" applyNumberFormat="1" applyFont="1" applyAlignment="1">
      <alignment horizontal="centerContinuous"/>
    </xf>
    <xf numFmtId="0" fontId="16" fillId="0" borderId="0" xfId="0" applyNumberFormat="1" applyFont="1" applyAlignment="1">
      <alignment horizontal="center"/>
    </xf>
    <xf numFmtId="0" fontId="18" fillId="0" borderId="0" xfId="0" applyNumberFormat="1" applyFont="1" applyAlignment="1" applyProtection="1">
      <alignment horizontal="center"/>
      <protection locked="0"/>
    </xf>
    <xf numFmtId="0" fontId="18" fillId="0" borderId="0" xfId="0" applyNumberFormat="1" applyFont="1" applyAlignment="1" applyProtection="1">
      <protection locked="0"/>
    </xf>
    <xf numFmtId="0" fontId="18" fillId="0" borderId="6" xfId="0" applyNumberFormat="1" applyFont="1" applyBorder="1" applyAlignment="1" applyProtection="1">
      <alignment horizontal="center"/>
      <protection locked="0"/>
    </xf>
    <xf numFmtId="0" fontId="18" fillId="0" borderId="6" xfId="0" applyNumberFormat="1" applyFont="1" applyBorder="1" applyAlignment="1"/>
    <xf numFmtId="0" fontId="16" fillId="0" borderId="6" xfId="0" applyNumberFormat="1" applyFont="1" applyBorder="1" applyAlignment="1"/>
    <xf numFmtId="0" fontId="27" fillId="0" borderId="0" xfId="0" applyNumberFormat="1" applyFont="1" applyAlignment="1"/>
    <xf numFmtId="0" fontId="36" fillId="0" borderId="0" xfId="0" applyNumberFormat="1" applyFont="1" applyBorder="1" applyAlignment="1"/>
    <xf numFmtId="0" fontId="27" fillId="0" borderId="0" xfId="0" applyNumberFormat="1" applyFont="1" applyBorder="1" applyAlignment="1"/>
    <xf numFmtId="0" fontId="26" fillId="0" borderId="0" xfId="0" applyNumberFormat="1" applyFont="1" applyAlignment="1" applyProtection="1">
      <alignment horizontal="center"/>
      <protection locked="0"/>
    </xf>
    <xf numFmtId="0" fontId="26" fillId="0" borderId="0" xfId="0" applyNumberFormat="1" applyFont="1" applyAlignment="1"/>
    <xf numFmtId="0" fontId="30" fillId="0" borderId="0" xfId="0" quotePrefix="1" applyNumberFormat="1" applyFont="1" applyAlignment="1">
      <alignment horizontal="center"/>
    </xf>
    <xf numFmtId="0" fontId="30" fillId="0" borderId="0" xfId="0" applyNumberFormat="1" applyFont="1" applyBorder="1" applyAlignment="1">
      <alignment horizontal="center"/>
    </xf>
    <xf numFmtId="37" fontId="30" fillId="0" borderId="0" xfId="0" applyNumberFormat="1" applyFont="1" applyBorder="1" applyAlignment="1">
      <alignment horizontal="center"/>
    </xf>
    <xf numFmtId="0" fontId="30" fillId="0" borderId="0" xfId="0" applyNumberFormat="1" applyFont="1" applyAlignment="1">
      <alignment horizontal="center"/>
    </xf>
    <xf numFmtId="0" fontId="38" fillId="0" borderId="0" xfId="0" quotePrefix="1" applyNumberFormat="1" applyFont="1" applyBorder="1" applyAlignment="1">
      <alignment horizontal="center"/>
    </xf>
    <xf numFmtId="0" fontId="38" fillId="0" borderId="0" xfId="0" applyNumberFormat="1" applyFont="1" applyFill="1" applyBorder="1" applyAlignment="1">
      <alignment horizontal="center"/>
    </xf>
    <xf numFmtId="37" fontId="38" fillId="0" borderId="0" xfId="0" applyNumberFormat="1" applyFont="1" applyBorder="1" applyAlignment="1">
      <alignment horizontal="center"/>
    </xf>
    <xf numFmtId="10" fontId="22" fillId="3" borderId="0" xfId="0" applyNumberFormat="1" applyFont="1" applyFill="1" applyAlignment="1">
      <alignment horizontal="center"/>
    </xf>
    <xf numFmtId="17" fontId="16" fillId="0" borderId="0" xfId="0" applyNumberFormat="1" applyFont="1" applyAlignment="1"/>
    <xf numFmtId="167" fontId="16" fillId="0" borderId="0" xfId="0" applyNumberFormat="1" applyFont="1" applyAlignment="1"/>
    <xf numFmtId="167" fontId="18" fillId="2" borderId="0" xfId="0" applyNumberFormat="1" applyFont="1" applyFill="1" applyBorder="1" applyAlignment="1"/>
    <xf numFmtId="167" fontId="16" fillId="0" borderId="0" xfId="0" applyNumberFormat="1" applyFont="1" applyAlignment="1">
      <alignment horizontal="right"/>
    </xf>
    <xf numFmtId="167" fontId="16" fillId="2" borderId="0" xfId="0" applyNumberFormat="1" applyFont="1" applyFill="1" applyAlignment="1">
      <alignment horizontal="right"/>
    </xf>
    <xf numFmtId="37" fontId="16" fillId="0" borderId="0" xfId="0" applyNumberFormat="1" applyFont="1" applyAlignment="1"/>
    <xf numFmtId="37" fontId="16" fillId="0" borderId="0" xfId="0" applyNumberFormat="1" applyFont="1" applyFill="1" applyBorder="1" applyAlignment="1"/>
    <xf numFmtId="37" fontId="18" fillId="0" borderId="1" xfId="0" applyNumberFormat="1" applyFont="1" applyFill="1" applyBorder="1" applyAlignment="1"/>
    <xf numFmtId="0" fontId="16" fillId="0" borderId="0" xfId="0" applyNumberFormat="1" applyFont="1" applyFill="1" applyAlignment="1"/>
    <xf numFmtId="37" fontId="16" fillId="0" borderId="0" xfId="0" applyNumberFormat="1" applyFont="1" applyFill="1" applyAlignment="1"/>
    <xf numFmtId="0" fontId="16" fillId="0" borderId="0" xfId="0" applyNumberFormat="1" applyFont="1" applyAlignment="1" applyProtection="1">
      <alignment horizontal="center"/>
      <protection locked="0"/>
    </xf>
    <xf numFmtId="0" fontId="28" fillId="0" borderId="0" xfId="0" applyNumberFormat="1" applyFont="1" applyFill="1" applyAlignment="1">
      <alignment horizontal="center"/>
    </xf>
    <xf numFmtId="17" fontId="22" fillId="0" borderId="0" xfId="0" applyNumberFormat="1" applyFont="1" applyAlignment="1">
      <alignment horizontal="center"/>
    </xf>
    <xf numFmtId="0" fontId="39" fillId="0" borderId="0" xfId="0" applyNumberFormat="1" applyFont="1" applyAlignment="1">
      <alignment horizontal="center"/>
    </xf>
    <xf numFmtId="0" fontId="22" fillId="0" borderId="0" xfId="0" applyNumberFormat="1" applyFont="1" applyAlignment="1"/>
    <xf numFmtId="171" fontId="37" fillId="0" borderId="0" xfId="0" applyNumberFormat="1" applyFont="1" applyFill="1" applyAlignment="1">
      <alignment horizontal="center"/>
    </xf>
    <xf numFmtId="0" fontId="16" fillId="0" borderId="0" xfId="0" applyNumberFormat="1" applyFont="1" applyFill="1" applyAlignment="1">
      <alignment horizontal="right"/>
    </xf>
    <xf numFmtId="37" fontId="16" fillId="0" borderId="2" xfId="0" applyNumberFormat="1" applyFont="1" applyFill="1" applyBorder="1" applyAlignment="1"/>
    <xf numFmtId="0" fontId="29" fillId="0" borderId="0" xfId="0" applyNumberFormat="1" applyFont="1" applyAlignment="1"/>
    <xf numFmtId="0" fontId="16" fillId="0" borderId="0" xfId="0" applyNumberFormat="1" applyFont="1" applyAlignment="1">
      <alignment horizontal="right"/>
    </xf>
    <xf numFmtId="37" fontId="16" fillId="0" borderId="1" xfId="0" applyNumberFormat="1" applyFont="1" applyFill="1" applyBorder="1" applyAlignment="1"/>
    <xf numFmtId="37" fontId="16" fillId="0" borderId="6" xfId="0" applyNumberFormat="1" applyFont="1" applyFill="1" applyBorder="1" applyAlignment="1"/>
    <xf numFmtId="37" fontId="16" fillId="0" borderId="2" xfId="0" applyNumberFormat="1" applyFont="1" applyBorder="1" applyAlignment="1"/>
    <xf numFmtId="37" fontId="16" fillId="0" borderId="0" xfId="0" applyNumberFormat="1" applyFont="1" applyBorder="1" applyAlignment="1"/>
    <xf numFmtId="7" fontId="40" fillId="0" borderId="0" xfId="0" applyNumberFormat="1" applyFont="1" applyAlignment="1"/>
    <xf numFmtId="7" fontId="41" fillId="0" borderId="0" xfId="0" applyNumberFormat="1" applyFont="1" applyAlignment="1"/>
    <xf numFmtId="0" fontId="21" fillId="0" borderId="0" xfId="0" applyNumberFormat="1" applyFont="1" applyAlignment="1"/>
    <xf numFmtId="5" fontId="16" fillId="4" borderId="5" xfId="0" applyNumberFormat="1" applyFont="1" applyFill="1" applyBorder="1" applyAlignment="1"/>
    <xf numFmtId="5" fontId="16" fillId="0" borderId="0" xfId="0" applyNumberFormat="1" applyFont="1" applyAlignment="1"/>
    <xf numFmtId="5" fontId="18" fillId="0" borderId="24" xfId="0" applyNumberFormat="1" applyFont="1" applyBorder="1" applyAlignment="1">
      <alignment horizontal="center"/>
    </xf>
    <xf numFmtId="37" fontId="16" fillId="0" borderId="6" xfId="0" applyNumberFormat="1" applyFont="1" applyBorder="1" applyAlignment="1"/>
    <xf numFmtId="5" fontId="16" fillId="0" borderId="6" xfId="0" applyNumberFormat="1" applyFont="1" applyBorder="1" applyAlignment="1"/>
    <xf numFmtId="0" fontId="28" fillId="0" borderId="0" xfId="0" applyNumberFormat="1" applyFont="1" applyAlignment="1"/>
    <xf numFmtId="17" fontId="22" fillId="0" borderId="0" xfId="0" applyNumberFormat="1" applyFont="1" applyAlignment="1"/>
    <xf numFmtId="0" fontId="42" fillId="0" borderId="0" xfId="0" applyNumberFormat="1" applyFont="1" applyAlignment="1"/>
    <xf numFmtId="0" fontId="28" fillId="0" borderId="0" xfId="0" applyNumberFormat="1" applyFont="1" applyFill="1" applyAlignment="1"/>
    <xf numFmtId="37" fontId="28" fillId="0" borderId="0" xfId="0" applyNumberFormat="1" applyFont="1" applyFill="1" applyAlignment="1"/>
    <xf numFmtId="0" fontId="28" fillId="0" borderId="0" xfId="0" applyNumberFormat="1" applyFont="1" applyFill="1" applyAlignment="1">
      <alignment horizontal="right"/>
    </xf>
    <xf numFmtId="37" fontId="28" fillId="0" borderId="2" xfId="0" applyNumberFormat="1" applyFont="1" applyFill="1" applyBorder="1" applyAlignment="1"/>
    <xf numFmtId="37" fontId="28" fillId="0" borderId="0" xfId="0" applyNumberFormat="1" applyFont="1" applyAlignment="1"/>
    <xf numFmtId="37" fontId="28" fillId="0" borderId="2" xfId="0" applyNumberFormat="1" applyFont="1" applyBorder="1" applyAlignment="1"/>
    <xf numFmtId="165" fontId="28" fillId="0" borderId="2" xfId="0" applyNumberFormat="1" applyFont="1" applyFill="1" applyBorder="1" applyAlignment="1"/>
    <xf numFmtId="7" fontId="43" fillId="0" borderId="0" xfId="0" applyNumberFormat="1" applyFont="1" applyAlignment="1"/>
    <xf numFmtId="7" fontId="28" fillId="0" borderId="0" xfId="0" applyNumberFormat="1" applyFont="1" applyAlignment="1"/>
    <xf numFmtId="5" fontId="28" fillId="4" borderId="0" xfId="0" applyNumberFormat="1" applyFont="1" applyFill="1" applyAlignment="1"/>
    <xf numFmtId="5" fontId="28" fillId="4" borderId="5" xfId="0" applyNumberFormat="1" applyFont="1" applyFill="1" applyBorder="1" applyAlignment="1"/>
    <xf numFmtId="5" fontId="28" fillId="0" borderId="0" xfId="0" applyNumberFormat="1" applyFont="1" applyAlignment="1"/>
    <xf numFmtId="5" fontId="44" fillId="0" borderId="24" xfId="0" applyNumberFormat="1" applyFont="1" applyBorder="1" applyAlignment="1">
      <alignment horizontal="center"/>
    </xf>
    <xf numFmtId="0" fontId="11" fillId="0" borderId="0" xfId="0" applyNumberFormat="1" applyFont="1" applyAlignment="1"/>
    <xf numFmtId="0" fontId="16" fillId="0" borderId="0" xfId="0" applyNumberFormat="1" applyFont="1" applyFill="1" applyAlignment="1">
      <alignment horizontal="left" indent="1"/>
    </xf>
    <xf numFmtId="0" fontId="16" fillId="4" borderId="0" xfId="0" applyNumberFormat="1" applyFont="1" applyFill="1" applyAlignment="1"/>
    <xf numFmtId="0" fontId="16" fillId="4" borderId="0" xfId="0" applyNumberFormat="1" applyFont="1" applyFill="1" applyAlignment="1">
      <alignment horizontal="center"/>
    </xf>
    <xf numFmtId="7" fontId="16" fillId="4" borderId="0" xfId="0" applyNumberFormat="1" applyFont="1" applyFill="1" applyAlignment="1"/>
    <xf numFmtId="7" fontId="16" fillId="8" borderId="0" xfId="0" applyNumberFormat="1" applyFont="1" applyFill="1" applyAlignment="1"/>
    <xf numFmtId="39" fontId="16" fillId="4" borderId="0" xfId="0" applyNumberFormat="1" applyFont="1" applyFill="1" applyAlignment="1"/>
    <xf numFmtId="43" fontId="16" fillId="0" borderId="0" xfId="0" applyNumberFormat="1" applyFont="1" applyAlignment="1"/>
    <xf numFmtId="0" fontId="46" fillId="0" borderId="0" xfId="0" applyNumberFormat="1" applyFont="1" applyAlignment="1"/>
    <xf numFmtId="7" fontId="46" fillId="2" borderId="0" xfId="0" applyNumberFormat="1" applyFont="1" applyFill="1" applyAlignment="1"/>
    <xf numFmtId="0" fontId="0" fillId="0" borderId="0" xfId="0" applyNumberFormat="1" applyFill="1" applyBorder="1" applyAlignment="1"/>
    <xf numFmtId="43" fontId="16" fillId="0" borderId="0" xfId="0" applyNumberFormat="1" applyFont="1" applyFill="1" applyBorder="1" applyAlignment="1"/>
    <xf numFmtId="165" fontId="16" fillId="0" borderId="2" xfId="0" applyNumberFormat="1" applyFont="1" applyFill="1" applyBorder="1" applyAlignment="1"/>
    <xf numFmtId="0" fontId="12" fillId="0" borderId="0" xfId="0" applyNumberFormat="1" applyFont="1" applyAlignment="1"/>
    <xf numFmtId="17" fontId="18" fillId="0" borderId="0" xfId="0" applyNumberFormat="1" applyFont="1" applyFill="1" applyBorder="1" applyAlignment="1">
      <alignment horizontal="center"/>
    </xf>
    <xf numFmtId="17" fontId="18" fillId="0" borderId="0" xfId="0" applyNumberFormat="1" applyFont="1" applyBorder="1" applyAlignment="1">
      <alignment horizontal="center"/>
    </xf>
    <xf numFmtId="170" fontId="25" fillId="0" borderId="0" xfId="0" applyNumberFormat="1" applyFont="1" applyFill="1" applyAlignment="1"/>
    <xf numFmtId="164" fontId="0" fillId="0" borderId="0" xfId="0" applyFill="1" applyBorder="1" applyAlignment="1">
      <alignment horizontal="left"/>
    </xf>
    <xf numFmtId="0" fontId="10" fillId="0" borderId="0" xfId="0" applyNumberFormat="1" applyFont="1" applyAlignment="1"/>
    <xf numFmtId="0" fontId="50" fillId="0" borderId="0" xfId="0" applyNumberFormat="1" applyFont="1" applyAlignment="1"/>
    <xf numFmtId="5" fontId="50" fillId="0" borderId="0" xfId="0" applyNumberFormat="1" applyFont="1" applyAlignment="1"/>
    <xf numFmtId="0" fontId="45" fillId="6" borderId="0" xfId="0" applyNumberFormat="1" applyFont="1" applyFill="1" applyAlignment="1">
      <alignment wrapText="1"/>
    </xf>
    <xf numFmtId="0" fontId="16" fillId="7" borderId="0" xfId="0" applyNumberFormat="1" applyFont="1" applyFill="1" applyAlignment="1"/>
    <xf numFmtId="0" fontId="23" fillId="7" borderId="0" xfId="0" applyNumberFormat="1" applyFont="1" applyFill="1" applyAlignment="1">
      <alignment wrapText="1"/>
    </xf>
    <xf numFmtId="17" fontId="37" fillId="0" borderId="0" xfId="0" applyNumberFormat="1" applyFont="1" applyAlignment="1"/>
    <xf numFmtId="0" fontId="37" fillId="0" borderId="0" xfId="0" applyNumberFormat="1" applyFont="1" applyAlignment="1">
      <alignment horizontal="center"/>
    </xf>
    <xf numFmtId="0" fontId="16" fillId="0" borderId="0" xfId="0" applyNumberFormat="1" applyFont="1" applyAlignment="1"/>
    <xf numFmtId="7" fontId="16" fillId="0" borderId="0" xfId="0" applyNumberFormat="1" applyFont="1" applyAlignment="1"/>
    <xf numFmtId="0" fontId="16" fillId="5" borderId="0" xfId="0" applyNumberFormat="1" applyFont="1" applyFill="1" applyAlignment="1"/>
    <xf numFmtId="7" fontId="16" fillId="0" borderId="0" xfId="0" applyNumberFormat="1" applyFont="1" applyFill="1" applyAlignment="1"/>
    <xf numFmtId="39" fontId="16" fillId="0" borderId="0" xfId="0" applyNumberFormat="1" applyFont="1" applyAlignment="1"/>
    <xf numFmtId="3" fontId="28" fillId="0" borderId="0" xfId="0" applyNumberFormat="1" applyFont="1" applyFill="1" applyAlignment="1"/>
    <xf numFmtId="43" fontId="0" fillId="0" borderId="0" xfId="0" applyNumberFormat="1" applyFont="1" applyAlignment="1"/>
    <xf numFmtId="0" fontId="16" fillId="0" borderId="0" xfId="0" applyNumberFormat="1" applyFont="1" applyFill="1" applyAlignment="1"/>
    <xf numFmtId="17" fontId="12" fillId="0" borderId="0" xfId="0" applyNumberFormat="1" applyFont="1" applyFill="1" applyBorder="1" applyAlignment="1"/>
    <xf numFmtId="43" fontId="19" fillId="0" borderId="0" xfId="0" applyNumberFormat="1" applyFont="1" applyFill="1" applyBorder="1" applyAlignment="1">
      <alignment horizontal="center"/>
    </xf>
    <xf numFmtId="166" fontId="16" fillId="0" borderId="0" xfId="0" applyNumberFormat="1" applyFont="1" applyFill="1" applyBorder="1" applyAlignment="1">
      <alignment horizontal="center"/>
    </xf>
    <xf numFmtId="0" fontId="0" fillId="0" borderId="0" xfId="0" applyNumberFormat="1" applyFill="1" applyBorder="1" applyAlignment="1">
      <alignment horizontal="center"/>
    </xf>
    <xf numFmtId="0" fontId="13" fillId="0" borderId="0" xfId="0" applyNumberFormat="1" applyFont="1" applyFill="1" applyBorder="1" applyAlignment="1">
      <alignment horizontal="left"/>
    </xf>
    <xf numFmtId="164" fontId="0" fillId="0" borderId="0" xfId="0" applyFill="1" applyBorder="1">
      <alignment horizontal="left" wrapText="1"/>
    </xf>
    <xf numFmtId="0" fontId="15" fillId="0" borderId="0" xfId="0" applyNumberFormat="1" applyFont="1" applyFill="1" applyBorder="1" applyAlignment="1">
      <alignment horizontal="left"/>
    </xf>
    <xf numFmtId="0" fontId="51" fillId="0" borderId="0" xfId="0" applyNumberFormat="1" applyFont="1" applyFill="1" applyBorder="1" applyAlignment="1">
      <alignment horizontal="centerContinuous"/>
    </xf>
    <xf numFmtId="0" fontId="0" fillId="0" borderId="0" xfId="0" applyNumberFormat="1" applyFill="1" applyBorder="1" applyAlignment="1">
      <alignment horizontal="centerContinuous"/>
    </xf>
    <xf numFmtId="0" fontId="0" fillId="0" borderId="0" xfId="0" applyNumberFormat="1" applyFill="1" applyBorder="1" applyAlignment="1">
      <alignment horizontal="left"/>
    </xf>
    <xf numFmtId="164" fontId="18" fillId="0" borderId="0" xfId="0" applyFont="1" applyFill="1" applyBorder="1" applyAlignment="1">
      <alignment horizontal="left"/>
    </xf>
    <xf numFmtId="0" fontId="0" fillId="0" borderId="0" xfId="0" applyNumberFormat="1" applyFill="1" applyBorder="1" applyAlignment="1">
      <alignment horizontal="left" indent="1"/>
    </xf>
    <xf numFmtId="0" fontId="16" fillId="0" borderId="0" xfId="0" applyNumberFormat="1" applyFont="1" applyFill="1" applyBorder="1" applyAlignment="1">
      <alignment horizontal="left" indent="1"/>
    </xf>
    <xf numFmtId="0" fontId="22" fillId="0" borderId="0" xfId="0" applyNumberFormat="1" applyFont="1" applyFill="1" applyBorder="1" applyAlignment="1"/>
    <xf numFmtId="167" fontId="0" fillId="0" borderId="0" xfId="0" applyNumberFormat="1" applyFont="1" applyFill="1" applyBorder="1" applyAlignment="1">
      <alignment horizontal="left" wrapText="1"/>
    </xf>
    <xf numFmtId="0" fontId="16" fillId="0" borderId="0" xfId="0" applyNumberFormat="1" applyFont="1" applyFill="1" applyBorder="1" applyAlignment="1"/>
    <xf numFmtId="173" fontId="22" fillId="3" borderId="0" xfId="0" applyNumberFormat="1" applyFont="1" applyFill="1" applyAlignment="1">
      <alignment horizontal="center"/>
    </xf>
    <xf numFmtId="173" fontId="22" fillId="3" borderId="0" xfId="0" applyNumberFormat="1" applyFont="1" applyFill="1" applyAlignment="1">
      <alignment horizontal="left"/>
    </xf>
    <xf numFmtId="167" fontId="16" fillId="2" borderId="6" xfId="0" applyNumberFormat="1" applyFont="1" applyFill="1" applyBorder="1" applyAlignment="1"/>
    <xf numFmtId="37" fontId="18" fillId="0" borderId="0" xfId="0" applyNumberFormat="1" applyFont="1" applyFill="1" applyBorder="1" applyAlignment="1"/>
    <xf numFmtId="37" fontId="53" fillId="0" borderId="0" xfId="0" applyNumberFormat="1" applyFont="1" applyFill="1" applyAlignment="1"/>
    <xf numFmtId="37" fontId="18" fillId="0" borderId="0" xfId="0" applyNumberFormat="1" applyFont="1" applyFill="1" applyAlignment="1"/>
    <xf numFmtId="0" fontId="18" fillId="0" borderId="0" xfId="0" applyNumberFormat="1" applyFont="1" applyFill="1" applyAlignment="1">
      <alignment horizontal="right"/>
    </xf>
    <xf numFmtId="0" fontId="53" fillId="0" borderId="0" xfId="0" applyNumberFormat="1" applyFont="1" applyFill="1" applyAlignment="1"/>
    <xf numFmtId="37" fontId="18" fillId="0" borderId="0" xfId="0" applyNumberFormat="1" applyFont="1" applyAlignment="1"/>
    <xf numFmtId="0" fontId="18" fillId="0" borderId="0" xfId="0" applyNumberFormat="1" applyFont="1" applyAlignment="1">
      <alignment horizontal="right"/>
    </xf>
    <xf numFmtId="0" fontId="18" fillId="0" borderId="0" xfId="0" applyNumberFormat="1" applyFont="1" applyAlignment="1">
      <alignment horizontal="left"/>
    </xf>
    <xf numFmtId="7" fontId="21" fillId="0" borderId="0" xfId="0" applyNumberFormat="1" applyFont="1" applyAlignment="1"/>
    <xf numFmtId="0" fontId="18" fillId="4" borderId="0" xfId="0" applyNumberFormat="1" applyFont="1" applyFill="1" applyAlignment="1">
      <alignment horizontal="right"/>
    </xf>
    <xf numFmtId="0" fontId="45" fillId="6" borderId="0" xfId="0" applyNumberFormat="1" applyFont="1" applyFill="1" applyAlignment="1"/>
    <xf numFmtId="0" fontId="9" fillId="0" borderId="0" xfId="0" applyNumberFormat="1" applyFont="1" applyAlignment="1"/>
    <xf numFmtId="0" fontId="9" fillId="0" borderId="0" xfId="0" applyNumberFormat="1" applyFont="1" applyFill="1" applyAlignment="1"/>
    <xf numFmtId="17" fontId="12" fillId="0" borderId="0" xfId="0" applyNumberFormat="1" applyFont="1" applyFill="1" applyAlignment="1">
      <alignment horizontal="center"/>
    </xf>
    <xf numFmtId="167" fontId="9" fillId="0" borderId="0" xfId="0" applyNumberFormat="1" applyFont="1" applyAlignment="1"/>
    <xf numFmtId="167" fontId="9" fillId="0" borderId="1" xfId="0" applyNumberFormat="1" applyFont="1" applyBorder="1" applyAlignment="1"/>
    <xf numFmtId="7" fontId="9" fillId="0" borderId="0" xfId="0" applyNumberFormat="1" applyFont="1" applyAlignment="1"/>
    <xf numFmtId="5" fontId="9" fillId="0" borderId="5" xfId="0" applyNumberFormat="1" applyFont="1" applyBorder="1" applyAlignment="1"/>
    <xf numFmtId="172" fontId="9" fillId="0" borderId="0" xfId="0" applyNumberFormat="1" applyFont="1" applyAlignment="1"/>
    <xf numFmtId="167" fontId="9" fillId="0" borderId="5" xfId="0" applyNumberFormat="1" applyFont="1" applyBorder="1" applyAlignment="1"/>
    <xf numFmtId="167" fontId="0" fillId="0" borderId="0" xfId="0" applyNumberFormat="1" applyFont="1" applyFill="1" applyBorder="1" applyAlignment="1">
      <alignment horizontal="left" wrapText="1"/>
    </xf>
    <xf numFmtId="43" fontId="16" fillId="0" borderId="0" xfId="0" applyNumberFormat="1" applyFont="1" applyAlignment="1"/>
    <xf numFmtId="0" fontId="18" fillId="0" borderId="0" xfId="0" applyNumberFormat="1" applyFont="1" applyFill="1" applyAlignment="1"/>
    <xf numFmtId="170" fontId="25" fillId="0" borderId="0" xfId="0" applyNumberFormat="1" applyFont="1" applyFill="1" applyAlignment="1"/>
    <xf numFmtId="165" fontId="16" fillId="0" borderId="0" xfId="0" applyNumberFormat="1" applyFont="1" applyFill="1" applyBorder="1" applyAlignment="1"/>
    <xf numFmtId="0" fontId="16" fillId="0" borderId="0" xfId="0" applyNumberFormat="1" applyFont="1" applyFill="1" applyAlignment="1">
      <alignment horizontal="right"/>
    </xf>
    <xf numFmtId="170" fontId="25" fillId="0" borderId="0" xfId="0" applyNumberFormat="1" applyFont="1" applyFill="1" applyAlignment="1"/>
    <xf numFmtId="0" fontId="55" fillId="0" borderId="0" xfId="0" applyNumberFormat="1" applyFont="1" applyFill="1" applyAlignment="1"/>
    <xf numFmtId="0" fontId="18" fillId="0" borderId="0" xfId="0" applyNumberFormat="1" applyFont="1" applyFill="1" applyAlignment="1">
      <alignment wrapText="1"/>
    </xf>
    <xf numFmtId="0" fontId="16" fillId="0" borderId="0" xfId="0" applyNumberFormat="1" applyFont="1" applyFill="1" applyAlignment="1"/>
    <xf numFmtId="165" fontId="55" fillId="0" borderId="5" xfId="0" applyNumberFormat="1" applyFont="1" applyFill="1" applyBorder="1" applyAlignment="1"/>
    <xf numFmtId="0" fontId="60" fillId="0" borderId="0" xfId="0" applyNumberFormat="1" applyFont="1" applyFill="1" applyAlignment="1"/>
    <xf numFmtId="0" fontId="55" fillId="0" borderId="0" xfId="0" applyNumberFormat="1" applyFont="1" applyFill="1" applyAlignment="1"/>
    <xf numFmtId="165" fontId="55" fillId="0" borderId="0" xfId="0" applyNumberFormat="1" applyFont="1" applyFill="1" applyAlignment="1"/>
    <xf numFmtId="165" fontId="55" fillId="9" borderId="24" xfId="0" applyNumberFormat="1" applyFont="1" applyFill="1" applyBorder="1" applyAlignment="1"/>
    <xf numFmtId="5" fontId="55" fillId="0" borderId="0" xfId="0" applyNumberFormat="1" applyFont="1" applyFill="1" applyAlignment="1"/>
    <xf numFmtId="0" fontId="61" fillId="0" borderId="0" xfId="0" applyNumberFormat="1" applyFont="1" applyFill="1" applyAlignment="1">
      <alignment horizontal="right"/>
    </xf>
    <xf numFmtId="5" fontId="61" fillId="0" borderId="0" xfId="0" applyNumberFormat="1" applyFont="1" applyFill="1" applyAlignment="1"/>
    <xf numFmtId="0" fontId="55" fillId="0" borderId="30" xfId="0" applyNumberFormat="1" applyFont="1" applyFill="1" applyBorder="1" applyAlignment="1"/>
    <xf numFmtId="0" fontId="55" fillId="0" borderId="1" xfId="0" applyNumberFormat="1" applyFont="1" applyFill="1" applyBorder="1" applyAlignment="1"/>
    <xf numFmtId="5" fontId="55" fillId="0" borderId="1" xfId="0" applyNumberFormat="1" applyFont="1" applyFill="1" applyBorder="1" applyAlignment="1"/>
    <xf numFmtId="0" fontId="55" fillId="0" borderId="31" xfId="0" applyNumberFormat="1" applyFont="1" applyFill="1" applyBorder="1" applyAlignment="1"/>
    <xf numFmtId="0" fontId="55" fillId="0" borderId="6" xfId="0" applyNumberFormat="1" applyFont="1" applyFill="1" applyBorder="1" applyAlignment="1"/>
    <xf numFmtId="5" fontId="55" fillId="0" borderId="6" xfId="0" applyNumberFormat="1" applyFont="1" applyFill="1" applyBorder="1" applyAlignment="1"/>
    <xf numFmtId="0" fontId="55" fillId="0" borderId="32" xfId="0" applyNumberFormat="1" applyFont="1" applyFill="1" applyBorder="1" applyAlignment="1"/>
    <xf numFmtId="0" fontId="55" fillId="0" borderId="0" xfId="0" applyNumberFormat="1" applyFont="1" applyFill="1" applyBorder="1" applyAlignment="1"/>
    <xf numFmtId="5" fontId="55" fillId="0" borderId="0" xfId="0" applyNumberFormat="1" applyFont="1" applyFill="1" applyBorder="1" applyAlignment="1"/>
    <xf numFmtId="0" fontId="55" fillId="0" borderId="7" xfId="0" applyNumberFormat="1" applyFont="1" applyFill="1" applyBorder="1" applyAlignment="1"/>
    <xf numFmtId="0" fontId="55" fillId="0" borderId="9" xfId="0" applyNumberFormat="1" applyFont="1" applyFill="1" applyBorder="1" applyAlignment="1"/>
    <xf numFmtId="5" fontId="55" fillId="0" borderId="9" xfId="0" applyNumberFormat="1" applyFont="1" applyFill="1" applyBorder="1" applyAlignment="1"/>
    <xf numFmtId="5" fontId="55" fillId="0" borderId="27" xfId="0" applyNumberFormat="1" applyFont="1" applyFill="1" applyBorder="1" applyAlignment="1"/>
    <xf numFmtId="0" fontId="55" fillId="0" borderId="11" xfId="0" applyNumberFormat="1" applyFont="1" applyFill="1" applyBorder="1" applyAlignment="1"/>
    <xf numFmtId="5" fontId="55" fillId="0" borderId="17" xfId="0" applyNumberFormat="1" applyFont="1" applyFill="1" applyBorder="1" applyAlignment="1">
      <alignment horizontal="center"/>
    </xf>
    <xf numFmtId="5" fontId="55" fillId="0" borderId="30" xfId="0" applyNumberFormat="1" applyFont="1" applyFill="1" applyBorder="1" applyAlignment="1">
      <alignment horizontal="centerContinuous"/>
    </xf>
    <xf numFmtId="5" fontId="55" fillId="0" borderId="18" xfId="0" applyNumberFormat="1" applyFont="1" applyFill="1" applyBorder="1" applyAlignment="1">
      <alignment horizontal="centerContinuous"/>
    </xf>
    <xf numFmtId="0" fontId="55" fillId="0" borderId="0" xfId="0" applyNumberFormat="1" applyFont="1" applyFill="1" applyBorder="1" applyAlignment="1"/>
    <xf numFmtId="5" fontId="55" fillId="0" borderId="28" xfId="0" applyNumberFormat="1" applyFont="1" applyFill="1" applyBorder="1" applyAlignment="1"/>
    <xf numFmtId="0" fontId="54" fillId="0" borderId="11" xfId="0" applyNumberFormat="1" applyFont="1" applyFill="1" applyBorder="1" applyAlignment="1"/>
    <xf numFmtId="5" fontId="55" fillId="0" borderId="15" xfId="0" applyNumberFormat="1" applyFont="1" applyFill="1" applyBorder="1" applyAlignment="1">
      <alignment horizontal="center"/>
    </xf>
    <xf numFmtId="5" fontId="55" fillId="0" borderId="31" xfId="0" applyNumberFormat="1" applyFont="1" applyFill="1" applyBorder="1" applyAlignment="1">
      <alignment horizontal="center"/>
    </xf>
    <xf numFmtId="5" fontId="55" fillId="0" borderId="16" xfId="0" applyNumberFormat="1" applyFont="1" applyFill="1" applyBorder="1" applyAlignment="1">
      <alignment horizontal="center"/>
    </xf>
    <xf numFmtId="5" fontId="55" fillId="0" borderId="17" xfId="0" applyNumberFormat="1" applyFont="1" applyFill="1" applyBorder="1" applyAlignment="1"/>
    <xf numFmtId="9" fontId="55" fillId="0" borderId="30" xfId="0" applyNumberFormat="1" applyFont="1" applyFill="1" applyBorder="1" applyAlignment="1">
      <alignment horizontal="center"/>
    </xf>
    <xf numFmtId="9" fontId="55" fillId="0" borderId="18" xfId="0" applyNumberFormat="1" applyFont="1" applyFill="1" applyBorder="1" applyAlignment="1">
      <alignment horizontal="center"/>
    </xf>
    <xf numFmtId="5" fontId="55" fillId="0" borderId="12" xfId="0" applyNumberFormat="1" applyFont="1" applyFill="1" applyBorder="1" applyAlignment="1"/>
    <xf numFmtId="9" fontId="55" fillId="0" borderId="32" xfId="0" applyNumberFormat="1" applyFont="1" applyFill="1" applyBorder="1" applyAlignment="1">
      <alignment horizontal="center"/>
    </xf>
    <xf numFmtId="9" fontId="55" fillId="0" borderId="13" xfId="0" applyNumberFormat="1" applyFont="1" applyFill="1" applyBorder="1" applyAlignment="1">
      <alignment horizontal="center"/>
    </xf>
    <xf numFmtId="5" fontId="55" fillId="0" borderId="15" xfId="0" applyNumberFormat="1" applyFont="1" applyFill="1" applyBorder="1" applyAlignment="1"/>
    <xf numFmtId="9" fontId="55" fillId="0" borderId="31" xfId="0" applyNumberFormat="1" applyFont="1" applyFill="1" applyBorder="1" applyAlignment="1">
      <alignment horizontal="center"/>
    </xf>
    <xf numFmtId="9" fontId="55" fillId="0" borderId="16" xfId="0" applyNumberFormat="1" applyFont="1" applyFill="1" applyBorder="1" applyAlignment="1">
      <alignment horizontal="center"/>
    </xf>
    <xf numFmtId="0" fontId="55" fillId="0" borderId="20" xfId="0" applyNumberFormat="1" applyFont="1" applyFill="1" applyBorder="1" applyAlignment="1"/>
    <xf numFmtId="0" fontId="55" fillId="0" borderId="4" xfId="0" applyNumberFormat="1" applyFont="1" applyFill="1" applyBorder="1" applyAlignment="1"/>
    <xf numFmtId="5" fontId="55" fillId="0" borderId="4" xfId="0" applyNumberFormat="1" applyFont="1" applyFill="1" applyBorder="1" applyAlignment="1"/>
    <xf numFmtId="5" fontId="55" fillId="0" borderId="29" xfId="0" applyNumberFormat="1" applyFont="1" applyFill="1" applyBorder="1" applyAlignment="1"/>
    <xf numFmtId="0" fontId="55" fillId="0" borderId="0" xfId="0" applyNumberFormat="1" applyFont="1" applyFill="1" applyAlignment="1" applyProtection="1">
      <alignment horizontal="left"/>
      <protection locked="0"/>
    </xf>
    <xf numFmtId="0" fontId="22" fillId="0" borderId="0" xfId="0" applyNumberFormat="1" applyFont="1" applyFill="1" applyAlignment="1"/>
    <xf numFmtId="169" fontId="25" fillId="0" borderId="0" xfId="0" applyNumberFormat="1" applyFont="1" applyFill="1" applyBorder="1" applyAlignment="1"/>
    <xf numFmtId="0" fontId="55" fillId="0" borderId="0" xfId="0" applyNumberFormat="1" applyFont="1" applyFill="1" applyAlignment="1">
      <alignment horizontal="right"/>
    </xf>
    <xf numFmtId="169" fontId="25" fillId="0" borderId="0" xfId="0" applyNumberFormat="1" applyFont="1" applyFill="1" applyBorder="1" applyAlignment="1"/>
    <xf numFmtId="165" fontId="0" fillId="0" borderId="0" xfId="0" applyNumberFormat="1" applyFont="1" applyFill="1" applyBorder="1" applyAlignment="1">
      <alignment horizontal="left" wrapText="1"/>
    </xf>
    <xf numFmtId="165" fontId="0" fillId="0" borderId="1" xfId="0" applyNumberFormat="1" applyFont="1" applyFill="1" applyBorder="1" applyAlignment="1">
      <alignment horizontal="left" wrapText="1"/>
    </xf>
    <xf numFmtId="167" fontId="0" fillId="0" borderId="1" xfId="0" applyNumberFormat="1" applyFont="1" applyFill="1" applyBorder="1" applyAlignment="1">
      <alignment horizontal="left" wrapText="1"/>
    </xf>
    <xf numFmtId="0" fontId="25" fillId="0" borderId="0" xfId="0" quotePrefix="1" applyNumberFormat="1" applyFont="1" applyFill="1" applyAlignment="1">
      <alignment horizontal="center"/>
    </xf>
    <xf numFmtId="0" fontId="35" fillId="0" borderId="0" xfId="0" applyNumberFormat="1" applyFont="1" applyFill="1" applyAlignment="1">
      <alignment horizontal="right"/>
    </xf>
    <xf numFmtId="165" fontId="40" fillId="0" borderId="0" xfId="0" applyNumberFormat="1" applyFont="1" applyFill="1" applyBorder="1" applyAlignment="1"/>
    <xf numFmtId="0" fontId="54" fillId="0" borderId="0" xfId="0" applyNumberFormat="1" applyFont="1" applyFill="1" applyAlignment="1">
      <alignment horizontal="left"/>
    </xf>
    <xf numFmtId="0" fontId="8" fillId="0" borderId="0" xfId="0" applyNumberFormat="1" applyFont="1" applyAlignment="1"/>
    <xf numFmtId="165" fontId="16" fillId="11" borderId="0" xfId="0" applyNumberFormat="1" applyFont="1" applyFill="1" applyBorder="1" applyAlignment="1"/>
    <xf numFmtId="167" fontId="0" fillId="11" borderId="0" xfId="0" applyNumberFormat="1" applyFont="1" applyFill="1" applyBorder="1" applyAlignment="1">
      <alignment horizontal="left" wrapText="1"/>
    </xf>
    <xf numFmtId="164" fontId="0" fillId="0" borderId="0" xfId="0" applyFill="1">
      <alignment horizontal="left" wrapText="1"/>
    </xf>
    <xf numFmtId="5" fontId="55" fillId="9" borderId="1" xfId="0" applyNumberFormat="1" applyFont="1" applyFill="1" applyBorder="1" applyAlignment="1"/>
    <xf numFmtId="0" fontId="11" fillId="10" borderId="0" xfId="0" applyNumberFormat="1" applyFont="1" applyFill="1" applyAlignment="1"/>
    <xf numFmtId="0" fontId="12" fillId="10" borderId="0" xfId="0" applyNumberFormat="1" applyFont="1" applyFill="1" applyAlignment="1"/>
    <xf numFmtId="5" fontId="11" fillId="10" borderId="0" xfId="0" applyNumberFormat="1" applyFont="1" applyFill="1" applyAlignment="1"/>
    <xf numFmtId="5" fontId="12" fillId="10" borderId="5" xfId="0" applyNumberFormat="1" applyFont="1" applyFill="1" applyBorder="1" applyAlignment="1"/>
    <xf numFmtId="5" fontId="12" fillId="10" borderId="0" xfId="0" applyNumberFormat="1" applyFont="1" applyFill="1" applyBorder="1" applyAlignment="1"/>
    <xf numFmtId="5" fontId="11" fillId="10" borderId="5" xfId="0" applyNumberFormat="1" applyFont="1" applyFill="1" applyBorder="1" applyAlignment="1"/>
    <xf numFmtId="5" fontId="11" fillId="10" borderId="24" xfId="0" applyNumberFormat="1" applyFont="1" applyFill="1" applyBorder="1" applyAlignment="1"/>
    <xf numFmtId="0" fontId="12" fillId="12" borderId="0" xfId="0" applyNumberFormat="1" applyFont="1" applyFill="1" applyAlignment="1"/>
    <xf numFmtId="0" fontId="33" fillId="12" borderId="0" xfId="0" applyNumberFormat="1" applyFont="1" applyFill="1" applyAlignment="1"/>
    <xf numFmtId="0" fontId="11" fillId="12" borderId="0" xfId="0" applyNumberFormat="1" applyFont="1" applyFill="1" applyAlignment="1"/>
    <xf numFmtId="5" fontId="11" fillId="12" borderId="0" xfId="0" applyNumberFormat="1" applyFont="1" applyFill="1" applyAlignment="1"/>
    <xf numFmtId="5" fontId="12" fillId="12" borderId="5" xfId="0" applyNumberFormat="1" applyFont="1" applyFill="1" applyBorder="1" applyAlignment="1"/>
    <xf numFmtId="0" fontId="12" fillId="12" borderId="5" xfId="0" applyNumberFormat="1" applyFont="1" applyFill="1" applyBorder="1" applyAlignment="1"/>
    <xf numFmtId="0" fontId="10" fillId="12" borderId="0" xfId="0" applyNumberFormat="1" applyFont="1" applyFill="1" applyAlignment="1"/>
    <xf numFmtId="5" fontId="11" fillId="12" borderId="5" xfId="0" applyNumberFormat="1" applyFont="1" applyFill="1" applyBorder="1" applyAlignment="1"/>
    <xf numFmtId="17" fontId="12" fillId="12" borderId="0" xfId="0" applyNumberFormat="1" applyFont="1" applyFill="1" applyAlignment="1">
      <alignment horizontal="center"/>
    </xf>
    <xf numFmtId="167" fontId="9" fillId="12" borderId="1" xfId="0" applyNumberFormat="1" applyFont="1" applyFill="1" applyBorder="1" applyAlignment="1"/>
    <xf numFmtId="7" fontId="9" fillId="12" borderId="0" xfId="0" applyNumberFormat="1" applyFont="1" applyFill="1" applyAlignment="1"/>
    <xf numFmtId="0" fontId="9" fillId="12" borderId="0" xfId="0" applyNumberFormat="1" applyFont="1" applyFill="1" applyAlignment="1"/>
    <xf numFmtId="5" fontId="9" fillId="12" borderId="5" xfId="0" applyNumberFormat="1" applyFont="1" applyFill="1" applyBorder="1" applyAlignment="1"/>
    <xf numFmtId="167" fontId="9" fillId="12" borderId="0" xfId="0" applyNumberFormat="1" applyFont="1" applyFill="1" applyAlignment="1"/>
    <xf numFmtId="172" fontId="9" fillId="12" borderId="0" xfId="0" applyNumberFormat="1" applyFont="1" applyFill="1" applyAlignment="1"/>
    <xf numFmtId="167" fontId="9" fillId="12" borderId="5" xfId="0" applyNumberFormat="1" applyFont="1" applyFill="1" applyBorder="1" applyAlignment="1"/>
    <xf numFmtId="167" fontId="9" fillId="0" borderId="5" xfId="0" applyNumberFormat="1" applyFont="1" applyBorder="1" applyAlignment="1"/>
    <xf numFmtId="0" fontId="18" fillId="0" borderId="4" xfId="0" applyNumberFormat="1" applyFont="1" applyBorder="1" applyAlignment="1">
      <alignment horizontal="center"/>
    </xf>
    <xf numFmtId="0" fontId="18" fillId="0" borderId="4" xfId="0" applyNumberFormat="1" applyFont="1" applyBorder="1" applyAlignment="1">
      <alignment horizontal="center" wrapText="1"/>
    </xf>
    <xf numFmtId="167" fontId="18" fillId="0" borderId="4" xfId="0" applyNumberFormat="1" applyFont="1" applyBorder="1" applyAlignment="1">
      <alignment horizontal="center"/>
    </xf>
    <xf numFmtId="0" fontId="7" fillId="0" borderId="0" xfId="0" applyNumberFormat="1" applyFont="1" applyAlignment="1"/>
    <xf numFmtId="0" fontId="12" fillId="0" borderId="0" xfId="0" applyNumberFormat="1" applyFont="1" applyAlignment="1">
      <alignment wrapText="1"/>
    </xf>
    <xf numFmtId="165" fontId="62" fillId="0" borderId="0" xfId="0" applyNumberFormat="1" applyFont="1" applyFill="1" applyBorder="1" applyAlignment="1">
      <alignment horizontal="center"/>
    </xf>
    <xf numFmtId="167" fontId="7" fillId="0" borderId="0" xfId="0" applyNumberFormat="1" applyFont="1" applyAlignment="1">
      <alignment horizontal="center"/>
    </xf>
    <xf numFmtId="8" fontId="62" fillId="0" borderId="0" xfId="0" applyNumberFormat="1" applyFont="1" applyFill="1" applyBorder="1" applyAlignment="1">
      <alignment horizontal="center"/>
    </xf>
    <xf numFmtId="0" fontId="7" fillId="0" borderId="0" xfId="0" applyNumberFormat="1" applyFont="1" applyAlignment="1">
      <alignment wrapText="1"/>
    </xf>
    <xf numFmtId="167" fontId="0" fillId="0" borderId="0" xfId="0" applyNumberFormat="1" applyFont="1" applyAlignment="1">
      <alignment horizontal="center"/>
    </xf>
    <xf numFmtId="165" fontId="62" fillId="0" borderId="4" xfId="0" applyNumberFormat="1" applyFont="1" applyFill="1" applyBorder="1" applyAlignment="1">
      <alignment horizontal="center"/>
    </xf>
    <xf numFmtId="167" fontId="7" fillId="0" borderId="4" xfId="0" applyNumberFormat="1" applyFont="1" applyBorder="1" applyAlignment="1">
      <alignment horizontal="center"/>
    </xf>
    <xf numFmtId="167" fontId="0" fillId="0" borderId="4" xfId="0" applyNumberFormat="1" applyFont="1" applyBorder="1" applyAlignment="1">
      <alignment horizontal="center"/>
    </xf>
    <xf numFmtId="165" fontId="62" fillId="0" borderId="34" xfId="0" applyNumberFormat="1" applyFont="1" applyFill="1" applyBorder="1" applyAlignment="1">
      <alignment horizontal="center"/>
    </xf>
    <xf numFmtId="167" fontId="7" fillId="0" borderId="34" xfId="0" applyNumberFormat="1" applyFont="1" applyBorder="1" applyAlignment="1">
      <alignment horizontal="center"/>
    </xf>
    <xf numFmtId="0" fontId="7" fillId="0" borderId="0" xfId="0" applyNumberFormat="1" applyFont="1" applyAlignment="1">
      <alignment horizontal="center"/>
    </xf>
    <xf numFmtId="167" fontId="0" fillId="0" borderId="34" xfId="0" applyNumberFormat="1" applyFont="1" applyBorder="1" applyAlignment="1">
      <alignment horizontal="center"/>
    </xf>
    <xf numFmtId="8" fontId="7" fillId="0" borderId="0" xfId="0" applyNumberFormat="1" applyFont="1" applyAlignment="1"/>
    <xf numFmtId="0" fontId="7" fillId="0" borderId="0" xfId="0" applyNumberFormat="1" applyFont="1" applyAlignment="1">
      <alignment horizontal="center"/>
    </xf>
    <xf numFmtId="175" fontId="7" fillId="0" borderId="0" xfId="0" applyNumberFormat="1" applyFont="1" applyAlignment="1"/>
    <xf numFmtId="0" fontId="65" fillId="0" borderId="4" xfId="0" applyNumberFormat="1" applyFont="1" applyFill="1" applyBorder="1" applyAlignment="1">
      <alignment horizontal="center"/>
    </xf>
    <xf numFmtId="0" fontId="16" fillId="0" borderId="4" xfId="0" applyNumberFormat="1" applyFont="1" applyFill="1" applyBorder="1" applyAlignment="1">
      <alignment horizontal="center"/>
    </xf>
    <xf numFmtId="0" fontId="16" fillId="0" borderId="4" xfId="0" applyNumberFormat="1" applyFont="1" applyBorder="1" applyAlignment="1">
      <alignment horizontal="center"/>
    </xf>
    <xf numFmtId="0" fontId="67" fillId="0" borderId="0" xfId="0" applyNumberFormat="1" applyFont="1" applyFill="1" applyBorder="1" applyAlignment="1">
      <alignment horizontal="center" wrapText="1"/>
    </xf>
    <xf numFmtId="0" fontId="62" fillId="0" borderId="0" xfId="0" applyNumberFormat="1" applyFont="1" applyFill="1" applyBorder="1" applyAlignment="1">
      <alignment horizontal="center"/>
    </xf>
    <xf numFmtId="37" fontId="7" fillId="0" borderId="0" xfId="0" applyNumberFormat="1" applyFont="1" applyAlignment="1">
      <alignment horizontal="center"/>
    </xf>
    <xf numFmtId="6" fontId="7" fillId="0" borderId="0" xfId="0" applyNumberFormat="1" applyFont="1" applyAlignment="1">
      <alignment horizontal="center"/>
    </xf>
    <xf numFmtId="0" fontId="7" fillId="0" borderId="0" xfId="0" applyNumberFormat="1" applyFont="1" applyAlignment="1">
      <alignment horizontal="center" wrapText="1"/>
    </xf>
    <xf numFmtId="0" fontId="7" fillId="0" borderId="0" xfId="0" applyNumberFormat="1" applyFont="1" applyFill="1" applyBorder="1" applyAlignment="1">
      <alignment horizontal="center"/>
    </xf>
    <xf numFmtId="5" fontId="7" fillId="0" borderId="0" xfId="0" applyNumberFormat="1" applyFont="1" applyAlignment="1">
      <alignment horizontal="center"/>
    </xf>
    <xf numFmtId="0" fontId="12" fillId="14" borderId="0" xfId="0" applyNumberFormat="1" applyFont="1" applyFill="1" applyAlignment="1"/>
    <xf numFmtId="0" fontId="7" fillId="14" borderId="0" xfId="0" applyNumberFormat="1" applyFont="1" applyFill="1" applyAlignment="1"/>
    <xf numFmtId="17" fontId="22" fillId="0" borderId="0" xfId="0" applyNumberFormat="1" applyFont="1" applyAlignment="1">
      <alignment horizontal="right"/>
    </xf>
    <xf numFmtId="0" fontId="28" fillId="0" borderId="0" xfId="0" applyNumberFormat="1" applyFont="1" applyFill="1" applyAlignment="1">
      <alignment horizontal="left" indent="1"/>
    </xf>
    <xf numFmtId="8" fontId="28" fillId="0" borderId="0" xfId="0" applyNumberFormat="1" applyFont="1" applyAlignment="1"/>
    <xf numFmtId="37" fontId="28" fillId="0" borderId="6" xfId="0" applyNumberFormat="1" applyFont="1" applyBorder="1" applyAlignment="1"/>
    <xf numFmtId="37" fontId="28" fillId="0" borderId="0" xfId="0" applyNumberFormat="1" applyFont="1" applyBorder="1" applyAlignment="1"/>
    <xf numFmtId="0" fontId="28" fillId="0" borderId="0" xfId="0" applyNumberFormat="1" applyFont="1" applyAlignment="1">
      <alignment horizontal="right"/>
    </xf>
    <xf numFmtId="0" fontId="44" fillId="0" borderId="0" xfId="0" applyNumberFormat="1" applyFont="1" applyAlignment="1">
      <alignment horizontal="center"/>
    </xf>
    <xf numFmtId="0" fontId="42" fillId="0" borderId="0" xfId="0" applyNumberFormat="1" applyFont="1" applyAlignment="1">
      <alignment horizontal="left" indent="1"/>
    </xf>
    <xf numFmtId="1" fontId="28" fillId="0" borderId="0" xfId="0" applyNumberFormat="1" applyFont="1" applyAlignment="1">
      <alignment horizontal="center"/>
    </xf>
    <xf numFmtId="8" fontId="28" fillId="0" borderId="0" xfId="0" applyNumberFormat="1" applyFont="1" applyFill="1" applyAlignment="1">
      <alignment horizontal="left" indent="1"/>
    </xf>
    <xf numFmtId="6" fontId="28" fillId="0" borderId="0" xfId="0" applyNumberFormat="1" applyFont="1" applyAlignment="1"/>
    <xf numFmtId="6" fontId="28" fillId="0" borderId="6" xfId="0" applyNumberFormat="1" applyFont="1" applyBorder="1" applyAlignment="1"/>
    <xf numFmtId="44" fontId="28" fillId="0" borderId="0" xfId="0" applyNumberFormat="1" applyFont="1" applyAlignment="1"/>
    <xf numFmtId="0" fontId="28" fillId="0" borderId="0" xfId="0" applyNumberFormat="1" applyFont="1" applyFill="1" applyAlignment="1">
      <alignment horizontal="right" indent="1"/>
    </xf>
    <xf numFmtId="165" fontId="28" fillId="13" borderId="0" xfId="0" applyNumberFormat="1" applyFont="1" applyFill="1" applyAlignment="1"/>
    <xf numFmtId="8" fontId="28" fillId="0" borderId="0" xfId="0" applyNumberFormat="1" applyFont="1" applyFill="1" applyAlignment="1">
      <alignment horizontal="right" indent="1"/>
    </xf>
    <xf numFmtId="165" fontId="28" fillId="0" borderId="0" xfId="0" applyNumberFormat="1" applyFont="1" applyAlignment="1"/>
    <xf numFmtId="165" fontId="28" fillId="0" borderId="0" xfId="0" applyNumberFormat="1" applyFont="1" applyFill="1" applyAlignment="1"/>
    <xf numFmtId="165" fontId="28" fillId="13" borderId="6" xfId="0" applyNumberFormat="1" applyFont="1" applyFill="1" applyBorder="1" applyAlignment="1"/>
    <xf numFmtId="165" fontId="28" fillId="13" borderId="0" xfId="0" applyNumberFormat="1" applyFont="1" applyFill="1" applyBorder="1" applyAlignment="1"/>
    <xf numFmtId="0" fontId="44" fillId="15" borderId="25" xfId="0" applyNumberFormat="1" applyFont="1" applyFill="1" applyBorder="1" applyAlignment="1"/>
    <xf numFmtId="0" fontId="44" fillId="15" borderId="33" xfId="0" applyNumberFormat="1" applyFont="1" applyFill="1" applyBorder="1" applyAlignment="1"/>
    <xf numFmtId="6" fontId="28" fillId="15" borderId="33" xfId="0" applyNumberFormat="1" applyFont="1" applyFill="1" applyBorder="1" applyAlignment="1"/>
    <xf numFmtId="6" fontId="28" fillId="15" borderId="26" xfId="0" applyNumberFormat="1" applyFont="1" applyFill="1" applyBorder="1" applyAlignment="1"/>
    <xf numFmtId="44" fontId="7" fillId="0" borderId="0" xfId="0" applyNumberFormat="1" applyFont="1" applyAlignment="1"/>
    <xf numFmtId="6" fontId="7" fillId="0" borderId="0" xfId="0" applyNumberFormat="1" applyFont="1" applyAlignment="1"/>
    <xf numFmtId="37" fontId="20" fillId="0" borderId="0" xfId="0" applyNumberFormat="1" applyFont="1" applyBorder="1" applyAlignment="1"/>
    <xf numFmtId="37" fontId="20" fillId="0" borderId="0" xfId="0" applyNumberFormat="1" applyFont="1" applyFill="1" applyBorder="1" applyAlignment="1"/>
    <xf numFmtId="0" fontId="12" fillId="0" borderId="0" xfId="0" applyNumberFormat="1" applyFont="1" applyAlignment="1">
      <alignment horizontal="right"/>
    </xf>
    <xf numFmtId="0" fontId="18" fillId="0" borderId="4" xfId="0" applyNumberFormat="1" applyFont="1" applyBorder="1" applyAlignment="1">
      <alignment horizontal="right"/>
    </xf>
    <xf numFmtId="167" fontId="16" fillId="0" borderId="0" xfId="0" applyNumberFormat="1" applyFont="1" applyFill="1" applyAlignment="1"/>
    <xf numFmtId="167" fontId="28" fillId="0" borderId="0" xfId="0" applyNumberFormat="1" applyFont="1" applyAlignment="1"/>
    <xf numFmtId="0" fontId="6" fillId="16" borderId="7" xfId="0" applyNumberFormat="1" applyFont="1" applyFill="1" applyBorder="1" applyAlignment="1"/>
    <xf numFmtId="0" fontId="6" fillId="16" borderId="11" xfId="0" applyNumberFormat="1" applyFont="1" applyFill="1" applyBorder="1" applyAlignment="1"/>
    <xf numFmtId="0" fontId="12" fillId="16" borderId="11" xfId="0" applyNumberFormat="1" applyFont="1" applyFill="1" applyBorder="1" applyAlignment="1"/>
    <xf numFmtId="0" fontId="12" fillId="16" borderId="20" xfId="0" applyNumberFormat="1" applyFont="1" applyFill="1" applyBorder="1" applyAlignment="1"/>
    <xf numFmtId="0" fontId="12" fillId="16" borderId="8" xfId="0" applyNumberFormat="1" applyFont="1" applyFill="1" applyBorder="1" applyAlignment="1"/>
    <xf numFmtId="0" fontId="12" fillId="16" borderId="9" xfId="0" applyNumberFormat="1" applyFont="1" applyFill="1" applyBorder="1" applyAlignment="1"/>
    <xf numFmtId="0" fontId="12" fillId="16" borderId="10" xfId="0" applyNumberFormat="1" applyFont="1" applyFill="1" applyBorder="1" applyAlignment="1">
      <alignment horizontal="center"/>
    </xf>
    <xf numFmtId="0" fontId="12" fillId="16" borderId="12" xfId="0" applyNumberFormat="1" applyFont="1" applyFill="1" applyBorder="1" applyAlignment="1">
      <alignment horizontal="center"/>
    </xf>
    <xf numFmtId="0" fontId="12" fillId="16" borderId="12" xfId="0" applyNumberFormat="1" applyFont="1" applyFill="1" applyBorder="1" applyAlignment="1"/>
    <xf numFmtId="0" fontId="12" fillId="16" borderId="13" xfId="0" applyNumberFormat="1" applyFont="1" applyFill="1" applyBorder="1" applyAlignment="1"/>
    <xf numFmtId="0" fontId="12" fillId="16" borderId="0" xfId="0" applyNumberFormat="1" applyFont="1" applyFill="1" applyBorder="1" applyAlignment="1"/>
    <xf numFmtId="0" fontId="12" fillId="16" borderId="14" xfId="0" applyNumberFormat="1" applyFont="1" applyFill="1" applyBorder="1" applyAlignment="1">
      <alignment horizontal="center"/>
    </xf>
    <xf numFmtId="0" fontId="12" fillId="16" borderId="15" xfId="0" applyNumberFormat="1" applyFont="1" applyFill="1" applyBorder="1" applyAlignment="1">
      <alignment horizontal="center"/>
    </xf>
    <xf numFmtId="0" fontId="12" fillId="16" borderId="16" xfId="0" applyNumberFormat="1" applyFont="1" applyFill="1" applyBorder="1" applyAlignment="1">
      <alignment horizontal="center"/>
    </xf>
    <xf numFmtId="0" fontId="12" fillId="16" borderId="6" xfId="0" applyNumberFormat="1" applyFont="1" applyFill="1" applyBorder="1" applyAlignment="1">
      <alignment horizontal="center"/>
    </xf>
    <xf numFmtId="37" fontId="6" fillId="16" borderId="17" xfId="0" applyNumberFormat="1" applyFont="1" applyFill="1" applyBorder="1" applyAlignment="1"/>
    <xf numFmtId="0" fontId="6" fillId="16" borderId="17" xfId="0" applyNumberFormat="1" applyFont="1" applyFill="1" applyBorder="1" applyAlignment="1"/>
    <xf numFmtId="0" fontId="6" fillId="16" borderId="18" xfId="0" applyNumberFormat="1" applyFont="1" applyFill="1" applyBorder="1" applyAlignment="1"/>
    <xf numFmtId="0" fontId="6" fillId="16" borderId="1" xfId="0" applyNumberFormat="1" applyFont="1" applyFill="1" applyBorder="1" applyAlignment="1"/>
    <xf numFmtId="37" fontId="6" fillId="16" borderId="19" xfId="0" applyNumberFormat="1" applyFont="1" applyFill="1" applyBorder="1" applyAlignment="1"/>
    <xf numFmtId="37" fontId="6" fillId="16" borderId="12" xfId="0" applyNumberFormat="1" applyFont="1" applyFill="1" applyBorder="1" applyAlignment="1"/>
    <xf numFmtId="5" fontId="6" fillId="16" borderId="12" xfId="0" applyNumberFormat="1" applyFont="1" applyFill="1" applyBorder="1" applyAlignment="1"/>
    <xf numFmtId="5" fontId="6" fillId="16" borderId="13" xfId="0" applyNumberFormat="1" applyFont="1" applyFill="1" applyBorder="1" applyAlignment="1"/>
    <xf numFmtId="37" fontId="6" fillId="16" borderId="0" xfId="0" applyNumberFormat="1" applyFont="1" applyFill="1" applyBorder="1" applyAlignment="1"/>
    <xf numFmtId="37" fontId="6" fillId="16" borderId="14" xfId="0" applyNumberFormat="1" applyFont="1" applyFill="1" applyBorder="1" applyAlignment="1"/>
    <xf numFmtId="0" fontId="6" fillId="16" borderId="12" xfId="0" applyNumberFormat="1" applyFont="1" applyFill="1" applyBorder="1" applyAlignment="1"/>
    <xf numFmtId="0" fontId="6" fillId="16" borderId="13" xfId="0" applyNumberFormat="1" applyFont="1" applyFill="1" applyBorder="1" applyAlignment="1"/>
    <xf numFmtId="0" fontId="6" fillId="16" borderId="0" xfId="0" applyNumberFormat="1" applyFont="1" applyFill="1" applyBorder="1" applyAlignment="1"/>
    <xf numFmtId="0" fontId="6" fillId="16" borderId="15" xfId="0" applyNumberFormat="1" applyFont="1" applyFill="1" applyBorder="1" applyAlignment="1"/>
    <xf numFmtId="37" fontId="6" fillId="16" borderId="21" xfId="0" applyNumberFormat="1" applyFont="1" applyFill="1" applyBorder="1" applyAlignment="1"/>
    <xf numFmtId="37" fontId="6" fillId="16" borderId="22" xfId="0" applyNumberFormat="1" applyFont="1" applyFill="1" applyBorder="1" applyAlignment="1"/>
    <xf numFmtId="37" fontId="6" fillId="16" borderId="23" xfId="0" applyNumberFormat="1" applyFont="1" applyFill="1" applyBorder="1" applyAlignment="1"/>
    <xf numFmtId="17" fontId="12" fillId="10" borderId="0" xfId="0" applyNumberFormat="1" applyFont="1" applyFill="1" applyAlignment="1">
      <alignment horizontal="center" wrapText="1"/>
    </xf>
    <xf numFmtId="17" fontId="12" fillId="10" borderId="0" xfId="0" applyNumberFormat="1" applyFont="1" applyFill="1" applyAlignment="1">
      <alignment horizontal="center"/>
    </xf>
    <xf numFmtId="0" fontId="12" fillId="16" borderId="35" xfId="0" applyNumberFormat="1" applyFont="1" applyFill="1" applyBorder="1" applyAlignment="1">
      <alignment horizontal="center"/>
    </xf>
    <xf numFmtId="0" fontId="12" fillId="16" borderId="36" xfId="0" applyNumberFormat="1" applyFont="1" applyFill="1" applyBorder="1" applyAlignment="1"/>
    <xf numFmtId="10" fontId="9" fillId="0" borderId="0" xfId="0" applyNumberFormat="1" applyFont="1" applyAlignment="1"/>
    <xf numFmtId="10" fontId="9" fillId="0" borderId="0" xfId="0" applyNumberFormat="1" applyFont="1" applyAlignment="1"/>
    <xf numFmtId="10" fontId="0" fillId="0" borderId="0" xfId="0" applyNumberFormat="1" applyFont="1" applyFill="1" applyBorder="1" applyAlignment="1">
      <alignment horizontal="center" wrapText="1"/>
    </xf>
    <xf numFmtId="165" fontId="16" fillId="9" borderId="24" xfId="0" applyNumberFormat="1" applyFont="1" applyFill="1" applyBorder="1" applyAlignment="1"/>
    <xf numFmtId="37" fontId="16" fillId="19" borderId="0" xfId="0" applyNumberFormat="1" applyFont="1" applyFill="1" applyAlignment="1"/>
    <xf numFmtId="165" fontId="28" fillId="19" borderId="2" xfId="0" applyNumberFormat="1" applyFont="1" applyFill="1" applyBorder="1" applyAlignment="1"/>
    <xf numFmtId="164" fontId="16" fillId="0" borderId="0" xfId="0" applyFont="1">
      <alignment horizontal="left" wrapText="1"/>
    </xf>
    <xf numFmtId="164" fontId="48" fillId="0" borderId="0" xfId="0" applyFont="1" applyAlignment="1"/>
    <xf numFmtId="43" fontId="16" fillId="0" borderId="0" xfId="0" applyNumberFormat="1" applyFont="1" applyFill="1" applyAlignment="1" applyProtection="1">
      <alignment horizontal="right"/>
    </xf>
    <xf numFmtId="167" fontId="48" fillId="0" borderId="0" xfId="0" applyNumberFormat="1" applyFont="1" applyFill="1" applyAlignment="1"/>
    <xf numFmtId="164" fontId="48" fillId="0" borderId="0" xfId="0" applyFont="1" applyFill="1" applyAlignment="1"/>
    <xf numFmtId="165" fontId="48" fillId="0" borderId="5" xfId="0" applyNumberFormat="1" applyFont="1" applyFill="1" applyBorder="1" applyAlignment="1"/>
    <xf numFmtId="0" fontId="16" fillId="0" borderId="0" xfId="0" applyNumberFormat="1" applyFont="1" applyAlignment="1">
      <alignment horizontal="center" wrapText="1"/>
    </xf>
    <xf numFmtId="164" fontId="16" fillId="0" borderId="0" xfId="0" applyFont="1" applyAlignment="1">
      <alignment horizontal="left"/>
    </xf>
    <xf numFmtId="167" fontId="48" fillId="0" borderId="1" xfId="0" applyNumberFormat="1" applyFont="1" applyFill="1" applyBorder="1" applyAlignment="1"/>
    <xf numFmtId="165" fontId="48" fillId="0" borderId="0" xfId="0" applyNumberFormat="1" applyFont="1" applyFill="1" applyAlignment="1"/>
    <xf numFmtId="164" fontId="48" fillId="0" borderId="1" xfId="0" applyFont="1" applyFill="1" applyBorder="1" applyAlignment="1"/>
    <xf numFmtId="164" fontId="16" fillId="0" borderId="1" xfId="0" applyFont="1" applyBorder="1">
      <alignment horizontal="left" wrapText="1"/>
    </xf>
    <xf numFmtId="164" fontId="15" fillId="0" borderId="0" xfId="0" applyFont="1" applyFill="1" applyBorder="1" applyAlignment="1">
      <alignment horizontal="center"/>
    </xf>
    <xf numFmtId="164" fontId="48" fillId="0" borderId="0" xfId="0" applyFont="1" applyFill="1" applyBorder="1" applyAlignment="1"/>
    <xf numFmtId="164" fontId="48" fillId="0" borderId="0" xfId="0" applyFont="1" applyAlignment="1">
      <alignment horizontal="centerContinuous"/>
    </xf>
    <xf numFmtId="164" fontId="15" fillId="0" borderId="0" xfId="0" applyFont="1" applyFill="1" applyAlignment="1">
      <alignment horizontal="centerContinuous"/>
    </xf>
    <xf numFmtId="164" fontId="15" fillId="0" borderId="0" xfId="0" applyFont="1" applyAlignment="1">
      <alignment horizontal="centerContinuous"/>
    </xf>
    <xf numFmtId="0" fontId="12" fillId="0" borderId="0" xfId="0" applyNumberFormat="1" applyFont="1" applyFill="1" applyAlignment="1"/>
    <xf numFmtId="5" fontId="12" fillId="0" borderId="0" xfId="0" applyNumberFormat="1" applyFont="1" applyFill="1" applyBorder="1" applyAlignment="1"/>
    <xf numFmtId="0" fontId="11" fillId="0" borderId="0" xfId="0" applyNumberFormat="1" applyFont="1" applyFill="1" applyAlignment="1"/>
    <xf numFmtId="0" fontId="34" fillId="0" borderId="0" xfId="0" applyNumberFormat="1" applyFont="1" applyFill="1" applyAlignment="1">
      <alignment horizontal="right"/>
    </xf>
    <xf numFmtId="37" fontId="35" fillId="0" borderId="0" xfId="0" applyNumberFormat="1" applyFont="1" applyFill="1" applyAlignment="1">
      <alignment horizontal="center"/>
    </xf>
    <xf numFmtId="37" fontId="11" fillId="0" borderId="0" xfId="0" applyNumberFormat="1" applyFont="1" applyFill="1" applyAlignment="1"/>
    <xf numFmtId="0" fontId="52" fillId="0" borderId="0" xfId="0" applyNumberFormat="1" applyFont="1" applyAlignment="1"/>
    <xf numFmtId="167" fontId="52" fillId="0" borderId="0" xfId="0" applyNumberFormat="1" applyFont="1" applyAlignment="1"/>
    <xf numFmtId="5" fontId="52" fillId="0" borderId="0" xfId="0" applyNumberFormat="1" applyFont="1" applyAlignment="1"/>
    <xf numFmtId="5" fontId="52" fillId="0" borderId="5" xfId="0" applyNumberFormat="1" applyFont="1" applyBorder="1" applyAlignment="1"/>
    <xf numFmtId="5" fontId="52" fillId="0" borderId="0" xfId="0" applyNumberFormat="1" applyFont="1" applyFill="1" applyAlignment="1"/>
    <xf numFmtId="0" fontId="52" fillId="0" borderId="0" xfId="0" applyNumberFormat="1" applyFont="1" applyFill="1" applyAlignment="1">
      <alignment horizontal="center"/>
    </xf>
    <xf numFmtId="0" fontId="52" fillId="0" borderId="0" xfId="0" applyNumberFormat="1" applyFont="1" applyBorder="1" applyAlignment="1"/>
    <xf numFmtId="10" fontId="52" fillId="0" borderId="0" xfId="0" applyNumberFormat="1" applyFont="1" applyBorder="1" applyAlignment="1"/>
    <xf numFmtId="0" fontId="16" fillId="0" borderId="0" xfId="0" applyNumberFormat="1" applyFont="1" applyBorder="1" applyAlignment="1"/>
    <xf numFmtId="167" fontId="52" fillId="0" borderId="0" xfId="0" applyNumberFormat="1" applyFont="1" applyAlignment="1"/>
    <xf numFmtId="0" fontId="16" fillId="0" borderId="0" xfId="0" applyNumberFormat="1" applyFont="1" applyAlignment="1"/>
    <xf numFmtId="5" fontId="52" fillId="2" borderId="0" xfId="0" applyNumberFormat="1" applyFont="1" applyFill="1" applyBorder="1" applyAlignment="1"/>
    <xf numFmtId="5" fontId="52" fillId="0" borderId="0" xfId="0" applyNumberFormat="1" applyFont="1" applyBorder="1" applyAlignment="1"/>
    <xf numFmtId="0" fontId="52" fillId="0" borderId="0" xfId="0" applyNumberFormat="1" applyFont="1" applyAlignment="1">
      <alignment horizontal="center"/>
    </xf>
    <xf numFmtId="174" fontId="52" fillId="2" borderId="0" xfId="0" applyNumberFormat="1" applyFont="1" applyFill="1" applyBorder="1" applyAlignment="1"/>
    <xf numFmtId="5" fontId="52" fillId="2" borderId="37" xfId="0" applyNumberFormat="1" applyFont="1" applyFill="1" applyBorder="1" applyAlignment="1">
      <alignment horizontal="center"/>
    </xf>
    <xf numFmtId="5" fontId="52" fillId="2" borderId="0" xfId="0" applyNumberFormat="1" applyFont="1" applyFill="1" applyBorder="1" applyAlignment="1">
      <alignment horizontal="center"/>
    </xf>
    <xf numFmtId="170" fontId="16" fillId="0" borderId="0" xfId="0" applyNumberFormat="1" applyFont="1" applyFill="1" applyAlignment="1"/>
    <xf numFmtId="0" fontId="16" fillId="0" borderId="0" xfId="0" applyNumberFormat="1" applyFont="1" applyAlignment="1">
      <alignment vertical="top"/>
    </xf>
    <xf numFmtId="0" fontId="57" fillId="0" borderId="0" xfId="0" applyNumberFormat="1" applyFont="1" applyAlignment="1"/>
    <xf numFmtId="169" fontId="52" fillId="0" borderId="0" xfId="0" applyNumberFormat="1" applyFont="1" applyAlignment="1"/>
    <xf numFmtId="0" fontId="52" fillId="0" borderId="0" xfId="0" applyNumberFormat="1" applyFont="1" applyAlignment="1">
      <alignment wrapText="1"/>
    </xf>
    <xf numFmtId="37" fontId="58" fillId="0" borderId="0" xfId="0" applyNumberFormat="1" applyFont="1" applyFill="1" applyBorder="1" applyAlignment="1"/>
    <xf numFmtId="37" fontId="58" fillId="0" borderId="0" xfId="0" applyNumberFormat="1" applyFont="1" applyBorder="1" applyAlignment="1"/>
    <xf numFmtId="17" fontId="18" fillId="0" borderId="0" xfId="0" applyNumberFormat="1" applyFont="1" applyFill="1" applyBorder="1" applyAlignment="1">
      <alignment horizontal="center"/>
    </xf>
    <xf numFmtId="17" fontId="18" fillId="0" borderId="0" xfId="0" applyNumberFormat="1" applyFont="1" applyBorder="1" applyAlignment="1">
      <alignment horizontal="center"/>
    </xf>
    <xf numFmtId="17" fontId="18" fillId="0" borderId="37" xfId="0" applyNumberFormat="1" applyFont="1" applyFill="1" applyBorder="1" applyAlignment="1">
      <alignment horizontal="center"/>
    </xf>
    <xf numFmtId="17" fontId="18" fillId="0" borderId="37" xfId="0" applyNumberFormat="1" applyFont="1" applyBorder="1" applyAlignment="1">
      <alignment horizontal="center"/>
    </xf>
    <xf numFmtId="0" fontId="56" fillId="0" borderId="0" xfId="0" applyNumberFormat="1" applyFont="1" applyAlignment="1"/>
    <xf numFmtId="0" fontId="59" fillId="0" borderId="0" xfId="0" applyNumberFormat="1" applyFont="1" applyAlignment="1"/>
    <xf numFmtId="0" fontId="52" fillId="9" borderId="0" xfId="0" applyNumberFormat="1" applyFont="1" applyFill="1" applyAlignment="1"/>
    <xf numFmtId="5" fontId="52" fillId="0" borderId="1" xfId="0" applyNumberFormat="1" applyFont="1" applyBorder="1" applyAlignment="1"/>
    <xf numFmtId="165" fontId="52" fillId="0" borderId="0" xfId="0" applyNumberFormat="1" applyFont="1" applyAlignment="1"/>
    <xf numFmtId="165" fontId="52" fillId="0" borderId="0" xfId="0" applyNumberFormat="1" applyFont="1" applyAlignment="1"/>
    <xf numFmtId="7" fontId="52" fillId="0" borderId="0" xfId="0" applyNumberFormat="1" applyFont="1" applyAlignment="1"/>
    <xf numFmtId="0" fontId="5" fillId="0" borderId="0" xfId="0" applyNumberFormat="1" applyFont="1" applyAlignment="1"/>
    <xf numFmtId="0" fontId="40" fillId="9" borderId="0" xfId="0" applyNumberFormat="1" applyFont="1" applyFill="1" applyAlignment="1"/>
    <xf numFmtId="167" fontId="40" fillId="9" borderId="0" xfId="0" applyNumberFormat="1" applyFont="1" applyFill="1" applyAlignment="1"/>
    <xf numFmtId="0" fontId="5" fillId="0" borderId="0" xfId="0" applyNumberFormat="1" applyFont="1" applyAlignment="1"/>
    <xf numFmtId="43" fontId="0" fillId="0" borderId="0" xfId="0" applyNumberFormat="1" applyFont="1" applyAlignment="1"/>
    <xf numFmtId="43" fontId="0" fillId="0" borderId="5" xfId="0" applyNumberFormat="1" applyFont="1" applyBorder="1" applyAlignment="1"/>
    <xf numFmtId="167" fontId="0" fillId="0" borderId="0" xfId="0" applyNumberFormat="1" applyFont="1" applyAlignment="1"/>
    <xf numFmtId="17" fontId="5" fillId="0" borderId="0" xfId="0" applyNumberFormat="1" applyFont="1" applyAlignment="1"/>
    <xf numFmtId="17" fontId="5" fillId="0" borderId="27" xfId="0" applyNumberFormat="1" applyFont="1" applyBorder="1" applyAlignment="1"/>
    <xf numFmtId="17" fontId="5" fillId="0" borderId="9" xfId="0" applyNumberFormat="1" applyFont="1" applyBorder="1" applyAlignment="1"/>
    <xf numFmtId="17" fontId="5" fillId="0" borderId="7" xfId="0" applyNumberFormat="1" applyFont="1" applyBorder="1" applyAlignment="1"/>
    <xf numFmtId="0" fontId="46" fillId="0" borderId="0" xfId="0" applyNumberFormat="1" applyFont="1" applyAlignment="1">
      <alignment horizontal="center"/>
    </xf>
    <xf numFmtId="0" fontId="16" fillId="0" borderId="0" xfId="0" applyNumberFormat="1" applyFont="1" applyFill="1" applyAlignment="1"/>
    <xf numFmtId="0" fontId="5" fillId="0" borderId="0" xfId="0" applyNumberFormat="1" applyFont="1" applyFill="1" applyAlignment="1"/>
    <xf numFmtId="0" fontId="27" fillId="0" borderId="0" xfId="0" applyNumberFormat="1" applyFont="1" applyFill="1" applyAlignment="1"/>
    <xf numFmtId="0" fontId="16" fillId="0" borderId="0" xfId="0" applyNumberFormat="1" applyFont="1" applyFill="1" applyAlignment="1" applyProtection="1">
      <alignment horizontal="center"/>
      <protection locked="0"/>
    </xf>
    <xf numFmtId="42" fontId="18" fillId="0" borderId="0" xfId="0" applyNumberFormat="1" applyFont="1" applyFill="1" applyBorder="1" applyAlignment="1">
      <alignment horizontal="right"/>
    </xf>
    <xf numFmtId="0" fontId="16" fillId="0" borderId="0" xfId="0" applyNumberFormat="1" applyFont="1" applyFill="1" applyBorder="1" applyAlignment="1"/>
    <xf numFmtId="0" fontId="16" fillId="0" borderId="0" xfId="0" applyNumberFormat="1" applyFont="1" applyFill="1" applyBorder="1" applyAlignment="1">
      <alignment horizontal="left"/>
    </xf>
    <xf numFmtId="0" fontId="26" fillId="0" borderId="0" xfId="0" applyNumberFormat="1" applyFont="1" applyFill="1" applyBorder="1" applyAlignment="1" applyProtection="1">
      <alignment horizontal="center"/>
      <protection locked="0"/>
    </xf>
    <xf numFmtId="37" fontId="16" fillId="0" borderId="0" xfId="0" applyNumberFormat="1" applyFont="1" applyFill="1" applyBorder="1" applyAlignment="1">
      <alignment horizontal="right"/>
    </xf>
    <xf numFmtId="9" fontId="16" fillId="0" borderId="0" xfId="0" applyNumberFormat="1" applyFont="1" applyFill="1" applyBorder="1" applyAlignment="1">
      <alignment horizontal="right"/>
    </xf>
    <xf numFmtId="37" fontId="16" fillId="0" borderId="0" xfId="0" applyNumberFormat="1" applyFont="1" applyFill="1" applyBorder="1" applyAlignment="1"/>
    <xf numFmtId="42" fontId="16" fillId="0" borderId="0" xfId="0" applyNumberFormat="1" applyFont="1" applyFill="1" applyAlignment="1"/>
    <xf numFmtId="0" fontId="16" fillId="0" borderId="0" xfId="0" applyNumberFormat="1" applyFont="1" applyFill="1" applyBorder="1" applyAlignment="1">
      <alignment horizontal="right"/>
    </xf>
    <xf numFmtId="42" fontId="16" fillId="0" borderId="0" xfId="0" applyNumberFormat="1" applyFont="1" applyFill="1" applyBorder="1" applyAlignment="1">
      <alignment horizontal="right"/>
    </xf>
    <xf numFmtId="176" fontId="16" fillId="0" borderId="0" xfId="0" applyNumberFormat="1" applyFont="1" applyFill="1" applyBorder="1" applyAlignment="1"/>
    <xf numFmtId="0" fontId="58" fillId="0" borderId="0" xfId="0" applyNumberFormat="1" applyFont="1" applyFill="1" applyAlignment="1"/>
    <xf numFmtId="37" fontId="16" fillId="0" borderId="0" xfId="0" applyNumberFormat="1" applyFont="1" applyFill="1" applyAlignment="1"/>
    <xf numFmtId="0" fontId="21" fillId="0" borderId="0" xfId="0" applyNumberFormat="1" applyFont="1" applyFill="1" applyBorder="1" applyAlignment="1" applyProtection="1">
      <alignment horizontal="left"/>
      <protection locked="0"/>
    </xf>
    <xf numFmtId="41" fontId="16" fillId="0" borderId="0" xfId="0" applyNumberFormat="1" applyFont="1" applyFill="1" applyAlignment="1"/>
    <xf numFmtId="41" fontId="16" fillId="0" borderId="0" xfId="0" applyNumberFormat="1" applyFont="1" applyFill="1" applyBorder="1" applyAlignment="1">
      <alignment horizontal="right"/>
    </xf>
    <xf numFmtId="0" fontId="26" fillId="0" borderId="0" xfId="0" applyNumberFormat="1" applyFont="1" applyFill="1" applyAlignment="1" applyProtection="1">
      <alignment horizontal="center"/>
      <protection locked="0"/>
    </xf>
    <xf numFmtId="9" fontId="16" fillId="0" borderId="0" xfId="0" applyNumberFormat="1" applyFont="1" applyFill="1" applyAlignment="1"/>
    <xf numFmtId="42" fontId="18" fillId="0" borderId="0" xfId="0" applyNumberFormat="1" applyFont="1" applyFill="1" applyAlignment="1"/>
    <xf numFmtId="167" fontId="16" fillId="0" borderId="0" xfId="0" applyNumberFormat="1" applyFont="1" applyFill="1" applyAlignment="1">
      <alignment horizontal="right"/>
    </xf>
    <xf numFmtId="42" fontId="16" fillId="0" borderId="37" xfId="0" applyNumberFormat="1" applyFont="1" applyFill="1" applyBorder="1" applyAlignment="1"/>
    <xf numFmtId="167" fontId="16" fillId="0" borderId="37" xfId="0" applyNumberFormat="1" applyFont="1" applyFill="1" applyBorder="1" applyAlignment="1">
      <alignment horizontal="right"/>
    </xf>
    <xf numFmtId="0" fontId="16" fillId="0" borderId="37" xfId="0" applyNumberFormat="1" applyFont="1" applyFill="1" applyBorder="1" applyAlignment="1"/>
    <xf numFmtId="0" fontId="16" fillId="0" borderId="0" xfId="0" quotePrefix="1" applyNumberFormat="1" applyFont="1" applyFill="1" applyAlignment="1">
      <alignment horizontal="left"/>
    </xf>
    <xf numFmtId="0" fontId="16" fillId="0" borderId="0" xfId="0" applyNumberFormat="1" applyFont="1" applyFill="1" applyAlignment="1">
      <alignment horizontal="left"/>
    </xf>
    <xf numFmtId="0" fontId="16" fillId="0" borderId="0" xfId="0" applyNumberFormat="1" applyFont="1" applyFill="1" applyAlignment="1">
      <alignment vertical="center"/>
    </xf>
    <xf numFmtId="0" fontId="37" fillId="0" borderId="0" xfId="0" applyNumberFormat="1" applyFont="1" applyFill="1" applyAlignment="1">
      <alignment horizontal="left"/>
    </xf>
    <xf numFmtId="0" fontId="16" fillId="0" borderId="0" xfId="0" applyNumberFormat="1" applyFont="1" applyFill="1" applyAlignment="1">
      <alignment horizontal="center"/>
    </xf>
    <xf numFmtId="3" fontId="27" fillId="0" borderId="0" xfId="0" applyNumberFormat="1" applyFont="1" applyFill="1" applyAlignment="1"/>
    <xf numFmtId="37" fontId="18" fillId="0" borderId="1" xfId="0" applyNumberFormat="1" applyFont="1" applyFill="1" applyBorder="1" applyAlignment="1"/>
    <xf numFmtId="0" fontId="18" fillId="0" borderId="0" xfId="0" applyNumberFormat="1" applyFont="1" applyFill="1" applyBorder="1" applyAlignment="1"/>
    <xf numFmtId="167" fontId="16" fillId="0" borderId="0" xfId="0" applyNumberFormat="1" applyFont="1" applyFill="1" applyAlignment="1"/>
    <xf numFmtId="167" fontId="18" fillId="0" borderId="37" xfId="0" applyNumberFormat="1" applyFont="1" applyFill="1" applyBorder="1" applyAlignment="1"/>
    <xf numFmtId="167" fontId="16" fillId="0" borderId="37" xfId="0" applyNumberFormat="1" applyFont="1" applyFill="1" applyBorder="1" applyAlignment="1"/>
    <xf numFmtId="17" fontId="16" fillId="0" borderId="0" xfId="0" applyNumberFormat="1" applyFont="1" applyFill="1" applyAlignment="1"/>
    <xf numFmtId="167" fontId="18" fillId="0" borderId="0" xfId="0" applyNumberFormat="1" applyFont="1" applyFill="1" applyBorder="1" applyAlignment="1"/>
    <xf numFmtId="167" fontId="16" fillId="0" borderId="0" xfId="0" applyNumberFormat="1" applyFont="1" applyFill="1" applyBorder="1" applyAlignment="1"/>
    <xf numFmtId="167" fontId="5" fillId="0" borderId="0" xfId="0" applyNumberFormat="1" applyFont="1" applyFill="1" applyAlignment="1"/>
    <xf numFmtId="0" fontId="69" fillId="0" borderId="0" xfId="0" applyNumberFormat="1" applyFont="1" applyFill="1" applyBorder="1" applyAlignment="1"/>
    <xf numFmtId="167" fontId="16" fillId="0" borderId="0" xfId="0" applyNumberFormat="1" applyFont="1" applyFill="1" applyBorder="1" applyAlignment="1">
      <alignment horizontal="right"/>
    </xf>
    <xf numFmtId="173" fontId="22" fillId="0" borderId="0" xfId="0" applyNumberFormat="1" applyFont="1" applyFill="1" applyBorder="1" applyAlignment="1">
      <alignment horizontal="left"/>
    </xf>
    <xf numFmtId="173" fontId="22" fillId="0" borderId="0" xfId="0" applyNumberFormat="1" applyFont="1" applyFill="1" applyBorder="1" applyAlignment="1">
      <alignment horizontal="center"/>
    </xf>
    <xf numFmtId="173" fontId="22" fillId="0" borderId="0" xfId="0" applyNumberFormat="1" applyFont="1" applyFill="1" applyAlignment="1">
      <alignment horizontal="center"/>
    </xf>
    <xf numFmtId="37" fontId="38" fillId="0" borderId="0" xfId="0" applyNumberFormat="1" applyFont="1" applyFill="1" applyBorder="1" applyAlignment="1">
      <alignment horizontal="center"/>
    </xf>
    <xf numFmtId="0" fontId="38" fillId="0" borderId="0" xfId="0" applyNumberFormat="1" applyFont="1" applyFill="1" applyBorder="1" applyAlignment="1">
      <alignment horizontal="center"/>
    </xf>
    <xf numFmtId="0" fontId="38" fillId="0" borderId="0" xfId="0" quotePrefix="1" applyNumberFormat="1" applyFont="1" applyFill="1" applyBorder="1" applyAlignment="1">
      <alignment horizontal="center"/>
    </xf>
    <xf numFmtId="0" fontId="26" fillId="0" borderId="0" xfId="0" applyNumberFormat="1" applyFont="1" applyFill="1" applyAlignment="1"/>
    <xf numFmtId="0" fontId="30" fillId="0" borderId="0" xfId="0" applyNumberFormat="1" applyFont="1" applyFill="1" applyBorder="1" applyAlignment="1">
      <alignment horizontal="center"/>
    </xf>
    <xf numFmtId="0" fontId="30" fillId="0" borderId="0" xfId="0" applyNumberFormat="1" applyFont="1" applyFill="1" applyAlignment="1">
      <alignment horizontal="center"/>
    </xf>
    <xf numFmtId="37" fontId="30" fillId="0" borderId="0" xfId="0" applyNumberFormat="1" applyFont="1" applyFill="1" applyBorder="1" applyAlignment="1">
      <alignment horizontal="center"/>
    </xf>
    <xf numFmtId="0" fontId="30" fillId="0" borderId="0" xfId="0" quotePrefix="1" applyNumberFormat="1" applyFont="1" applyFill="1" applyAlignment="1">
      <alignment horizontal="center"/>
    </xf>
    <xf numFmtId="0" fontId="27" fillId="0" borderId="0" xfId="0" applyNumberFormat="1" applyFont="1" applyFill="1" applyBorder="1" applyAlignment="1"/>
    <xf numFmtId="0" fontId="36" fillId="0" borderId="0" xfId="0" applyNumberFormat="1" applyFont="1" applyFill="1" applyBorder="1" applyAlignment="1"/>
    <xf numFmtId="0" fontId="18" fillId="0" borderId="37" xfId="0" applyNumberFormat="1" applyFont="1" applyFill="1" applyBorder="1" applyAlignment="1"/>
    <xf numFmtId="0" fontId="18" fillId="0" borderId="37" xfId="0" applyNumberFormat="1" applyFont="1" applyFill="1" applyBorder="1" applyAlignment="1" applyProtection="1">
      <alignment horizontal="center"/>
      <protection locked="0"/>
    </xf>
    <xf numFmtId="0" fontId="18" fillId="0" borderId="0" xfId="0" applyNumberFormat="1" applyFont="1" applyFill="1" applyAlignment="1" applyProtection="1">
      <protection locked="0"/>
    </xf>
    <xf numFmtId="0" fontId="18" fillId="0" borderId="0" xfId="0" applyNumberFormat="1" applyFont="1" applyFill="1" applyAlignment="1" applyProtection="1">
      <alignment horizontal="center"/>
      <protection locked="0"/>
    </xf>
    <xf numFmtId="0" fontId="18" fillId="0" borderId="0" xfId="0" applyNumberFormat="1" applyFont="1" applyFill="1" applyAlignment="1" applyProtection="1">
      <alignment horizontal="centerContinuous"/>
      <protection locked="0"/>
    </xf>
    <xf numFmtId="0" fontId="18" fillId="0" borderId="0" xfId="0" applyNumberFormat="1" applyFont="1" applyFill="1" applyAlignment="1">
      <alignment horizontal="centerContinuous"/>
    </xf>
    <xf numFmtId="0" fontId="18" fillId="0" borderId="0" xfId="0" applyNumberFormat="1" applyFont="1" applyFill="1" applyBorder="1" applyAlignment="1">
      <alignment horizontal="center"/>
    </xf>
    <xf numFmtId="0" fontId="4" fillId="0" borderId="0" xfId="0" applyNumberFormat="1" applyFont="1" applyAlignment="1"/>
    <xf numFmtId="17" fontId="4" fillId="0" borderId="0" xfId="0" applyNumberFormat="1" applyFont="1" applyAlignment="1"/>
    <xf numFmtId="43" fontId="0" fillId="0" borderId="0" xfId="0" applyNumberFormat="1" applyFont="1" applyAlignment="1"/>
    <xf numFmtId="43" fontId="0" fillId="0" borderId="1" xfId="0" applyNumberFormat="1" applyFont="1" applyBorder="1" applyAlignment="1"/>
    <xf numFmtId="164" fontId="62" fillId="0" borderId="0" xfId="0" applyFont="1" applyFill="1" applyAlignment="1">
      <alignment horizontal="left"/>
    </xf>
    <xf numFmtId="0" fontId="71" fillId="0" borderId="0" xfId="0" applyNumberFormat="1" applyFont="1" applyAlignment="1">
      <alignment horizontal="center"/>
    </xf>
    <xf numFmtId="167" fontId="0" fillId="20" borderId="0" xfId="0" applyNumberFormat="1" applyFont="1" applyFill="1" applyAlignment="1"/>
    <xf numFmtId="167" fontId="0" fillId="0" borderId="11" xfId="0" applyNumberFormat="1" applyFont="1" applyBorder="1" applyAlignment="1"/>
    <xf numFmtId="167" fontId="0" fillId="0" borderId="0" xfId="0" applyNumberFormat="1" applyFont="1" applyBorder="1" applyAlignment="1"/>
    <xf numFmtId="167" fontId="0" fillId="0" borderId="28" xfId="0" applyNumberFormat="1" applyFont="1" applyBorder="1" applyAlignment="1"/>
    <xf numFmtId="167" fontId="0" fillId="20" borderId="5" xfId="0" applyNumberFormat="1" applyFont="1" applyFill="1" applyBorder="1" applyAlignment="1"/>
    <xf numFmtId="167" fontId="0" fillId="2" borderId="39" xfId="0" applyNumberFormat="1" applyFont="1" applyFill="1" applyBorder="1" applyAlignment="1"/>
    <xf numFmtId="167" fontId="0" fillId="2" borderId="2" xfId="0" applyNumberFormat="1" applyFont="1" applyFill="1" applyBorder="1" applyAlignment="1"/>
    <xf numFmtId="167" fontId="0" fillId="2" borderId="38" xfId="0" applyNumberFormat="1" applyFont="1" applyFill="1" applyBorder="1" applyAlignment="1"/>
    <xf numFmtId="0" fontId="15" fillId="0" borderId="0" xfId="0" applyNumberFormat="1" applyFont="1" applyFill="1" applyAlignment="1">
      <alignment horizontal="left"/>
    </xf>
    <xf numFmtId="49" fontId="3" fillId="0" borderId="0" xfId="0" applyNumberFormat="1" applyFont="1" applyAlignment="1">
      <alignment horizontal="left" wrapText="1"/>
    </xf>
    <xf numFmtId="49" fontId="3" fillId="0" borderId="0" xfId="0" applyNumberFormat="1" applyFont="1" applyAlignment="1">
      <alignment horizontal="right" wrapText="1"/>
    </xf>
    <xf numFmtId="177" fontId="72" fillId="0" borderId="0" xfId="0" applyNumberFormat="1" applyFont="1" applyAlignment="1">
      <alignment horizontal="left"/>
    </xf>
    <xf numFmtId="177" fontId="3" fillId="0" borderId="0" xfId="0" applyNumberFormat="1" applyFont="1" applyAlignment="1">
      <alignment horizontal="right"/>
    </xf>
    <xf numFmtId="177" fontId="12" fillId="0" borderId="0" xfId="0" applyNumberFormat="1" applyFont="1" applyAlignment="1">
      <alignment horizontal="left"/>
    </xf>
    <xf numFmtId="177" fontId="3" fillId="0" borderId="0" xfId="0" applyNumberFormat="1" applyFont="1" applyAlignment="1">
      <alignment horizontal="left"/>
    </xf>
    <xf numFmtId="0" fontId="54" fillId="2" borderId="0" xfId="0" applyNumberFormat="1" applyFont="1" applyFill="1" applyAlignment="1">
      <alignment horizontal="right"/>
    </xf>
    <xf numFmtId="164" fontId="0" fillId="2" borderId="0" xfId="0" applyFill="1" applyBorder="1">
      <alignment horizontal="left" wrapText="1"/>
    </xf>
    <xf numFmtId="0" fontId="51" fillId="12" borderId="0" xfId="0" applyNumberFormat="1" applyFont="1" applyFill="1" applyBorder="1" applyAlignment="1">
      <alignment horizontal="centerContinuous"/>
    </xf>
    <xf numFmtId="0" fontId="0" fillId="12" borderId="0" xfId="0" applyNumberFormat="1" applyFill="1" applyBorder="1" applyAlignment="1">
      <alignment horizontal="centerContinuous"/>
    </xf>
    <xf numFmtId="0" fontId="54" fillId="12" borderId="0" xfId="0" applyNumberFormat="1" applyFont="1" applyFill="1" applyAlignment="1">
      <alignment horizontal="left"/>
    </xf>
    <xf numFmtId="0" fontId="16" fillId="12" borderId="0" xfId="0" applyNumberFormat="1" applyFont="1" applyFill="1" applyAlignment="1"/>
    <xf numFmtId="164" fontId="0" fillId="12" borderId="0" xfId="0" applyFill="1" applyBorder="1">
      <alignment horizontal="left" wrapText="1"/>
    </xf>
    <xf numFmtId="164" fontId="18" fillId="12" borderId="0" xfId="0" applyFont="1" applyFill="1" applyBorder="1" applyAlignment="1">
      <alignment horizontal="left"/>
    </xf>
    <xf numFmtId="0" fontId="55" fillId="12" borderId="0" xfId="0" applyNumberFormat="1" applyFont="1" applyFill="1" applyAlignment="1"/>
    <xf numFmtId="0" fontId="16" fillId="0" borderId="0" xfId="0" applyNumberFormat="1" applyFont="1" applyFill="1" applyAlignment="1"/>
    <xf numFmtId="0" fontId="73" fillId="21" borderId="41" xfId="1" applyFont="1" applyFill="1" applyBorder="1" applyAlignment="1">
      <alignment horizontal="centerContinuous"/>
    </xf>
    <xf numFmtId="0" fontId="73" fillId="21" borderId="3" xfId="1" applyFont="1" applyFill="1" applyBorder="1" applyAlignment="1">
      <alignment horizontal="centerContinuous"/>
    </xf>
    <xf numFmtId="0" fontId="73" fillId="21" borderId="3" xfId="3" applyFont="1" applyFill="1" applyBorder="1" applyAlignment="1">
      <alignment horizontal="centerContinuous"/>
    </xf>
    <xf numFmtId="0" fontId="73" fillId="21" borderId="41" xfId="3" applyFont="1" applyFill="1" applyBorder="1" applyAlignment="1">
      <alignment horizontal="centerContinuous"/>
    </xf>
    <xf numFmtId="0" fontId="56" fillId="0" borderId="0" xfId="0" applyNumberFormat="1" applyFont="1" applyFill="1" applyAlignment="1"/>
    <xf numFmtId="0" fontId="52" fillId="0" borderId="0" xfId="0" applyNumberFormat="1" applyFont="1" applyFill="1" applyAlignment="1"/>
    <xf numFmtId="7" fontId="52" fillId="0" borderId="0" xfId="0" applyNumberFormat="1" applyFont="1" applyFill="1" applyAlignment="1"/>
    <xf numFmtId="165" fontId="52" fillId="0" borderId="0" xfId="0" applyNumberFormat="1" applyFont="1" applyFill="1" applyAlignment="1"/>
    <xf numFmtId="167" fontId="52" fillId="0" borderId="0" xfId="0" applyNumberFormat="1" applyFont="1" applyFill="1" applyAlignment="1"/>
    <xf numFmtId="0" fontId="52" fillId="0" borderId="0" xfId="0" applyNumberFormat="1" applyFont="1" applyFill="1" applyAlignment="1">
      <alignment wrapText="1"/>
    </xf>
    <xf numFmtId="169" fontId="52" fillId="0" borderId="0" xfId="0" applyNumberFormat="1" applyFont="1" applyFill="1" applyAlignment="1"/>
    <xf numFmtId="0" fontId="57" fillId="0" borderId="0" xfId="0" applyNumberFormat="1" applyFont="1" applyFill="1" applyAlignment="1"/>
    <xf numFmtId="5" fontId="52" fillId="0" borderId="0" xfId="0" applyNumberFormat="1" applyFont="1" applyFill="1" applyBorder="1" applyAlignment="1"/>
    <xf numFmtId="5" fontId="52" fillId="0" borderId="5" xfId="0" applyNumberFormat="1" applyFont="1" applyFill="1" applyBorder="1" applyAlignment="1"/>
    <xf numFmtId="0" fontId="16" fillId="0" borderId="0" xfId="0" applyNumberFormat="1" applyFont="1" applyFill="1" applyAlignment="1">
      <alignment vertical="top"/>
    </xf>
    <xf numFmtId="0" fontId="52" fillId="0" borderId="0" xfId="0" applyNumberFormat="1" applyFont="1" applyFill="1" applyBorder="1" applyAlignment="1"/>
    <xf numFmtId="10" fontId="52" fillId="0" borderId="0" xfId="0" applyNumberFormat="1" applyFont="1" applyFill="1" applyBorder="1" applyAlignment="1"/>
    <xf numFmtId="0" fontId="40" fillId="0" borderId="0" xfId="0" applyNumberFormat="1" applyFont="1" applyFill="1" applyBorder="1" applyAlignment="1"/>
    <xf numFmtId="0" fontId="40" fillId="0" borderId="0" xfId="0" applyNumberFormat="1" applyFont="1" applyFill="1" applyAlignment="1">
      <alignment horizontal="center"/>
    </xf>
    <xf numFmtId="177" fontId="0" fillId="0" borderId="0" xfId="0" applyNumberFormat="1" applyFont="1" applyAlignment="1">
      <alignment horizontal="left"/>
    </xf>
    <xf numFmtId="41" fontId="5" fillId="0" borderId="0" xfId="0" applyNumberFormat="1" applyFont="1" applyAlignment="1"/>
    <xf numFmtId="43" fontId="18" fillId="0" borderId="0" xfId="0" applyNumberFormat="1" applyFont="1" applyBorder="1" applyAlignment="1"/>
    <xf numFmtId="43" fontId="18" fillId="0" borderId="0" xfId="0" applyNumberFormat="1" applyFont="1" applyBorder="1" applyAlignment="1">
      <alignment horizontal="center"/>
    </xf>
    <xf numFmtId="43" fontId="18" fillId="0" borderId="37" xfId="0" applyNumberFormat="1" applyFont="1" applyBorder="1" applyAlignment="1">
      <alignment horizontal="center"/>
    </xf>
    <xf numFmtId="167" fontId="5" fillId="0" borderId="0" xfId="0" applyNumberFormat="1" applyFont="1" applyAlignment="1"/>
    <xf numFmtId="43" fontId="18" fillId="0" borderId="1" xfId="0" applyNumberFormat="1" applyFont="1" applyBorder="1" applyAlignment="1">
      <alignment horizontal="center"/>
    </xf>
    <xf numFmtId="42" fontId="5" fillId="0" borderId="0" xfId="0" applyNumberFormat="1" applyFont="1" applyBorder="1" applyAlignment="1"/>
    <xf numFmtId="42" fontId="5" fillId="0" borderId="5" xfId="0" applyNumberFormat="1" applyFont="1" applyBorder="1" applyAlignment="1"/>
    <xf numFmtId="0" fontId="5" fillId="0" borderId="0" xfId="0" applyNumberFormat="1" applyFont="1" applyAlignment="1">
      <alignment horizontal="right"/>
    </xf>
    <xf numFmtId="42" fontId="5" fillId="0" borderId="0" xfId="0" applyNumberFormat="1" applyFont="1" applyAlignment="1"/>
    <xf numFmtId="43" fontId="18" fillId="0" borderId="0" xfId="0" applyNumberFormat="1" applyFont="1" applyAlignment="1">
      <alignment horizontal="center"/>
    </xf>
    <xf numFmtId="41" fontId="5" fillId="0" borderId="0" xfId="0" applyNumberFormat="1" applyFont="1" applyBorder="1" applyAlignment="1"/>
    <xf numFmtId="177" fontId="0" fillId="3" borderId="0" xfId="0" applyNumberFormat="1" applyFont="1" applyFill="1" applyAlignment="1">
      <alignment horizontal="left"/>
    </xf>
    <xf numFmtId="41" fontId="5" fillId="3" borderId="1" xfId="0" applyNumberFormat="1" applyFont="1" applyFill="1" applyBorder="1" applyAlignment="1"/>
    <xf numFmtId="167" fontId="5" fillId="0" borderId="0" xfId="4" applyNumberFormat="1" applyFont="1" applyAlignment="1"/>
    <xf numFmtId="167" fontId="5" fillId="13" borderId="0" xfId="4" applyNumberFormat="1" applyFont="1" applyFill="1" applyAlignment="1"/>
    <xf numFmtId="17" fontId="5" fillId="9" borderId="0" xfId="0" applyNumberFormat="1" applyFont="1" applyFill="1" applyAlignment="1"/>
    <xf numFmtId="41" fontId="75" fillId="0" borderId="0" xfId="0" applyNumberFormat="1" applyFont="1" applyFill="1" applyAlignment="1">
      <alignment horizontal="right"/>
    </xf>
    <xf numFmtId="0" fontId="70" fillId="0" borderId="0" xfId="0" applyNumberFormat="1" applyFont="1" applyAlignment="1">
      <alignment horizontal="right"/>
    </xf>
    <xf numFmtId="43" fontId="5" fillId="0" borderId="0" xfId="0" applyNumberFormat="1" applyFont="1" applyAlignment="1"/>
    <xf numFmtId="164" fontId="0" fillId="0" borderId="0" xfId="0" applyAlignment="1">
      <alignment horizontal="right"/>
    </xf>
    <xf numFmtId="167" fontId="5" fillId="0" borderId="5" xfId="0" applyNumberFormat="1" applyFont="1" applyBorder="1" applyAlignment="1"/>
    <xf numFmtId="17" fontId="5" fillId="18" borderId="0" xfId="0" applyNumberFormat="1" applyFont="1" applyFill="1" applyAlignment="1"/>
    <xf numFmtId="167" fontId="5" fillId="18" borderId="5" xfId="0" applyNumberFormat="1" applyFont="1" applyFill="1" applyBorder="1" applyAlignment="1"/>
    <xf numFmtId="167" fontId="5" fillId="9" borderId="5" xfId="0" applyNumberFormat="1" applyFont="1" applyFill="1" applyBorder="1" applyAlignment="1"/>
    <xf numFmtId="0" fontId="5" fillId="0" borderId="0" xfId="0" applyNumberFormat="1" applyFont="1" applyAlignment="1">
      <alignment horizontal="center"/>
    </xf>
    <xf numFmtId="41" fontId="49" fillId="0" borderId="0" xfId="0" applyNumberFormat="1" applyFont="1" applyFill="1" applyBorder="1" applyAlignment="1">
      <alignment horizontal="right"/>
    </xf>
    <xf numFmtId="167" fontId="46" fillId="0" borderId="0" xfId="4" applyNumberFormat="1" applyFont="1" applyAlignment="1"/>
    <xf numFmtId="37" fontId="46" fillId="0" borderId="0" xfId="0" applyNumberFormat="1" applyFont="1" applyAlignment="1"/>
    <xf numFmtId="0" fontId="5" fillId="0" borderId="0" xfId="0" applyNumberFormat="1" applyFont="1" applyAlignment="1">
      <alignment horizontal="left" indent="1"/>
    </xf>
    <xf numFmtId="167" fontId="5" fillId="13" borderId="5" xfId="4" applyNumberFormat="1" applyFont="1" applyFill="1" applyBorder="1" applyAlignment="1"/>
    <xf numFmtId="167" fontId="5" fillId="0" borderId="5" xfId="4" applyNumberFormat="1" applyFont="1" applyBorder="1" applyAlignment="1"/>
    <xf numFmtId="167" fontId="5" fillId="13" borderId="42" xfId="4" applyNumberFormat="1" applyFont="1" applyFill="1" applyBorder="1" applyAlignment="1"/>
    <xf numFmtId="167" fontId="5" fillId="0" borderId="42" xfId="4" applyNumberFormat="1" applyFont="1" applyBorder="1" applyAlignment="1"/>
    <xf numFmtId="0" fontId="46" fillId="0" borderId="0" xfId="0" applyNumberFormat="1" applyFont="1" applyAlignment="1">
      <alignment horizontal="right"/>
    </xf>
    <xf numFmtId="9" fontId="48" fillId="0" borderId="0" xfId="0" applyNumberFormat="1" applyFont="1" applyFill="1" applyAlignment="1"/>
    <xf numFmtId="0" fontId="1" fillId="0" borderId="0" xfId="1" applyFont="1" applyAlignment="1">
      <alignment horizontal="left"/>
    </xf>
    <xf numFmtId="0" fontId="1" fillId="0" borderId="0" xfId="1" applyFont="1" applyAlignment="1">
      <alignment horizontal="center"/>
    </xf>
    <xf numFmtId="0" fontId="1" fillId="0" borderId="0" xfId="1" applyFont="1"/>
    <xf numFmtId="0" fontId="1" fillId="0" borderId="0" xfId="3" applyFont="1" applyAlignment="1">
      <alignment horizontal="center"/>
    </xf>
    <xf numFmtId="0" fontId="1" fillId="0" borderId="0" xfId="1" applyFont="1" applyBorder="1" applyAlignment="1">
      <alignment horizontal="center"/>
    </xf>
    <xf numFmtId="0" fontId="1" fillId="0" borderId="37" xfId="1" applyFont="1" applyBorder="1" applyAlignment="1">
      <alignment horizontal="center"/>
    </xf>
    <xf numFmtId="0" fontId="1" fillId="0" borderId="0" xfId="1" applyFont="1" applyFill="1" applyBorder="1" applyAlignment="1">
      <alignment horizontal="center"/>
    </xf>
    <xf numFmtId="0" fontId="1" fillId="0" borderId="0" xfId="3" applyFont="1" applyFill="1" applyBorder="1" applyAlignment="1">
      <alignment horizontal="center"/>
    </xf>
    <xf numFmtId="0" fontId="1" fillId="0" borderId="0" xfId="3" applyFont="1" applyBorder="1" applyAlignment="1">
      <alignment horizontal="center"/>
    </xf>
    <xf numFmtId="0" fontId="1" fillId="0" borderId="0" xfId="3" applyFont="1"/>
    <xf numFmtId="14" fontId="1" fillId="0" borderId="0" xfId="1" applyNumberFormat="1" applyFont="1" applyAlignment="1">
      <alignment horizontal="left"/>
    </xf>
    <xf numFmtId="42" fontId="1" fillId="0" borderId="0" xfId="1" applyNumberFormat="1" applyFont="1"/>
    <xf numFmtId="42" fontId="1" fillId="0" borderId="0" xfId="3" applyNumberFormat="1" applyFont="1"/>
    <xf numFmtId="41" fontId="1" fillId="0" borderId="0" xfId="1" applyNumberFormat="1" applyFont="1"/>
    <xf numFmtId="41" fontId="1" fillId="0" borderId="0" xfId="3" applyNumberFormat="1" applyFont="1"/>
    <xf numFmtId="41" fontId="1" fillId="13" borderId="0" xfId="1" applyNumberFormat="1" applyFont="1" applyFill="1"/>
    <xf numFmtId="43" fontId="1" fillId="0" borderId="0" xfId="1" applyNumberFormat="1" applyFont="1"/>
    <xf numFmtId="42" fontId="55" fillId="0" borderId="0" xfId="2" applyNumberFormat="1" applyFont="1"/>
    <xf numFmtId="41" fontId="55" fillId="0" borderId="0" xfId="2" applyNumberFormat="1" applyFont="1"/>
    <xf numFmtId="164" fontId="55" fillId="0" borderId="0" xfId="0" applyFont="1">
      <alignment horizontal="left" wrapText="1"/>
    </xf>
    <xf numFmtId="41" fontId="55" fillId="13" borderId="0" xfId="2" applyNumberFormat="1" applyFont="1" applyFill="1"/>
    <xf numFmtId="42" fontId="55" fillId="9" borderId="0" xfId="2" applyNumberFormat="1" applyFont="1" applyFill="1"/>
    <xf numFmtId="0" fontId="12" fillId="0" borderId="0" xfId="0" applyNumberFormat="1" applyFont="1" applyFill="1" applyAlignment="1">
      <alignment horizontal="center"/>
    </xf>
    <xf numFmtId="0" fontId="1" fillId="0" borderId="0" xfId="0" applyNumberFormat="1" applyFont="1" applyFill="1" applyAlignment="1"/>
    <xf numFmtId="167" fontId="1" fillId="0" borderId="0" xfId="0" applyNumberFormat="1" applyFont="1" applyFill="1" applyAlignment="1"/>
    <xf numFmtId="41" fontId="1" fillId="0" borderId="0" xfId="0" applyNumberFormat="1" applyFont="1" applyFill="1" applyAlignment="1"/>
    <xf numFmtId="43" fontId="1" fillId="0" borderId="0" xfId="0" applyNumberFormat="1" applyFont="1" applyFill="1" applyAlignment="1"/>
    <xf numFmtId="167" fontId="1" fillId="0" borderId="1" xfId="0" applyNumberFormat="1" applyFont="1" applyFill="1" applyBorder="1" applyAlignment="1"/>
    <xf numFmtId="167" fontId="1" fillId="0" borderId="3" xfId="0" applyNumberFormat="1" applyFont="1" applyFill="1" applyBorder="1" applyAlignment="1"/>
    <xf numFmtId="167" fontId="1" fillId="0" borderId="40" xfId="0" applyNumberFormat="1" applyFont="1" applyFill="1" applyBorder="1" applyAlignment="1"/>
    <xf numFmtId="167" fontId="1" fillId="0" borderId="24" xfId="0" applyNumberFormat="1" applyFont="1" applyFill="1" applyBorder="1" applyAlignment="1">
      <alignment horizontal="left"/>
    </xf>
    <xf numFmtId="167" fontId="1" fillId="0" borderId="5" xfId="0" applyNumberFormat="1" applyFont="1" applyFill="1" applyBorder="1" applyAlignment="1"/>
    <xf numFmtId="167" fontId="1" fillId="0" borderId="0" xfId="0" applyNumberFormat="1" applyFont="1" applyFill="1" applyAlignment="1">
      <alignment horizontal="right"/>
    </xf>
    <xf numFmtId="43" fontId="1" fillId="0" borderId="0" xfId="0" applyNumberFormat="1" applyFont="1" applyFill="1" applyAlignment="1">
      <alignment horizontal="right"/>
    </xf>
    <xf numFmtId="164" fontId="55" fillId="0" borderId="0" xfId="0" applyFont="1" applyFill="1">
      <alignment horizontal="left" wrapText="1"/>
    </xf>
    <xf numFmtId="167" fontId="55" fillId="0" borderId="0" xfId="0" applyNumberFormat="1" applyFont="1" applyFill="1" applyAlignment="1"/>
    <xf numFmtId="167" fontId="55" fillId="0" borderId="0" xfId="0" applyNumberFormat="1" applyFont="1" applyFill="1" applyAlignment="1">
      <alignment horizontal="left" wrapText="1"/>
    </xf>
    <xf numFmtId="167" fontId="50" fillId="0" borderId="0" xfId="0" applyNumberFormat="1" applyFont="1" applyFill="1" applyAlignment="1">
      <alignment horizontal="center" vertical="top"/>
    </xf>
    <xf numFmtId="0" fontId="50" fillId="0" borderId="0" xfId="0" applyNumberFormat="1" applyFont="1" applyFill="1" applyAlignment="1">
      <alignment horizontal="center" vertical="top"/>
    </xf>
    <xf numFmtId="164" fontId="77" fillId="0" borderId="0" xfId="0" applyFont="1" applyFill="1" applyBorder="1" applyAlignment="1">
      <alignment horizontal="left" indent="1"/>
    </xf>
    <xf numFmtId="164" fontId="78" fillId="0" borderId="0" xfId="0" applyFont="1" applyFill="1" applyBorder="1" applyAlignment="1">
      <alignment horizontal="left" indent="1"/>
    </xf>
    <xf numFmtId="167" fontId="78" fillId="0" borderId="0" xfId="0" applyNumberFormat="1" applyFont="1" applyFill="1" applyAlignment="1"/>
    <xf numFmtId="167" fontId="50" fillId="0" borderId="0" xfId="0" applyNumberFormat="1" applyFont="1" applyFill="1" applyAlignment="1"/>
    <xf numFmtId="164" fontId="78" fillId="0" borderId="0" xfId="0" applyFont="1" applyFill="1" applyBorder="1" applyAlignment="1"/>
    <xf numFmtId="164" fontId="78" fillId="0" borderId="0" xfId="0" applyFont="1" applyFill="1" applyBorder="1" applyAlignment="1">
      <alignment horizontal="left"/>
    </xf>
    <xf numFmtId="164" fontId="78" fillId="0" borderId="0" xfId="0" applyFont="1" applyFill="1">
      <alignment horizontal="left" wrapText="1"/>
    </xf>
    <xf numFmtId="167" fontId="78" fillId="0" borderId="5" xfId="0" applyNumberFormat="1" applyFont="1" applyFill="1" applyBorder="1" applyAlignment="1"/>
    <xf numFmtId="43" fontId="78" fillId="0" borderId="0" xfId="0" applyNumberFormat="1" applyFont="1" applyFill="1" applyAlignment="1"/>
    <xf numFmtId="164" fontId="55" fillId="0" borderId="0" xfId="0" applyFont="1" applyFill="1" applyBorder="1" applyAlignment="1">
      <alignment horizontal="left" indent="1"/>
    </xf>
    <xf numFmtId="167" fontId="50" fillId="0" borderId="0" xfId="0" applyNumberFormat="1" applyFont="1" applyFill="1" applyAlignment="1">
      <alignment horizontal="right"/>
    </xf>
    <xf numFmtId="37" fontId="50" fillId="0" borderId="0" xfId="0" applyNumberFormat="1" applyFont="1" applyFill="1" applyAlignment="1"/>
    <xf numFmtId="0" fontId="1" fillId="0" borderId="0" xfId="0" applyNumberFormat="1" applyFont="1" applyFill="1" applyAlignment="1">
      <alignment horizontal="right"/>
    </xf>
    <xf numFmtId="164" fontId="18" fillId="0" borderId="0" xfId="0" applyFont="1">
      <alignment horizontal="left" wrapText="1"/>
    </xf>
    <xf numFmtId="37" fontId="9" fillId="12" borderId="0" xfId="0" applyNumberFormat="1" applyFont="1" applyFill="1" applyAlignment="1"/>
    <xf numFmtId="0" fontId="47" fillId="0" borderId="0" xfId="0" applyNumberFormat="1" applyFont="1" applyFill="1" applyAlignment="1">
      <alignment horizontal="center"/>
    </xf>
    <xf numFmtId="167" fontId="9" fillId="0" borderId="0" xfId="0" applyNumberFormat="1" applyFont="1" applyFill="1" applyAlignment="1"/>
    <xf numFmtId="7" fontId="9" fillId="0" borderId="0" xfId="0" applyNumberFormat="1" applyFont="1" applyFill="1" applyAlignment="1"/>
    <xf numFmtId="164" fontId="66" fillId="0" borderId="0" xfId="0" applyFont="1" applyFill="1" applyAlignment="1"/>
    <xf numFmtId="0" fontId="66" fillId="0" borderId="0" xfId="0" applyNumberFormat="1" applyFont="1" applyFill="1" applyAlignment="1"/>
    <xf numFmtId="0" fontId="16" fillId="0" borderId="0" xfId="0" applyNumberFormat="1" applyFont="1" applyFill="1" applyAlignment="1"/>
    <xf numFmtId="0" fontId="16" fillId="0" borderId="0" xfId="0" applyNumberFormat="1" applyFont="1" applyFill="1" applyAlignment="1">
      <alignment wrapText="1"/>
    </xf>
  </cellXfs>
  <cellStyles count="5">
    <cellStyle name="Comma" xfId="4" builtinId="3"/>
    <cellStyle name="Comma 2" xfId="2"/>
    <cellStyle name="Normal" xfId="0" builtinId="0"/>
    <cellStyle name="Normal 2" xfId="1"/>
    <cellStyle name="Normal 2 2" xfId="3"/>
  </cellStyles>
  <dxfs count="0"/>
  <tableStyles count="0" defaultTableStyle="TableStyleMedium2" defaultPivotStyle="PivotStyleLight16"/>
  <colors>
    <mruColors>
      <color rgb="FF0000FF"/>
      <color rgb="FFCCFF33"/>
      <color rgb="FFCCCCFF"/>
      <color rgb="FF00FFFF"/>
      <color rgb="FFCCFFCC"/>
      <color rgb="FFFFCCCC"/>
      <color rgb="FFFFCC00"/>
      <color rgb="FFFF00FF"/>
      <color rgb="FFCCFFFF"/>
      <color rgb="FFCC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66675</xdr:colOff>
      <xdr:row>1</xdr:row>
      <xdr:rowOff>114300</xdr:rowOff>
    </xdr:from>
    <xdr:ext cx="7466667" cy="866667"/>
    <xdr:pic>
      <xdr:nvPicPr>
        <xdr:cNvPr id="2" name="Picture 1"/>
        <xdr:cNvPicPr>
          <a:picLocks noChangeAspect="1"/>
        </xdr:cNvPicPr>
      </xdr:nvPicPr>
      <xdr:blipFill>
        <a:blip xmlns:r="http://schemas.openxmlformats.org/officeDocument/2006/relationships" r:embed="rId1"/>
        <a:stretch>
          <a:fillRect/>
        </a:stretch>
      </xdr:blipFill>
      <xdr:spPr>
        <a:xfrm>
          <a:off x="66675" y="276225"/>
          <a:ext cx="7466667" cy="86666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2935941</xdr:colOff>
      <xdr:row>42</xdr:row>
      <xdr:rowOff>22411</xdr:rowOff>
    </xdr:from>
    <xdr:to>
      <xdr:col>6</xdr:col>
      <xdr:colOff>369794</xdr:colOff>
      <xdr:row>42</xdr:row>
      <xdr:rowOff>168088</xdr:rowOff>
    </xdr:to>
    <xdr:sp macro="" textlink="">
      <xdr:nvSpPr>
        <xdr:cNvPr id="3" name="Bent-Up Arrow 2"/>
        <xdr:cNvSpPr/>
      </xdr:nvSpPr>
      <xdr:spPr>
        <a:xfrm>
          <a:off x="3541059" y="7306235"/>
          <a:ext cx="4953000" cy="145677"/>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67235</xdr:colOff>
      <xdr:row>42</xdr:row>
      <xdr:rowOff>111163</xdr:rowOff>
    </xdr:from>
    <xdr:to>
      <xdr:col>6</xdr:col>
      <xdr:colOff>67235</xdr:colOff>
      <xdr:row>42</xdr:row>
      <xdr:rowOff>156882</xdr:rowOff>
    </xdr:to>
    <xdr:sp macro="" textlink="">
      <xdr:nvSpPr>
        <xdr:cNvPr id="4" name="Bent-Up Arrow 3"/>
        <xdr:cNvSpPr/>
      </xdr:nvSpPr>
      <xdr:spPr>
        <a:xfrm>
          <a:off x="7239000" y="7394987"/>
          <a:ext cx="952500" cy="45719"/>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absoluteAnchor>
    <xdr:pos x="6501289" y="5071110"/>
    <xdr:ext cx="2702719" cy="1072991"/>
    <xdr:sp macro="" textlink="">
      <xdr:nvSpPr>
        <xdr:cNvPr id="2" name="Text Box 1" hidden="1"/>
        <xdr:cNvSpPr txBox="1">
          <a:spLocks noChangeArrowheads="1"/>
        </xdr:cNvSpPr>
      </xdr:nvSpPr>
      <xdr:spPr bwMode="auto">
        <a:xfrm>
          <a:off x="6501289" y="5071110"/>
          <a:ext cx="2702719" cy="1072991"/>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absoluteAnchor>
    <xdr:pos x="7420451" y="4404360"/>
    <xdr:ext cx="30480" cy="515303"/>
    <xdr:sp macro="" textlink="">
      <xdr:nvSpPr>
        <xdr:cNvPr id="3" name="Text Box 2" hidden="1"/>
        <xdr:cNvSpPr txBox="1">
          <a:spLocks noChangeArrowheads="1"/>
        </xdr:cNvSpPr>
      </xdr:nvSpPr>
      <xdr:spPr bwMode="auto">
        <a:xfrm>
          <a:off x="7420451" y="4404360"/>
          <a:ext cx="30480" cy="515303"/>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wsDr>
</file>

<file path=xl/drawings/drawing4.xml><?xml version="1.0" encoding="utf-8"?>
<xdr:wsDr xmlns:xdr="http://schemas.openxmlformats.org/drawingml/2006/spreadsheetDrawing" xmlns:a="http://schemas.openxmlformats.org/drawingml/2006/main">
  <xdr:absoluteAnchor>
    <xdr:pos x="6501289" y="5071110"/>
    <xdr:ext cx="2702719" cy="1072991"/>
    <xdr:sp macro="" textlink="">
      <xdr:nvSpPr>
        <xdr:cNvPr id="2" name="Text Box 1" hidden="1"/>
        <xdr:cNvSpPr txBox="1">
          <a:spLocks noChangeArrowheads="1"/>
        </xdr:cNvSpPr>
      </xdr:nvSpPr>
      <xdr:spPr bwMode="auto">
        <a:xfrm>
          <a:off x="6501289" y="5071110"/>
          <a:ext cx="2702719" cy="1072991"/>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absoluteAnchor>
    <xdr:pos x="7420451" y="4404360"/>
    <xdr:ext cx="30480" cy="515303"/>
    <xdr:sp macro="" textlink="">
      <xdr:nvSpPr>
        <xdr:cNvPr id="3" name="Text Box 2" hidden="1"/>
        <xdr:cNvSpPr txBox="1">
          <a:spLocks noChangeArrowheads="1"/>
        </xdr:cNvSpPr>
      </xdr:nvSpPr>
      <xdr:spPr bwMode="auto">
        <a:xfrm>
          <a:off x="7420451" y="4404360"/>
          <a:ext cx="30480" cy="515303"/>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EW-PSE-WP-SEF-5.03E-6.03G-IncStmt-TYJun18CBR-1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EW-PSE-WP-SEF-3.00-ELECTRIC-ERF-MODEL-TY-JUNE-18ERF-11-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EW-PSE-WP-SEF-11.01E-RemoveNonERF-TYJun18ERF-11-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EW-PSE-WP-SEF-9.10E-PowerCosts-TYJun18ERF-11-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EW-PSE-WP-JAP-4-Elec-Weather-Normalization-CBR18Coeff-TYJun18ERF-11-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ed Summary"/>
      <sheetName val="Unallocated Summary"/>
      <sheetName val="Detail"/>
      <sheetName val="Common by Acct"/>
    </sheetNames>
    <sheetDataSet>
      <sheetData sheetId="0">
        <row r="4">
          <cell r="A4" t="str">
            <v>FOR THE 12 MONTHS ENDED JUNE 30, 2018</v>
          </cell>
        </row>
        <row r="13">
          <cell r="B13">
            <v>116721927.84999999</v>
          </cell>
        </row>
        <row r="20">
          <cell r="B20">
            <v>192974971.49000001</v>
          </cell>
        </row>
        <row r="21">
          <cell r="B21">
            <v>499358138.91999996</v>
          </cell>
        </row>
        <row r="22">
          <cell r="B22">
            <v>116538099.3</v>
          </cell>
        </row>
      </sheetData>
      <sheetData sheetId="1">
        <row r="48">
          <cell r="F48">
            <v>316124850.33000255</v>
          </cell>
        </row>
      </sheetData>
      <sheetData sheetId="2">
        <row r="24">
          <cell r="I24">
            <v>116721927.84999999</v>
          </cell>
        </row>
        <row r="48">
          <cell r="B48">
            <v>491429394.76999998</v>
          </cell>
        </row>
        <row r="49">
          <cell r="B49">
            <v>7928744.1499999892</v>
          </cell>
        </row>
      </sheetData>
      <sheetData sheetId="3">
        <row r="9">
          <cell r="C9">
            <v>134123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ciency"/>
      <sheetName val="ERF ROR"/>
      <sheetName val="E ERF Conv Factr"/>
      <sheetName val="ERF Main Summary"/>
      <sheetName val="ERF Adj Summary"/>
      <sheetName val="ERF Adj Pages"/>
      <sheetName val="Restating Print Macros"/>
      <sheetName val="Module13"/>
      <sheetName val="Module14"/>
      <sheetName val="Module15"/>
      <sheetName val="Module1"/>
      <sheetName val="EOP Adj Summary"/>
      <sheetName val="EOP Adj Pages"/>
      <sheetName val="Remove Non-ERF"/>
      <sheetName val="CBR Model"/>
      <sheetName val="Summary"/>
      <sheetName val="9.04E Annualize FIT"/>
    </sheetNames>
    <definedNames>
      <definedName name="FIT_CBR" refersTo="='CBR Model'!$CW$19"/>
    </definedNames>
    <sheetDataSet>
      <sheetData sheetId="0"/>
      <sheetData sheetId="1"/>
      <sheetData sheetId="2"/>
      <sheetData sheetId="3">
        <row r="14">
          <cell r="E14">
            <v>116721927.84999999</v>
          </cell>
        </row>
        <row r="21">
          <cell r="E21">
            <v>191271195.98000002</v>
          </cell>
        </row>
        <row r="22">
          <cell r="C22">
            <v>499358138.91999996</v>
          </cell>
          <cell r="E22">
            <v>500810764.6216436</v>
          </cell>
          <cell r="G22">
            <v>500810764.6216436</v>
          </cell>
          <cell r="I22">
            <v>445370164.09703422</v>
          </cell>
        </row>
        <row r="23">
          <cell r="E23">
            <v>116538099.3</v>
          </cell>
        </row>
      </sheetData>
      <sheetData sheetId="4"/>
      <sheetData sheetId="5"/>
      <sheetData sheetId="6"/>
      <sheetData sheetId="7"/>
      <sheetData sheetId="8"/>
      <sheetData sheetId="9"/>
      <sheetData sheetId="10"/>
      <sheetData sheetId="11"/>
      <sheetData sheetId="12"/>
      <sheetData sheetId="13"/>
      <sheetData sheetId="14">
        <row r="14">
          <cell r="C14">
            <v>1674840812</v>
          </cell>
          <cell r="D14">
            <v>1664895712.9958138</v>
          </cell>
        </row>
        <row r="15">
          <cell r="C15">
            <v>1762350614</v>
          </cell>
          <cell r="D15">
            <v>1706028678.2529953</v>
          </cell>
        </row>
        <row r="16">
          <cell r="C16">
            <v>1614649543</v>
          </cell>
          <cell r="D16">
            <v>1598552638.8488054</v>
          </cell>
        </row>
        <row r="17">
          <cell r="C17">
            <v>1788067702</v>
          </cell>
          <cell r="D17">
            <v>1786848284.08025</v>
          </cell>
        </row>
        <row r="18">
          <cell r="C18">
            <v>2006678704</v>
          </cell>
          <cell r="D18">
            <v>2028588920.6755638</v>
          </cell>
        </row>
        <row r="19">
          <cell r="C19">
            <v>2389752569</v>
          </cell>
          <cell r="D19">
            <v>2364363529.0372953</v>
          </cell>
          <cell r="CW19">
            <v>0.27999999999999997</v>
          </cell>
        </row>
        <row r="20">
          <cell r="C20">
            <v>2215266167</v>
          </cell>
          <cell r="D20">
            <v>2305584065.4216886</v>
          </cell>
        </row>
        <row r="21">
          <cell r="C21">
            <v>2064898700</v>
          </cell>
          <cell r="D21">
            <v>2007991930.630203</v>
          </cell>
        </row>
        <row r="22">
          <cell r="C22">
            <v>2062414077</v>
          </cell>
          <cell r="D22">
            <v>2068533333.0722306</v>
          </cell>
        </row>
        <row r="23">
          <cell r="C23">
            <v>1768077599</v>
          </cell>
          <cell r="D23">
            <v>1779404185.600157</v>
          </cell>
        </row>
        <row r="24">
          <cell r="C24">
            <v>1593061438</v>
          </cell>
          <cell r="D24">
            <v>1611520006.8019745</v>
          </cell>
        </row>
        <row r="25">
          <cell r="C25">
            <v>1565951960</v>
          </cell>
          <cell r="D25">
            <v>1559953299.7715843</v>
          </cell>
          <cell r="DK25">
            <v>-31485.941259909945</v>
          </cell>
        </row>
      </sheetData>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June 2018 "/>
      <sheetName val="Sales &amp; Revenue Adj."/>
      <sheetName val="Summary 2016 PCORC Rev Req"/>
      <sheetName val="TY Sales"/>
      <sheetName val="Restating Print Macros"/>
      <sheetName val="Module13"/>
      <sheetName val="Module14"/>
      <sheetName val="Module15"/>
      <sheetName val="Module1"/>
      <sheetName val="555-557"/>
      <sheetName val="2017 GRC Exh.A-1"/>
      <sheetName val="TY Other Rev"/>
      <sheetName val="TY Other TAX"/>
      <sheetName val="FIT for Annulization"/>
      <sheetName val="ERF Revenues Lead Sheet"/>
      <sheetName val="support A-1=&gt;"/>
      <sheetName val="Dec 2016 PCs Update"/>
      <sheetName val="SEF-3 p 6"/>
      <sheetName val="Sch B 2018"/>
    </sheetNames>
    <sheetDataSet>
      <sheetData sheetId="0"/>
      <sheetData sheetId="1"/>
      <sheetData sheetId="2"/>
      <sheetData sheetId="3"/>
      <sheetData sheetId="4"/>
      <sheetData sheetId="5"/>
      <sheetData sheetId="6"/>
      <sheetData sheetId="7"/>
      <sheetData sheetId="8"/>
      <sheetData sheetId="9">
        <row r="5">
          <cell r="B5">
            <v>398129.87</v>
          </cell>
        </row>
      </sheetData>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Annualized Var  Power Costs"/>
      <sheetName val="Test Yr vs As Filed Amort E"/>
      <sheetName val="ERF Prod Factor"/>
      <sheetName val="UE-180282 GRC Orig"/>
      <sheetName val="Summary Normal Monthly kWh"/>
      <sheetName val="F2016 Delivered Load"/>
      <sheetName val="Tax and Benefits"/>
      <sheetName val="Brkr Fee, MO Tax, Centrlia, EIM"/>
    </sheetNames>
    <sheetDataSet>
      <sheetData sheetId="0"/>
      <sheetData sheetId="1">
        <row r="10">
          <cell r="N10">
            <v>434843424.46961474</v>
          </cell>
        </row>
        <row r="20">
          <cell r="B20">
            <v>0</v>
          </cell>
          <cell r="C20">
            <v>0</v>
          </cell>
          <cell r="D20">
            <v>0</v>
          </cell>
          <cell r="E20">
            <v>0</v>
          </cell>
          <cell r="F20">
            <v>0</v>
          </cell>
          <cell r="G20">
            <v>0</v>
          </cell>
        </row>
      </sheetData>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
      <sheetName val="Sales &amp; Revenue Adj."/>
      <sheetName val="Temp Adj. by Schedule"/>
      <sheetName val="Normalized Total Usage"/>
      <sheetName val="Actual Total Usage"/>
      <sheetName val="SAP BW Actual Usage"/>
      <sheetName val="System Model "/>
      <sheetName val="TABLE-HDD"/>
    </sheetNames>
    <sheetDataSet>
      <sheetData sheetId="0">
        <row r="12">
          <cell r="C12">
            <v>1674840812</v>
          </cell>
        </row>
      </sheetData>
      <sheetData sheetId="1">
        <row r="22">
          <cell r="C22">
            <v>-5993996.9342778185</v>
          </cell>
        </row>
        <row r="32">
          <cell r="C32">
            <v>-9219106.7768805642</v>
          </cell>
          <cell r="D32">
            <v>-52210434.437473409</v>
          </cell>
          <cell r="E32">
            <v>-14954023.956459759</v>
          </cell>
          <cell r="F32">
            <v>-1132839.247447727</v>
          </cell>
          <cell r="G32">
            <v>20354591.291598786</v>
          </cell>
          <cell r="H32">
            <v>-23586418.125352636</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28"/>
  <sheetViews>
    <sheetView tabSelected="1" workbookViewId="0">
      <selection activeCell="F16" sqref="F16"/>
    </sheetView>
  </sheetViews>
  <sheetFormatPr defaultColWidth="9.140625" defaultRowHeight="12.75"/>
  <cols>
    <col min="1" max="1" width="9.140625" style="422"/>
    <col min="2" max="2" width="54.42578125" style="422" customWidth="1"/>
    <col min="3" max="3" width="18.7109375" style="422" customWidth="1"/>
    <col min="4" max="4" width="16.85546875" style="422" bestFit="1" customWidth="1"/>
    <col min="5" max="5" width="15.85546875" style="422" bestFit="1" customWidth="1"/>
    <col min="6" max="6" width="18.42578125" style="422" customWidth="1"/>
    <col min="7" max="7" width="70.42578125" style="422" bestFit="1" customWidth="1"/>
    <col min="8" max="8" width="19.5703125" style="422" bestFit="1" customWidth="1"/>
    <col min="9" max="9" width="9.5703125" style="422" bestFit="1" customWidth="1"/>
    <col min="10" max="16384" width="9.140625" style="422"/>
  </cols>
  <sheetData>
    <row r="4" spans="1:7" ht="15.75">
      <c r="B4" s="438" t="s">
        <v>144</v>
      </c>
      <c r="C4" s="436"/>
      <c r="D4" s="436"/>
      <c r="E4" s="436"/>
    </row>
    <row r="5" spans="1:7" ht="15.75">
      <c r="B5" s="438" t="s">
        <v>155</v>
      </c>
      <c r="C5" s="436"/>
      <c r="D5" s="436"/>
      <c r="E5" s="436"/>
    </row>
    <row r="6" spans="1:7" ht="15.75">
      <c r="B6" s="438" t="s">
        <v>413</v>
      </c>
      <c r="C6" s="436"/>
      <c r="D6" s="436"/>
      <c r="E6" s="436"/>
    </row>
    <row r="7" spans="1:7" ht="15.75">
      <c r="B7" s="437" t="s">
        <v>156</v>
      </c>
      <c r="C7" s="436"/>
      <c r="D7" s="436"/>
      <c r="E7" s="436"/>
    </row>
    <row r="8" spans="1:7" ht="15">
      <c r="B8" s="426"/>
      <c r="C8" s="426"/>
      <c r="D8" s="426"/>
      <c r="E8" s="426"/>
    </row>
    <row r="9" spans="1:7" ht="15">
      <c r="B9" s="426"/>
      <c r="C9" s="426"/>
      <c r="D9" s="426"/>
      <c r="E9" s="426"/>
    </row>
    <row r="10" spans="1:7" ht="15.75">
      <c r="A10" s="434" t="s">
        <v>153</v>
      </c>
      <c r="B10" s="435"/>
      <c r="C10" s="434"/>
      <c r="D10" s="434"/>
      <c r="E10" s="434" t="s">
        <v>145</v>
      </c>
    </row>
    <row r="11" spans="1:7" ht="15.75">
      <c r="A11" s="434" t="s">
        <v>154</v>
      </c>
      <c r="B11" s="434" t="s">
        <v>64</v>
      </c>
      <c r="C11" s="434" t="s">
        <v>65</v>
      </c>
      <c r="D11" s="434" t="s">
        <v>146</v>
      </c>
      <c r="E11" s="434" t="s">
        <v>147</v>
      </c>
    </row>
    <row r="12" spans="1:7" ht="15">
      <c r="A12" s="433"/>
      <c r="B12" s="432"/>
      <c r="C12" s="432"/>
      <c r="D12" s="432"/>
      <c r="E12" s="432"/>
    </row>
    <row r="13" spans="1:7" ht="15">
      <c r="A13" s="428">
        <v>1</v>
      </c>
      <c r="B13" s="426" t="s">
        <v>148</v>
      </c>
      <c r="C13"/>
      <c r="D13" s="426"/>
      <c r="E13" s="426"/>
    </row>
    <row r="14" spans="1:7" ht="15">
      <c r="A14" s="428">
        <f t="shared" ref="A14:A25" si="0">+A13+1</f>
        <v>2</v>
      </c>
      <c r="B14" s="426" t="s">
        <v>159</v>
      </c>
      <c r="C14" s="431">
        <f>+'[1]Allocated Summary'!$B$20</f>
        <v>192974971.49000001</v>
      </c>
      <c r="D14" s="431">
        <f t="shared" ref="D14:D19" si="1">C14+E14</f>
        <v>191271195.98000002</v>
      </c>
      <c r="E14" s="431">
        <f>+F17</f>
        <v>-1703775.51</v>
      </c>
      <c r="F14" s="425">
        <f>+'Summary Normlz''d x Month'!N59</f>
        <v>4959913</v>
      </c>
      <c r="G14" s="422" t="s">
        <v>167</v>
      </c>
    </row>
    <row r="15" spans="1:7" ht="15">
      <c r="A15" s="428">
        <f t="shared" si="0"/>
        <v>3</v>
      </c>
      <c r="B15" s="426" t="s">
        <v>579</v>
      </c>
      <c r="C15" s="425">
        <f>+[1]Detail!$B$48+Reconciliations!B13</f>
        <v>491827524.63999999</v>
      </c>
      <c r="D15" s="425">
        <f t="shared" si="1"/>
        <v>495385652.22025484</v>
      </c>
      <c r="E15" s="425">
        <f>+F14+F15</f>
        <v>3558127.5802548788</v>
      </c>
      <c r="F15" s="425">
        <f>+'Summary Normlz''d x Month'!N57</f>
        <v>-1401785.4197451209</v>
      </c>
      <c r="G15" s="429" t="s">
        <v>414</v>
      </c>
    </row>
    <row r="16" spans="1:7" ht="15">
      <c r="A16" s="428">
        <f t="shared" si="0"/>
        <v>4</v>
      </c>
      <c r="B16" s="426" t="s">
        <v>545</v>
      </c>
      <c r="C16" s="425">
        <f>+[1]Detail!$B$49-Reconciliations!B13</f>
        <v>7530614.2799999891</v>
      </c>
      <c r="D16" s="425">
        <f t="shared" si="1"/>
        <v>7869816.6026486559</v>
      </c>
      <c r="E16" s="425">
        <f>+F16</f>
        <v>339202.3226486668</v>
      </c>
      <c r="F16" s="425">
        <f>+'Summary FPC Deferral'!G33</f>
        <v>339202.3226486668</v>
      </c>
      <c r="G16" s="429" t="s">
        <v>602</v>
      </c>
    </row>
    <row r="17" spans="1:14" ht="15">
      <c r="A17" s="428">
        <f t="shared" si="0"/>
        <v>5</v>
      </c>
      <c r="B17" s="426" t="s">
        <v>160</v>
      </c>
      <c r="C17" s="425">
        <f>+'[1]Allocated Summary'!$B$22</f>
        <v>116538099.3</v>
      </c>
      <c r="D17" s="425">
        <f t="shared" si="1"/>
        <v>116538099.3</v>
      </c>
      <c r="E17" s="425"/>
      <c r="F17" s="425">
        <f>+'Summary Normlz''d x Month'!N60</f>
        <v>-1703775.51</v>
      </c>
      <c r="G17" s="429" t="s">
        <v>412</v>
      </c>
    </row>
    <row r="18" spans="1:14" ht="15">
      <c r="A18" s="428">
        <f t="shared" si="0"/>
        <v>6</v>
      </c>
      <c r="B18" s="426" t="s">
        <v>161</v>
      </c>
      <c r="C18" s="425">
        <f>-'[1]Allocated Summary'!$B$13</f>
        <v>-116721927.84999999</v>
      </c>
      <c r="D18" s="425">
        <f t="shared" si="1"/>
        <v>-116721927.84999999</v>
      </c>
      <c r="E18" s="425"/>
    </row>
    <row r="19" spans="1:14" ht="15">
      <c r="A19" s="428">
        <f t="shared" si="0"/>
        <v>7</v>
      </c>
      <c r="B19" s="426" t="s">
        <v>162</v>
      </c>
      <c r="C19" s="425">
        <f>-'Summary Normlz''d x Month'!N18</f>
        <v>-9134513.7999999989</v>
      </c>
      <c r="D19" s="425">
        <f t="shared" si="1"/>
        <v>-9134513.7999999989</v>
      </c>
      <c r="E19" s="425"/>
    </row>
    <row r="20" spans="1:14" ht="15">
      <c r="A20" s="428">
        <f t="shared" si="0"/>
        <v>8</v>
      </c>
      <c r="B20" s="426" t="s">
        <v>149</v>
      </c>
      <c r="C20" s="430">
        <f>SUM(C14:C19)</f>
        <v>683014768.05999994</v>
      </c>
      <c r="D20" s="430">
        <f>SUM(D14:D19)</f>
        <v>685208322.45290351</v>
      </c>
      <c r="E20" s="430">
        <f>SUM(E14:E19)</f>
        <v>2193554.3929035459</v>
      </c>
      <c r="F20" s="430">
        <f>SUM(F14:F19)</f>
        <v>2193554.3929035459</v>
      </c>
      <c r="G20" s="429" t="s">
        <v>169</v>
      </c>
    </row>
    <row r="21" spans="1:14" ht="15">
      <c r="A21" s="428">
        <f t="shared" si="0"/>
        <v>9</v>
      </c>
      <c r="B21" s="426"/>
      <c r="C21" s="425"/>
      <c r="D21" s="425"/>
      <c r="E21" s="425"/>
      <c r="F21" s="425">
        <f>-F16</f>
        <v>-339202.3226486668</v>
      </c>
      <c r="G21" s="429" t="s">
        <v>540</v>
      </c>
    </row>
    <row r="22" spans="1:14" ht="15">
      <c r="A22" s="428">
        <f t="shared" si="0"/>
        <v>10</v>
      </c>
      <c r="B22" s="426" t="s">
        <v>150</v>
      </c>
      <c r="C22" s="425"/>
      <c r="D22" s="425"/>
      <c r="E22" s="425">
        <f>-E20</f>
        <v>-2193554.3929035459</v>
      </c>
      <c r="F22" s="430">
        <f>SUM(F20:F21)</f>
        <v>1854352.0702548791</v>
      </c>
      <c r="G22" s="429" t="s">
        <v>541</v>
      </c>
    </row>
    <row r="23" spans="1:14" ht="15">
      <c r="A23" s="428">
        <f t="shared" si="0"/>
        <v>11</v>
      </c>
      <c r="B23" s="426"/>
      <c r="C23" s="425"/>
      <c r="D23" s="425"/>
      <c r="E23" s="425"/>
    </row>
    <row r="24" spans="1:14" ht="15">
      <c r="A24" s="428">
        <f t="shared" si="0"/>
        <v>12</v>
      </c>
      <c r="B24" s="426" t="s">
        <v>151</v>
      </c>
      <c r="C24" s="642">
        <f>[2]!FIT_CBR</f>
        <v>0.27999999999999997</v>
      </c>
      <c r="D24" s="425"/>
      <c r="E24" s="425">
        <f>E22*C24</f>
        <v>-614195.23001299275</v>
      </c>
    </row>
    <row r="25" spans="1:14" ht="15.75" thickBot="1">
      <c r="A25" s="428">
        <f t="shared" si="0"/>
        <v>13</v>
      </c>
      <c r="B25" s="426" t="s">
        <v>152</v>
      </c>
      <c r="C25" s="425"/>
      <c r="D25" s="425"/>
      <c r="E25" s="427">
        <f>E22-E24</f>
        <v>-1579359.162890553</v>
      </c>
    </row>
    <row r="26" spans="1:14" ht="13.5" thickTop="1"/>
    <row r="27" spans="1:14" ht="15">
      <c r="B27" s="423"/>
      <c r="C27" s="424"/>
      <c r="D27" s="424"/>
      <c r="E27" s="424"/>
      <c r="F27" s="424"/>
      <c r="G27" s="424"/>
      <c r="H27" s="424"/>
      <c r="I27" s="423"/>
      <c r="J27" s="423"/>
      <c r="K27" s="423"/>
      <c r="L27" s="423"/>
      <c r="M27" s="423"/>
      <c r="N27" s="423"/>
    </row>
    <row r="28" spans="1:14" ht="15">
      <c r="B28" s="423"/>
      <c r="C28" s="424"/>
      <c r="D28" s="424"/>
      <c r="E28" s="424"/>
      <c r="F28" s="424"/>
      <c r="G28" s="424"/>
      <c r="H28" s="424"/>
      <c r="I28" s="423"/>
      <c r="J28" s="423"/>
      <c r="K28" s="423"/>
      <c r="L28" s="423"/>
      <c r="M28" s="423"/>
      <c r="N28" s="42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workbookViewId="0">
      <selection activeCell="O10" sqref="O10"/>
    </sheetView>
  </sheetViews>
  <sheetFormatPr defaultRowHeight="12.75"/>
  <cols>
    <col min="1" max="1" width="58.140625" bestFit="1" customWidth="1"/>
    <col min="2" max="2" width="13.7109375" bestFit="1" customWidth="1"/>
    <col min="3" max="3" width="15" bestFit="1" customWidth="1"/>
    <col min="4" max="4" width="13.7109375" bestFit="1" customWidth="1"/>
    <col min="5" max="5" width="15.42578125" bestFit="1" customWidth="1"/>
    <col min="6" max="6" width="13.7109375" customWidth="1"/>
    <col min="7" max="7" width="15.7109375" customWidth="1"/>
    <col min="8" max="8" width="13.42578125" bestFit="1" customWidth="1"/>
    <col min="9" max="9" width="16.28515625" customWidth="1"/>
    <col min="10" max="10" width="13.7109375" bestFit="1" customWidth="1"/>
    <col min="11" max="11" width="11.5703125" bestFit="1" customWidth="1"/>
    <col min="12" max="12" width="14.28515625" bestFit="1" customWidth="1"/>
    <col min="13" max="13" width="13.140625" customWidth="1"/>
    <col min="14" max="14" width="12.5703125" bestFit="1" customWidth="1"/>
    <col min="15" max="15" width="15.5703125" bestFit="1" customWidth="1"/>
  </cols>
  <sheetData>
    <row r="1" spans="1:15">
      <c r="A1" s="695" t="s">
        <v>604</v>
      </c>
    </row>
    <row r="4" spans="1:15" ht="15">
      <c r="A4" s="483"/>
      <c r="B4" s="484"/>
      <c r="C4" s="484"/>
      <c r="D4" s="484"/>
      <c r="E4" s="484"/>
      <c r="F4" s="609" t="s">
        <v>536</v>
      </c>
      <c r="G4" s="484"/>
      <c r="H4" s="484"/>
      <c r="I4" s="617" t="s">
        <v>537</v>
      </c>
      <c r="J4" s="484"/>
      <c r="K4" s="483"/>
      <c r="L4" s="484"/>
      <c r="M4" s="484"/>
      <c r="N4" s="484"/>
      <c r="O4" s="484"/>
    </row>
    <row r="5" spans="1:15" ht="15">
      <c r="A5" s="483"/>
      <c r="B5" s="608"/>
      <c r="C5" s="609" t="s">
        <v>543</v>
      </c>
      <c r="D5" s="608"/>
      <c r="E5" s="609" t="s">
        <v>544</v>
      </c>
      <c r="F5" s="609" t="s">
        <v>531</v>
      </c>
      <c r="G5" s="609" t="s">
        <v>525</v>
      </c>
      <c r="H5" s="609" t="s">
        <v>533</v>
      </c>
      <c r="I5" s="609" t="s">
        <v>538</v>
      </c>
      <c r="J5" s="609" t="s">
        <v>525</v>
      </c>
      <c r="K5" s="483"/>
      <c r="L5" s="484"/>
      <c r="M5" s="484"/>
      <c r="N5" s="484"/>
      <c r="O5" s="484"/>
    </row>
    <row r="6" spans="1:15" ht="15">
      <c r="A6" s="610" t="s">
        <v>535</v>
      </c>
      <c r="B6" s="610" t="s">
        <v>377</v>
      </c>
      <c r="C6" s="610" t="s">
        <v>499</v>
      </c>
      <c r="D6" s="610" t="s">
        <v>523</v>
      </c>
      <c r="E6" s="610" t="s">
        <v>524</v>
      </c>
      <c r="F6" s="610" t="s">
        <v>527</v>
      </c>
      <c r="G6" s="610" t="s">
        <v>158</v>
      </c>
      <c r="H6" s="610" t="s">
        <v>532</v>
      </c>
      <c r="I6" s="610" t="s">
        <v>539</v>
      </c>
      <c r="J6" s="610" t="s">
        <v>513</v>
      </c>
      <c r="K6" s="483"/>
      <c r="L6" s="484"/>
      <c r="M6" s="484"/>
      <c r="N6" s="484"/>
      <c r="O6" s="484"/>
    </row>
    <row r="7" spans="1:15" ht="15">
      <c r="A7" s="483"/>
      <c r="B7" s="612"/>
      <c r="C7" s="612"/>
      <c r="D7" s="612"/>
      <c r="E7" s="612"/>
      <c r="F7" s="612"/>
      <c r="G7" s="612"/>
      <c r="H7" s="612"/>
      <c r="I7" s="612"/>
      <c r="J7" s="612"/>
      <c r="K7" s="483"/>
      <c r="L7" s="558"/>
      <c r="M7" s="558"/>
      <c r="N7" s="558"/>
      <c r="O7" s="558"/>
    </row>
    <row r="8" spans="1:15" ht="15">
      <c r="A8" s="606" t="s">
        <v>534</v>
      </c>
      <c r="B8" s="613">
        <f>'FPC Deferral'!B12</f>
        <v>-5440829.6400000006</v>
      </c>
      <c r="C8" s="613">
        <f>'Summary FPC Deferral'!D33</f>
        <v>2334692.3141572736</v>
      </c>
      <c r="D8" s="613">
        <f>SUM(B8:C8)</f>
        <v>-3106137.325842727</v>
      </c>
      <c r="E8" s="613">
        <f>'Summary FPC Deferral'!F33</f>
        <v>-1995489.9915086068</v>
      </c>
      <c r="F8" s="613"/>
      <c r="G8" s="613">
        <f>SUM(D8:F8)</f>
        <v>-5101627.3173513338</v>
      </c>
      <c r="H8" s="613"/>
      <c r="I8" s="613">
        <f>-G8</f>
        <v>5101627.3173513338</v>
      </c>
      <c r="J8" s="613">
        <f>SUM(G8:I8)</f>
        <v>0</v>
      </c>
      <c r="K8" s="483"/>
      <c r="L8" s="483"/>
      <c r="M8" s="483"/>
      <c r="N8" s="483"/>
      <c r="O8" s="483"/>
    </row>
    <row r="9" spans="1:15" ht="15">
      <c r="A9" s="606" t="s">
        <v>528</v>
      </c>
      <c r="B9" s="607">
        <v>0</v>
      </c>
      <c r="C9" s="607"/>
      <c r="D9" s="607">
        <f>SUM(B9:C9)</f>
        <v>0</v>
      </c>
      <c r="E9" s="611"/>
      <c r="F9" s="611"/>
      <c r="G9" s="611">
        <f>SUM(D9:F9)</f>
        <v>0</v>
      </c>
      <c r="H9" s="611"/>
      <c r="I9" s="611"/>
      <c r="J9" s="611">
        <f>SUM(G9:I9)</f>
        <v>0</v>
      </c>
      <c r="K9" s="483"/>
      <c r="L9" s="483"/>
      <c r="M9" s="483"/>
      <c r="N9" s="483"/>
      <c r="O9" s="483"/>
    </row>
    <row r="10" spans="1:15" ht="15">
      <c r="A10" s="606" t="s">
        <v>529</v>
      </c>
      <c r="B10" s="607">
        <v>2413218.2599999998</v>
      </c>
      <c r="C10" s="607"/>
      <c r="D10" s="607">
        <f>SUM(B10:C10)</f>
        <v>2413218.2599999998</v>
      </c>
      <c r="E10" s="611"/>
      <c r="F10" s="611">
        <f>-B10</f>
        <v>-2413218.2599999998</v>
      </c>
      <c r="G10" s="611">
        <f>SUM(D10:F10)</f>
        <v>0</v>
      </c>
      <c r="H10" s="611"/>
      <c r="I10" s="611"/>
      <c r="J10" s="611">
        <f>SUM(G10:I10)</f>
        <v>0</v>
      </c>
      <c r="K10" s="483"/>
      <c r="L10" s="483"/>
      <c r="M10" s="483"/>
      <c r="N10" s="483"/>
      <c r="O10" s="483"/>
    </row>
    <row r="11" spans="1:15" ht="15">
      <c r="A11" s="606" t="s">
        <v>554</v>
      </c>
      <c r="B11" s="607">
        <f>[1]Detail!$B$49-SUM(B8:B10,B13)</f>
        <v>10558225.659999989</v>
      </c>
      <c r="C11" s="607"/>
      <c r="D11" s="607">
        <f>SUM(B11:C11)</f>
        <v>10558225.659999989</v>
      </c>
      <c r="E11" s="611"/>
      <c r="F11" s="611">
        <f>'[2]CBR Model'!$DK$25</f>
        <v>-31485.941259909945</v>
      </c>
      <c r="G11" s="611">
        <f>SUM(D11:F11)</f>
        <v>10526739.71874008</v>
      </c>
      <c r="H11" s="611"/>
      <c r="I11" s="611"/>
      <c r="J11" s="611">
        <f>SUM(G11:I11)</f>
        <v>10526739.71874008</v>
      </c>
      <c r="K11" s="483"/>
      <c r="L11" s="483"/>
      <c r="M11" s="483"/>
      <c r="N11" s="483"/>
      <c r="O11" s="483"/>
    </row>
    <row r="12" spans="1:15" ht="15">
      <c r="A12" s="619" t="s">
        <v>574</v>
      </c>
      <c r="B12" s="620">
        <f t="shared" ref="B12:J12" si="0">SUM(B8:B11)</f>
        <v>7530614.2799999882</v>
      </c>
      <c r="C12" s="620">
        <f t="shared" si="0"/>
        <v>2334692.3141572736</v>
      </c>
      <c r="D12" s="620">
        <f t="shared" si="0"/>
        <v>9865306.5941572618</v>
      </c>
      <c r="E12" s="620">
        <f t="shared" si="0"/>
        <v>-1995489.9915086068</v>
      </c>
      <c r="F12" s="620">
        <f t="shared" si="0"/>
        <v>-2444704.2012599097</v>
      </c>
      <c r="G12" s="620">
        <f t="shared" si="0"/>
        <v>5425112.4013887458</v>
      </c>
      <c r="H12" s="620">
        <f t="shared" si="0"/>
        <v>0</v>
      </c>
      <c r="I12" s="620">
        <f t="shared" si="0"/>
        <v>5101627.3173513338</v>
      </c>
      <c r="J12" s="620">
        <f t="shared" si="0"/>
        <v>10526739.71874008</v>
      </c>
      <c r="K12" s="483"/>
      <c r="L12" s="483"/>
      <c r="M12" s="483"/>
      <c r="N12" s="483"/>
      <c r="O12" s="483"/>
    </row>
    <row r="13" spans="1:15" ht="15">
      <c r="A13" s="606" t="s">
        <v>542</v>
      </c>
      <c r="B13" s="618">
        <f>'[3]555-557'!$B$5</f>
        <v>398129.87</v>
      </c>
      <c r="C13" s="618"/>
      <c r="D13" s="607">
        <f>SUM(B13:C13)</f>
        <v>398129.87</v>
      </c>
      <c r="E13" s="618"/>
      <c r="F13" s="618"/>
      <c r="G13" s="611">
        <f>SUM(D13:F13)</f>
        <v>398129.87</v>
      </c>
      <c r="H13" s="618"/>
      <c r="I13" s="618"/>
      <c r="J13" s="611">
        <f>SUM(G13:I13)</f>
        <v>398129.87</v>
      </c>
      <c r="K13" s="483"/>
      <c r="L13" s="626">
        <f>+J12-J13</f>
        <v>10128609.84874008</v>
      </c>
      <c r="M13" s="483"/>
      <c r="N13" s="483"/>
      <c r="O13" s="483"/>
    </row>
    <row r="14" spans="1:15" ht="15">
      <c r="A14" s="606" t="s">
        <v>526</v>
      </c>
      <c r="B14" s="607">
        <f>[1]Detail!$B$48</f>
        <v>491429394.76999998</v>
      </c>
      <c r="C14" s="483"/>
      <c r="D14" s="607">
        <f>SUM(B14:C14)</f>
        <v>491429394.76999998</v>
      </c>
      <c r="E14" s="611">
        <f>'Lead Sheet'!F14+'Lead Sheet'!F15</f>
        <v>3558127.5802548788</v>
      </c>
      <c r="F14" s="611"/>
      <c r="G14" s="611">
        <f>SUM(D14:F14)</f>
        <v>494987522.35025483</v>
      </c>
      <c r="H14" s="611">
        <f>H21</f>
        <v>-60542227.750640094</v>
      </c>
      <c r="I14" s="611"/>
      <c r="J14" s="611">
        <f>SUM(G14:I14)</f>
        <v>434445294.59961474</v>
      </c>
      <c r="K14" s="483"/>
      <c r="L14" s="483"/>
      <c r="M14" s="483"/>
      <c r="N14" s="483"/>
      <c r="O14" s="483"/>
    </row>
    <row r="15" spans="1:15" ht="15.75" thickBot="1">
      <c r="A15" s="483" t="s">
        <v>530</v>
      </c>
      <c r="B15" s="614">
        <f t="shared" ref="B15:J15" si="1">SUM(B12:B14)</f>
        <v>499358138.91999996</v>
      </c>
      <c r="C15" s="614">
        <f t="shared" si="1"/>
        <v>2334692.3141572736</v>
      </c>
      <c r="D15" s="614">
        <f t="shared" si="1"/>
        <v>501692831.23415726</v>
      </c>
      <c r="E15" s="614">
        <f t="shared" si="1"/>
        <v>1562637.588746272</v>
      </c>
      <c r="F15" s="614">
        <f t="shared" si="1"/>
        <v>-2444704.2012599097</v>
      </c>
      <c r="G15" s="614">
        <f t="shared" si="1"/>
        <v>500810764.6216436</v>
      </c>
      <c r="H15" s="614">
        <f t="shared" si="1"/>
        <v>-60542227.750640094</v>
      </c>
      <c r="I15" s="614">
        <f t="shared" si="1"/>
        <v>5101627.3173513338</v>
      </c>
      <c r="J15" s="614">
        <f t="shared" si="1"/>
        <v>445370164.18835479</v>
      </c>
      <c r="K15" s="483"/>
      <c r="L15" s="483"/>
      <c r="M15" s="483"/>
      <c r="N15" s="483"/>
      <c r="O15" s="483"/>
    </row>
    <row r="16" spans="1:15" ht="15.75" thickTop="1">
      <c r="A16" s="483"/>
      <c r="B16" s="635">
        <f>'[2]ERF Main Summary'!$C$22-B15</f>
        <v>0</v>
      </c>
      <c r="C16" s="483"/>
      <c r="D16" s="483"/>
      <c r="E16" s="483"/>
      <c r="F16" s="483"/>
      <c r="G16" s="635">
        <f>G15-G21</f>
        <v>0</v>
      </c>
      <c r="H16" s="635">
        <f>H15-H21</f>
        <v>0</v>
      </c>
      <c r="I16" s="635">
        <f>I15-I21</f>
        <v>0</v>
      </c>
      <c r="J16" s="635">
        <f>J15-J21</f>
        <v>0</v>
      </c>
      <c r="K16" s="156" t="s">
        <v>578</v>
      </c>
      <c r="L16" s="483"/>
      <c r="M16" s="483"/>
      <c r="N16" s="483"/>
      <c r="O16" s="483"/>
    </row>
    <row r="17" spans="1:15" ht="15">
      <c r="A17" s="483"/>
      <c r="B17" s="607">
        <f>+B12-B13</f>
        <v>7132484.409999988</v>
      </c>
      <c r="C17" s="483"/>
      <c r="D17" s="483"/>
      <c r="E17" s="483"/>
      <c r="F17" s="615">
        <v>555</v>
      </c>
      <c r="G17" s="616">
        <f>+G14</f>
        <v>494987522.35025483</v>
      </c>
      <c r="H17" s="616">
        <f>J17-G17</f>
        <v>-60542227.750640094</v>
      </c>
      <c r="I17" s="616"/>
      <c r="J17" s="616">
        <f>'[4]Annualized Var  Power Costs'!$N$10-G20</f>
        <v>434445294.59961474</v>
      </c>
      <c r="K17" s="483"/>
      <c r="L17" s="483"/>
      <c r="M17" s="483"/>
      <c r="N17" s="483"/>
      <c r="O17" s="483"/>
    </row>
    <row r="18" spans="1:15" ht="15">
      <c r="A18" s="483"/>
      <c r="B18" s="607"/>
      <c r="C18" s="483"/>
      <c r="D18" s="483"/>
      <c r="E18" s="483"/>
      <c r="F18" s="615" t="s">
        <v>575</v>
      </c>
      <c r="G18" s="611">
        <f>G11</f>
        <v>10526739.71874008</v>
      </c>
      <c r="H18" s="611"/>
      <c r="I18" s="611"/>
      <c r="J18" s="611">
        <f>SUM(G18:I18)</f>
        <v>10526739.71874008</v>
      </c>
      <c r="K18" s="483"/>
      <c r="L18" s="483"/>
      <c r="M18" s="483"/>
      <c r="N18" s="483"/>
      <c r="O18" s="483"/>
    </row>
    <row r="19" spans="1:15" ht="15">
      <c r="A19" s="483"/>
      <c r="B19" s="483"/>
      <c r="C19" s="483"/>
      <c r="D19" s="483"/>
      <c r="E19" s="483"/>
      <c r="F19" s="615" t="s">
        <v>576</v>
      </c>
      <c r="G19" s="611">
        <f>G8</f>
        <v>-5101627.3173513338</v>
      </c>
      <c r="H19" s="611"/>
      <c r="I19" s="611">
        <f>I8</f>
        <v>5101627.3173513338</v>
      </c>
      <c r="J19" s="611">
        <f>SUM(G19:I19)</f>
        <v>0</v>
      </c>
      <c r="K19" s="483"/>
      <c r="L19" s="483"/>
      <c r="M19" s="483"/>
      <c r="N19" s="483"/>
      <c r="O19" s="483"/>
    </row>
    <row r="20" spans="1:15" ht="15">
      <c r="A20" s="483"/>
      <c r="B20" s="483"/>
      <c r="C20" s="483"/>
      <c r="D20" s="483"/>
      <c r="E20" s="483"/>
      <c r="F20" s="615" t="s">
        <v>577</v>
      </c>
      <c r="G20" s="611">
        <f>B13</f>
        <v>398129.87</v>
      </c>
      <c r="H20" s="611"/>
      <c r="I20" s="611"/>
      <c r="J20" s="611">
        <f>SUM(G20:I20)</f>
        <v>398129.87</v>
      </c>
      <c r="K20" s="483"/>
      <c r="L20" s="483"/>
      <c r="M20" s="483"/>
      <c r="N20" s="483"/>
      <c r="O20" s="483"/>
    </row>
    <row r="21" spans="1:15" ht="15.75" thickBot="1">
      <c r="A21" s="483"/>
      <c r="B21" s="483"/>
      <c r="C21" s="483"/>
      <c r="D21" s="483"/>
      <c r="E21" s="483"/>
      <c r="F21" s="483"/>
      <c r="G21" s="614">
        <f>SUM(G17:G20)</f>
        <v>500810764.6216436</v>
      </c>
      <c r="H21" s="614">
        <f>SUM(H17:H20)</f>
        <v>-60542227.750640094</v>
      </c>
      <c r="I21" s="614">
        <f>SUM(I17:I20)</f>
        <v>5101627.3173513338</v>
      </c>
      <c r="J21" s="614">
        <f>SUM(J17:J20)</f>
        <v>445370164.18835485</v>
      </c>
      <c r="K21" s="483"/>
      <c r="L21" s="483"/>
      <c r="M21" s="483"/>
      <c r="N21" s="483"/>
      <c r="O21" s="483"/>
    </row>
    <row r="22" spans="1:15" ht="15.75" thickTop="1">
      <c r="A22" s="483"/>
      <c r="B22" s="635">
        <f>'[2]ERF Main Summary'!$C$22-B15</f>
        <v>0</v>
      </c>
      <c r="C22" s="483"/>
      <c r="D22" s="483"/>
      <c r="E22" s="483"/>
      <c r="F22" s="483"/>
      <c r="G22" s="635">
        <f>'[2]ERF Main Summary'!$G$22-G21</f>
        <v>0</v>
      </c>
      <c r="H22" s="635"/>
      <c r="I22" s="635"/>
      <c r="J22" s="635">
        <f>'[2]ERF Main Summary'!$I$22-J21</f>
        <v>-9.1320633888244629E-2</v>
      </c>
      <c r="K22" s="156" t="s">
        <v>578</v>
      </c>
      <c r="L22" s="156"/>
      <c r="M22" s="483"/>
      <c r="N22" s="483"/>
      <c r="O22" s="483"/>
    </row>
    <row r="23" spans="1:15" ht="15">
      <c r="A23" s="483" t="s">
        <v>581</v>
      </c>
      <c r="B23" s="632" t="s">
        <v>158</v>
      </c>
      <c r="C23" s="629">
        <v>42917</v>
      </c>
      <c r="D23" s="629">
        <v>42948</v>
      </c>
      <c r="E23" s="629">
        <v>42979</v>
      </c>
      <c r="F23" s="629">
        <v>43009</v>
      </c>
      <c r="G23" s="629">
        <v>43040</v>
      </c>
      <c r="H23" s="629">
        <v>43070</v>
      </c>
      <c r="I23" s="623">
        <v>43101</v>
      </c>
      <c r="J23" s="623">
        <v>43132</v>
      </c>
      <c r="K23" s="623">
        <v>43160</v>
      </c>
      <c r="L23" s="623">
        <v>43191</v>
      </c>
      <c r="M23" s="623">
        <v>43221</v>
      </c>
      <c r="N23" s="623">
        <v>43252</v>
      </c>
      <c r="O23" s="483"/>
    </row>
    <row r="24" spans="1:15">
      <c r="A24" s="625" t="s">
        <v>560</v>
      </c>
      <c r="B24" s="633">
        <f>SUM(C24:N24)</f>
        <v>9855134.9600000028</v>
      </c>
      <c r="C24" s="634">
        <v>-4359967.45</v>
      </c>
      <c r="D24" s="634">
        <v>-1923803.51</v>
      </c>
      <c r="E24" s="634">
        <v>-6209284.5999999996</v>
      </c>
      <c r="F24" s="634">
        <v>-548210.75</v>
      </c>
      <c r="G24" s="634">
        <v>3128571.92</v>
      </c>
      <c r="H24" s="634">
        <v>7992188.2199999997</v>
      </c>
      <c r="I24" s="634">
        <v>1082759.6799999999</v>
      </c>
      <c r="J24" s="634">
        <v>476393.57</v>
      </c>
      <c r="K24" s="634">
        <v>1569862.1</v>
      </c>
      <c r="L24" s="634">
        <v>5736420.1500000004</v>
      </c>
      <c r="M24" s="634">
        <v>1535735.8</v>
      </c>
      <c r="N24" s="634">
        <v>1374469.83</v>
      </c>
      <c r="O24" s="156" t="s">
        <v>549</v>
      </c>
    </row>
    <row r="25" spans="1:15" ht="15">
      <c r="A25" s="615" t="s">
        <v>567</v>
      </c>
      <c r="B25" s="622">
        <f>SUM(C25:N25)</f>
        <v>7928744.1500000004</v>
      </c>
      <c r="C25" s="624">
        <v>-4507125.9299999904</v>
      </c>
      <c r="D25" s="624">
        <v>-2086140.6599999901</v>
      </c>
      <c r="E25" s="624">
        <v>-6358424.9299999997</v>
      </c>
      <c r="F25" s="624">
        <v>-709805.15999999898</v>
      </c>
      <c r="G25" s="624">
        <v>2977105.78</v>
      </c>
      <c r="H25" s="624">
        <v>7845899.4500000002</v>
      </c>
      <c r="I25" s="624">
        <v>928596.07</v>
      </c>
      <c r="J25" s="624">
        <v>343970.07</v>
      </c>
      <c r="K25" s="624">
        <v>1412064.17</v>
      </c>
      <c r="L25" s="624">
        <v>5616762.9299999904</v>
      </c>
      <c r="M25" s="624">
        <v>1301084.3399999901</v>
      </c>
      <c r="N25" s="624">
        <v>1164758.02</v>
      </c>
      <c r="O25" s="483" t="s">
        <v>566</v>
      </c>
    </row>
    <row r="26" spans="1:15" ht="15">
      <c r="A26" s="625" t="s">
        <v>561</v>
      </c>
      <c r="B26" s="633">
        <f>+[1]Detail!$B$49</f>
        <v>7928744.1499999892</v>
      </c>
      <c r="C26" s="483"/>
      <c r="D26" s="483"/>
      <c r="E26" s="483"/>
      <c r="F26" s="483"/>
      <c r="G26" s="483"/>
      <c r="H26" s="483"/>
      <c r="I26" s="483"/>
      <c r="J26" s="483"/>
      <c r="K26" s="483"/>
      <c r="L26" s="483"/>
      <c r="M26" s="483"/>
      <c r="N26" s="483"/>
      <c r="O26" s="483"/>
    </row>
    <row r="27" spans="1:15" ht="15">
      <c r="A27" s="615" t="s">
        <v>548</v>
      </c>
      <c r="B27" s="622">
        <f>SUM(C27:N27)</f>
        <v>-398129.86999999994</v>
      </c>
      <c r="C27" s="621">
        <v>-25263.98</v>
      </c>
      <c r="D27" s="621">
        <v>-27409.99</v>
      </c>
      <c r="E27" s="621">
        <v>-38110</v>
      </c>
      <c r="F27" s="621">
        <v>-31594.87</v>
      </c>
      <c r="G27" s="621">
        <v>-34774.629999999997</v>
      </c>
      <c r="H27" s="621">
        <v>-17880.240000000002</v>
      </c>
      <c r="I27" s="621">
        <v>-31295.43</v>
      </c>
      <c r="J27" s="621">
        <v>-61045.46</v>
      </c>
      <c r="K27" s="621">
        <v>-24568.67</v>
      </c>
      <c r="L27" s="621">
        <v>-33508.33</v>
      </c>
      <c r="M27" s="621">
        <v>-38957.919999999998</v>
      </c>
      <c r="N27" s="621">
        <v>-33720.35</v>
      </c>
      <c r="O27" s="483"/>
    </row>
    <row r="28" spans="1:15" ht="15">
      <c r="A28" s="615" t="s">
        <v>550</v>
      </c>
      <c r="B28" s="622">
        <f>SUM(C28:N28)</f>
        <v>2334692.3141572736</v>
      </c>
      <c r="C28" s="621">
        <f t="array" ref="C28:N28">TRANSPOSE('Summary FPC Deferral'!D18:D29)</f>
        <v>4277242.5264572725</v>
      </c>
      <c r="D28" s="621">
        <v>4764593.546144776</v>
      </c>
      <c r="E28" s="621">
        <v>6477255.5066161528</v>
      </c>
      <c r="F28" s="621">
        <v>2583434.1369288564</v>
      </c>
      <c r="G28" s="621">
        <v>-4559857.8027853742</v>
      </c>
      <c r="H28" s="621">
        <v>-6507803.2392044105</v>
      </c>
      <c r="I28" s="621">
        <v>-1694.72</v>
      </c>
      <c r="J28" s="621">
        <v>0</v>
      </c>
      <c r="K28" s="621">
        <v>0</v>
      </c>
      <c r="L28" s="621">
        <v>-4698477.6399999997</v>
      </c>
      <c r="M28" s="621">
        <v>0</v>
      </c>
      <c r="N28" s="621">
        <v>0</v>
      </c>
      <c r="O28" s="483"/>
    </row>
    <row r="29" spans="1:15" ht="15">
      <c r="A29" s="615" t="s">
        <v>551</v>
      </c>
      <c r="B29" s="622">
        <f>SUM(C29:N29)</f>
        <v>-1995489.9915086068</v>
      </c>
      <c r="C29" s="621">
        <f t="array" ref="C29:N29">TRANSPOSE('Summary FPC Deferral'!F18:F29)</f>
        <v>-229038.15839349455</v>
      </c>
      <c r="D29" s="621">
        <v>-1290325.2126787966</v>
      </c>
      <c r="E29" s="621">
        <v>-371355.00433058187</v>
      </c>
      <c r="F29" s="621">
        <v>-28861.460847264621</v>
      </c>
      <c r="G29" s="621">
        <v>503984.05748960236</v>
      </c>
      <c r="H29" s="621">
        <v>-579894.21274807164</v>
      </c>
      <c r="I29" s="621">
        <v>0</v>
      </c>
      <c r="J29" s="621">
        <v>0</v>
      </c>
      <c r="K29" s="621">
        <v>0</v>
      </c>
      <c r="L29" s="621">
        <v>0</v>
      </c>
      <c r="M29" s="621">
        <v>0</v>
      </c>
      <c r="N29" s="621">
        <v>0</v>
      </c>
      <c r="O29" s="483"/>
    </row>
    <row r="30" spans="1:15" ht="15">
      <c r="A30" s="627" t="s">
        <v>552</v>
      </c>
      <c r="B30" s="622">
        <f>SUM(C30:N30)</f>
        <v>-2413218.2599999998</v>
      </c>
      <c r="C30" s="621">
        <v>-116561.27</v>
      </c>
      <c r="D30" s="621">
        <v>-56422.02</v>
      </c>
      <c r="E30" s="621"/>
      <c r="F30" s="621">
        <v>-110104.73</v>
      </c>
      <c r="G30" s="621">
        <v>-37121.29</v>
      </c>
      <c r="H30" s="621">
        <v>-1434750</v>
      </c>
      <c r="I30" s="621">
        <v>-94154.46</v>
      </c>
      <c r="J30" s="621">
        <v>409317.75</v>
      </c>
      <c r="K30" s="621">
        <v>-465075.88</v>
      </c>
      <c r="L30" s="621">
        <v>-61743.85</v>
      </c>
      <c r="M30" s="621">
        <v>-228632.76</v>
      </c>
      <c r="N30" s="621">
        <v>-217969.75</v>
      </c>
      <c r="O30" s="483"/>
    </row>
    <row r="31" spans="1:15" ht="15">
      <c r="A31" s="615" t="s">
        <v>553</v>
      </c>
      <c r="B31" s="622">
        <f>SUM(C31:N31)</f>
        <v>-31485.941259909945</v>
      </c>
      <c r="C31" s="607">
        <f>+'[2]CBR Model'!$DK$25/12</f>
        <v>-2623.8284383258288</v>
      </c>
      <c r="D31" s="607">
        <f>+'[2]CBR Model'!$DK$25/12</f>
        <v>-2623.8284383258288</v>
      </c>
      <c r="E31" s="607">
        <f>+'[2]CBR Model'!$DK$25/12</f>
        <v>-2623.8284383258288</v>
      </c>
      <c r="F31" s="607">
        <f>+'[2]CBR Model'!$DK$25/12</f>
        <v>-2623.8284383258288</v>
      </c>
      <c r="G31" s="607">
        <f>+'[2]CBR Model'!$DK$25/12</f>
        <v>-2623.8284383258288</v>
      </c>
      <c r="H31" s="607">
        <f>+'[2]CBR Model'!$DK$25/12</f>
        <v>-2623.8284383258288</v>
      </c>
      <c r="I31" s="607">
        <f>+'[2]CBR Model'!$DK$25/12</f>
        <v>-2623.8284383258288</v>
      </c>
      <c r="J31" s="607">
        <f>+'[2]CBR Model'!$DK$25/12</f>
        <v>-2623.8284383258288</v>
      </c>
      <c r="K31" s="607">
        <f>+'[2]CBR Model'!$DK$25/12</f>
        <v>-2623.8284383258288</v>
      </c>
      <c r="L31" s="607">
        <f>+'[2]CBR Model'!$DK$25/12</f>
        <v>-2623.8284383258288</v>
      </c>
      <c r="M31" s="607">
        <f>+'[2]CBR Model'!$DK$25/12</f>
        <v>-2623.8284383258288</v>
      </c>
      <c r="N31" s="607">
        <f>+'[2]CBR Model'!$DK$25/12</f>
        <v>-2623.8284383258288</v>
      </c>
      <c r="O31" s="483"/>
    </row>
    <row r="32" spans="1:15" ht="15.75" thickBot="1">
      <c r="A32" s="615" t="s">
        <v>562</v>
      </c>
      <c r="B32" s="628">
        <f t="shared" ref="B32:N32" si="2">+B25+SUM(B27:B31)</f>
        <v>5425112.4013887569</v>
      </c>
      <c r="C32" s="630">
        <f t="shared" si="2"/>
        <v>-603370.64037453895</v>
      </c>
      <c r="D32" s="630">
        <f t="shared" si="2"/>
        <v>1301671.8350276633</v>
      </c>
      <c r="E32" s="630">
        <f t="shared" si="2"/>
        <v>-293258.25615275465</v>
      </c>
      <c r="F32" s="630">
        <f t="shared" si="2"/>
        <v>1700444.0876432669</v>
      </c>
      <c r="G32" s="630">
        <f t="shared" si="2"/>
        <v>-1153287.7137340978</v>
      </c>
      <c r="H32" s="630">
        <f t="shared" si="2"/>
        <v>-697052.0703908084</v>
      </c>
      <c r="I32" s="631">
        <f t="shared" si="2"/>
        <v>798827.63156167406</v>
      </c>
      <c r="J32" s="631">
        <f t="shared" si="2"/>
        <v>689618.53156167408</v>
      </c>
      <c r="K32" s="631">
        <f t="shared" si="2"/>
        <v>919795.79156167409</v>
      </c>
      <c r="L32" s="631">
        <f t="shared" si="2"/>
        <v>820409.28156166524</v>
      </c>
      <c r="M32" s="631">
        <f t="shared" si="2"/>
        <v>1030869.8315616642</v>
      </c>
      <c r="N32" s="631">
        <f t="shared" si="2"/>
        <v>910444.09156167414</v>
      </c>
      <c r="O32" s="483"/>
    </row>
    <row r="33" spans="1:15" ht="15.75" thickTop="1">
      <c r="A33" s="615" t="s">
        <v>559</v>
      </c>
      <c r="B33" s="607">
        <f>+G12</f>
        <v>5425112.4013887458</v>
      </c>
      <c r="C33" s="483"/>
      <c r="D33" s="483"/>
      <c r="E33" s="483"/>
      <c r="F33" s="483"/>
      <c r="G33" s="483"/>
      <c r="H33" s="483"/>
      <c r="I33" s="483" t="s">
        <v>555</v>
      </c>
      <c r="J33" s="483"/>
      <c r="K33" s="483"/>
      <c r="L33" s="483"/>
      <c r="M33" s="483"/>
      <c r="N33" s="611">
        <f>SUM(I32:N32)</f>
        <v>5169965.1593700256</v>
      </c>
      <c r="O33" s="483"/>
    </row>
    <row r="34" spans="1:15" ht="15">
      <c r="A34" s="483"/>
      <c r="B34" s="626"/>
      <c r="C34" s="483"/>
      <c r="D34" s="483"/>
      <c r="E34" s="483"/>
      <c r="F34" s="483"/>
      <c r="G34" s="483"/>
      <c r="H34" s="483"/>
      <c r="I34" s="483"/>
      <c r="J34" s="483"/>
      <c r="K34" s="483"/>
      <c r="L34" s="483"/>
      <c r="M34" s="483"/>
      <c r="N34" s="483"/>
      <c r="O34" s="483"/>
    </row>
    <row r="35" spans="1:15" ht="15">
      <c r="A35" s="615" t="s">
        <v>563</v>
      </c>
      <c r="B35" s="611">
        <f>+B25+B27</f>
        <v>7530614.2800000003</v>
      </c>
      <c r="C35" s="611">
        <f>+'Lead Sheet'!C16</f>
        <v>7530614.2799999891</v>
      </c>
      <c r="D35" s="156" t="s">
        <v>565</v>
      </c>
      <c r="E35" s="483"/>
      <c r="F35" s="483"/>
      <c r="G35" s="483"/>
      <c r="H35" s="483"/>
      <c r="I35" s="483"/>
      <c r="J35" s="483"/>
      <c r="K35" s="483"/>
      <c r="L35" s="483"/>
      <c r="M35" s="483"/>
      <c r="N35" s="483"/>
      <c r="O35" s="483"/>
    </row>
    <row r="36" spans="1:15" ht="15">
      <c r="A36" s="615" t="s">
        <v>564</v>
      </c>
      <c r="B36" s="611">
        <f>+B25+B27+B28+B29</f>
        <v>7869816.602648668</v>
      </c>
      <c r="C36" s="611">
        <f>+'Lead Sheet'!D16</f>
        <v>7869816.6026486559</v>
      </c>
      <c r="D36" s="156" t="s">
        <v>565</v>
      </c>
      <c r="E36" s="483"/>
      <c r="F36" s="483"/>
      <c r="G36" s="483"/>
      <c r="H36" s="483"/>
      <c r="I36" s="483"/>
      <c r="J36" s="483"/>
      <c r="K36" s="483"/>
      <c r="L36" s="483"/>
      <c r="M36" s="483"/>
      <c r="N36" s="483"/>
      <c r="O36" s="483"/>
    </row>
    <row r="37" spans="1:15" ht="15">
      <c r="A37" s="483"/>
      <c r="B37" s="611"/>
      <c r="C37" s="483"/>
      <c r="D37" s="483"/>
      <c r="E37" s="483"/>
      <c r="F37" s="483"/>
      <c r="G37" s="483"/>
      <c r="H37" s="483"/>
      <c r="I37" s="483"/>
      <c r="J37" s="483"/>
      <c r="K37" s="483"/>
      <c r="L37" s="483"/>
      <c r="M37" s="483"/>
      <c r="N37" s="483"/>
      <c r="O37" s="483"/>
    </row>
    <row r="38" spans="1:15" ht="15">
      <c r="A38" s="615" t="s">
        <v>570</v>
      </c>
      <c r="B38" s="611">
        <f>B35</f>
        <v>7530614.2800000003</v>
      </c>
      <c r="C38" s="483"/>
      <c r="D38" s="483"/>
      <c r="E38" s="483"/>
      <c r="F38" s="483"/>
      <c r="G38" s="483"/>
      <c r="H38" s="483"/>
      <c r="I38" s="483"/>
      <c r="J38" s="483"/>
      <c r="K38" s="483"/>
      <c r="L38" s="483"/>
      <c r="M38" s="483"/>
      <c r="N38" s="483"/>
      <c r="O38" s="483"/>
    </row>
    <row r="39" spans="1:15" ht="15">
      <c r="A39" s="615" t="s">
        <v>571</v>
      </c>
      <c r="B39" s="611">
        <f>B29+B28</f>
        <v>339202.3226486668</v>
      </c>
      <c r="C39" s="483"/>
      <c r="D39" s="483"/>
      <c r="E39" s="483"/>
      <c r="F39" s="483"/>
      <c r="G39" s="483"/>
      <c r="H39" s="483"/>
      <c r="I39" s="483"/>
      <c r="J39" s="483"/>
      <c r="K39" s="483"/>
      <c r="L39" s="483"/>
      <c r="M39" s="483"/>
      <c r="N39" s="483"/>
      <c r="O39" s="483"/>
    </row>
    <row r="40" spans="1:15" ht="15">
      <c r="A40" s="615" t="s">
        <v>572</v>
      </c>
      <c r="B40" s="611">
        <f>B30</f>
        <v>-2413218.2599999998</v>
      </c>
      <c r="C40" s="483"/>
      <c r="D40" s="483"/>
      <c r="E40" s="483"/>
      <c r="F40" s="483"/>
      <c r="G40" s="483"/>
      <c r="H40" s="483"/>
      <c r="I40" s="483"/>
      <c r="J40" s="483"/>
      <c r="K40" s="483"/>
      <c r="L40" s="483"/>
      <c r="M40" s="483"/>
      <c r="N40" s="483"/>
      <c r="O40" s="483"/>
    </row>
    <row r="41" spans="1:15" ht="15">
      <c r="A41" s="615" t="s">
        <v>573</v>
      </c>
      <c r="B41" s="611">
        <f>B31</f>
        <v>-31485.941259909945</v>
      </c>
      <c r="C41" s="483"/>
      <c r="D41" s="483"/>
      <c r="E41" s="483"/>
      <c r="F41" s="483"/>
      <c r="G41" s="483"/>
      <c r="H41" s="483"/>
      <c r="I41" s="483"/>
      <c r="J41" s="483"/>
      <c r="K41" s="483"/>
      <c r="L41" s="483"/>
      <c r="M41" s="483"/>
      <c r="N41" s="483"/>
      <c r="O41" s="483"/>
    </row>
    <row r="42" spans="1:15" ht="15.75" thickBot="1">
      <c r="A42" s="483"/>
      <c r="B42" s="628">
        <f>SUM(B38:B41)</f>
        <v>5425112.4013887569</v>
      </c>
      <c r="C42" s="483"/>
      <c r="D42" s="483"/>
      <c r="E42" s="483"/>
      <c r="F42" s="483"/>
      <c r="G42" s="483"/>
      <c r="H42" s="483"/>
      <c r="I42" s="483"/>
      <c r="J42" s="483"/>
      <c r="K42" s="483"/>
      <c r="L42" s="483"/>
      <c r="M42" s="483"/>
      <c r="N42" s="483"/>
      <c r="O42" s="483"/>
    </row>
    <row r="43" spans="1:15" ht="15.75" thickTop="1">
      <c r="A43" s="483"/>
      <c r="B43" s="483"/>
      <c r="C43" s="483"/>
      <c r="D43" s="483"/>
      <c r="E43" s="483"/>
      <c r="F43" s="483"/>
      <c r="G43" s="483"/>
      <c r="H43" s="483"/>
      <c r="I43" s="483"/>
      <c r="J43" s="483"/>
      <c r="K43" s="483"/>
      <c r="L43" s="483"/>
      <c r="M43" s="483"/>
      <c r="N43" s="483"/>
      <c r="O43" s="483"/>
    </row>
    <row r="44" spans="1:15" ht="15">
      <c r="A44" s="483" t="s">
        <v>580</v>
      </c>
      <c r="B44" s="632" t="s">
        <v>158</v>
      </c>
      <c r="C44" s="629">
        <v>42917</v>
      </c>
      <c r="D44" s="629">
        <v>42948</v>
      </c>
      <c r="E44" s="629">
        <v>42979</v>
      </c>
      <c r="F44" s="629">
        <v>43009</v>
      </c>
      <c r="G44" s="629">
        <v>43040</v>
      </c>
      <c r="H44" s="629">
        <v>43070</v>
      </c>
      <c r="I44" s="623">
        <v>43101</v>
      </c>
      <c r="J44" s="623">
        <v>43132</v>
      </c>
      <c r="K44" s="623">
        <v>43160</v>
      </c>
      <c r="L44" s="623">
        <v>43191</v>
      </c>
      <c r="M44" s="623">
        <v>43221</v>
      </c>
      <c r="N44" s="623">
        <v>43252</v>
      </c>
      <c r="O44" s="483"/>
    </row>
    <row r="45" spans="1:15" ht="15">
      <c r="A45" s="636" t="s">
        <v>582</v>
      </c>
      <c r="B45" s="622">
        <f>SUM(C45:N45)</f>
        <v>491429394.76999998</v>
      </c>
      <c r="C45" s="621">
        <v>32548554.04999999</v>
      </c>
      <c r="D45" s="621">
        <v>39980121.199999988</v>
      </c>
      <c r="E45" s="621">
        <v>32646127.929999992</v>
      </c>
      <c r="F45" s="621">
        <v>40569203.50999999</v>
      </c>
      <c r="G45" s="621">
        <v>50640107.159999989</v>
      </c>
      <c r="H45" s="621">
        <v>56792059.079999998</v>
      </c>
      <c r="I45" s="621">
        <v>49265975.660000004</v>
      </c>
      <c r="J45" s="621">
        <v>44383949.009999998</v>
      </c>
      <c r="K45" s="621">
        <v>40456545.70000001</v>
      </c>
      <c r="L45" s="621">
        <v>37715417.220000006</v>
      </c>
      <c r="M45" s="621">
        <v>34005399.770000011</v>
      </c>
      <c r="N45" s="621">
        <v>32425934.479999993</v>
      </c>
      <c r="O45" s="483"/>
    </row>
    <row r="46" spans="1:15" ht="15">
      <c r="A46" s="636" t="s">
        <v>583</v>
      </c>
      <c r="B46" s="622">
        <f>SUM(C46:N46)</f>
        <v>-1401785.4197451209</v>
      </c>
      <c r="C46" s="621">
        <f>'Summary Normalization'!H8</f>
        <v>-2148175.6854560291</v>
      </c>
      <c r="D46" s="621">
        <f>'Summary Normalization'!I8</f>
        <v>-4540700.8222424807</v>
      </c>
      <c r="E46" s="621">
        <f>'Summary Normalization'!J8</f>
        <v>-580210.81600147276</v>
      </c>
      <c r="F46" s="621">
        <f>'Summary Normalization'!K8</f>
        <v>174215.08537901251</v>
      </c>
      <c r="G46" s="621">
        <f>'Summary Normalization'!L8</f>
        <v>-247107.05114262865</v>
      </c>
      <c r="H46" s="621">
        <f>'Summary Normalization'!M8</f>
        <v>-3937194.6363543049</v>
      </c>
      <c r="I46" s="621">
        <f>'Summary Normalization'!N8</f>
        <v>4223462.5265702698</v>
      </c>
      <c r="J46" s="621">
        <f>'Summary Normalization'!O8</f>
        <v>4477185.3552806322</v>
      </c>
      <c r="K46" s="621">
        <f>'Summary Normalization'!P8</f>
        <v>988360.71872582613</v>
      </c>
      <c r="L46" s="621">
        <f>'Summary Normalization'!Q8</f>
        <v>1335601.2289852134</v>
      </c>
      <c r="M46" s="621">
        <f>'Summary Normalization'!R8</f>
        <v>-938479.10925760563</v>
      </c>
      <c r="N46" s="621">
        <f>'Summary Normalization'!S8</f>
        <v>-208742.21423155366</v>
      </c>
      <c r="O46" s="483"/>
    </row>
    <row r="47" spans="1:15" ht="15">
      <c r="A47" s="636" t="s">
        <v>398</v>
      </c>
      <c r="B47" s="622">
        <f>SUM(C47:N47)</f>
        <v>4959913</v>
      </c>
      <c r="C47" s="621">
        <f>'Summary Normlz''d x Month'!B59</f>
        <v>421253</v>
      </c>
      <c r="D47" s="621">
        <f>'Summary Normlz''d x Month'!C59</f>
        <v>421253</v>
      </c>
      <c r="E47" s="621">
        <f>'Summary Normlz''d x Month'!D59</f>
        <v>407664</v>
      </c>
      <c r="F47" s="621">
        <f>'Summary Normlz''d x Month'!E59</f>
        <v>412253</v>
      </c>
      <c r="G47" s="621">
        <f>'Summary Normlz''d x Month'!F59</f>
        <v>408230</v>
      </c>
      <c r="H47" s="621">
        <f>'Summary Normlz''d x Month'!G59</f>
        <v>430253</v>
      </c>
      <c r="I47" s="621">
        <f>'Summary Normlz''d x Month'!H59</f>
        <v>421253</v>
      </c>
      <c r="J47" s="621">
        <f>'Summary Normlz''d x Month'!I59</f>
        <v>380486</v>
      </c>
      <c r="K47" s="621">
        <f>'Summary Normlz''d x Month'!J59</f>
        <v>420687</v>
      </c>
      <c r="L47" s="621">
        <f>'Summary Normlz''d x Month'!K59</f>
        <v>407664</v>
      </c>
      <c r="M47" s="621">
        <f>'Summary Normlz''d x Month'!L59</f>
        <v>421253</v>
      </c>
      <c r="N47" s="621">
        <f>'Summary Normlz''d x Month'!M59</f>
        <v>407664</v>
      </c>
      <c r="O47" s="483"/>
    </row>
    <row r="48" spans="1:15" ht="15">
      <c r="A48" s="636" t="s">
        <v>584</v>
      </c>
      <c r="B48" s="622">
        <f>SUM(C48:N48)</f>
        <v>398129.86999999994</v>
      </c>
      <c r="C48" s="621">
        <f t="shared" ref="C48:N48" si="3">-C27</f>
        <v>25263.98</v>
      </c>
      <c r="D48" s="621">
        <f t="shared" si="3"/>
        <v>27409.99</v>
      </c>
      <c r="E48" s="621">
        <f t="shared" si="3"/>
        <v>38110</v>
      </c>
      <c r="F48" s="621">
        <f t="shared" si="3"/>
        <v>31594.87</v>
      </c>
      <c r="G48" s="621">
        <f t="shared" si="3"/>
        <v>34774.629999999997</v>
      </c>
      <c r="H48" s="621">
        <f t="shared" si="3"/>
        <v>17880.240000000002</v>
      </c>
      <c r="I48" s="621">
        <f t="shared" si="3"/>
        <v>31295.43</v>
      </c>
      <c r="J48" s="621">
        <f t="shared" si="3"/>
        <v>61045.46</v>
      </c>
      <c r="K48" s="621">
        <f t="shared" si="3"/>
        <v>24568.67</v>
      </c>
      <c r="L48" s="621">
        <f t="shared" si="3"/>
        <v>33508.33</v>
      </c>
      <c r="M48" s="621">
        <f t="shared" si="3"/>
        <v>38957.919999999998</v>
      </c>
      <c r="N48" s="621">
        <f t="shared" si="3"/>
        <v>33720.35</v>
      </c>
      <c r="O48" s="483"/>
    </row>
    <row r="49" spans="1:15" ht="15.75" thickBot="1">
      <c r="A49" s="636" t="s">
        <v>585</v>
      </c>
      <c r="B49" s="637">
        <f t="shared" ref="B49:N49" si="4">SUM(B45:B48)</f>
        <v>495385652.22025484</v>
      </c>
      <c r="C49" s="638">
        <f t="shared" si="4"/>
        <v>30846895.34454396</v>
      </c>
      <c r="D49" s="638">
        <f t="shared" si="4"/>
        <v>35888083.367757507</v>
      </c>
      <c r="E49" s="638">
        <f t="shared" si="4"/>
        <v>32511691.113998521</v>
      </c>
      <c r="F49" s="638">
        <f t="shared" si="4"/>
        <v>41187266.465379</v>
      </c>
      <c r="G49" s="638">
        <f t="shared" si="4"/>
        <v>50836004.738857366</v>
      </c>
      <c r="H49" s="638">
        <f t="shared" si="4"/>
        <v>53302997.683645695</v>
      </c>
      <c r="I49" s="638">
        <f t="shared" si="4"/>
        <v>53941986.616570272</v>
      </c>
      <c r="J49" s="638">
        <f t="shared" si="4"/>
        <v>49302665.825280629</v>
      </c>
      <c r="K49" s="638">
        <f t="shared" si="4"/>
        <v>41890162.088725835</v>
      </c>
      <c r="L49" s="638">
        <f t="shared" si="4"/>
        <v>39492190.778985217</v>
      </c>
      <c r="M49" s="638">
        <f t="shared" si="4"/>
        <v>33527131.580742408</v>
      </c>
      <c r="N49" s="638">
        <f t="shared" si="4"/>
        <v>32658576.61576844</v>
      </c>
      <c r="O49" s="483"/>
    </row>
    <row r="50" spans="1:15" ht="15.75" thickTop="1">
      <c r="A50" s="483"/>
      <c r="B50" s="635">
        <f>[1]Detail!$B$48-B45</f>
        <v>0</v>
      </c>
      <c r="C50" s="156" t="s">
        <v>578</v>
      </c>
      <c r="D50" s="483"/>
      <c r="E50" s="483"/>
      <c r="F50" s="483"/>
      <c r="G50" s="483"/>
      <c r="H50" s="483"/>
      <c r="I50" s="483"/>
      <c r="J50" s="483"/>
      <c r="K50" s="483"/>
      <c r="L50" s="483"/>
      <c r="M50" s="483"/>
      <c r="N50" s="483"/>
      <c r="O50" s="483"/>
    </row>
    <row r="51" spans="1:15" ht="15">
      <c r="A51" s="483"/>
      <c r="B51" s="635">
        <f>SUM(G13:G14)-B49</f>
        <v>0</v>
      </c>
      <c r="C51" s="156" t="s">
        <v>578</v>
      </c>
      <c r="D51" s="483"/>
      <c r="E51" s="483"/>
      <c r="F51" s="483"/>
      <c r="G51" s="483"/>
      <c r="H51" s="483"/>
      <c r="I51" s="483"/>
      <c r="J51" s="483"/>
      <c r="K51" s="483"/>
      <c r="L51" s="483"/>
      <c r="M51" s="483"/>
      <c r="N51" s="483"/>
      <c r="O51" s="483"/>
    </row>
    <row r="52" spans="1:15" ht="15">
      <c r="A52" s="483"/>
      <c r="B52" s="611">
        <f>H52+N52</f>
        <v>495385652.22025484</v>
      </c>
      <c r="C52" s="483"/>
      <c r="D52" s="483"/>
      <c r="E52" s="483"/>
      <c r="F52" s="483"/>
      <c r="G52" s="615" t="s">
        <v>586</v>
      </c>
      <c r="H52" s="621">
        <f>SUM(C49:H49)</f>
        <v>244572938.71418202</v>
      </c>
      <c r="I52" s="621"/>
      <c r="J52" s="621"/>
      <c r="K52" s="621"/>
      <c r="L52" s="621"/>
      <c r="M52" s="615" t="s">
        <v>587</v>
      </c>
      <c r="N52" s="621">
        <f>SUM(I49:N49)</f>
        <v>250812713.50607282</v>
      </c>
      <c r="O52" s="483"/>
    </row>
    <row r="53" spans="1:15" ht="15">
      <c r="A53" s="483"/>
      <c r="B53" s="483"/>
      <c r="C53" s="483"/>
      <c r="D53" s="483"/>
      <c r="E53" s="483"/>
      <c r="F53" s="483"/>
      <c r="G53" s="483"/>
      <c r="H53" s="483"/>
      <c r="I53" s="483"/>
      <c r="J53" s="483"/>
      <c r="K53" s="483"/>
      <c r="L53" s="483"/>
      <c r="M53" s="483"/>
      <c r="N53" s="483"/>
      <c r="O53" s="483"/>
    </row>
    <row r="54" spans="1:15" ht="15">
      <c r="A54" s="483" t="s">
        <v>588</v>
      </c>
      <c r="B54" s="483"/>
      <c r="C54" s="483"/>
      <c r="D54" s="483"/>
      <c r="E54" s="483"/>
      <c r="F54" s="483"/>
      <c r="G54" s="483"/>
      <c r="H54" s="483"/>
      <c r="I54" s="483"/>
      <c r="J54" s="483"/>
      <c r="K54" s="483"/>
      <c r="L54" s="483"/>
      <c r="M54" s="483"/>
      <c r="N54" s="483"/>
      <c r="O54" s="483"/>
    </row>
    <row r="55" spans="1:15" ht="15.75" thickBot="1">
      <c r="A55" s="636" t="s">
        <v>589</v>
      </c>
      <c r="B55" s="639">
        <f>SUM(C55:N55)</f>
        <v>-116721927.85000001</v>
      </c>
      <c r="C55" s="640">
        <v>-16202089.390000001</v>
      </c>
      <c r="D55" s="640">
        <v>-18425274.529999997</v>
      </c>
      <c r="E55" s="640">
        <v>-11596229.750000002</v>
      </c>
      <c r="F55" s="640">
        <v>-10911731.069999998</v>
      </c>
      <c r="G55" s="640">
        <v>-11074559.210000001</v>
      </c>
      <c r="H55" s="640">
        <v>-11214951.02</v>
      </c>
      <c r="I55" s="640">
        <v>-5325764.7700000005</v>
      </c>
      <c r="J55" s="640">
        <v>-9107064.4800000004</v>
      </c>
      <c r="K55" s="640">
        <v>-8562982.1699999999</v>
      </c>
      <c r="L55" s="640">
        <v>-5289058.67</v>
      </c>
      <c r="M55" s="640">
        <v>-3480241.899999999</v>
      </c>
      <c r="N55" s="640">
        <v>-5531980.8899999997</v>
      </c>
      <c r="O55" s="483"/>
    </row>
    <row r="56" spans="1:15" ht="15.75" thickTop="1">
      <c r="A56" s="483"/>
      <c r="B56" s="635">
        <f>-[1]Detail!$I$24-B55</f>
        <v>0</v>
      </c>
      <c r="C56" s="156" t="s">
        <v>578</v>
      </c>
      <c r="D56" s="483"/>
      <c r="E56" s="483"/>
      <c r="F56" s="483"/>
      <c r="G56" s="483"/>
      <c r="H56" s="483"/>
      <c r="I56" s="483"/>
      <c r="J56" s="483"/>
      <c r="K56" s="483"/>
      <c r="L56" s="483"/>
      <c r="M56" s="483"/>
      <c r="N56" s="483"/>
      <c r="O56" s="483"/>
    </row>
    <row r="57" spans="1:15" ht="15">
      <c r="A57" s="483"/>
      <c r="B57" s="635">
        <f>-'[2]ERF Main Summary'!$E$14-B55</f>
        <v>0</v>
      </c>
      <c r="C57" s="156" t="s">
        <v>578</v>
      </c>
      <c r="D57" s="483"/>
      <c r="E57" s="483"/>
      <c r="F57" s="483"/>
      <c r="G57" s="483"/>
      <c r="H57" s="483"/>
      <c r="I57" s="483"/>
      <c r="J57" s="483"/>
      <c r="K57" s="483"/>
      <c r="L57" s="483"/>
      <c r="M57" s="483"/>
      <c r="N57" s="483"/>
      <c r="O57" s="483"/>
    </row>
    <row r="58" spans="1:15" ht="15">
      <c r="A58" s="483"/>
      <c r="B58" s="611">
        <f>H58+N58</f>
        <v>-116721927.84999999</v>
      </c>
      <c r="C58" s="483"/>
      <c r="D58" s="483"/>
      <c r="E58" s="483"/>
      <c r="F58" s="483"/>
      <c r="G58" s="615" t="s">
        <v>586</v>
      </c>
      <c r="H58" s="621">
        <f>SUM(C55:H55)</f>
        <v>-79424834.969999999</v>
      </c>
      <c r="I58" s="621"/>
      <c r="J58" s="621"/>
      <c r="K58" s="621"/>
      <c r="L58" s="621"/>
      <c r="M58" s="615" t="s">
        <v>587</v>
      </c>
      <c r="N58" s="621">
        <f>SUM(I55:N55)</f>
        <v>-37297092.880000003</v>
      </c>
      <c r="O58" s="483"/>
    </row>
    <row r="59" spans="1:15" ht="15">
      <c r="A59" s="483"/>
      <c r="B59" s="483"/>
      <c r="C59" s="483"/>
      <c r="D59" s="483"/>
      <c r="E59" s="483"/>
      <c r="F59" s="483"/>
      <c r="G59" s="483"/>
      <c r="H59" s="483"/>
      <c r="I59" s="483"/>
      <c r="J59" s="483"/>
      <c r="K59" s="483"/>
      <c r="L59" s="483"/>
      <c r="M59" s="483"/>
      <c r="N59" s="483"/>
      <c r="O59" s="483"/>
    </row>
    <row r="60" spans="1:15" ht="15.75" thickBot="1">
      <c r="A60" s="636" t="s">
        <v>590</v>
      </c>
      <c r="B60" s="639">
        <f>SUM(C60:N60)</f>
        <v>378663724.37025487</v>
      </c>
      <c r="C60" s="640">
        <f t="shared" ref="C60:N60" si="5">C55+C49</f>
        <v>14644805.954543959</v>
      </c>
      <c r="D60" s="640">
        <f t="shared" si="5"/>
        <v>17462808.837757509</v>
      </c>
      <c r="E60" s="640">
        <f t="shared" si="5"/>
        <v>20915461.363998517</v>
      </c>
      <c r="F60" s="640">
        <f t="shared" si="5"/>
        <v>30275535.395378999</v>
      </c>
      <c r="G60" s="640">
        <f t="shared" si="5"/>
        <v>39761445.528857365</v>
      </c>
      <c r="H60" s="640">
        <f t="shared" si="5"/>
        <v>42088046.6636457</v>
      </c>
      <c r="I60" s="640">
        <f t="shared" si="5"/>
        <v>48616221.846570268</v>
      </c>
      <c r="J60" s="640">
        <f t="shared" si="5"/>
        <v>40195601.345280632</v>
      </c>
      <c r="K60" s="640">
        <f t="shared" si="5"/>
        <v>33327179.918725833</v>
      </c>
      <c r="L60" s="640">
        <f t="shared" si="5"/>
        <v>34203132.108985215</v>
      </c>
      <c r="M60" s="640">
        <f t="shared" si="5"/>
        <v>30046889.680742409</v>
      </c>
      <c r="N60" s="640">
        <f t="shared" si="5"/>
        <v>27126595.725768439</v>
      </c>
      <c r="O60" s="483"/>
    </row>
    <row r="61" spans="1:15" ht="15.75" thickTop="1">
      <c r="A61" s="641" t="s">
        <v>594</v>
      </c>
      <c r="B61" s="635">
        <f>SUM(C61:N61)</f>
        <v>0</v>
      </c>
      <c r="C61" s="635">
        <f>'Summary Normlz''d x Month'!B65+'Summary Normlz''d x Month'!B68-C60</f>
        <v>0</v>
      </c>
      <c r="D61" s="635">
        <f>'Summary Normlz''d x Month'!C65+'Summary Normlz''d x Month'!C68-D60</f>
        <v>0</v>
      </c>
      <c r="E61" s="635">
        <f>'Summary Normlz''d x Month'!D65+'Summary Normlz''d x Month'!D68-E60</f>
        <v>0</v>
      </c>
      <c r="F61" s="635">
        <f>'Summary Normlz''d x Month'!E65+'Summary Normlz''d x Month'!E68-F60</f>
        <v>0</v>
      </c>
      <c r="G61" s="635">
        <f>'Summary Normlz''d x Month'!F65+'Summary Normlz''d x Month'!F68-G60</f>
        <v>0</v>
      </c>
      <c r="H61" s="635">
        <f>'Summary Normlz''d x Month'!G65+'Summary Normlz''d x Month'!G68-H60</f>
        <v>0</v>
      </c>
      <c r="I61" s="635">
        <f>'Summary Normlz''d x Month'!H65+'Summary Normlz''d x Month'!H68-I60</f>
        <v>0</v>
      </c>
      <c r="J61" s="635">
        <f>'Summary Normlz''d x Month'!I65+'Summary Normlz''d x Month'!I68-J60</f>
        <v>0</v>
      </c>
      <c r="K61" s="635">
        <f>'Summary Normlz''d x Month'!J65+'Summary Normlz''d x Month'!J68-K60</f>
        <v>0</v>
      </c>
      <c r="L61" s="635">
        <f>'Summary Normlz''d x Month'!K65+'Summary Normlz''d x Month'!K68-L60</f>
        <v>0</v>
      </c>
      <c r="M61" s="635">
        <f>'Summary Normlz''d x Month'!L65+'Summary Normlz''d x Month'!L68-M60</f>
        <v>0</v>
      </c>
      <c r="N61" s="635">
        <f>'Summary Normlz''d x Month'!M65+'Summary Normlz''d x Month'!M68-N60</f>
        <v>0</v>
      </c>
      <c r="O61" s="483"/>
    </row>
    <row r="62" spans="1:15" ht="15">
      <c r="A62" s="483"/>
      <c r="B62" s="483"/>
      <c r="C62" s="483"/>
      <c r="D62" s="483"/>
      <c r="E62" s="483"/>
      <c r="F62" s="483"/>
      <c r="G62" s="483"/>
      <c r="H62" s="483"/>
      <c r="I62" s="483"/>
      <c r="J62" s="483"/>
      <c r="K62" s="483"/>
      <c r="L62" s="483"/>
      <c r="M62" s="483"/>
      <c r="N62" s="483"/>
      <c r="O62" s="483"/>
    </row>
    <row r="63" spans="1:15" ht="15">
      <c r="A63" s="483"/>
      <c r="B63" s="611">
        <f>H63+N63</f>
        <v>378663724.37025487</v>
      </c>
      <c r="C63" s="483"/>
      <c r="D63" s="483"/>
      <c r="E63" s="483"/>
      <c r="F63" s="483"/>
      <c r="G63" s="615" t="s">
        <v>586</v>
      </c>
      <c r="H63" s="621">
        <f>SUM(C60:H60)</f>
        <v>165148103.74418205</v>
      </c>
      <c r="I63" s="621"/>
      <c r="J63" s="621"/>
      <c r="K63" s="621"/>
      <c r="L63" s="621"/>
      <c r="M63" s="615" t="s">
        <v>587</v>
      </c>
      <c r="N63" s="621">
        <f>SUM(I60:N60)</f>
        <v>213515620.62607279</v>
      </c>
      <c r="O63" s="48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0"/>
  <sheetViews>
    <sheetView workbookViewId="0">
      <pane xSplit="1" ySplit="7" topLeftCell="B57" activePane="bottomRight" state="frozen"/>
      <selection activeCell="O10" sqref="O10"/>
      <selection pane="topRight" activeCell="O10" sqref="O10"/>
      <selection pane="bottomLeft" activeCell="O10" sqref="O10"/>
      <selection pane="bottomRight" activeCell="O10" sqref="O10"/>
    </sheetView>
  </sheetViews>
  <sheetFormatPr defaultColWidth="9.140625" defaultRowHeight="15" outlineLevelRow="1"/>
  <cols>
    <col min="1" max="1" width="46" style="666" customWidth="1"/>
    <col min="2" max="5" width="14.85546875" style="666" customWidth="1"/>
    <col min="6" max="8" width="15" style="666" customWidth="1"/>
    <col min="9" max="13" width="14.85546875" style="666" customWidth="1"/>
    <col min="14" max="14" width="18" style="666" customWidth="1"/>
    <col min="15" max="15" width="17.7109375" style="666" bestFit="1" customWidth="1"/>
    <col min="16" max="16" width="15.7109375" style="666" bestFit="1" customWidth="1"/>
    <col min="17" max="16384" width="9.140625" style="666"/>
  </cols>
  <sheetData>
    <row r="1" spans="1:21">
      <c r="A1" s="666" t="s">
        <v>403</v>
      </c>
    </row>
    <row r="2" spans="1:21">
      <c r="H2" s="667"/>
      <c r="N2" s="694" t="s">
        <v>546</v>
      </c>
      <c r="O2" s="667">
        <f>-N16-N37+N50+N53</f>
        <v>382636211.07000005</v>
      </c>
    </row>
    <row r="3" spans="1:21">
      <c r="H3" s="667"/>
      <c r="N3" s="694" t="s">
        <v>547</v>
      </c>
      <c r="O3" s="668">
        <f>+'[1]Allocated Summary'!$B$13-'[1]Allocated Summary'!$B$21</f>
        <v>-382636211.06999993</v>
      </c>
    </row>
    <row r="4" spans="1:21">
      <c r="O4" s="669"/>
    </row>
    <row r="5" spans="1:21">
      <c r="H5" s="667"/>
      <c r="O5" s="667"/>
    </row>
    <row r="6" spans="1:21">
      <c r="H6" s="667"/>
      <c r="O6" s="667"/>
    </row>
    <row r="7" spans="1:21">
      <c r="B7" s="214">
        <v>42917</v>
      </c>
      <c r="C7" s="214">
        <v>42948</v>
      </c>
      <c r="D7" s="214">
        <v>42979</v>
      </c>
      <c r="E7" s="214">
        <v>43009</v>
      </c>
      <c r="F7" s="214">
        <v>43040</v>
      </c>
      <c r="G7" s="214">
        <v>43070</v>
      </c>
      <c r="H7" s="214">
        <v>43101</v>
      </c>
      <c r="I7" s="214">
        <v>43132</v>
      </c>
      <c r="J7" s="214">
        <v>43160</v>
      </c>
      <c r="K7" s="214">
        <v>43191</v>
      </c>
      <c r="L7" s="214">
        <v>43221</v>
      </c>
      <c r="M7" s="214">
        <v>43252</v>
      </c>
      <c r="N7" s="439" t="s">
        <v>393</v>
      </c>
      <c r="O7" s="677"/>
      <c r="P7" s="677"/>
      <c r="Q7" s="677"/>
    </row>
    <row r="8" spans="1:21">
      <c r="A8" s="666" t="s">
        <v>366</v>
      </c>
      <c r="N8" s="666" t="s">
        <v>365</v>
      </c>
      <c r="O8" s="677"/>
      <c r="P8" s="677"/>
      <c r="Q8" s="677"/>
    </row>
    <row r="9" spans="1:21" hidden="1" outlineLevel="1">
      <c r="A9" s="666" t="s">
        <v>364</v>
      </c>
      <c r="B9" s="667">
        <v>79165727.030000001</v>
      </c>
      <c r="C9" s="667">
        <v>82490945.140000001</v>
      </c>
      <c r="D9" s="667">
        <v>77621412.75</v>
      </c>
      <c r="E9" s="667">
        <v>94531714.280000001</v>
      </c>
      <c r="F9" s="667">
        <v>115205638.56999999</v>
      </c>
      <c r="G9" s="667">
        <v>145224997</v>
      </c>
      <c r="H9" s="667">
        <v>131938234.06</v>
      </c>
      <c r="I9" s="667">
        <v>122678486.45999999</v>
      </c>
      <c r="J9" s="667">
        <v>118836853.36</v>
      </c>
      <c r="K9" s="667">
        <v>96080308.170000002</v>
      </c>
      <c r="L9" s="667">
        <v>70904681</v>
      </c>
      <c r="M9" s="667">
        <v>71204384.719999999</v>
      </c>
      <c r="N9" s="678">
        <f>SUM(B9:M9)</f>
        <v>1205883382.54</v>
      </c>
      <c r="O9" s="677"/>
      <c r="P9" s="677"/>
      <c r="Q9" s="677"/>
      <c r="R9" s="678"/>
      <c r="S9" s="678"/>
      <c r="T9" s="678"/>
      <c r="U9" s="678"/>
    </row>
    <row r="10" spans="1:21" hidden="1" outlineLevel="1">
      <c r="A10" s="666" t="s">
        <v>363</v>
      </c>
      <c r="B10" s="667">
        <v>70903185.640000001</v>
      </c>
      <c r="C10" s="667">
        <v>75969526.739999995</v>
      </c>
      <c r="D10" s="667">
        <v>68519284.349999994</v>
      </c>
      <c r="E10" s="667">
        <v>75869114.609999999</v>
      </c>
      <c r="F10" s="667">
        <v>75938159.260000005</v>
      </c>
      <c r="G10" s="667">
        <v>84089945.409999996</v>
      </c>
      <c r="H10" s="667">
        <v>81791100.209999993</v>
      </c>
      <c r="I10" s="667">
        <v>82582385.439999998</v>
      </c>
      <c r="J10" s="667">
        <v>77350053.620000005</v>
      </c>
      <c r="K10" s="667">
        <v>68789906.099999994</v>
      </c>
      <c r="L10" s="667">
        <v>68827926.680000007</v>
      </c>
      <c r="M10" s="667">
        <v>66792398.57</v>
      </c>
      <c r="N10" s="678">
        <f t="shared" ref="N10:N46" si="0">SUM(B10:M10)</f>
        <v>897422986.63</v>
      </c>
      <c r="O10" s="677"/>
      <c r="P10" s="677"/>
      <c r="Q10" s="677"/>
      <c r="R10" s="678"/>
      <c r="S10" s="678"/>
      <c r="T10" s="678"/>
      <c r="U10" s="678"/>
    </row>
    <row r="11" spans="1:21" hidden="1" outlineLevel="1">
      <c r="A11" s="666" t="s">
        <v>362</v>
      </c>
      <c r="B11" s="667">
        <v>9439487.7300000004</v>
      </c>
      <c r="C11" s="667">
        <v>9654291.2599999998</v>
      </c>
      <c r="D11" s="667">
        <v>8742217.8499999996</v>
      </c>
      <c r="E11" s="667">
        <v>10158344.27</v>
      </c>
      <c r="F11" s="667">
        <v>9434868.75</v>
      </c>
      <c r="G11" s="667">
        <v>9806984.6099999994</v>
      </c>
      <c r="H11" s="667">
        <v>9928808.2400000002</v>
      </c>
      <c r="I11" s="667">
        <v>10792027.210000001</v>
      </c>
      <c r="J11" s="667">
        <v>8858454.1300000008</v>
      </c>
      <c r="K11" s="667">
        <v>8683588.8100000005</v>
      </c>
      <c r="L11" s="667">
        <v>9024258.3499999996</v>
      </c>
      <c r="M11" s="667">
        <v>8511240.1999999993</v>
      </c>
      <c r="N11" s="678">
        <f t="shared" si="0"/>
        <v>113034571.40999998</v>
      </c>
      <c r="O11" s="677"/>
      <c r="P11" s="677"/>
      <c r="Q11" s="677"/>
      <c r="R11" s="678"/>
      <c r="S11" s="678"/>
      <c r="T11" s="678"/>
      <c r="U11" s="678"/>
    </row>
    <row r="12" spans="1:21" hidden="1" outlineLevel="1">
      <c r="A12" s="666" t="s">
        <v>361</v>
      </c>
      <c r="B12" s="667">
        <v>1531935.9</v>
      </c>
      <c r="C12" s="667">
        <v>1722530.96</v>
      </c>
      <c r="D12" s="667">
        <v>1539141.53</v>
      </c>
      <c r="E12" s="667">
        <v>1697490.88</v>
      </c>
      <c r="F12" s="667">
        <v>1536681.7</v>
      </c>
      <c r="G12" s="667">
        <v>1857296.15</v>
      </c>
      <c r="H12" s="667">
        <v>1649774.82</v>
      </c>
      <c r="I12" s="667">
        <v>1641136.42</v>
      </c>
      <c r="J12" s="667">
        <v>1565109.29</v>
      </c>
      <c r="K12" s="667">
        <v>1647357.89</v>
      </c>
      <c r="L12" s="667">
        <v>1528950.91</v>
      </c>
      <c r="M12" s="667">
        <v>1437510.54</v>
      </c>
      <c r="N12" s="678">
        <f t="shared" si="0"/>
        <v>19354916.989999998</v>
      </c>
      <c r="O12" s="677"/>
      <c r="P12" s="677"/>
      <c r="Q12" s="677"/>
      <c r="R12" s="678"/>
      <c r="S12" s="678"/>
      <c r="T12" s="678"/>
      <c r="U12" s="678"/>
    </row>
    <row r="13" spans="1:21" hidden="1" outlineLevel="1">
      <c r="A13" s="666" t="s">
        <v>360</v>
      </c>
      <c r="B13" s="667">
        <v>14692.81</v>
      </c>
      <c r="C13" s="667">
        <v>14621.86</v>
      </c>
      <c r="D13" s="667">
        <v>15837.49</v>
      </c>
      <c r="E13" s="667">
        <v>22795.66</v>
      </c>
      <c r="F13" s="667">
        <v>35415.230000000003</v>
      </c>
      <c r="G13" s="667">
        <v>46248.639999999999</v>
      </c>
      <c r="H13" s="667">
        <v>35487.370000000003</v>
      </c>
      <c r="I13" s="667">
        <v>50267</v>
      </c>
      <c r="J13" s="667">
        <v>39356.03</v>
      </c>
      <c r="K13" s="667">
        <v>31644.69</v>
      </c>
      <c r="L13" s="667">
        <v>20385.37</v>
      </c>
      <c r="M13" s="667">
        <v>16166.89</v>
      </c>
      <c r="N13" s="678">
        <f t="shared" si="0"/>
        <v>342919.04</v>
      </c>
      <c r="O13" s="677"/>
      <c r="P13" s="677"/>
      <c r="Q13" s="677"/>
      <c r="R13" s="678"/>
      <c r="S13" s="678"/>
      <c r="T13" s="678"/>
      <c r="U13" s="678"/>
    </row>
    <row r="14" spans="1:21" hidden="1" outlineLevel="1">
      <c r="A14" s="666" t="s">
        <v>359</v>
      </c>
      <c r="B14" s="667">
        <v>161055029.11000001</v>
      </c>
      <c r="C14" s="667">
        <v>169851915.96000001</v>
      </c>
      <c r="D14" s="667">
        <v>156437893.97</v>
      </c>
      <c r="E14" s="667">
        <v>182279459.69999999</v>
      </c>
      <c r="F14" s="667">
        <v>202150763.50999999</v>
      </c>
      <c r="G14" s="667">
        <v>241025471.81</v>
      </c>
      <c r="H14" s="667">
        <v>225343404.69999999</v>
      </c>
      <c r="I14" s="667">
        <v>217744302.53</v>
      </c>
      <c r="J14" s="667">
        <v>206649826.43000001</v>
      </c>
      <c r="K14" s="667">
        <v>175232805.66</v>
      </c>
      <c r="L14" s="667">
        <v>150306202.31</v>
      </c>
      <c r="M14" s="667">
        <v>147961700.91999999</v>
      </c>
      <c r="N14" s="678">
        <f t="shared" si="0"/>
        <v>2236038776.6100001</v>
      </c>
      <c r="O14" s="677"/>
      <c r="P14" s="677"/>
      <c r="Q14" s="677"/>
      <c r="R14" s="678"/>
      <c r="S14" s="678"/>
      <c r="T14" s="678"/>
      <c r="U14" s="678"/>
    </row>
    <row r="15" spans="1:21" hidden="1" outlineLevel="1">
      <c r="A15" s="666" t="s">
        <v>358</v>
      </c>
      <c r="B15" s="667">
        <v>1037951.15</v>
      </c>
      <c r="C15" s="667">
        <v>1052379.67</v>
      </c>
      <c r="D15" s="667">
        <v>1331868.68</v>
      </c>
      <c r="E15" s="667">
        <v>1345308.32</v>
      </c>
      <c r="F15" s="667">
        <v>852834.73</v>
      </c>
      <c r="G15" s="667">
        <v>1249806.3899999999</v>
      </c>
      <c r="H15" s="667">
        <v>1388389.55</v>
      </c>
      <c r="I15" s="667">
        <v>1196453.31</v>
      </c>
      <c r="J15" s="667">
        <v>1136794.83</v>
      </c>
      <c r="K15" s="667">
        <v>802638.75</v>
      </c>
      <c r="L15" s="667">
        <v>1048768.24</v>
      </c>
      <c r="M15" s="667">
        <v>1201360.1100000001</v>
      </c>
      <c r="N15" s="678">
        <f t="shared" si="0"/>
        <v>13644553.73</v>
      </c>
      <c r="O15" s="677"/>
      <c r="P15" s="677"/>
      <c r="Q15" s="677"/>
      <c r="R15" s="678"/>
      <c r="S15" s="678"/>
      <c r="T15" s="678"/>
      <c r="U15" s="678"/>
    </row>
    <row r="16" spans="1:21" collapsed="1">
      <c r="A16" s="666" t="s">
        <v>357</v>
      </c>
      <c r="B16" s="667">
        <v>7834534.71</v>
      </c>
      <c r="C16" s="667">
        <v>9986550.4299999997</v>
      </c>
      <c r="D16" s="667">
        <v>5895401.5099999998</v>
      </c>
      <c r="E16" s="667">
        <v>4809492.46</v>
      </c>
      <c r="F16" s="667">
        <v>5611698.54</v>
      </c>
      <c r="G16" s="667">
        <v>4963987.67</v>
      </c>
      <c r="H16" s="667">
        <v>2689152.59</v>
      </c>
      <c r="I16" s="667">
        <v>3954383.67</v>
      </c>
      <c r="J16" s="667">
        <v>4383362.28</v>
      </c>
      <c r="K16" s="667">
        <v>2826174.79</v>
      </c>
      <c r="L16" s="667">
        <v>1650704.4</v>
      </c>
      <c r="M16" s="667">
        <v>2922238.13</v>
      </c>
      <c r="N16" s="678">
        <f t="shared" si="0"/>
        <v>57527681.18</v>
      </c>
      <c r="O16" s="677" t="s">
        <v>475</v>
      </c>
      <c r="P16" s="679"/>
      <c r="Q16" s="677"/>
      <c r="R16" s="678"/>
      <c r="S16" s="678"/>
      <c r="T16" s="678"/>
      <c r="U16" s="678"/>
    </row>
    <row r="17" spans="1:21" hidden="1" outlineLevel="1">
      <c r="A17" s="666" t="s">
        <v>356</v>
      </c>
      <c r="B17" s="667">
        <v>169927514.97</v>
      </c>
      <c r="C17" s="667">
        <v>180890846.06</v>
      </c>
      <c r="D17" s="667">
        <v>163665164.16</v>
      </c>
      <c r="E17" s="667">
        <v>188434260.47999999</v>
      </c>
      <c r="F17" s="667">
        <v>208615296.78</v>
      </c>
      <c r="G17" s="667">
        <v>247239265.87</v>
      </c>
      <c r="H17" s="667">
        <v>229420946.84</v>
      </c>
      <c r="I17" s="667">
        <v>222895139.50999999</v>
      </c>
      <c r="J17" s="667">
        <v>212169983.53999999</v>
      </c>
      <c r="K17" s="667">
        <v>178861619.19999999</v>
      </c>
      <c r="L17" s="667">
        <v>153005674.94999999</v>
      </c>
      <c r="M17" s="667">
        <v>152085299.16</v>
      </c>
      <c r="N17" s="678">
        <f t="shared" si="0"/>
        <v>2307211011.5199995</v>
      </c>
      <c r="O17" s="677"/>
      <c r="P17" s="679"/>
      <c r="Q17" s="677"/>
      <c r="R17" s="678"/>
      <c r="S17" s="678"/>
      <c r="T17" s="678"/>
      <c r="U17" s="678"/>
    </row>
    <row r="18" spans="1:21" collapsed="1">
      <c r="A18" s="666" t="s">
        <v>355</v>
      </c>
      <c r="B18" s="667">
        <v>-235496.47</v>
      </c>
      <c r="C18" s="667">
        <v>70081.3</v>
      </c>
      <c r="D18" s="667">
        <v>-76672.75</v>
      </c>
      <c r="E18" s="667">
        <v>720035.23</v>
      </c>
      <c r="F18" s="667">
        <v>1582093.34</v>
      </c>
      <c r="G18" s="667">
        <v>1693930.89</v>
      </c>
      <c r="H18" s="667">
        <v>1743798.73</v>
      </c>
      <c r="I18" s="667">
        <v>-473555.29</v>
      </c>
      <c r="J18" s="667">
        <v>-601940.29</v>
      </c>
      <c r="K18" s="667">
        <v>1057439.8400000001</v>
      </c>
      <c r="L18" s="667">
        <v>1853558.52</v>
      </c>
      <c r="M18" s="667">
        <v>1801240.75</v>
      </c>
      <c r="N18" s="678">
        <f t="shared" si="0"/>
        <v>9134513.7999999989</v>
      </c>
      <c r="O18" s="677" t="s">
        <v>475</v>
      </c>
      <c r="P18" s="679"/>
      <c r="Q18" s="677"/>
      <c r="R18" s="678"/>
      <c r="S18" s="678"/>
      <c r="T18" s="678"/>
      <c r="U18" s="678"/>
    </row>
    <row r="19" spans="1:21" hidden="1" outlineLevel="1">
      <c r="A19" s="666" t="s">
        <v>354</v>
      </c>
      <c r="B19" s="667">
        <v>4426414.92</v>
      </c>
      <c r="C19" s="667">
        <v>5194352.93</v>
      </c>
      <c r="D19" s="667">
        <v>4378696.46</v>
      </c>
      <c r="E19" s="667">
        <v>3753597.99</v>
      </c>
      <c r="F19" s="667">
        <v>4270818.82</v>
      </c>
      <c r="G19" s="667">
        <v>58935560.75</v>
      </c>
      <c r="H19" s="667">
        <v>15452175.939999999</v>
      </c>
      <c r="I19" s="667">
        <v>7968581.5499999998</v>
      </c>
      <c r="J19" s="667">
        <v>13881386.029999999</v>
      </c>
      <c r="K19" s="667">
        <v>9004223.9499999993</v>
      </c>
      <c r="L19" s="667">
        <v>3819560.06</v>
      </c>
      <c r="M19" s="667">
        <v>2817373.93</v>
      </c>
      <c r="N19" s="678">
        <f t="shared" si="0"/>
        <v>133902743.33000001</v>
      </c>
      <c r="O19" s="677"/>
      <c r="P19" s="679"/>
      <c r="Q19" s="677"/>
      <c r="R19" s="678"/>
      <c r="S19" s="678"/>
      <c r="T19" s="678"/>
      <c r="U19" s="678"/>
    </row>
    <row r="20" spans="1:21" hidden="1" outlineLevel="1">
      <c r="A20" s="666" t="s">
        <v>353</v>
      </c>
      <c r="B20" s="667">
        <v>4190918.45</v>
      </c>
      <c r="C20" s="667">
        <v>5264434.2300000004</v>
      </c>
      <c r="D20" s="667">
        <v>4302023.71</v>
      </c>
      <c r="E20" s="667">
        <v>4473633.22</v>
      </c>
      <c r="F20" s="667">
        <v>5852912.1600000001</v>
      </c>
      <c r="G20" s="667">
        <v>60629491.640000001</v>
      </c>
      <c r="H20" s="667">
        <v>17195974.670000002</v>
      </c>
      <c r="I20" s="667">
        <v>7495026.2599999998</v>
      </c>
      <c r="J20" s="667">
        <v>13279445.74</v>
      </c>
      <c r="K20" s="667">
        <v>10061663.789999999</v>
      </c>
      <c r="L20" s="667">
        <v>5673118.5800000001</v>
      </c>
      <c r="M20" s="667">
        <v>4618614.68</v>
      </c>
      <c r="N20" s="678">
        <f t="shared" si="0"/>
        <v>143037257.13000003</v>
      </c>
      <c r="O20" s="677"/>
      <c r="P20" s="679"/>
      <c r="Q20" s="677"/>
      <c r="R20" s="678"/>
      <c r="S20" s="678"/>
      <c r="T20" s="678"/>
      <c r="U20" s="678"/>
    </row>
    <row r="21" spans="1:21" hidden="1" outlineLevel="1">
      <c r="A21" s="666" t="s">
        <v>352</v>
      </c>
      <c r="B21" s="667">
        <v>174118433.41999999</v>
      </c>
      <c r="C21" s="667">
        <v>186155280.28999999</v>
      </c>
      <c r="D21" s="667">
        <v>167967187.87</v>
      </c>
      <c r="E21" s="667">
        <v>192907893.69999999</v>
      </c>
      <c r="F21" s="667">
        <v>214468208.94</v>
      </c>
      <c r="G21" s="667">
        <v>307868757.50999999</v>
      </c>
      <c r="H21" s="667">
        <v>246616921.50999999</v>
      </c>
      <c r="I21" s="667">
        <v>230390165.77000001</v>
      </c>
      <c r="J21" s="667">
        <v>225449429.28</v>
      </c>
      <c r="K21" s="667">
        <v>188923282.99000001</v>
      </c>
      <c r="L21" s="667">
        <v>158678793.53</v>
      </c>
      <c r="M21" s="667">
        <v>156703913.84</v>
      </c>
      <c r="N21" s="678">
        <f t="shared" si="0"/>
        <v>2450248268.6500001</v>
      </c>
      <c r="O21" s="677"/>
      <c r="P21" s="679"/>
      <c r="Q21" s="677"/>
      <c r="R21" s="678"/>
      <c r="S21" s="678"/>
      <c r="T21" s="678"/>
      <c r="U21" s="678"/>
    </row>
    <row r="22" spans="1:21" hidden="1" outlineLevel="1">
      <c r="A22" s="666" t="s">
        <v>351</v>
      </c>
      <c r="B22" s="667">
        <v>4406415.3600000003</v>
      </c>
      <c r="C22" s="667">
        <v>-1667928.15</v>
      </c>
      <c r="D22" s="667">
        <v>6563568.7800000003</v>
      </c>
      <c r="E22" s="667">
        <v>-3806541.01</v>
      </c>
      <c r="F22" s="667">
        <v>-5996545.4299999997</v>
      </c>
      <c r="G22" s="667">
        <v>-21113323.370000001</v>
      </c>
      <c r="H22" s="667">
        <v>4791148.93</v>
      </c>
      <c r="I22" s="667">
        <v>-3842115.62</v>
      </c>
      <c r="J22" s="667">
        <v>-3719561.39</v>
      </c>
      <c r="K22" s="667">
        <v>-6544720.3499999996</v>
      </c>
      <c r="L22" s="667">
        <v>3403219.67</v>
      </c>
      <c r="M22" s="667">
        <v>345456.3</v>
      </c>
      <c r="N22" s="678">
        <f t="shared" si="0"/>
        <v>-27180926.279999997</v>
      </c>
      <c r="O22" s="677"/>
      <c r="P22" s="679"/>
      <c r="Q22" s="677"/>
      <c r="R22" s="678"/>
      <c r="S22" s="678"/>
      <c r="T22" s="678"/>
      <c r="U22" s="678"/>
    </row>
    <row r="23" spans="1:21" hidden="1" outlineLevel="1">
      <c r="A23" s="666" t="s">
        <v>350</v>
      </c>
      <c r="B23" s="667">
        <v>8597333.8100000005</v>
      </c>
      <c r="C23" s="667">
        <v>3596506.08</v>
      </c>
      <c r="D23" s="667">
        <v>10865592.49</v>
      </c>
      <c r="E23" s="667">
        <v>667092.21</v>
      </c>
      <c r="F23" s="667">
        <v>-143633.26999999999</v>
      </c>
      <c r="G23" s="667">
        <v>39516168.270000003</v>
      </c>
      <c r="H23" s="667">
        <v>21987123.600000001</v>
      </c>
      <c r="I23" s="667">
        <v>3652910.64</v>
      </c>
      <c r="J23" s="667">
        <v>9559884.3499999996</v>
      </c>
      <c r="K23" s="667">
        <v>3516943.44</v>
      </c>
      <c r="L23" s="667">
        <v>9076338.25</v>
      </c>
      <c r="M23" s="667">
        <v>4964070.9800000004</v>
      </c>
      <c r="N23" s="678">
        <f t="shared" si="0"/>
        <v>115856330.84999999</v>
      </c>
      <c r="O23" s="677"/>
      <c r="P23" s="679"/>
      <c r="Q23" s="677"/>
      <c r="R23" s="678"/>
      <c r="S23" s="678"/>
      <c r="T23" s="678"/>
      <c r="U23" s="678"/>
    </row>
    <row r="24" spans="1:21" hidden="1" outlineLevel="1">
      <c r="A24" s="666" t="s">
        <v>349</v>
      </c>
      <c r="B24" s="667">
        <v>178524848.78</v>
      </c>
      <c r="C24" s="667">
        <v>184487352.13999999</v>
      </c>
      <c r="D24" s="667">
        <v>174530756.65000001</v>
      </c>
      <c r="E24" s="667">
        <v>189101352.69</v>
      </c>
      <c r="F24" s="667">
        <v>208471663.50999999</v>
      </c>
      <c r="G24" s="667">
        <v>286755434.13999999</v>
      </c>
      <c r="H24" s="667">
        <v>251408070.44</v>
      </c>
      <c r="I24" s="667">
        <v>226548050.15000001</v>
      </c>
      <c r="J24" s="667">
        <v>221729867.88999999</v>
      </c>
      <c r="K24" s="667">
        <v>182378562.63999999</v>
      </c>
      <c r="L24" s="667">
        <v>162082013.19999999</v>
      </c>
      <c r="M24" s="667">
        <v>157049370.13999999</v>
      </c>
      <c r="N24" s="678">
        <f t="shared" si="0"/>
        <v>2423067342.3699994</v>
      </c>
      <c r="O24" s="677"/>
      <c r="P24" s="679"/>
      <c r="Q24" s="677"/>
      <c r="R24" s="678"/>
      <c r="S24" s="678"/>
      <c r="T24" s="678"/>
      <c r="U24" s="678"/>
    </row>
    <row r="25" spans="1:21" hidden="1" outlineLevel="1">
      <c r="A25" s="666" t="s">
        <v>348</v>
      </c>
      <c r="B25" s="667">
        <v>6247445.25</v>
      </c>
      <c r="C25" s="667">
        <v>6556740.21</v>
      </c>
      <c r="D25" s="667">
        <v>6500046.2000000002</v>
      </c>
      <c r="E25" s="667">
        <v>6640881.7199999997</v>
      </c>
      <c r="F25" s="667">
        <v>7376579.96</v>
      </c>
      <c r="G25" s="667">
        <v>8374598.3499999996</v>
      </c>
      <c r="H25" s="667">
        <v>9061229.2400000002</v>
      </c>
      <c r="I25" s="667">
        <v>8487007.0299999993</v>
      </c>
      <c r="J25" s="667">
        <v>8282412.1200000001</v>
      </c>
      <c r="K25" s="667">
        <v>7337247.75</v>
      </c>
      <c r="L25" s="667">
        <v>6369127.7400000002</v>
      </c>
      <c r="M25" s="667">
        <v>5940861.4500000002</v>
      </c>
      <c r="N25" s="678">
        <f t="shared" si="0"/>
        <v>87174177.019999996</v>
      </c>
      <c r="O25" s="677"/>
      <c r="P25" s="679"/>
      <c r="Q25" s="677"/>
      <c r="R25" s="678"/>
      <c r="S25" s="678"/>
      <c r="T25" s="678"/>
      <c r="U25" s="678"/>
    </row>
    <row r="26" spans="1:21" hidden="1" outlineLevel="1">
      <c r="A26" s="666" t="s">
        <v>347</v>
      </c>
      <c r="B26" s="667">
        <v>-4953156.33</v>
      </c>
      <c r="C26" s="667">
        <v>-5198840.6500000004</v>
      </c>
      <c r="D26" s="667">
        <v>-4774856.21</v>
      </c>
      <c r="E26" s="667">
        <v>-6487243.8300000001</v>
      </c>
      <c r="F26" s="667">
        <v>-7840078.8300000001</v>
      </c>
      <c r="G26" s="667">
        <v>-9897677.7899999991</v>
      </c>
      <c r="H26" s="667">
        <v>-8860432.1699999999</v>
      </c>
      <c r="I26" s="667">
        <v>-8244822.3150000004</v>
      </c>
      <c r="J26" s="667">
        <v>-7982651.9139999999</v>
      </c>
      <c r="K26" s="667">
        <v>-6474891.6500000004</v>
      </c>
      <c r="L26" s="667">
        <v>-5198379.1399999997</v>
      </c>
      <c r="M26" s="667">
        <v>-5187412.87</v>
      </c>
      <c r="N26" s="678">
        <f t="shared" si="0"/>
        <v>-81100443.699000001</v>
      </c>
      <c r="O26" s="677"/>
      <c r="P26" s="679"/>
      <c r="Q26" s="677"/>
      <c r="R26" s="678"/>
      <c r="S26" s="678"/>
      <c r="T26" s="678"/>
      <c r="U26" s="678"/>
    </row>
    <row r="27" spans="1:21" hidden="1" outlineLevel="1">
      <c r="A27" s="666" t="s">
        <v>346</v>
      </c>
      <c r="B27" s="667">
        <v>8341499.3399999999</v>
      </c>
      <c r="C27" s="667">
        <v>8831091.4399999995</v>
      </c>
      <c r="D27" s="667">
        <v>8002379.0700000003</v>
      </c>
      <c r="E27" s="667">
        <v>9163832.2799999993</v>
      </c>
      <c r="F27" s="667">
        <v>10254097.18</v>
      </c>
      <c r="G27" s="667">
        <v>12268658.26</v>
      </c>
      <c r="H27" s="667">
        <v>11262432.390000001</v>
      </c>
      <c r="I27" s="667">
        <v>10880004.128</v>
      </c>
      <c r="J27" s="667">
        <v>10261170.609999999</v>
      </c>
      <c r="K27" s="667">
        <v>9021293.3000000007</v>
      </c>
      <c r="L27" s="667">
        <v>6803748.7999999998</v>
      </c>
      <c r="M27" s="667">
        <v>6742346.5099999998</v>
      </c>
      <c r="N27" s="678">
        <f t="shared" si="0"/>
        <v>111832553.30800001</v>
      </c>
      <c r="O27" s="677"/>
      <c r="P27" s="679"/>
      <c r="Q27" s="677"/>
      <c r="R27" s="678"/>
      <c r="S27" s="678"/>
      <c r="T27" s="678"/>
      <c r="U27" s="678"/>
    </row>
    <row r="28" spans="1:21" hidden="1" outlineLevel="1">
      <c r="A28" s="666" t="s">
        <v>345</v>
      </c>
      <c r="B28" s="667">
        <v>-3715572.69</v>
      </c>
      <c r="C28" s="667">
        <v>-3932605.3</v>
      </c>
      <c r="D28" s="667">
        <v>-3557803.46</v>
      </c>
      <c r="E28" s="667">
        <v>-4090246.65</v>
      </c>
      <c r="F28" s="667">
        <v>-4592187.38</v>
      </c>
      <c r="G28" s="667">
        <v>-5511399.3099999996</v>
      </c>
      <c r="H28" s="667">
        <v>-4683127.7</v>
      </c>
      <c r="I28" s="667">
        <v>-4536044.1380000003</v>
      </c>
      <c r="J28" s="667">
        <v>-4263182.3099999996</v>
      </c>
      <c r="K28" s="667">
        <v>-3747925.53</v>
      </c>
      <c r="L28" s="667">
        <v>-2770053.69</v>
      </c>
      <c r="M28" s="667">
        <v>-2752581.24</v>
      </c>
      <c r="N28" s="678">
        <f t="shared" si="0"/>
        <v>-48152729.398000002</v>
      </c>
      <c r="O28" s="677"/>
      <c r="P28" s="679"/>
      <c r="Q28" s="677"/>
      <c r="R28" s="678"/>
      <c r="S28" s="678"/>
      <c r="T28" s="678"/>
      <c r="U28" s="678"/>
    </row>
    <row r="29" spans="1:21" hidden="1" outlineLevel="1">
      <c r="A29" s="666" t="s">
        <v>344</v>
      </c>
      <c r="B29" s="667">
        <v>1277178.72</v>
      </c>
      <c r="C29" s="667">
        <v>1354283.93</v>
      </c>
      <c r="D29" s="667">
        <v>1222084.3400000001</v>
      </c>
      <c r="E29" s="667">
        <v>1430882.74</v>
      </c>
      <c r="F29" s="667">
        <v>1650438.23</v>
      </c>
      <c r="G29" s="667">
        <v>1967454.28</v>
      </c>
      <c r="H29" s="667">
        <v>1813379.21</v>
      </c>
      <c r="I29" s="667">
        <v>1747478.9950000001</v>
      </c>
      <c r="J29" s="667">
        <v>1657962.47</v>
      </c>
      <c r="K29" s="667">
        <v>1458102.84</v>
      </c>
      <c r="L29" s="667">
        <v>1301378.43</v>
      </c>
      <c r="M29" s="667">
        <v>1274413.2</v>
      </c>
      <c r="N29" s="678">
        <f t="shared" si="0"/>
        <v>18155037.385000002</v>
      </c>
      <c r="O29" s="677"/>
      <c r="P29" s="679"/>
      <c r="Q29" s="677"/>
      <c r="R29" s="678"/>
      <c r="S29" s="678"/>
      <c r="T29" s="678"/>
      <c r="U29" s="678"/>
    </row>
    <row r="30" spans="1:21" hidden="1" outlineLevel="1">
      <c r="A30" s="666" t="s">
        <v>343</v>
      </c>
      <c r="B30" s="667">
        <v>-449176.22</v>
      </c>
      <c r="C30" s="667">
        <v>-477261.1</v>
      </c>
      <c r="D30" s="667">
        <v>-431203.48</v>
      </c>
      <c r="E30" s="667">
        <v>-500928.56</v>
      </c>
      <c r="F30" s="667">
        <v>-568582.67000000004</v>
      </c>
      <c r="G30" s="667">
        <v>-687009.09</v>
      </c>
      <c r="H30" s="667">
        <v>-604665.37</v>
      </c>
      <c r="I30" s="667">
        <v>-577962.26100000006</v>
      </c>
      <c r="J30" s="667">
        <v>-555445.5</v>
      </c>
      <c r="K30" s="667">
        <v>-478284.43</v>
      </c>
      <c r="L30" s="667">
        <v>-421355.63</v>
      </c>
      <c r="M30" s="667">
        <v>-414782.22</v>
      </c>
      <c r="N30" s="678">
        <f t="shared" si="0"/>
        <v>-6166656.5309999995</v>
      </c>
      <c r="O30" s="677"/>
      <c r="P30" s="679"/>
      <c r="Q30" s="677"/>
      <c r="R30" s="678"/>
      <c r="S30" s="678"/>
      <c r="T30" s="678"/>
      <c r="U30" s="678"/>
    </row>
    <row r="31" spans="1:21" hidden="1" outlineLevel="1">
      <c r="A31" s="666" t="s">
        <v>342</v>
      </c>
      <c r="B31" s="667">
        <v>-92.95</v>
      </c>
      <c r="C31" s="667">
        <v>1528.49</v>
      </c>
      <c r="D31" s="667">
        <v>0.2</v>
      </c>
      <c r="E31" s="667">
        <v>-141.87</v>
      </c>
      <c r="F31" s="667">
        <v>0.91</v>
      </c>
      <c r="G31" s="667">
        <v>-0.21</v>
      </c>
      <c r="H31" s="667">
        <v>6.64</v>
      </c>
      <c r="I31" s="667"/>
      <c r="J31" s="667">
        <v>-60.8</v>
      </c>
      <c r="K31" s="667">
        <v>-103.14</v>
      </c>
      <c r="L31" s="667">
        <v>-160.86000000000001</v>
      </c>
      <c r="M31" s="667">
        <v>-168.65</v>
      </c>
      <c r="N31" s="678">
        <f t="shared" si="0"/>
        <v>807.76</v>
      </c>
      <c r="O31" s="677"/>
      <c r="P31" s="679"/>
      <c r="Q31" s="677"/>
      <c r="R31" s="678"/>
      <c r="S31" s="678"/>
      <c r="T31" s="678"/>
      <c r="U31" s="678"/>
    </row>
    <row r="32" spans="1:21" hidden="1" outlineLevel="1">
      <c r="A32" s="666" t="s">
        <v>341</v>
      </c>
      <c r="B32" s="667">
        <v>-34.270000000000003</v>
      </c>
      <c r="C32" s="667">
        <v>885.87</v>
      </c>
      <c r="D32" s="667">
        <v>2.21</v>
      </c>
      <c r="E32" s="667">
        <v>-53.82</v>
      </c>
      <c r="F32" s="667">
        <v>13.98</v>
      </c>
      <c r="G32" s="667">
        <v>1.49</v>
      </c>
      <c r="H32" s="667">
        <v>-68038.11</v>
      </c>
      <c r="I32" s="667">
        <v>-61500.277999999998</v>
      </c>
      <c r="J32" s="667">
        <v>-59734.09</v>
      </c>
      <c r="K32" s="667">
        <v>-52535.06</v>
      </c>
      <c r="L32" s="667">
        <v>-47060.78</v>
      </c>
      <c r="M32" s="667">
        <v>-46204.39</v>
      </c>
      <c r="N32" s="678">
        <f t="shared" si="0"/>
        <v>-334257.24800000002</v>
      </c>
      <c r="O32" s="677"/>
      <c r="P32" s="679"/>
      <c r="Q32" s="677"/>
      <c r="R32" s="678"/>
      <c r="S32" s="678"/>
      <c r="T32" s="678"/>
      <c r="U32" s="678"/>
    </row>
    <row r="33" spans="1:21" hidden="1" outlineLevel="1">
      <c r="A33" s="666" t="s">
        <v>340</v>
      </c>
      <c r="B33" s="667">
        <v>4546648.88</v>
      </c>
      <c r="C33" s="667">
        <v>4820541.63</v>
      </c>
      <c r="D33" s="667">
        <v>4389588.3099999996</v>
      </c>
      <c r="E33" s="667">
        <v>5023465.9000000004</v>
      </c>
      <c r="F33" s="667">
        <v>5684453.3200000003</v>
      </c>
      <c r="G33" s="667">
        <v>6835478.6699999999</v>
      </c>
      <c r="H33" s="667">
        <v>6350268.9900000002</v>
      </c>
      <c r="I33" s="667">
        <v>6353568.9720000001</v>
      </c>
      <c r="J33" s="667">
        <v>5778030.3700000001</v>
      </c>
      <c r="K33" s="667">
        <v>5001276.01</v>
      </c>
      <c r="L33" s="667">
        <v>4387665.91</v>
      </c>
      <c r="M33" s="667">
        <v>4267668.5999999996</v>
      </c>
      <c r="N33" s="678">
        <f t="shared" si="0"/>
        <v>63438655.561999999</v>
      </c>
      <c r="O33" s="677"/>
      <c r="P33" s="679"/>
      <c r="Q33" s="677"/>
      <c r="R33" s="678"/>
      <c r="S33" s="678"/>
      <c r="T33" s="678"/>
      <c r="U33" s="678"/>
    </row>
    <row r="34" spans="1:21" hidden="1" outlineLevel="1">
      <c r="A34" s="666" t="s">
        <v>339</v>
      </c>
      <c r="B34" s="667">
        <v>1690389.02</v>
      </c>
      <c r="C34" s="667">
        <v>1802773.3</v>
      </c>
      <c r="D34" s="667">
        <v>1611884.16</v>
      </c>
      <c r="E34" s="667">
        <v>1970020.59</v>
      </c>
      <c r="F34" s="667">
        <v>2278320.35</v>
      </c>
      <c r="G34" s="667">
        <v>708312.01</v>
      </c>
      <c r="H34" s="667">
        <v>695117.31</v>
      </c>
      <c r="I34" s="667">
        <v>24590.12</v>
      </c>
      <c r="J34" s="667">
        <v>785.62</v>
      </c>
      <c r="K34" s="667">
        <v>362.73</v>
      </c>
      <c r="L34" s="667">
        <v>1873.76</v>
      </c>
      <c r="M34" s="667">
        <v>-1312.35</v>
      </c>
      <c r="N34" s="678">
        <f t="shared" si="0"/>
        <v>10783116.619999999</v>
      </c>
      <c r="O34" s="677"/>
      <c r="P34" s="679"/>
      <c r="Q34" s="677"/>
      <c r="R34" s="678"/>
      <c r="S34" s="678"/>
      <c r="T34" s="678"/>
      <c r="U34" s="678"/>
    </row>
    <row r="35" spans="1:21" hidden="1" outlineLevel="1">
      <c r="A35" s="666" t="s">
        <v>338</v>
      </c>
      <c r="B35" s="667">
        <v>10251413.619999999</v>
      </c>
      <c r="C35" s="667">
        <v>10805084.630000001</v>
      </c>
      <c r="D35" s="667">
        <v>9899756.4000000004</v>
      </c>
      <c r="E35" s="667">
        <v>11554443.51</v>
      </c>
      <c r="F35" s="667">
        <v>13224886.689999999</v>
      </c>
      <c r="G35" s="667"/>
      <c r="H35" s="667"/>
      <c r="I35" s="667"/>
      <c r="J35" s="667"/>
      <c r="K35" s="667"/>
      <c r="L35" s="667"/>
      <c r="M35" s="667"/>
      <c r="N35" s="678">
        <f t="shared" si="0"/>
        <v>55735584.849999994</v>
      </c>
      <c r="O35" s="677"/>
      <c r="P35" s="679"/>
      <c r="Q35" s="677"/>
      <c r="R35" s="678"/>
      <c r="S35" s="678"/>
      <c r="T35" s="678"/>
      <c r="U35" s="678"/>
    </row>
    <row r="36" spans="1:21" hidden="1" outlineLevel="1">
      <c r="A36" s="666" t="s">
        <v>337</v>
      </c>
      <c r="B36" s="667" t="s">
        <v>336</v>
      </c>
      <c r="C36" s="667" t="s">
        <v>336</v>
      </c>
      <c r="D36" s="667" t="s">
        <v>336</v>
      </c>
      <c r="E36" s="667" t="s">
        <v>336</v>
      </c>
      <c r="F36" s="667" t="s">
        <v>336</v>
      </c>
      <c r="G36" s="667" t="s">
        <v>336</v>
      </c>
      <c r="H36" s="667" t="s">
        <v>336</v>
      </c>
      <c r="I36" s="667" t="s">
        <v>336</v>
      </c>
      <c r="J36" s="667" t="s">
        <v>336</v>
      </c>
      <c r="K36" s="667" t="s">
        <v>336</v>
      </c>
      <c r="L36" s="667" t="s">
        <v>336</v>
      </c>
      <c r="M36" s="667" t="s">
        <v>336</v>
      </c>
      <c r="N36" s="678">
        <f t="shared" si="0"/>
        <v>0</v>
      </c>
      <c r="O36" s="677"/>
      <c r="P36" s="679"/>
      <c r="Q36" s="677"/>
      <c r="R36" s="678"/>
      <c r="S36" s="678"/>
      <c r="T36" s="678"/>
      <c r="U36" s="678"/>
    </row>
    <row r="37" spans="1:21" collapsed="1">
      <c r="A37" s="666" t="s">
        <v>335</v>
      </c>
      <c r="B37" s="667">
        <v>-25233099.920000002</v>
      </c>
      <c r="C37" s="667">
        <v>-32748978.59</v>
      </c>
      <c r="D37" s="667">
        <v>-27875200.09</v>
      </c>
      <c r="E37" s="667">
        <v>-36093854.149999999</v>
      </c>
      <c r="F37" s="667">
        <v>-46023567.409999996</v>
      </c>
      <c r="G37" s="667">
        <v>-53098798.950000003</v>
      </c>
      <c r="H37" s="667">
        <v>-47710428.439999998</v>
      </c>
      <c r="I37" s="667">
        <v>-39707661.770000003</v>
      </c>
      <c r="J37" s="667">
        <v>-37846787.909999996</v>
      </c>
      <c r="K37" s="667">
        <v>-36290475.850000001</v>
      </c>
      <c r="L37" s="667">
        <v>-33658507.049999997</v>
      </c>
      <c r="M37" s="667">
        <v>-31142885.48</v>
      </c>
      <c r="N37" s="678">
        <f t="shared" si="0"/>
        <v>-447430245.61000007</v>
      </c>
      <c r="O37" s="677" t="s">
        <v>475</v>
      </c>
      <c r="P37" s="679"/>
      <c r="Q37" s="677"/>
      <c r="R37" s="678"/>
      <c r="S37" s="678"/>
      <c r="T37" s="678"/>
      <c r="U37" s="678"/>
    </row>
    <row r="38" spans="1:21" hidden="1" outlineLevel="1">
      <c r="A38" s="666" t="s">
        <v>334</v>
      </c>
      <c r="B38" s="667">
        <v>41239.08</v>
      </c>
      <c r="C38" s="667">
        <v>45492.74</v>
      </c>
      <c r="D38" s="667">
        <v>41794.49</v>
      </c>
      <c r="E38" s="667"/>
      <c r="F38" s="667"/>
      <c r="G38" s="667"/>
      <c r="H38" s="667"/>
      <c r="I38" s="667"/>
      <c r="J38" s="667"/>
      <c r="K38" s="667"/>
      <c r="L38" s="667"/>
      <c r="M38" s="667"/>
      <c r="N38" s="678">
        <f t="shared" si="0"/>
        <v>128526.31</v>
      </c>
      <c r="O38" s="677"/>
      <c r="P38" s="679"/>
      <c r="Q38" s="677"/>
      <c r="R38" s="678"/>
      <c r="S38" s="678"/>
      <c r="T38" s="678"/>
      <c r="U38" s="678"/>
    </row>
    <row r="39" spans="1:21" collapsed="1">
      <c r="A39" s="666" t="s">
        <v>333</v>
      </c>
      <c r="B39" s="667">
        <v>-9675278.1799999997</v>
      </c>
      <c r="C39" s="667">
        <v>-9830034.2599999998</v>
      </c>
      <c r="D39" s="667">
        <v>-10518856.060000001</v>
      </c>
      <c r="E39" s="667">
        <v>-9801241.7100000009</v>
      </c>
      <c r="F39" s="667">
        <v>-9870283.0700000003</v>
      </c>
      <c r="G39" s="667">
        <v>-9879042</v>
      </c>
      <c r="H39" s="667">
        <v>-9742316.5899999999</v>
      </c>
      <c r="I39" s="667">
        <v>-9668269.7899999991</v>
      </c>
      <c r="J39" s="667">
        <v>-9531005.0500000007</v>
      </c>
      <c r="K39" s="667">
        <v>-9472831.9199999999</v>
      </c>
      <c r="L39" s="667">
        <v>-9156560.0800000001</v>
      </c>
      <c r="M39" s="667">
        <v>-9392380.5899999999</v>
      </c>
      <c r="N39" s="678">
        <f t="shared" si="0"/>
        <v>-116538099.3</v>
      </c>
      <c r="O39" s="677" t="s">
        <v>475</v>
      </c>
      <c r="P39" s="679"/>
      <c r="Q39" s="677"/>
      <c r="R39" s="678"/>
      <c r="S39" s="678"/>
      <c r="T39" s="678"/>
      <c r="U39" s="678"/>
    </row>
    <row r="40" spans="1:21">
      <c r="A40" s="666" t="s">
        <v>332</v>
      </c>
      <c r="B40" s="667"/>
      <c r="C40" s="667"/>
      <c r="D40" s="667"/>
      <c r="E40" s="667">
        <v>0</v>
      </c>
      <c r="F40" s="667">
        <v>0</v>
      </c>
      <c r="G40" s="667">
        <v>0</v>
      </c>
      <c r="H40" s="667"/>
      <c r="I40" s="667"/>
      <c r="J40" s="667"/>
      <c r="K40" s="667"/>
      <c r="L40" s="667"/>
      <c r="M40" s="667"/>
      <c r="N40" s="678">
        <f t="shared" si="0"/>
        <v>0</v>
      </c>
      <c r="O40" s="677"/>
      <c r="P40" s="679"/>
      <c r="Q40" s="677"/>
      <c r="R40" s="678"/>
      <c r="S40" s="678"/>
      <c r="T40" s="678"/>
      <c r="U40" s="678"/>
    </row>
    <row r="41" spans="1:21" hidden="1" outlineLevel="1">
      <c r="A41" s="666" t="s">
        <v>331</v>
      </c>
      <c r="B41" s="667">
        <v>-34867139.020000003</v>
      </c>
      <c r="C41" s="667">
        <v>-42533520.109999999</v>
      </c>
      <c r="D41" s="667">
        <v>-38352261.659999996</v>
      </c>
      <c r="E41" s="667">
        <v>-45895095.859999999</v>
      </c>
      <c r="F41" s="667">
        <v>-55893850.479999997</v>
      </c>
      <c r="G41" s="667">
        <v>-62977840.950000003</v>
      </c>
      <c r="H41" s="667">
        <v>-57452745.030000001</v>
      </c>
      <c r="I41" s="667">
        <v>-49375931.560000002</v>
      </c>
      <c r="J41" s="667">
        <v>-47377792.960000001</v>
      </c>
      <c r="K41" s="667">
        <v>-45763307.770000003</v>
      </c>
      <c r="L41" s="667">
        <v>-42815067.130000003</v>
      </c>
      <c r="M41" s="667">
        <v>-40535266.07</v>
      </c>
      <c r="N41" s="678">
        <f t="shared" si="0"/>
        <v>-563839818.60000002</v>
      </c>
      <c r="O41" s="677"/>
      <c r="P41" s="679"/>
      <c r="Q41" s="677"/>
      <c r="R41" s="678"/>
      <c r="S41" s="678"/>
      <c r="T41" s="678"/>
      <c r="U41" s="678"/>
    </row>
    <row r="42" spans="1:21" collapsed="1">
      <c r="A42" s="666" t="s">
        <v>330</v>
      </c>
      <c r="B42" s="667">
        <v>-22310667.32</v>
      </c>
      <c r="C42" s="667">
        <v>-25543401.239999998</v>
      </c>
      <c r="D42" s="667">
        <v>-18729841.399999999</v>
      </c>
      <c r="E42" s="667">
        <v>-16896825.289999999</v>
      </c>
      <c r="F42" s="667">
        <v>-16532441.98</v>
      </c>
      <c r="G42" s="667">
        <v>-20788732.460000001</v>
      </c>
      <c r="H42" s="667">
        <v>-12491884.539999999</v>
      </c>
      <c r="I42" s="667">
        <v>-13524142.07</v>
      </c>
      <c r="J42" s="667">
        <v>-16407344.59</v>
      </c>
      <c r="K42" s="667">
        <v>-9143404.7400000002</v>
      </c>
      <c r="L42" s="667">
        <v>-8650501.1699999999</v>
      </c>
      <c r="M42" s="667">
        <v>-11955784.689999999</v>
      </c>
      <c r="N42" s="678">
        <f t="shared" si="0"/>
        <v>-192974971.48999998</v>
      </c>
      <c r="O42" s="677" t="s">
        <v>475</v>
      </c>
      <c r="P42" s="679"/>
      <c r="Q42" s="677"/>
      <c r="R42" s="678"/>
      <c r="S42" s="678"/>
      <c r="T42" s="678"/>
      <c r="U42" s="678"/>
    </row>
    <row r="43" spans="1:21" hidden="1" outlineLevel="1">
      <c r="A43" s="666" t="s">
        <v>329</v>
      </c>
      <c r="B43" s="667">
        <v>4727188.3899999997</v>
      </c>
      <c r="C43" s="667">
        <v>4961664.34</v>
      </c>
      <c r="D43" s="667">
        <v>4557022.49</v>
      </c>
      <c r="E43" s="667">
        <v>6191289.2699999996</v>
      </c>
      <c r="F43" s="667">
        <v>7482406.5999999996</v>
      </c>
      <c r="G43" s="667">
        <v>9446135.8399999999</v>
      </c>
      <c r="H43" s="667">
        <v>8456210.3900000006</v>
      </c>
      <c r="I43" s="667">
        <v>7868685.2800000003</v>
      </c>
      <c r="J43" s="667">
        <v>7618475.3600000003</v>
      </c>
      <c r="K43" s="667">
        <v>6179500.6200000001</v>
      </c>
      <c r="L43" s="667">
        <v>4961224.07</v>
      </c>
      <c r="M43" s="667">
        <v>4950757.91</v>
      </c>
      <c r="N43" s="678">
        <f t="shared" si="0"/>
        <v>77400560.560000002</v>
      </c>
      <c r="O43" s="677"/>
      <c r="P43" s="679"/>
      <c r="Q43" s="677"/>
      <c r="R43" s="678"/>
      <c r="S43" s="678"/>
      <c r="T43" s="678"/>
      <c r="U43" s="678"/>
    </row>
    <row r="44" spans="1:21" hidden="1" outlineLevel="1">
      <c r="A44" s="666" t="s">
        <v>328</v>
      </c>
      <c r="B44" s="667">
        <v>-52450617.950000003</v>
      </c>
      <c r="C44" s="667">
        <v>-63115257.009999998</v>
      </c>
      <c r="D44" s="667">
        <v>-52525080.57</v>
      </c>
      <c r="E44" s="667">
        <v>-56600631.880000003</v>
      </c>
      <c r="F44" s="667">
        <v>-64943885.859999999</v>
      </c>
      <c r="G44" s="667">
        <v>-74320437.569999993</v>
      </c>
      <c r="H44" s="667">
        <v>-61488419.18</v>
      </c>
      <c r="I44" s="667">
        <v>-55031388.350000001</v>
      </c>
      <c r="J44" s="667">
        <v>-56166662.189999998</v>
      </c>
      <c r="K44" s="667">
        <v>-48727211.890000001</v>
      </c>
      <c r="L44" s="667">
        <v>-46504344.229999997</v>
      </c>
      <c r="M44" s="667">
        <v>-47540292.850000001</v>
      </c>
      <c r="N44" s="678">
        <f t="shared" si="0"/>
        <v>-679414229.53000009</v>
      </c>
      <c r="O44" s="677"/>
      <c r="P44" s="679"/>
      <c r="Q44" s="677"/>
      <c r="R44" s="678"/>
      <c r="S44" s="678"/>
      <c r="T44" s="678"/>
      <c r="U44" s="678"/>
    </row>
    <row r="45" spans="1:21" hidden="1" outlineLevel="1">
      <c r="A45" s="666" t="s">
        <v>327</v>
      </c>
      <c r="B45" s="667">
        <v>-57177806.340000004</v>
      </c>
      <c r="C45" s="667">
        <v>-68076921.349999994</v>
      </c>
      <c r="D45" s="667">
        <v>-57082103.060000002</v>
      </c>
      <c r="E45" s="667">
        <v>-62791921.149999999</v>
      </c>
      <c r="F45" s="667">
        <v>-72426292.459999993</v>
      </c>
      <c r="G45" s="667">
        <v>-83766573.409999996</v>
      </c>
      <c r="H45" s="667">
        <v>-69944629.569999993</v>
      </c>
      <c r="I45" s="667">
        <v>-62900073.630000003</v>
      </c>
      <c r="J45" s="667">
        <v>-63785137.549999997</v>
      </c>
      <c r="K45" s="667">
        <v>-54906712.509999998</v>
      </c>
      <c r="L45" s="667">
        <v>-51465568.299999997</v>
      </c>
      <c r="M45" s="667">
        <v>-52491050.759999998</v>
      </c>
      <c r="N45" s="678">
        <f t="shared" si="0"/>
        <v>-756814790.08999991</v>
      </c>
      <c r="O45" s="677"/>
      <c r="P45" s="679"/>
      <c r="Q45" s="677"/>
      <c r="R45" s="678"/>
      <c r="S45" s="678"/>
      <c r="T45" s="678"/>
      <c r="U45" s="678"/>
    </row>
    <row r="46" spans="1:21" hidden="1" outlineLevel="1">
      <c r="A46" s="666" t="s">
        <v>326</v>
      </c>
      <c r="B46" s="667">
        <v>126074230.83</v>
      </c>
      <c r="C46" s="667">
        <v>121372095.13</v>
      </c>
      <c r="D46" s="667">
        <v>122005676.08</v>
      </c>
      <c r="E46" s="667">
        <v>132500720.81</v>
      </c>
      <c r="F46" s="667">
        <v>143527777.65000001</v>
      </c>
      <c r="G46" s="667">
        <v>212434996.56999999</v>
      </c>
      <c r="H46" s="667">
        <v>189919651.25999999</v>
      </c>
      <c r="I46" s="667">
        <v>171516661.80000001</v>
      </c>
      <c r="J46" s="667">
        <v>165563205.69999999</v>
      </c>
      <c r="K46" s="667">
        <v>133651350.75</v>
      </c>
      <c r="L46" s="667">
        <v>115577668.97</v>
      </c>
      <c r="M46" s="667">
        <v>109509077.29000001</v>
      </c>
      <c r="N46" s="678">
        <f t="shared" si="0"/>
        <v>1743653112.8399999</v>
      </c>
      <c r="O46" s="677"/>
      <c r="P46" s="679"/>
      <c r="Q46" s="677"/>
      <c r="R46" s="678"/>
      <c r="S46" s="678"/>
      <c r="T46" s="678"/>
      <c r="U46" s="678"/>
    </row>
    <row r="47" spans="1:21" collapsed="1">
      <c r="A47" s="677"/>
      <c r="O47" s="677"/>
      <c r="P47" s="679"/>
      <c r="Q47" s="677"/>
      <c r="R47" s="678"/>
      <c r="S47" s="678"/>
      <c r="T47" s="678"/>
      <c r="U47" s="678"/>
    </row>
    <row r="48" spans="1:21">
      <c r="A48" s="666" t="s">
        <v>394</v>
      </c>
      <c r="B48" s="667">
        <f>-SUM(B16,B18,B37,B39,B42)</f>
        <v>49620007.18</v>
      </c>
      <c r="C48" s="667">
        <f t="shared" ref="C48:N48" si="1">-SUM(C16,C18,C37,C39,C42)</f>
        <v>58065782.359999999</v>
      </c>
      <c r="D48" s="667">
        <f t="shared" si="1"/>
        <v>51305168.789999999</v>
      </c>
      <c r="E48" s="667">
        <f t="shared" si="1"/>
        <v>57262393.460000001</v>
      </c>
      <c r="F48" s="667">
        <f t="shared" si="1"/>
        <v>65232500.579999998</v>
      </c>
      <c r="G48" s="667">
        <f t="shared" si="1"/>
        <v>77108654.849999994</v>
      </c>
      <c r="H48" s="667">
        <f t="shared" si="1"/>
        <v>65511678.249999993</v>
      </c>
      <c r="I48" s="667">
        <f t="shared" si="1"/>
        <v>59419245.25</v>
      </c>
      <c r="J48" s="667">
        <f t="shared" si="1"/>
        <v>60003715.560000002</v>
      </c>
      <c r="K48" s="667">
        <f t="shared" si="1"/>
        <v>51023097.880000003</v>
      </c>
      <c r="L48" s="667">
        <f t="shared" si="1"/>
        <v>47961305.379999995</v>
      </c>
      <c r="M48" s="667">
        <f t="shared" si="1"/>
        <v>47767571.879999995</v>
      </c>
      <c r="N48" s="667">
        <f t="shared" si="1"/>
        <v>690281121.42000008</v>
      </c>
      <c r="O48" s="677"/>
      <c r="P48" s="679"/>
      <c r="Q48" s="677"/>
      <c r="R48" s="678"/>
      <c r="S48" s="678"/>
      <c r="T48" s="678"/>
      <c r="U48" s="678"/>
    </row>
    <row r="49" spans="1:21">
      <c r="A49" s="677"/>
      <c r="O49" s="677"/>
      <c r="P49" s="677"/>
      <c r="Q49" s="677"/>
      <c r="R49" s="678"/>
      <c r="S49" s="678"/>
      <c r="T49" s="678"/>
      <c r="U49" s="678"/>
    </row>
    <row r="50" spans="1:21">
      <c r="A50" s="666" t="s">
        <v>395</v>
      </c>
      <c r="B50" s="668">
        <f>+'FPC Deferral'!N12</f>
        <v>-5412068</v>
      </c>
      <c r="C50" s="668">
        <f>+'FPC Deferral'!M12</f>
        <v>-3131385</v>
      </c>
      <c r="D50" s="668">
        <f>+'FPC Deferral'!L12</f>
        <v>-7139185</v>
      </c>
      <c r="E50" s="668">
        <f>+'FPC Deferral'!K12</f>
        <v>-2175100</v>
      </c>
      <c r="F50" s="668">
        <f>+'FPC Deferral'!J12</f>
        <v>2282251</v>
      </c>
      <c r="G50" s="668">
        <f>+'FPC Deferral'!I12</f>
        <v>5434485</v>
      </c>
      <c r="H50" s="668">
        <f>+'FPC Deferral'!H12</f>
        <v>1694.72</v>
      </c>
      <c r="I50" s="668"/>
      <c r="J50" s="668"/>
      <c r="K50" s="668">
        <f>+'FPC Deferral'!E12</f>
        <v>4698477.6399999997</v>
      </c>
      <c r="N50" s="678">
        <f t="shared" ref="N50" si="2">SUM(B50:M50)</f>
        <v>-5440829.6399999997</v>
      </c>
      <c r="O50" s="677"/>
      <c r="P50" s="677"/>
      <c r="Q50" s="677"/>
      <c r="R50" s="678"/>
      <c r="S50" s="678"/>
      <c r="T50" s="678"/>
      <c r="U50" s="678"/>
    </row>
    <row r="51" spans="1:21">
      <c r="A51" s="677"/>
      <c r="P51" s="678"/>
      <c r="Q51" s="678"/>
      <c r="R51" s="678"/>
      <c r="S51" s="678"/>
      <c r="T51" s="678"/>
      <c r="U51" s="678"/>
    </row>
    <row r="52" spans="1:21">
      <c r="A52" s="677" t="s">
        <v>399</v>
      </c>
      <c r="B52" s="670">
        <f>SUM(B48:B50)</f>
        <v>44207939.18</v>
      </c>
      <c r="C52" s="670">
        <f t="shared" ref="C52:N52" si="3">SUM(C48:C50)</f>
        <v>54934397.359999999</v>
      </c>
      <c r="D52" s="670">
        <f t="shared" si="3"/>
        <v>44165983.789999999</v>
      </c>
      <c r="E52" s="670">
        <f t="shared" si="3"/>
        <v>55087293.460000001</v>
      </c>
      <c r="F52" s="670">
        <f t="shared" si="3"/>
        <v>67514751.579999998</v>
      </c>
      <c r="G52" s="670">
        <f t="shared" si="3"/>
        <v>82543139.849999994</v>
      </c>
      <c r="H52" s="670">
        <f t="shared" si="3"/>
        <v>65513372.969999991</v>
      </c>
      <c r="I52" s="670">
        <f t="shared" si="3"/>
        <v>59419245.25</v>
      </c>
      <c r="J52" s="670">
        <f t="shared" si="3"/>
        <v>60003715.560000002</v>
      </c>
      <c r="K52" s="670">
        <f t="shared" si="3"/>
        <v>55721575.520000003</v>
      </c>
      <c r="L52" s="670">
        <f t="shared" si="3"/>
        <v>47961305.379999995</v>
      </c>
      <c r="M52" s="670">
        <f t="shared" si="3"/>
        <v>47767571.879999995</v>
      </c>
      <c r="N52" s="670">
        <f t="shared" si="3"/>
        <v>684840291.78000009</v>
      </c>
      <c r="P52" s="678"/>
      <c r="Q52" s="678"/>
      <c r="R52" s="678"/>
      <c r="S52" s="678"/>
      <c r="T52" s="678"/>
      <c r="U52" s="678"/>
    </row>
    <row r="53" spans="1:21" ht="15.75" thickBot="1">
      <c r="A53" s="677" t="s">
        <v>396</v>
      </c>
      <c r="B53" s="667">
        <f>-benefits!K18</f>
        <v>-147158.48000000001</v>
      </c>
      <c r="C53" s="667">
        <f>-benefits!L18</f>
        <v>-162337.15</v>
      </c>
      <c r="D53" s="667">
        <f>-benefits!M18</f>
        <v>-149140.32999999999</v>
      </c>
      <c r="E53" s="667">
        <f>-benefits!N18</f>
        <v>-161594.41</v>
      </c>
      <c r="F53" s="667">
        <f>-benefits!O18</f>
        <v>-151466.14000000001</v>
      </c>
      <c r="G53" s="667">
        <f>-benefits!P18</f>
        <v>-146288.76999999999</v>
      </c>
      <c r="H53" s="667">
        <f>-benefits!Q18</f>
        <v>-154163.609999999</v>
      </c>
      <c r="I53" s="667">
        <f>-benefits!R18</f>
        <v>-132423.5</v>
      </c>
      <c r="J53" s="667">
        <f>-benefits!S18</f>
        <v>-157797.93</v>
      </c>
      <c r="K53" s="667">
        <f>-benefits!T18</f>
        <v>-119657.22</v>
      </c>
      <c r="L53" s="667">
        <f>-benefits!U18</f>
        <v>-181560.44</v>
      </c>
      <c r="M53" s="667">
        <f>-benefits!V18</f>
        <v>-161935.74</v>
      </c>
      <c r="N53" s="678">
        <f t="shared" ref="N53" si="4">SUM(B53:M53)</f>
        <v>-1825523.7199999988</v>
      </c>
      <c r="O53" s="669"/>
      <c r="P53" s="678"/>
      <c r="Q53" s="678"/>
      <c r="R53" s="678"/>
      <c r="S53" s="678"/>
      <c r="T53" s="678"/>
      <c r="U53" s="678"/>
    </row>
    <row r="54" spans="1:21" ht="15.75" thickBot="1">
      <c r="A54" s="677" t="s">
        <v>401</v>
      </c>
      <c r="B54" s="671">
        <f t="shared" ref="B54:N54" si="5">SUM(B52:B53)</f>
        <v>44060780.700000003</v>
      </c>
      <c r="C54" s="671">
        <f t="shared" si="5"/>
        <v>54772060.210000001</v>
      </c>
      <c r="D54" s="671">
        <f t="shared" si="5"/>
        <v>44016843.460000001</v>
      </c>
      <c r="E54" s="671">
        <f t="shared" si="5"/>
        <v>54925699.050000004</v>
      </c>
      <c r="F54" s="671">
        <f t="shared" si="5"/>
        <v>67363285.439999998</v>
      </c>
      <c r="G54" s="671">
        <f t="shared" si="5"/>
        <v>82396851.079999998</v>
      </c>
      <c r="H54" s="671">
        <f t="shared" si="5"/>
        <v>65359209.359999992</v>
      </c>
      <c r="I54" s="671">
        <f t="shared" si="5"/>
        <v>59286821.75</v>
      </c>
      <c r="J54" s="671">
        <f t="shared" si="5"/>
        <v>59845917.630000003</v>
      </c>
      <c r="K54" s="671">
        <f t="shared" si="5"/>
        <v>55601918.300000004</v>
      </c>
      <c r="L54" s="671">
        <f t="shared" si="5"/>
        <v>47779744.939999998</v>
      </c>
      <c r="M54" s="671">
        <f t="shared" si="5"/>
        <v>47605636.139999993</v>
      </c>
      <c r="N54" s="672">
        <f t="shared" si="5"/>
        <v>683014768.06000006</v>
      </c>
      <c r="O54" s="673">
        <f>+'Lead Sheet'!C20</f>
        <v>683014768.05999994</v>
      </c>
      <c r="P54" s="678"/>
      <c r="Q54" s="678"/>
      <c r="R54" s="678"/>
      <c r="S54" s="678"/>
      <c r="T54" s="678"/>
      <c r="U54" s="678"/>
    </row>
    <row r="55" spans="1:21">
      <c r="A55" s="677"/>
      <c r="N55" s="680"/>
      <c r="O55" s="681" t="s">
        <v>402</v>
      </c>
      <c r="P55" s="678"/>
      <c r="Q55" s="678"/>
      <c r="R55" s="678"/>
      <c r="S55" s="678"/>
      <c r="T55" s="678"/>
      <c r="U55" s="678"/>
    </row>
    <row r="56" spans="1:21">
      <c r="A56" s="677" t="s">
        <v>397</v>
      </c>
      <c r="H56" s="667"/>
      <c r="I56" s="667"/>
      <c r="J56" s="667"/>
      <c r="K56" s="667"/>
      <c r="L56" s="667"/>
      <c r="M56" s="667"/>
      <c r="P56" s="678"/>
      <c r="Q56" s="678"/>
      <c r="R56" s="678"/>
      <c r="S56" s="678"/>
      <c r="T56" s="678"/>
      <c r="U56" s="678"/>
    </row>
    <row r="57" spans="1:21">
      <c r="A57" s="677" t="s">
        <v>371</v>
      </c>
      <c r="B57" s="667">
        <f>+'Summary Normalization'!H8</f>
        <v>-2148175.6854560291</v>
      </c>
      <c r="C57" s="667">
        <f>+'Summary Normalization'!I8</f>
        <v>-4540700.8222424807</v>
      </c>
      <c r="D57" s="667">
        <f>+'Summary Normalization'!J8</f>
        <v>-580210.81600147276</v>
      </c>
      <c r="E57" s="667">
        <f>+'Summary Normalization'!K8</f>
        <v>174215.08537901251</v>
      </c>
      <c r="F57" s="667">
        <f>+'Summary Normalization'!L8</f>
        <v>-247107.05114262865</v>
      </c>
      <c r="G57" s="667">
        <f>+'Summary Normalization'!M8</f>
        <v>-3937194.6363543049</v>
      </c>
      <c r="H57" s="667">
        <f>+'Summary Normalization'!N8</f>
        <v>4223462.5265702698</v>
      </c>
      <c r="I57" s="667">
        <f>+'Summary Normalization'!O8</f>
        <v>4477185.3552806322</v>
      </c>
      <c r="J57" s="667">
        <f>+'Summary Normalization'!P8</f>
        <v>988360.71872582613</v>
      </c>
      <c r="K57" s="667">
        <f>+'Summary Normalization'!Q8</f>
        <v>1335601.2289852134</v>
      </c>
      <c r="L57" s="667">
        <f>+'Summary Normalization'!R8</f>
        <v>-938479.10925760563</v>
      </c>
      <c r="M57" s="667">
        <f>+'Summary Normalization'!S8</f>
        <v>-208742.21423155366</v>
      </c>
      <c r="N57" s="667">
        <f>SUM(B57:M57)</f>
        <v>-1401785.4197451209</v>
      </c>
      <c r="P57" s="678"/>
      <c r="Q57" s="678"/>
      <c r="R57" s="678"/>
      <c r="S57" s="678"/>
      <c r="T57" s="678"/>
      <c r="U57" s="678"/>
    </row>
    <row r="58" spans="1:21" ht="30">
      <c r="A58" s="677" t="s">
        <v>400</v>
      </c>
      <c r="B58" s="667">
        <f t="array" ref="B58:M58">TRANSPOSE('Summary FPC Deferral'!G18:G29)</f>
        <v>4048204.3680637777</v>
      </c>
      <c r="C58" s="667">
        <v>3474268.3334659794</v>
      </c>
      <c r="D58" s="667">
        <v>6105900.5022855708</v>
      </c>
      <c r="E58" s="667">
        <v>2554572.6760815918</v>
      </c>
      <c r="F58" s="667">
        <v>-4055873.7452957719</v>
      </c>
      <c r="G58" s="667">
        <v>-7087697.4519524816</v>
      </c>
      <c r="H58" s="667">
        <v>-1694.72</v>
      </c>
      <c r="I58" s="667">
        <v>0</v>
      </c>
      <c r="J58" s="667">
        <v>0</v>
      </c>
      <c r="K58" s="667">
        <v>-4698477.6399999997</v>
      </c>
      <c r="L58" s="667">
        <v>0</v>
      </c>
      <c r="M58" s="667">
        <v>0</v>
      </c>
      <c r="N58" s="667">
        <f t="shared" ref="N58:N60" si="6">SUM(B58:M58)</f>
        <v>339202.3226486668</v>
      </c>
      <c r="P58" s="678"/>
      <c r="Q58" s="678"/>
      <c r="R58" s="678"/>
      <c r="S58" s="678"/>
      <c r="T58" s="678"/>
      <c r="U58" s="678"/>
    </row>
    <row r="59" spans="1:21">
      <c r="A59" s="677" t="s">
        <v>398</v>
      </c>
      <c r="B59" s="667">
        <f>+'CBR Jun 18 Sch B'!J18</f>
        <v>421253</v>
      </c>
      <c r="C59" s="667">
        <f>+'CBR Jun 18 Sch B'!K18</f>
        <v>421253</v>
      </c>
      <c r="D59" s="667">
        <f>+'CBR Jun 18 Sch B'!L18</f>
        <v>407664</v>
      </c>
      <c r="E59" s="667">
        <f>+'CBR Jun 18 Sch B'!M18</f>
        <v>412253</v>
      </c>
      <c r="F59" s="667">
        <f>+'CBR Jun 18 Sch B'!N18</f>
        <v>408230</v>
      </c>
      <c r="G59" s="667">
        <f>+'CBR Jun 18 Sch B'!O18</f>
        <v>430253</v>
      </c>
      <c r="H59" s="667">
        <f>+'CBR Jun 18 Sch B'!P18</f>
        <v>421253</v>
      </c>
      <c r="I59" s="667">
        <f>+'CBR Jun 18 Sch B'!Q18</f>
        <v>380486</v>
      </c>
      <c r="J59" s="667">
        <f>+'CBR Jun 18 Sch B'!R18</f>
        <v>420687</v>
      </c>
      <c r="K59" s="667">
        <f>+'CBR Jun 18 Sch B'!S18</f>
        <v>407664</v>
      </c>
      <c r="L59" s="667">
        <f>+'CBR Jun 18 Sch B'!T18</f>
        <v>421253</v>
      </c>
      <c r="M59" s="667">
        <f>+'CBR Jun 18 Sch B'!U18</f>
        <v>407664</v>
      </c>
      <c r="N59" s="667">
        <f t="shared" si="6"/>
        <v>4959913</v>
      </c>
      <c r="P59" s="678"/>
      <c r="Q59" s="678"/>
      <c r="R59" s="678"/>
      <c r="S59" s="678"/>
      <c r="T59" s="678"/>
      <c r="U59" s="678"/>
    </row>
    <row r="60" spans="1:21" ht="15.75" thickBot="1">
      <c r="A60" s="677" t="s">
        <v>410</v>
      </c>
      <c r="B60" s="669">
        <f>-'GAAP-only fuel valuation'!N15</f>
        <v>78193.440000000002</v>
      </c>
      <c r="C60" s="669">
        <f>-'GAAP-only fuel valuation'!M15</f>
        <v>0</v>
      </c>
      <c r="D60" s="669">
        <f>-'GAAP-only fuel valuation'!L15</f>
        <v>0</v>
      </c>
      <c r="E60" s="669">
        <f>-'GAAP-only fuel valuation'!K15</f>
        <v>0</v>
      </c>
      <c r="F60" s="669">
        <f>-'GAAP-only fuel valuation'!J15</f>
        <v>0</v>
      </c>
      <c r="G60" s="669">
        <f>-'GAAP-only fuel valuation'!I15</f>
        <v>-1063362.3600000001</v>
      </c>
      <c r="H60" s="669">
        <f>-'GAAP-only fuel valuation'!H15</f>
        <v>1063362.3600000001</v>
      </c>
      <c r="I60" s="669">
        <f>-'GAAP-only fuel valuation'!G15</f>
        <v>0</v>
      </c>
      <c r="J60" s="669">
        <f>-'GAAP-only fuel valuation'!F15</f>
        <v>0</v>
      </c>
      <c r="K60" s="669">
        <f>-'GAAP-only fuel valuation'!E15</f>
        <v>0</v>
      </c>
      <c r="L60" s="669">
        <f>-'GAAP-only fuel valuation'!D15</f>
        <v>0</v>
      </c>
      <c r="M60" s="669">
        <f>-'GAAP-only fuel valuation'!C15</f>
        <v>-1781968.95</v>
      </c>
      <c r="N60" s="667">
        <f t="shared" si="6"/>
        <v>-1703775.51</v>
      </c>
      <c r="P60" s="678"/>
      <c r="Q60" s="678"/>
      <c r="R60" s="678"/>
      <c r="S60" s="678"/>
      <c r="T60" s="678"/>
      <c r="U60" s="678"/>
    </row>
    <row r="61" spans="1:21" ht="15.75" thickBot="1">
      <c r="A61" s="677" t="s">
        <v>411</v>
      </c>
      <c r="B61" s="674">
        <f>SUM(B54:B60)</f>
        <v>46460255.822607748</v>
      </c>
      <c r="C61" s="674">
        <f t="shared" ref="C61:M61" si="7">SUM(C54:C60)</f>
        <v>54126880.721223496</v>
      </c>
      <c r="D61" s="674">
        <f t="shared" si="7"/>
        <v>49950197.146284096</v>
      </c>
      <c r="E61" s="674">
        <f t="shared" si="7"/>
        <v>58066739.811460607</v>
      </c>
      <c r="F61" s="674">
        <f t="shared" si="7"/>
        <v>63468534.643561594</v>
      </c>
      <c r="G61" s="674">
        <f t="shared" si="7"/>
        <v>70738849.631693199</v>
      </c>
      <c r="H61" s="674">
        <f t="shared" si="7"/>
        <v>71065592.526570261</v>
      </c>
      <c r="I61" s="674">
        <f t="shared" si="7"/>
        <v>64144493.10528063</v>
      </c>
      <c r="J61" s="674">
        <f t="shared" si="7"/>
        <v>61254965.348725826</v>
      </c>
      <c r="K61" s="674">
        <f t="shared" si="7"/>
        <v>52646705.888985217</v>
      </c>
      <c r="L61" s="674">
        <f t="shared" si="7"/>
        <v>47262518.830742389</v>
      </c>
      <c r="M61" s="674">
        <f t="shared" si="7"/>
        <v>46022588.975768439</v>
      </c>
      <c r="N61" s="674">
        <f>SUM(N54:N60)</f>
        <v>685208322.45290363</v>
      </c>
      <c r="O61" s="673">
        <f>+'Lead Sheet'!D20</f>
        <v>685208322.45290351</v>
      </c>
      <c r="P61" s="678"/>
      <c r="Q61" s="678"/>
      <c r="R61" s="678"/>
      <c r="S61" s="678"/>
      <c r="T61" s="678"/>
      <c r="U61" s="678"/>
    </row>
    <row r="62" spans="1:21" ht="15.75" thickTop="1">
      <c r="A62" s="677"/>
      <c r="N62" s="680">
        <f>+N61-O61</f>
        <v>0</v>
      </c>
      <c r="O62" s="681" t="s">
        <v>476</v>
      </c>
      <c r="P62" s="678"/>
      <c r="Q62" s="678"/>
      <c r="R62" s="678"/>
      <c r="S62" s="678"/>
      <c r="T62" s="678"/>
      <c r="U62" s="678"/>
    </row>
    <row r="63" spans="1:21">
      <c r="A63" s="682" t="s">
        <v>569</v>
      </c>
      <c r="N63" s="667"/>
      <c r="P63" s="678"/>
      <c r="Q63" s="678"/>
      <c r="R63" s="678"/>
      <c r="S63" s="678"/>
      <c r="T63" s="678"/>
      <c r="U63" s="678"/>
    </row>
    <row r="64" spans="1:21">
      <c r="A64" s="683" t="s">
        <v>481</v>
      </c>
      <c r="B64" s="684">
        <f>-B42+B60</f>
        <v>22388860.760000002</v>
      </c>
      <c r="C64" s="684">
        <f t="shared" ref="C64:N64" si="8">-C42+C60</f>
        <v>25543401.239999998</v>
      </c>
      <c r="D64" s="684">
        <f t="shared" si="8"/>
        <v>18729841.399999999</v>
      </c>
      <c r="E64" s="684">
        <f t="shared" si="8"/>
        <v>16896825.289999999</v>
      </c>
      <c r="F64" s="684">
        <f t="shared" si="8"/>
        <v>16532441.98</v>
      </c>
      <c r="G64" s="684">
        <f t="shared" si="8"/>
        <v>19725370.100000001</v>
      </c>
      <c r="H64" s="684">
        <f t="shared" si="8"/>
        <v>13555246.899999999</v>
      </c>
      <c r="I64" s="684">
        <f t="shared" si="8"/>
        <v>13524142.07</v>
      </c>
      <c r="J64" s="684">
        <f t="shared" si="8"/>
        <v>16407344.59</v>
      </c>
      <c r="K64" s="684">
        <f t="shared" si="8"/>
        <v>9143404.7400000002</v>
      </c>
      <c r="L64" s="684">
        <f t="shared" si="8"/>
        <v>8650501.1699999999</v>
      </c>
      <c r="M64" s="684">
        <f t="shared" si="8"/>
        <v>10173815.74</v>
      </c>
      <c r="N64" s="684">
        <f t="shared" si="8"/>
        <v>191271195.97999999</v>
      </c>
      <c r="O64" s="667"/>
      <c r="P64" s="678"/>
      <c r="Q64" s="678"/>
      <c r="R64" s="678"/>
      <c r="S64" s="678"/>
      <c r="T64" s="678"/>
      <c r="U64" s="678"/>
    </row>
    <row r="65" spans="1:21">
      <c r="A65" s="683" t="s">
        <v>557</v>
      </c>
      <c r="B65" s="684">
        <f>Reconciliations!C49</f>
        <v>30846895.34454396</v>
      </c>
      <c r="C65" s="684">
        <f>Reconciliations!D49</f>
        <v>35888083.367757507</v>
      </c>
      <c r="D65" s="684">
        <f>Reconciliations!E49</f>
        <v>32511691.113998521</v>
      </c>
      <c r="E65" s="684">
        <f>Reconciliations!F49</f>
        <v>41187266.465379</v>
      </c>
      <c r="F65" s="684">
        <f>Reconciliations!G49</f>
        <v>50836004.738857366</v>
      </c>
      <c r="G65" s="684">
        <f>Reconciliations!H49</f>
        <v>53302997.683645695</v>
      </c>
      <c r="H65" s="684">
        <f>Reconciliations!I49</f>
        <v>53941986.616570272</v>
      </c>
      <c r="I65" s="684">
        <f>Reconciliations!J49</f>
        <v>49302665.825280629</v>
      </c>
      <c r="J65" s="684">
        <f>Reconciliations!K49</f>
        <v>41890162.088725835</v>
      </c>
      <c r="K65" s="684">
        <f>Reconciliations!L49</f>
        <v>39492190.778985217</v>
      </c>
      <c r="L65" s="684">
        <f>Reconciliations!M49</f>
        <v>33527131.580742408</v>
      </c>
      <c r="M65" s="684">
        <f>Reconciliations!N49</f>
        <v>32658576.61576844</v>
      </c>
      <c r="N65" s="684">
        <f>SUM(B65:M65)</f>
        <v>495385652.22025478</v>
      </c>
      <c r="O65" s="667">
        <f>N65+N66+N68</f>
        <v>384088836.77164352</v>
      </c>
      <c r="P65" s="678"/>
      <c r="Q65" s="678"/>
      <c r="R65" s="678"/>
      <c r="S65" s="678"/>
      <c r="T65" s="678"/>
      <c r="U65" s="678"/>
    </row>
    <row r="66" spans="1:21">
      <c r="A66" s="683" t="s">
        <v>568</v>
      </c>
      <c r="B66" s="685">
        <f>+Reconciliations!C32</f>
        <v>-603370.64037453895</v>
      </c>
      <c r="C66" s="685">
        <f>+Reconciliations!D32</f>
        <v>1301671.8350276633</v>
      </c>
      <c r="D66" s="685">
        <f>+Reconciliations!E32</f>
        <v>-293258.25615275465</v>
      </c>
      <c r="E66" s="685">
        <f>+Reconciliations!F32</f>
        <v>1700444.0876432669</v>
      </c>
      <c r="F66" s="685">
        <f>+Reconciliations!G32</f>
        <v>-1153287.7137340978</v>
      </c>
      <c r="G66" s="685">
        <f>+Reconciliations!H32</f>
        <v>-697052.0703908084</v>
      </c>
      <c r="H66" s="685">
        <f>+Reconciliations!I32</f>
        <v>798827.63156167406</v>
      </c>
      <c r="I66" s="685">
        <f>+Reconciliations!J32</f>
        <v>689618.53156167408</v>
      </c>
      <c r="J66" s="685">
        <f>+Reconciliations!K32</f>
        <v>919795.79156167409</v>
      </c>
      <c r="K66" s="685">
        <f>+Reconciliations!L32</f>
        <v>820409.28156166524</v>
      </c>
      <c r="L66" s="685">
        <f>+Reconciliations!M32</f>
        <v>1030869.8315616642</v>
      </c>
      <c r="M66" s="685">
        <f>+Reconciliations!N32</f>
        <v>910444.09156167414</v>
      </c>
      <c r="N66" s="685">
        <f>SUM(B66:M66)</f>
        <v>5425112.401388756</v>
      </c>
      <c r="O66" s="667">
        <f>Reconciliations!G15+'Lead Sheet'!D18</f>
        <v>384088836.77164364</v>
      </c>
      <c r="P66" s="678"/>
      <c r="Q66" s="678"/>
      <c r="R66" s="678"/>
      <c r="S66" s="678"/>
      <c r="T66" s="678"/>
      <c r="U66" s="678"/>
    </row>
    <row r="67" spans="1:21">
      <c r="A67" s="686" t="s">
        <v>482</v>
      </c>
      <c r="B67" s="684">
        <f>-B39</f>
        <v>9675278.1799999997</v>
      </c>
      <c r="C67" s="684">
        <f t="shared" ref="C67:N67" si="9">-C39</f>
        <v>9830034.2599999998</v>
      </c>
      <c r="D67" s="684">
        <f t="shared" si="9"/>
        <v>10518856.060000001</v>
      </c>
      <c r="E67" s="684">
        <f t="shared" si="9"/>
        <v>9801241.7100000009</v>
      </c>
      <c r="F67" s="684">
        <f t="shared" si="9"/>
        <v>9870283.0700000003</v>
      </c>
      <c r="G67" s="684">
        <f t="shared" si="9"/>
        <v>9879042</v>
      </c>
      <c r="H67" s="684">
        <f t="shared" si="9"/>
        <v>9742316.5899999999</v>
      </c>
      <c r="I67" s="684">
        <f t="shared" si="9"/>
        <v>9668269.7899999991</v>
      </c>
      <c r="J67" s="684">
        <f t="shared" si="9"/>
        <v>9531005.0500000007</v>
      </c>
      <c r="K67" s="684">
        <f t="shared" si="9"/>
        <v>9472831.9199999999</v>
      </c>
      <c r="L67" s="684">
        <f t="shared" si="9"/>
        <v>9156560.0800000001</v>
      </c>
      <c r="M67" s="684">
        <f t="shared" si="9"/>
        <v>9392380.5899999999</v>
      </c>
      <c r="N67" s="684">
        <f t="shared" si="9"/>
        <v>116538099.3</v>
      </c>
      <c r="O67" s="667">
        <f>O65-O66</f>
        <v>0</v>
      </c>
      <c r="P67" s="678"/>
      <c r="Q67" s="678"/>
      <c r="R67" s="678"/>
      <c r="S67" s="678"/>
      <c r="T67" s="678"/>
      <c r="U67" s="678"/>
    </row>
    <row r="68" spans="1:21">
      <c r="A68" s="687" t="s">
        <v>556</v>
      </c>
      <c r="B68" s="684">
        <f>Reconciliations!C55</f>
        <v>-16202089.390000001</v>
      </c>
      <c r="C68" s="684">
        <f>Reconciliations!D55</f>
        <v>-18425274.529999997</v>
      </c>
      <c r="D68" s="684">
        <f>Reconciliations!E55</f>
        <v>-11596229.750000002</v>
      </c>
      <c r="E68" s="684">
        <f>Reconciliations!F55</f>
        <v>-10911731.069999998</v>
      </c>
      <c r="F68" s="684">
        <f>Reconciliations!G55</f>
        <v>-11074559.210000001</v>
      </c>
      <c r="G68" s="684">
        <f>Reconciliations!H55</f>
        <v>-11214951.02</v>
      </c>
      <c r="H68" s="684">
        <f>Reconciliations!I55</f>
        <v>-5325764.7700000005</v>
      </c>
      <c r="I68" s="684">
        <f>Reconciliations!J55</f>
        <v>-9107064.4800000004</v>
      </c>
      <c r="J68" s="684">
        <f>Reconciliations!K55</f>
        <v>-8562982.1699999999</v>
      </c>
      <c r="K68" s="684">
        <f>Reconciliations!L55</f>
        <v>-5289058.67</v>
      </c>
      <c r="L68" s="684">
        <f>Reconciliations!M55</f>
        <v>-3480241.899999999</v>
      </c>
      <c r="M68" s="684">
        <f>Reconciliations!N55</f>
        <v>-5531980.8899999997</v>
      </c>
      <c r="N68" s="684">
        <f>SUM(B68:M68)</f>
        <v>-116721927.85000001</v>
      </c>
      <c r="O68" s="667"/>
      <c r="P68" s="678"/>
      <c r="Q68" s="678"/>
      <c r="R68" s="678"/>
      <c r="S68" s="678"/>
      <c r="T68" s="678"/>
      <c r="U68" s="678"/>
    </row>
    <row r="69" spans="1:21">
      <c r="A69" s="687" t="s">
        <v>484</v>
      </c>
      <c r="B69" s="684">
        <f>-B18</f>
        <v>235496.47</v>
      </c>
      <c r="C69" s="684">
        <f t="shared" ref="C69:N69" si="10">-C18</f>
        <v>-70081.3</v>
      </c>
      <c r="D69" s="684">
        <f t="shared" si="10"/>
        <v>76672.75</v>
      </c>
      <c r="E69" s="684">
        <f t="shared" si="10"/>
        <v>-720035.23</v>
      </c>
      <c r="F69" s="684">
        <f t="shared" si="10"/>
        <v>-1582093.34</v>
      </c>
      <c r="G69" s="684">
        <f t="shared" si="10"/>
        <v>-1693930.89</v>
      </c>
      <c r="H69" s="684">
        <f t="shared" si="10"/>
        <v>-1743798.73</v>
      </c>
      <c r="I69" s="684">
        <f t="shared" si="10"/>
        <v>473555.29</v>
      </c>
      <c r="J69" s="684">
        <f t="shared" si="10"/>
        <v>601940.29</v>
      </c>
      <c r="K69" s="684">
        <f t="shared" si="10"/>
        <v>-1057439.8400000001</v>
      </c>
      <c r="L69" s="684">
        <f t="shared" si="10"/>
        <v>-1853558.52</v>
      </c>
      <c r="M69" s="684">
        <f t="shared" si="10"/>
        <v>-1801240.75</v>
      </c>
      <c r="N69" s="684">
        <f t="shared" si="10"/>
        <v>-9134513.7999999989</v>
      </c>
      <c r="P69" s="678"/>
      <c r="Q69" s="678"/>
      <c r="R69" s="678"/>
      <c r="S69" s="678"/>
      <c r="T69" s="678"/>
      <c r="U69" s="678"/>
    </row>
    <row r="70" spans="1:21" ht="15.75" thickBot="1">
      <c r="A70" s="688"/>
      <c r="B70" s="689">
        <f>SUM(B64:B69)</f>
        <v>46341070.724169418</v>
      </c>
      <c r="C70" s="689">
        <f t="shared" ref="C70:N70" si="11">SUM(C64:C69)</f>
        <v>54067834.872785181</v>
      </c>
      <c r="D70" s="689">
        <f t="shared" si="11"/>
        <v>49947573.317845769</v>
      </c>
      <c r="E70" s="689">
        <f t="shared" si="11"/>
        <v>57954011.253022268</v>
      </c>
      <c r="F70" s="689">
        <f t="shared" si="11"/>
        <v>63428789.525123261</v>
      </c>
      <c r="G70" s="689">
        <f t="shared" si="11"/>
        <v>69301475.803254887</v>
      </c>
      <c r="H70" s="689">
        <f t="shared" si="11"/>
        <v>70968814.23813194</v>
      </c>
      <c r="I70" s="689">
        <f t="shared" si="11"/>
        <v>64551187.026842289</v>
      </c>
      <c r="J70" s="689">
        <f t="shared" si="11"/>
        <v>60787265.640287511</v>
      </c>
      <c r="K70" s="689">
        <f t="shared" si="11"/>
        <v>52582338.210546881</v>
      </c>
      <c r="L70" s="689">
        <f t="shared" si="11"/>
        <v>47031262.242304064</v>
      </c>
      <c r="M70" s="689">
        <f t="shared" si="11"/>
        <v>45801995.39733012</v>
      </c>
      <c r="N70" s="689">
        <f t="shared" si="11"/>
        <v>682763618.25164354</v>
      </c>
      <c r="O70" s="667"/>
      <c r="P70" s="678"/>
      <c r="Q70" s="678"/>
      <c r="R70" s="678"/>
      <c r="S70" s="678"/>
      <c r="T70" s="678"/>
      <c r="U70" s="678"/>
    </row>
    <row r="71" spans="1:21" ht="15.75" thickTop="1">
      <c r="A71" s="688"/>
      <c r="B71" s="684">
        <f>+B61-B70</f>
        <v>119185.09843832999</v>
      </c>
      <c r="C71" s="684">
        <f t="shared" ref="C71:N71" si="12">+C61-C70</f>
        <v>59045.848438315094</v>
      </c>
      <c r="D71" s="684">
        <f t="shared" si="12"/>
        <v>2623.8284383267164</v>
      </c>
      <c r="E71" s="684">
        <f t="shared" si="12"/>
        <v>112728.55843833834</v>
      </c>
      <c r="F71" s="684">
        <f t="shared" si="12"/>
        <v>39745.118438333273</v>
      </c>
      <c r="G71" s="684">
        <f t="shared" si="12"/>
        <v>1437373.8284383118</v>
      </c>
      <c r="H71" s="684">
        <f t="shared" si="12"/>
        <v>96778.28843832016</v>
      </c>
      <c r="I71" s="684">
        <f t="shared" si="12"/>
        <v>-406693.92156165838</v>
      </c>
      <c r="J71" s="684">
        <f t="shared" si="12"/>
        <v>467699.7084383145</v>
      </c>
      <c r="K71" s="684">
        <f t="shared" si="12"/>
        <v>64367.678438335657</v>
      </c>
      <c r="L71" s="684">
        <f t="shared" si="12"/>
        <v>231256.58843832463</v>
      </c>
      <c r="M71" s="684">
        <f t="shared" si="12"/>
        <v>220593.57843831927</v>
      </c>
      <c r="N71" s="684">
        <f t="shared" si="12"/>
        <v>2444704.2012600899</v>
      </c>
      <c r="O71" s="667"/>
      <c r="P71" s="678"/>
      <c r="Q71" s="678"/>
      <c r="R71" s="678"/>
      <c r="S71" s="678"/>
      <c r="T71" s="678"/>
      <c r="U71" s="678"/>
    </row>
    <row r="72" spans="1:21">
      <c r="A72" s="682" t="s">
        <v>486</v>
      </c>
      <c r="N72" s="665" t="s">
        <v>485</v>
      </c>
      <c r="O72" s="668"/>
      <c r="P72" s="678"/>
      <c r="Q72" s="678"/>
      <c r="R72" s="678"/>
      <c r="S72" s="678"/>
      <c r="T72" s="678"/>
      <c r="U72" s="678"/>
    </row>
    <row r="73" spans="1:21">
      <c r="A73" s="683" t="s">
        <v>481</v>
      </c>
      <c r="B73" s="690"/>
      <c r="C73" s="690"/>
      <c r="D73" s="690"/>
      <c r="E73" s="690"/>
      <c r="F73" s="690"/>
      <c r="G73" s="690"/>
      <c r="H73" s="684">
        <f>+H64</f>
        <v>13555246.899999999</v>
      </c>
      <c r="I73" s="684">
        <f t="shared" ref="I73:M73" si="13">+I64</f>
        <v>13524142.07</v>
      </c>
      <c r="J73" s="684">
        <f t="shared" si="13"/>
        <v>16407344.59</v>
      </c>
      <c r="K73" s="684">
        <f t="shared" si="13"/>
        <v>9143404.7400000002</v>
      </c>
      <c r="L73" s="684">
        <f t="shared" si="13"/>
        <v>8650501.1699999999</v>
      </c>
      <c r="M73" s="684">
        <f t="shared" si="13"/>
        <v>10173815.74</v>
      </c>
      <c r="N73" s="684">
        <f>SUM(H73:M73)</f>
        <v>71454455.210000008</v>
      </c>
      <c r="O73" s="668"/>
      <c r="P73" s="678"/>
      <c r="Q73" s="678"/>
      <c r="R73" s="678"/>
      <c r="S73" s="678"/>
      <c r="T73" s="678"/>
      <c r="U73" s="678"/>
    </row>
    <row r="74" spans="1:21">
      <c r="A74" s="683" t="s">
        <v>557</v>
      </c>
      <c r="B74" s="684"/>
      <c r="C74" s="684"/>
      <c r="D74" s="684"/>
      <c r="E74" s="684"/>
      <c r="F74" s="684"/>
      <c r="G74" s="684"/>
      <c r="H74" s="684">
        <f>+H65</f>
        <v>53941986.616570272</v>
      </c>
      <c r="I74" s="684">
        <f>+I65</f>
        <v>49302665.825280629</v>
      </c>
      <c r="J74" s="684">
        <f>+J65</f>
        <v>41890162.088725835</v>
      </c>
      <c r="K74" s="684">
        <f>+K65</f>
        <v>39492190.778985217</v>
      </c>
      <c r="L74" s="684">
        <f>+L65</f>
        <v>33527131.580742408</v>
      </c>
      <c r="M74" s="684">
        <f>+M65</f>
        <v>32658576.61576844</v>
      </c>
      <c r="N74" s="684">
        <f t="shared" ref="N74:N78" si="14">SUM(H74:M74)</f>
        <v>250812713.50607282</v>
      </c>
      <c r="P74" s="678"/>
      <c r="Q74" s="678"/>
      <c r="R74" s="678"/>
      <c r="S74" s="678"/>
      <c r="T74" s="678"/>
      <c r="U74" s="678"/>
    </row>
    <row r="75" spans="1:21">
      <c r="A75" s="683" t="s">
        <v>558</v>
      </c>
      <c r="B75" s="684"/>
      <c r="C75" s="684"/>
      <c r="D75" s="684"/>
      <c r="E75" s="684"/>
      <c r="F75" s="684"/>
      <c r="G75" s="684"/>
      <c r="H75" s="684">
        <f t="shared" ref="H75:M78" si="15">+H66</f>
        <v>798827.63156167406</v>
      </c>
      <c r="I75" s="684">
        <f t="shared" si="15"/>
        <v>689618.53156167408</v>
      </c>
      <c r="J75" s="684">
        <f t="shared" si="15"/>
        <v>919795.79156167409</v>
      </c>
      <c r="K75" s="684">
        <f t="shared" si="15"/>
        <v>820409.28156166524</v>
      </c>
      <c r="L75" s="684">
        <f t="shared" si="15"/>
        <v>1030869.8315616642</v>
      </c>
      <c r="M75" s="684">
        <f t="shared" si="15"/>
        <v>910444.09156167414</v>
      </c>
      <c r="N75" s="684">
        <f t="shared" si="14"/>
        <v>5169965.1593700256</v>
      </c>
      <c r="P75" s="678"/>
      <c r="Q75" s="678"/>
      <c r="R75" s="678"/>
      <c r="S75" s="678"/>
      <c r="T75" s="678"/>
      <c r="U75" s="678"/>
    </row>
    <row r="76" spans="1:21">
      <c r="A76" s="686" t="s">
        <v>482</v>
      </c>
      <c r="B76" s="684"/>
      <c r="C76" s="684"/>
      <c r="D76" s="684"/>
      <c r="E76" s="684"/>
      <c r="F76" s="684"/>
      <c r="G76" s="684"/>
      <c r="H76" s="684">
        <f t="shared" si="15"/>
        <v>9742316.5899999999</v>
      </c>
      <c r="I76" s="684">
        <f t="shared" ref="I76:M78" si="16">+I67</f>
        <v>9668269.7899999991</v>
      </c>
      <c r="J76" s="684">
        <f t="shared" si="16"/>
        <v>9531005.0500000007</v>
      </c>
      <c r="K76" s="684">
        <f t="shared" si="16"/>
        <v>9472831.9199999999</v>
      </c>
      <c r="L76" s="684">
        <f t="shared" si="16"/>
        <v>9156560.0800000001</v>
      </c>
      <c r="M76" s="684">
        <f t="shared" si="16"/>
        <v>9392380.5899999999</v>
      </c>
      <c r="N76" s="684">
        <f t="shared" si="14"/>
        <v>56963364.019999996</v>
      </c>
      <c r="P76" s="678"/>
      <c r="Q76" s="678"/>
      <c r="R76" s="678"/>
      <c r="S76" s="678"/>
      <c r="T76" s="678"/>
      <c r="U76" s="678"/>
    </row>
    <row r="77" spans="1:21">
      <c r="A77" s="687" t="s">
        <v>483</v>
      </c>
      <c r="B77" s="684"/>
      <c r="C77" s="684"/>
      <c r="D77" s="684"/>
      <c r="E77" s="684"/>
      <c r="F77" s="684"/>
      <c r="G77" s="684"/>
      <c r="H77" s="684">
        <f t="shared" si="15"/>
        <v>-5325764.7700000005</v>
      </c>
      <c r="I77" s="684">
        <f t="shared" si="16"/>
        <v>-9107064.4800000004</v>
      </c>
      <c r="J77" s="684">
        <f t="shared" si="16"/>
        <v>-8562982.1699999999</v>
      </c>
      <c r="K77" s="684">
        <f t="shared" si="16"/>
        <v>-5289058.67</v>
      </c>
      <c r="L77" s="684">
        <f t="shared" si="16"/>
        <v>-3480241.899999999</v>
      </c>
      <c r="M77" s="684">
        <f t="shared" si="16"/>
        <v>-5531980.8899999997</v>
      </c>
      <c r="N77" s="684">
        <f t="shared" si="14"/>
        <v>-37297092.880000003</v>
      </c>
      <c r="P77" s="678"/>
      <c r="Q77" s="678"/>
      <c r="R77" s="678"/>
      <c r="S77" s="678"/>
      <c r="T77" s="678"/>
      <c r="U77" s="678"/>
    </row>
    <row r="78" spans="1:21">
      <c r="A78" s="687" t="s">
        <v>484</v>
      </c>
      <c r="B78" s="684"/>
      <c r="C78" s="684"/>
      <c r="D78" s="684"/>
      <c r="E78" s="684"/>
      <c r="F78" s="684"/>
      <c r="G78" s="684"/>
      <c r="H78" s="684">
        <f t="shared" si="15"/>
        <v>-1743798.73</v>
      </c>
      <c r="I78" s="684">
        <f t="shared" si="16"/>
        <v>473555.29</v>
      </c>
      <c r="J78" s="684">
        <f t="shared" si="16"/>
        <v>601940.29</v>
      </c>
      <c r="K78" s="684">
        <f t="shared" si="16"/>
        <v>-1057439.8400000001</v>
      </c>
      <c r="L78" s="684">
        <f t="shared" si="16"/>
        <v>-1853558.52</v>
      </c>
      <c r="M78" s="684">
        <f t="shared" si="16"/>
        <v>-1801240.75</v>
      </c>
      <c r="N78" s="684">
        <f t="shared" si="14"/>
        <v>-5380542.2599999998</v>
      </c>
      <c r="P78" s="678"/>
      <c r="Q78" s="678"/>
      <c r="R78" s="678"/>
      <c r="S78" s="678"/>
      <c r="T78" s="678"/>
      <c r="U78" s="678"/>
    </row>
    <row r="79" spans="1:21" ht="15.75" thickBot="1">
      <c r="A79" s="688"/>
      <c r="B79" s="689"/>
      <c r="C79" s="689"/>
      <c r="D79" s="689"/>
      <c r="E79" s="689"/>
      <c r="F79" s="689"/>
      <c r="G79" s="689"/>
      <c r="H79" s="689">
        <f t="shared" ref="H79:N79" si="17">SUM(H73:H78)</f>
        <v>70968814.23813194</v>
      </c>
      <c r="I79" s="689">
        <f t="shared" si="17"/>
        <v>64551187.026842289</v>
      </c>
      <c r="J79" s="689">
        <f t="shared" si="17"/>
        <v>60787265.640287511</v>
      </c>
      <c r="K79" s="689">
        <f t="shared" si="17"/>
        <v>52582338.210546881</v>
      </c>
      <c r="L79" s="689">
        <f t="shared" si="17"/>
        <v>47031262.242304064</v>
      </c>
      <c r="M79" s="689">
        <f t="shared" si="17"/>
        <v>45801995.39733012</v>
      </c>
      <c r="N79" s="689">
        <f t="shared" si="17"/>
        <v>341722862.7554428</v>
      </c>
      <c r="P79" s="678"/>
      <c r="Q79" s="678"/>
      <c r="R79" s="678"/>
      <c r="S79" s="678"/>
      <c r="T79" s="678"/>
      <c r="U79" s="678"/>
    </row>
    <row r="80" spans="1:21" ht="15.75" thickTop="1">
      <c r="A80" s="677"/>
      <c r="P80" s="678"/>
      <c r="Q80" s="678"/>
      <c r="R80" s="678"/>
      <c r="S80" s="678"/>
      <c r="T80" s="678"/>
      <c r="U80" s="678"/>
    </row>
    <row r="81" spans="1:21">
      <c r="A81" s="691" t="s">
        <v>603</v>
      </c>
      <c r="P81" s="678"/>
      <c r="Q81" s="678"/>
      <c r="R81" s="678"/>
      <c r="S81" s="678"/>
      <c r="T81" s="678"/>
      <c r="U81" s="678"/>
    </row>
    <row r="82" spans="1:21">
      <c r="A82" s="677"/>
      <c r="P82" s="678"/>
      <c r="Q82" s="678"/>
      <c r="R82" s="678"/>
      <c r="S82" s="678"/>
      <c r="T82" s="678"/>
      <c r="U82" s="678"/>
    </row>
    <row r="83" spans="1:21">
      <c r="P83" s="678"/>
      <c r="Q83" s="678"/>
      <c r="R83" s="678"/>
      <c r="S83" s="678"/>
      <c r="T83" s="678"/>
      <c r="U83" s="678"/>
    </row>
    <row r="84" spans="1:21">
      <c r="C84" s="667"/>
      <c r="D84" s="667"/>
      <c r="E84" s="667"/>
      <c r="F84" s="667"/>
      <c r="G84" s="667"/>
      <c r="H84" s="667"/>
      <c r="I84" s="667"/>
      <c r="J84" s="667"/>
      <c r="K84" s="667"/>
      <c r="L84" s="667"/>
      <c r="M84" s="675" t="s">
        <v>591</v>
      </c>
      <c r="N84" s="667">
        <f>'[2]ERF Main Summary'!E21</f>
        <v>191271195.98000002</v>
      </c>
      <c r="P84" s="678"/>
      <c r="Q84" s="678"/>
      <c r="R84" s="678"/>
      <c r="S84" s="678"/>
      <c r="T84" s="678"/>
      <c r="U84" s="678"/>
    </row>
    <row r="85" spans="1:21">
      <c r="C85" s="669"/>
      <c r="D85" s="669"/>
      <c r="E85" s="669"/>
      <c r="F85" s="669"/>
      <c r="G85" s="669"/>
      <c r="H85" s="669"/>
      <c r="I85" s="669"/>
      <c r="J85" s="669"/>
      <c r="K85" s="669"/>
      <c r="L85" s="669"/>
      <c r="M85" s="676" t="s">
        <v>592</v>
      </c>
      <c r="N85" s="667">
        <f>'[2]ERF Main Summary'!E22</f>
        <v>500810764.6216436</v>
      </c>
      <c r="P85" s="678"/>
      <c r="Q85" s="678"/>
      <c r="R85" s="678"/>
      <c r="S85" s="678"/>
      <c r="T85" s="678"/>
      <c r="U85" s="678"/>
    </row>
    <row r="86" spans="1:21">
      <c r="C86" s="667"/>
      <c r="D86" s="667"/>
      <c r="E86" s="667"/>
      <c r="F86" s="667"/>
      <c r="G86" s="667"/>
      <c r="H86" s="667"/>
      <c r="I86" s="667"/>
      <c r="J86" s="667"/>
      <c r="K86" s="667"/>
      <c r="L86" s="667"/>
      <c r="M86" s="675" t="s">
        <v>160</v>
      </c>
      <c r="N86" s="667">
        <f>'[2]ERF Main Summary'!E23</f>
        <v>116538099.3</v>
      </c>
      <c r="P86" s="678"/>
      <c r="Q86" s="678"/>
      <c r="R86" s="678"/>
      <c r="S86" s="678"/>
      <c r="T86" s="678"/>
      <c r="U86" s="678"/>
    </row>
    <row r="87" spans="1:21">
      <c r="C87" s="667"/>
      <c r="D87" s="667"/>
      <c r="E87" s="667"/>
      <c r="F87" s="667"/>
      <c r="G87" s="667"/>
      <c r="H87" s="667"/>
      <c r="I87" s="667"/>
      <c r="J87" s="667"/>
      <c r="K87" s="667"/>
      <c r="L87" s="667"/>
      <c r="M87" s="675" t="s">
        <v>161</v>
      </c>
      <c r="N87" s="667">
        <f>-'[2]ERF Main Summary'!$E$14</f>
        <v>-116721927.84999999</v>
      </c>
      <c r="P87" s="678"/>
      <c r="Q87" s="678"/>
      <c r="R87" s="678"/>
      <c r="S87" s="678"/>
      <c r="T87" s="678"/>
      <c r="U87" s="678"/>
    </row>
    <row r="88" spans="1:21" ht="15.75" thickBot="1">
      <c r="C88" s="667"/>
      <c r="D88" s="667"/>
      <c r="E88" s="667"/>
      <c r="F88" s="667"/>
      <c r="G88" s="667"/>
      <c r="H88" s="667"/>
      <c r="I88" s="667"/>
      <c r="J88" s="667"/>
      <c r="K88" s="667"/>
      <c r="L88" s="667"/>
      <c r="M88" s="675" t="s">
        <v>595</v>
      </c>
      <c r="N88" s="674">
        <f>SUM(N84:N87)</f>
        <v>691898132.05164349</v>
      </c>
      <c r="O88" s="678"/>
      <c r="P88" s="678"/>
      <c r="Q88" s="678"/>
      <c r="R88" s="678"/>
      <c r="S88" s="678"/>
      <c r="T88" s="678"/>
      <c r="U88" s="678"/>
    </row>
    <row r="89" spans="1:21" ht="15.75" thickTop="1">
      <c r="C89" s="667"/>
      <c r="D89" s="667"/>
      <c r="E89" s="667"/>
      <c r="F89" s="667"/>
      <c r="G89" s="667"/>
      <c r="H89" s="667"/>
      <c r="I89" s="667"/>
      <c r="J89" s="667"/>
      <c r="K89" s="667"/>
      <c r="L89" s="667"/>
      <c r="M89" s="692" t="s">
        <v>593</v>
      </c>
      <c r="N89" s="693">
        <f>SUM(N64:N68)-N88</f>
        <v>0</v>
      </c>
      <c r="O89" s="678"/>
      <c r="P89" s="678"/>
      <c r="Q89" s="678"/>
      <c r="R89" s="678"/>
      <c r="S89" s="678"/>
      <c r="T89" s="678"/>
      <c r="U89" s="678"/>
    </row>
    <row r="90" spans="1:21">
      <c r="C90" s="667"/>
      <c r="D90" s="667"/>
      <c r="E90" s="667"/>
      <c r="F90" s="667"/>
      <c r="G90" s="667"/>
      <c r="H90" s="667"/>
      <c r="I90" s="667"/>
      <c r="J90" s="667"/>
      <c r="K90" s="667"/>
      <c r="L90" s="667"/>
      <c r="M90" s="667"/>
      <c r="N90" s="667"/>
      <c r="O90" s="678"/>
      <c r="P90" s="678"/>
      <c r="Q90" s="678"/>
      <c r="R90" s="678"/>
      <c r="S90" s="678"/>
      <c r="T90" s="678"/>
      <c r="U90" s="678"/>
    </row>
  </sheetData>
  <pageMargins left="0.7" right="0.7" top="0.75" bottom="0.75" header="0.3" footer="0.3"/>
  <pageSetup scale="4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workbookViewId="0">
      <pane xSplit="1" ySplit="3" topLeftCell="K4" activePane="bottomRight" state="frozen"/>
      <selection activeCell="O10" sqref="O10"/>
      <selection pane="topRight" activeCell="O10" sqref="O10"/>
      <selection pane="bottomLeft" activeCell="O10" sqref="O10"/>
      <selection pane="bottomRight" activeCell="O10" sqref="O10"/>
    </sheetView>
  </sheetViews>
  <sheetFormatPr defaultColWidth="9.140625" defaultRowHeight="15" outlineLevelCol="1"/>
  <cols>
    <col min="1" max="1" width="30.7109375" style="576" customWidth="1"/>
    <col min="2" max="10" width="14.7109375" style="574" hidden="1" customWidth="1" outlineLevel="1"/>
    <col min="11" max="11" width="14.7109375" style="574" customWidth="1" collapsed="1"/>
    <col min="12" max="22" width="14.7109375" style="574" customWidth="1"/>
    <col min="23" max="23" width="9.85546875" style="574" bestFit="1" customWidth="1"/>
    <col min="24" max="25" width="9.140625" style="574"/>
    <col min="26" max="26" width="10.85546875" style="574" bestFit="1" customWidth="1"/>
    <col min="27" max="16384" width="9.140625" style="574"/>
  </cols>
  <sheetData>
    <row r="1" spans="1:22" s="572" customFormat="1">
      <c r="A1" s="571"/>
    </row>
    <row r="2" spans="1:22" s="572" customFormat="1" ht="30">
      <c r="A2" s="571" t="s">
        <v>415</v>
      </c>
      <c r="B2" s="572" t="s">
        <v>416</v>
      </c>
      <c r="C2" s="572" t="s">
        <v>417</v>
      </c>
      <c r="D2" s="572" t="s">
        <v>418</v>
      </c>
      <c r="E2" s="572" t="s">
        <v>419</v>
      </c>
      <c r="F2" s="572" t="s">
        <v>420</v>
      </c>
      <c r="G2" s="572" t="s">
        <v>421</v>
      </c>
      <c r="H2" s="572" t="s">
        <v>422</v>
      </c>
      <c r="I2" s="572" t="s">
        <v>423</v>
      </c>
      <c r="J2" s="572" t="s">
        <v>424</v>
      </c>
      <c r="K2" s="572" t="s">
        <v>425</v>
      </c>
      <c r="L2" s="572" t="s">
        <v>426</v>
      </c>
      <c r="M2" s="572" t="s">
        <v>427</v>
      </c>
      <c r="N2" s="572" t="s">
        <v>428</v>
      </c>
      <c r="O2" s="572" t="s">
        <v>429</v>
      </c>
      <c r="P2" s="572" t="s">
        <v>430</v>
      </c>
      <c r="Q2" s="572" t="s">
        <v>431</v>
      </c>
      <c r="R2" s="572" t="s">
        <v>432</v>
      </c>
      <c r="S2" s="572" t="s">
        <v>433</v>
      </c>
      <c r="T2" s="572" t="s">
        <v>434</v>
      </c>
      <c r="U2" s="572" t="s">
        <v>435</v>
      </c>
      <c r="V2" s="572" t="s">
        <v>436</v>
      </c>
    </row>
    <row r="3" spans="1:22" s="572" customFormat="1">
      <c r="A3" s="571"/>
    </row>
    <row r="4" spans="1:22">
      <c r="A4" s="573" t="s">
        <v>437</v>
      </c>
    </row>
    <row r="6" spans="1:22">
      <c r="A6" s="575" t="s">
        <v>438</v>
      </c>
    </row>
    <row r="7" spans="1:22">
      <c r="A7" s="576" t="s">
        <v>439</v>
      </c>
    </row>
    <row r="8" spans="1:22">
      <c r="A8" s="576" t="s">
        <v>440</v>
      </c>
      <c r="B8" s="574">
        <v>0</v>
      </c>
      <c r="C8" s="574">
        <v>0</v>
      </c>
      <c r="D8" s="574">
        <v>0</v>
      </c>
      <c r="E8" s="574">
        <v>0</v>
      </c>
      <c r="F8" s="574">
        <v>0</v>
      </c>
      <c r="G8" s="574">
        <v>0</v>
      </c>
      <c r="H8" s="574">
        <v>0</v>
      </c>
      <c r="I8" s="574">
        <v>0</v>
      </c>
      <c r="J8" s="574">
        <v>0</v>
      </c>
      <c r="K8" s="574">
        <v>0</v>
      </c>
      <c r="L8" s="574">
        <v>0</v>
      </c>
      <c r="M8" s="574">
        <v>0</v>
      </c>
      <c r="N8" s="574">
        <v>0</v>
      </c>
      <c r="O8" s="574">
        <v>0</v>
      </c>
      <c r="P8" s="574">
        <v>0</v>
      </c>
      <c r="Q8" s="574">
        <v>0</v>
      </c>
      <c r="R8" s="574">
        <v>0</v>
      </c>
      <c r="S8" s="574">
        <v>0</v>
      </c>
      <c r="T8" s="574">
        <v>0</v>
      </c>
      <c r="U8" s="574">
        <v>0</v>
      </c>
      <c r="V8" s="574">
        <v>0</v>
      </c>
    </row>
    <row r="9" spans="1:22">
      <c r="A9" s="576" t="s">
        <v>441</v>
      </c>
      <c r="B9" s="574">
        <v>0</v>
      </c>
      <c r="C9" s="574">
        <v>0</v>
      </c>
      <c r="D9" s="574">
        <v>0</v>
      </c>
      <c r="E9" s="574">
        <v>0</v>
      </c>
      <c r="F9" s="574">
        <v>0</v>
      </c>
      <c r="G9" s="574">
        <v>0</v>
      </c>
      <c r="H9" s="574">
        <v>0</v>
      </c>
      <c r="I9" s="574">
        <v>0</v>
      </c>
      <c r="J9" s="574">
        <v>0</v>
      </c>
      <c r="K9" s="574">
        <v>0</v>
      </c>
      <c r="L9" s="574">
        <v>0</v>
      </c>
      <c r="M9" s="574">
        <v>0</v>
      </c>
      <c r="N9" s="574">
        <v>0</v>
      </c>
      <c r="O9" s="574">
        <v>0</v>
      </c>
      <c r="P9" s="574">
        <v>0</v>
      </c>
      <c r="Q9" s="574">
        <v>0</v>
      </c>
      <c r="R9" s="574">
        <v>0</v>
      </c>
      <c r="S9" s="574">
        <v>0</v>
      </c>
      <c r="T9" s="574">
        <v>0</v>
      </c>
      <c r="U9" s="574">
        <v>0</v>
      </c>
      <c r="V9" s="574">
        <v>0</v>
      </c>
    </row>
    <row r="10" spans="1:22">
      <c r="A10" s="576" t="s">
        <v>442</v>
      </c>
      <c r="B10" s="574">
        <v>0</v>
      </c>
      <c r="C10" s="574">
        <v>0</v>
      </c>
      <c r="D10" s="574">
        <v>0</v>
      </c>
      <c r="E10" s="574">
        <v>0</v>
      </c>
      <c r="F10" s="574">
        <v>0</v>
      </c>
      <c r="G10" s="574">
        <v>0</v>
      </c>
      <c r="H10" s="574">
        <v>0</v>
      </c>
      <c r="I10" s="574">
        <v>0</v>
      </c>
      <c r="J10" s="574">
        <v>0</v>
      </c>
      <c r="K10" s="574">
        <v>0</v>
      </c>
      <c r="L10" s="574">
        <v>0</v>
      </c>
      <c r="M10" s="574">
        <v>0</v>
      </c>
      <c r="N10" s="574">
        <v>0</v>
      </c>
      <c r="O10" s="574">
        <v>0</v>
      </c>
      <c r="P10" s="574">
        <v>0</v>
      </c>
      <c r="Q10" s="574">
        <v>0</v>
      </c>
      <c r="R10" s="574">
        <v>0</v>
      </c>
      <c r="S10" s="574">
        <v>0</v>
      </c>
      <c r="T10" s="574">
        <v>0</v>
      </c>
      <c r="U10" s="574">
        <v>0</v>
      </c>
      <c r="V10" s="574">
        <v>0</v>
      </c>
    </row>
    <row r="11" spans="1:22">
      <c r="A11" s="576" t="s">
        <v>443</v>
      </c>
      <c r="B11" s="574">
        <v>0</v>
      </c>
      <c r="C11" s="574">
        <v>0</v>
      </c>
      <c r="D11" s="574">
        <v>0</v>
      </c>
      <c r="E11" s="574">
        <v>0</v>
      </c>
      <c r="F11" s="574">
        <v>0</v>
      </c>
      <c r="G11" s="574">
        <v>0</v>
      </c>
      <c r="H11" s="574">
        <v>0</v>
      </c>
      <c r="I11" s="574">
        <v>0</v>
      </c>
      <c r="J11" s="574">
        <v>0</v>
      </c>
      <c r="K11" s="574">
        <v>0</v>
      </c>
      <c r="L11" s="574">
        <v>0</v>
      </c>
      <c r="M11" s="574">
        <v>0</v>
      </c>
      <c r="N11" s="574">
        <v>0</v>
      </c>
      <c r="O11" s="574">
        <v>0</v>
      </c>
      <c r="P11" s="574">
        <v>0</v>
      </c>
      <c r="Q11" s="574">
        <v>0</v>
      </c>
      <c r="R11" s="574">
        <v>0</v>
      </c>
      <c r="S11" s="574">
        <v>0</v>
      </c>
      <c r="T11" s="574">
        <v>0</v>
      </c>
      <c r="U11" s="574">
        <v>0</v>
      </c>
      <c r="V11" s="574">
        <v>0</v>
      </c>
    </row>
    <row r="12" spans="1:22">
      <c r="A12" s="576" t="s">
        <v>444</v>
      </c>
      <c r="B12" s="574">
        <v>0</v>
      </c>
      <c r="C12" s="574">
        <v>0</v>
      </c>
      <c r="D12" s="574">
        <v>0</v>
      </c>
      <c r="E12" s="574">
        <v>0</v>
      </c>
      <c r="F12" s="574">
        <v>0</v>
      </c>
      <c r="G12" s="574">
        <v>0</v>
      </c>
      <c r="H12" s="574">
        <v>0</v>
      </c>
      <c r="I12" s="574">
        <v>0</v>
      </c>
      <c r="J12" s="574">
        <v>0</v>
      </c>
      <c r="K12" s="574">
        <v>0</v>
      </c>
      <c r="L12" s="574">
        <v>0</v>
      </c>
      <c r="M12" s="574">
        <v>0</v>
      </c>
      <c r="N12" s="574">
        <v>0</v>
      </c>
      <c r="O12" s="574">
        <v>0</v>
      </c>
      <c r="P12" s="574">
        <v>0</v>
      </c>
      <c r="Q12" s="574">
        <v>0</v>
      </c>
      <c r="R12" s="574">
        <v>0</v>
      </c>
      <c r="S12" s="574">
        <v>0</v>
      </c>
      <c r="T12" s="574">
        <v>0</v>
      </c>
      <c r="U12" s="574">
        <v>0</v>
      </c>
      <c r="V12" s="574">
        <v>0</v>
      </c>
    </row>
    <row r="13" spans="1:22">
      <c r="A13" s="576">
        <v>7</v>
      </c>
    </row>
    <row r="14" spans="1:22">
      <c r="A14" s="576" t="s">
        <v>445</v>
      </c>
    </row>
    <row r="15" spans="1:22">
      <c r="A15" s="576">
        <v>9</v>
      </c>
    </row>
    <row r="16" spans="1:22">
      <c r="A16" s="576" t="s">
        <v>446</v>
      </c>
    </row>
    <row r="17" spans="1:23">
      <c r="A17" s="576" t="s">
        <v>447</v>
      </c>
      <c r="B17" s="574">
        <v>0</v>
      </c>
      <c r="C17" s="574">
        <v>0</v>
      </c>
      <c r="D17" s="574">
        <v>0</v>
      </c>
      <c r="E17" s="574">
        <v>0</v>
      </c>
      <c r="F17" s="574">
        <v>0</v>
      </c>
      <c r="G17" s="574">
        <v>0</v>
      </c>
      <c r="H17" s="574">
        <v>0</v>
      </c>
      <c r="I17" s="574">
        <v>0</v>
      </c>
      <c r="J17" s="574">
        <v>0</v>
      </c>
      <c r="K17" s="574">
        <v>0</v>
      </c>
      <c r="L17" s="574">
        <v>0</v>
      </c>
      <c r="M17" s="574">
        <v>0</v>
      </c>
      <c r="N17" s="574">
        <v>0</v>
      </c>
      <c r="O17" s="574">
        <v>0</v>
      </c>
      <c r="P17" s="574">
        <v>0</v>
      </c>
      <c r="Q17" s="574">
        <v>0</v>
      </c>
      <c r="R17" s="574">
        <v>0</v>
      </c>
      <c r="S17" s="574">
        <v>0</v>
      </c>
      <c r="T17" s="574">
        <v>0</v>
      </c>
      <c r="U17" s="574">
        <v>0</v>
      </c>
      <c r="V17" s="574">
        <v>0</v>
      </c>
    </row>
    <row r="18" spans="1:23">
      <c r="A18" s="576" t="s">
        <v>448</v>
      </c>
      <c r="B18" s="574">
        <v>160949.78999999899</v>
      </c>
      <c r="C18" s="574">
        <v>162844.72</v>
      </c>
      <c r="D18" s="574">
        <v>158918.889999999</v>
      </c>
      <c r="E18" s="574">
        <v>143912.00999999899</v>
      </c>
      <c r="F18" s="574">
        <v>143814.02999999901</v>
      </c>
      <c r="G18" s="574">
        <v>171582.59</v>
      </c>
      <c r="H18" s="574">
        <v>139564.41</v>
      </c>
      <c r="I18" s="574">
        <v>159876.46</v>
      </c>
      <c r="J18" s="574">
        <v>164525.78</v>
      </c>
      <c r="K18" s="574">
        <v>147158.48000000001</v>
      </c>
      <c r="L18" s="574">
        <v>162337.15</v>
      </c>
      <c r="M18" s="574">
        <v>149140.32999999999</v>
      </c>
      <c r="N18" s="574">
        <v>161594.41</v>
      </c>
      <c r="O18" s="574">
        <v>151466.14000000001</v>
      </c>
      <c r="P18" s="574">
        <v>146288.76999999999</v>
      </c>
      <c r="Q18" s="574">
        <v>154163.609999999</v>
      </c>
      <c r="R18" s="574">
        <v>132423.5</v>
      </c>
      <c r="S18" s="574">
        <v>157797.93</v>
      </c>
      <c r="T18" s="574">
        <v>119657.22</v>
      </c>
      <c r="U18" s="574">
        <v>181560.44</v>
      </c>
      <c r="V18" s="574">
        <v>161935.74</v>
      </c>
      <c r="W18" s="574">
        <f>SUM(K18:V18)</f>
        <v>1825523.7199999988</v>
      </c>
    </row>
    <row r="19" spans="1:23">
      <c r="A19" s="576" t="s">
        <v>449</v>
      </c>
      <c r="B19" s="574">
        <v>0</v>
      </c>
      <c r="C19" s="574">
        <v>0</v>
      </c>
      <c r="D19" s="574">
        <v>0</v>
      </c>
      <c r="E19" s="574">
        <v>0</v>
      </c>
      <c r="F19" s="574">
        <v>0</v>
      </c>
      <c r="G19" s="574">
        <v>0</v>
      </c>
      <c r="H19" s="574">
        <v>0</v>
      </c>
      <c r="I19" s="574">
        <v>0</v>
      </c>
      <c r="J19" s="574">
        <v>0</v>
      </c>
      <c r="K19" s="574">
        <v>0</v>
      </c>
      <c r="L19" s="574">
        <v>0</v>
      </c>
      <c r="M19" s="574">
        <v>0</v>
      </c>
      <c r="N19" s="574">
        <v>0</v>
      </c>
      <c r="O19" s="574">
        <v>0</v>
      </c>
      <c r="P19" s="574">
        <v>0</v>
      </c>
      <c r="Q19" s="574">
        <v>0</v>
      </c>
      <c r="R19" s="574">
        <v>0</v>
      </c>
      <c r="S19" s="574">
        <v>0</v>
      </c>
      <c r="T19" s="574">
        <v>0</v>
      </c>
      <c r="U19" s="574">
        <v>0</v>
      </c>
      <c r="V19" s="574">
        <v>0</v>
      </c>
    </row>
    <row r="20" spans="1:23">
      <c r="A20" s="576" t="s">
        <v>450</v>
      </c>
      <c r="B20" s="574">
        <v>0</v>
      </c>
      <c r="C20" s="574">
        <v>0</v>
      </c>
      <c r="D20" s="574">
        <v>0</v>
      </c>
      <c r="E20" s="574">
        <v>0</v>
      </c>
      <c r="F20" s="574">
        <v>0</v>
      </c>
      <c r="G20" s="574">
        <v>0</v>
      </c>
      <c r="H20" s="574">
        <v>0</v>
      </c>
      <c r="I20" s="574">
        <v>0</v>
      </c>
      <c r="J20" s="574">
        <v>0</v>
      </c>
      <c r="K20" s="574">
        <v>0</v>
      </c>
      <c r="L20" s="574">
        <v>0</v>
      </c>
      <c r="M20" s="574">
        <v>0</v>
      </c>
      <c r="N20" s="574">
        <v>0</v>
      </c>
      <c r="O20" s="574">
        <v>0</v>
      </c>
      <c r="P20" s="574">
        <v>0</v>
      </c>
      <c r="Q20" s="574">
        <v>0</v>
      </c>
      <c r="R20" s="574">
        <v>0</v>
      </c>
      <c r="S20" s="574">
        <v>0</v>
      </c>
      <c r="T20" s="574">
        <v>0</v>
      </c>
      <c r="U20" s="574">
        <v>0</v>
      </c>
      <c r="V20" s="574">
        <v>0</v>
      </c>
    </row>
    <row r="21" spans="1:23">
      <c r="A21" s="576" t="s">
        <v>451</v>
      </c>
      <c r="B21" s="574">
        <v>160949.78999999899</v>
      </c>
      <c r="C21" s="574">
        <v>162844.72</v>
      </c>
      <c r="D21" s="574">
        <v>158918.889999999</v>
      </c>
      <c r="E21" s="574">
        <v>143912.00999999899</v>
      </c>
      <c r="F21" s="574">
        <v>143814.02999999901</v>
      </c>
      <c r="G21" s="574">
        <v>171582.59</v>
      </c>
      <c r="H21" s="574">
        <v>139564.41</v>
      </c>
      <c r="I21" s="574">
        <v>159876.46</v>
      </c>
      <c r="J21" s="574">
        <v>164525.78</v>
      </c>
      <c r="K21" s="574">
        <v>147158.48000000001</v>
      </c>
      <c r="L21" s="574">
        <v>162337.15</v>
      </c>
      <c r="M21" s="574">
        <v>149140.32999999999</v>
      </c>
      <c r="N21" s="574">
        <v>161594.41</v>
      </c>
      <c r="O21" s="574">
        <v>151466.14000000001</v>
      </c>
      <c r="P21" s="574">
        <v>146288.76999999999</v>
      </c>
      <c r="Q21" s="574">
        <v>154163.609999999</v>
      </c>
      <c r="R21" s="574">
        <v>132423.5</v>
      </c>
      <c r="S21" s="574">
        <v>157797.93</v>
      </c>
      <c r="T21" s="574">
        <v>119657.22</v>
      </c>
      <c r="U21" s="574">
        <v>181560.44</v>
      </c>
      <c r="V21" s="574">
        <v>161935.74</v>
      </c>
    </row>
    <row r="22" spans="1:23">
      <c r="A22" s="576">
        <v>16</v>
      </c>
    </row>
    <row r="23" spans="1:23">
      <c r="A23" s="576" t="s">
        <v>452</v>
      </c>
      <c r="B23" s="574">
        <v>561704.09</v>
      </c>
      <c r="C23" s="574">
        <v>517903.64</v>
      </c>
      <c r="D23" s="574">
        <v>526917.54</v>
      </c>
      <c r="E23" s="574">
        <v>585171.16999999899</v>
      </c>
      <c r="F23" s="574">
        <v>543665.68000000005</v>
      </c>
      <c r="G23" s="574">
        <v>764299.46</v>
      </c>
      <c r="H23" s="574">
        <v>575578.39</v>
      </c>
      <c r="I23" s="574">
        <v>634579.81000000006</v>
      </c>
      <c r="J23" s="574">
        <v>476274.88</v>
      </c>
      <c r="K23" s="574">
        <v>560027.88999999897</v>
      </c>
      <c r="L23" s="574">
        <v>533755.179999999</v>
      </c>
      <c r="M23" s="574">
        <v>603622.14999999898</v>
      </c>
      <c r="N23" s="574">
        <v>-251196.17</v>
      </c>
      <c r="O23" s="574">
        <v>691096.679999999</v>
      </c>
      <c r="P23" s="574">
        <v>310961.55</v>
      </c>
      <c r="Q23" s="574">
        <v>679249.02</v>
      </c>
      <c r="R23" s="574">
        <v>570922.799999999</v>
      </c>
      <c r="S23" s="574">
        <v>587039.28999999899</v>
      </c>
      <c r="T23" s="574">
        <v>548424.61</v>
      </c>
      <c r="U23" s="574">
        <v>705928.44999999902</v>
      </c>
      <c r="V23" s="574">
        <v>261866.47</v>
      </c>
    </row>
    <row r="24" spans="1:23">
      <c r="A24" s="576" t="s">
        <v>453</v>
      </c>
      <c r="B24" s="574">
        <v>252112.47999999899</v>
      </c>
      <c r="C24" s="574">
        <v>224400.02</v>
      </c>
      <c r="D24" s="574">
        <v>248545.54</v>
      </c>
      <c r="E24" s="574">
        <v>301375.03999999998</v>
      </c>
      <c r="F24" s="574">
        <v>265106.99</v>
      </c>
      <c r="G24" s="574">
        <v>69879.08</v>
      </c>
      <c r="H24" s="574">
        <v>164325.68</v>
      </c>
      <c r="I24" s="574">
        <v>239810.40999999901</v>
      </c>
      <c r="J24" s="574">
        <v>183870.78999999899</v>
      </c>
      <c r="K24" s="574">
        <v>174860.36</v>
      </c>
      <c r="L24" s="574">
        <v>152748.34</v>
      </c>
      <c r="M24" s="574">
        <v>170922.649999999</v>
      </c>
      <c r="N24" s="574">
        <v>-32208.639999999901</v>
      </c>
      <c r="O24" s="574">
        <v>231988.96</v>
      </c>
      <c r="P24" s="574">
        <v>62469.6499999999</v>
      </c>
      <c r="Q24" s="574">
        <v>291120.37999999902</v>
      </c>
      <c r="R24" s="574">
        <v>244868.65</v>
      </c>
      <c r="S24" s="574">
        <v>170105.25999999899</v>
      </c>
      <c r="T24" s="574">
        <v>199908.75</v>
      </c>
      <c r="U24" s="574">
        <v>244814.17</v>
      </c>
      <c r="V24" s="574">
        <v>76604.490000000005</v>
      </c>
    </row>
    <row r="25" spans="1:23">
      <c r="A25" s="576" t="s">
        <v>454</v>
      </c>
      <c r="B25" s="574">
        <v>1583569.42</v>
      </c>
      <c r="C25" s="574">
        <v>1476421.3599999901</v>
      </c>
      <c r="D25" s="574">
        <v>1508052.62</v>
      </c>
      <c r="E25" s="574">
        <v>1077925.3399999901</v>
      </c>
      <c r="F25" s="574">
        <v>766780.56999999902</v>
      </c>
      <c r="G25" s="574">
        <v>1756705.20999999</v>
      </c>
      <c r="H25" s="574">
        <v>864584.56</v>
      </c>
      <c r="I25" s="574">
        <v>1185954.04999999</v>
      </c>
      <c r="J25" s="574">
        <v>1045205.58</v>
      </c>
      <c r="K25" s="574">
        <v>1039211.88999999</v>
      </c>
      <c r="L25" s="574">
        <v>1095567.58</v>
      </c>
      <c r="M25" s="574">
        <v>1089824</v>
      </c>
      <c r="N25" s="574">
        <v>-730044.21999999904</v>
      </c>
      <c r="O25" s="574">
        <v>1317815.1200000001</v>
      </c>
      <c r="P25" s="574">
        <v>625475.04</v>
      </c>
      <c r="Q25" s="574">
        <v>1757410.38</v>
      </c>
      <c r="R25" s="574">
        <v>1612238.28999999</v>
      </c>
      <c r="S25" s="574">
        <v>1169679.44</v>
      </c>
      <c r="T25" s="574">
        <v>1163317.53</v>
      </c>
      <c r="U25" s="574">
        <v>1399711.31</v>
      </c>
      <c r="V25" s="574">
        <v>415658.83</v>
      </c>
    </row>
    <row r="26" spans="1:23">
      <c r="A26" s="576" t="s">
        <v>455</v>
      </c>
      <c r="B26" s="574">
        <v>554988.96</v>
      </c>
      <c r="C26" s="574">
        <v>470205.54</v>
      </c>
      <c r="D26" s="574">
        <v>479090.95</v>
      </c>
      <c r="E26" s="574">
        <v>537339.18999999901</v>
      </c>
      <c r="F26" s="574">
        <v>514275.06</v>
      </c>
      <c r="G26" s="574">
        <v>601908.67000000004</v>
      </c>
      <c r="H26" s="574">
        <v>546562.86</v>
      </c>
      <c r="I26" s="574">
        <v>582347.76</v>
      </c>
      <c r="J26" s="574">
        <v>590900.66999999899</v>
      </c>
      <c r="K26" s="574">
        <v>548608.19999999995</v>
      </c>
      <c r="L26" s="574">
        <v>597012.36</v>
      </c>
      <c r="M26" s="574">
        <v>534330.75</v>
      </c>
      <c r="N26" s="574">
        <v>600732.73</v>
      </c>
      <c r="O26" s="574">
        <v>533568.78999999899</v>
      </c>
      <c r="P26" s="574">
        <v>699265.66</v>
      </c>
      <c r="Q26" s="574">
        <v>512673.299999999</v>
      </c>
      <c r="R26" s="574">
        <v>432855.07</v>
      </c>
      <c r="S26" s="574">
        <v>457037.22999999899</v>
      </c>
      <c r="T26" s="574">
        <v>476944.2</v>
      </c>
      <c r="U26" s="574">
        <v>495147.16999999899</v>
      </c>
      <c r="V26" s="574">
        <v>390663.51</v>
      </c>
    </row>
    <row r="27" spans="1:23">
      <c r="A27" s="576" t="s">
        <v>456</v>
      </c>
      <c r="B27" s="574">
        <v>74461.289999999906</v>
      </c>
      <c r="C27" s="574">
        <v>65815.8</v>
      </c>
      <c r="D27" s="574">
        <v>61058.76</v>
      </c>
      <c r="E27" s="574">
        <v>58934.33</v>
      </c>
      <c r="F27" s="574">
        <v>61538.02</v>
      </c>
      <c r="G27" s="574">
        <v>77999.55</v>
      </c>
      <c r="H27" s="574">
        <v>67165.08</v>
      </c>
      <c r="I27" s="574">
        <v>78686.36</v>
      </c>
      <c r="J27" s="574">
        <v>76057.56</v>
      </c>
      <c r="K27" s="574">
        <v>72198</v>
      </c>
      <c r="L27" s="574">
        <v>76084.289999999994</v>
      </c>
      <c r="M27" s="574">
        <v>66128.509999999995</v>
      </c>
      <c r="N27" s="574">
        <v>73674.38</v>
      </c>
      <c r="O27" s="574">
        <v>79207.06</v>
      </c>
      <c r="P27" s="574">
        <v>61151.7599999999</v>
      </c>
      <c r="Q27" s="574">
        <v>79544.17</v>
      </c>
      <c r="R27" s="574">
        <v>62038.11</v>
      </c>
      <c r="S27" s="574">
        <v>52595.24</v>
      </c>
      <c r="T27" s="574">
        <v>69309.53</v>
      </c>
      <c r="U27" s="574">
        <v>74012.819999999905</v>
      </c>
      <c r="V27" s="574">
        <v>42251.5099999999</v>
      </c>
    </row>
    <row r="28" spans="1:23">
      <c r="A28" s="576" t="s">
        <v>457</v>
      </c>
      <c r="B28" s="574">
        <v>0</v>
      </c>
      <c r="C28" s="574">
        <v>0</v>
      </c>
      <c r="D28" s="574">
        <v>0</v>
      </c>
      <c r="E28" s="574">
        <v>0</v>
      </c>
      <c r="F28" s="574">
        <v>0</v>
      </c>
      <c r="G28" s="574">
        <v>0</v>
      </c>
      <c r="H28" s="574">
        <v>0</v>
      </c>
      <c r="I28" s="574">
        <v>0</v>
      </c>
      <c r="J28" s="574">
        <v>0</v>
      </c>
      <c r="K28" s="574">
        <v>0</v>
      </c>
      <c r="L28" s="574">
        <v>0</v>
      </c>
      <c r="M28" s="574">
        <v>0</v>
      </c>
      <c r="N28" s="574">
        <v>0</v>
      </c>
      <c r="O28" s="574">
        <v>0</v>
      </c>
      <c r="P28" s="574">
        <v>0</v>
      </c>
      <c r="Q28" s="574">
        <v>0</v>
      </c>
      <c r="R28" s="574">
        <v>0</v>
      </c>
      <c r="S28" s="574">
        <v>0</v>
      </c>
      <c r="T28" s="574">
        <v>0</v>
      </c>
      <c r="U28" s="574">
        <v>0</v>
      </c>
      <c r="V28" s="574">
        <v>0</v>
      </c>
    </row>
    <row r="29" spans="1:23">
      <c r="A29" s="576" t="s">
        <v>458</v>
      </c>
      <c r="B29" s="574">
        <v>1034159.65999999</v>
      </c>
      <c r="C29" s="574">
        <v>965249.67</v>
      </c>
      <c r="D29" s="574">
        <v>984136.12999999896</v>
      </c>
      <c r="E29" s="574">
        <v>1174519.01999999</v>
      </c>
      <c r="F29" s="574">
        <v>1027031.87999999</v>
      </c>
      <c r="G29" s="574">
        <v>1548412.6999999899</v>
      </c>
      <c r="H29" s="574">
        <v>1474454.0799999901</v>
      </c>
      <c r="I29" s="574">
        <v>1417412.06</v>
      </c>
      <c r="J29" s="574">
        <v>1304656.47999999</v>
      </c>
      <c r="K29" s="574">
        <v>1038933.44</v>
      </c>
      <c r="L29" s="574">
        <v>1326422.49</v>
      </c>
      <c r="M29" s="574">
        <v>1201028.0799999901</v>
      </c>
      <c r="N29" s="574">
        <v>1122188.70999999</v>
      </c>
      <c r="O29" s="574">
        <v>-974556.82</v>
      </c>
      <c r="P29" s="574">
        <v>397201.59999999899</v>
      </c>
      <c r="Q29" s="574">
        <v>1023167.99999999</v>
      </c>
      <c r="R29" s="574">
        <v>812227.179999999</v>
      </c>
      <c r="S29" s="574">
        <v>1732214.76</v>
      </c>
      <c r="T29" s="574">
        <v>739468.03</v>
      </c>
      <c r="U29" s="574">
        <v>707862.01999999897</v>
      </c>
      <c r="V29" s="574">
        <v>663251.48999999603</v>
      </c>
    </row>
    <row r="30" spans="1:23">
      <c r="A30" s="576" t="s">
        <v>459</v>
      </c>
      <c r="B30" s="574">
        <v>0</v>
      </c>
      <c r="C30" s="574">
        <v>0</v>
      </c>
      <c r="D30" s="574">
        <v>0</v>
      </c>
      <c r="E30" s="574">
        <v>0</v>
      </c>
      <c r="F30" s="574">
        <v>0</v>
      </c>
      <c r="G30" s="574">
        <v>0</v>
      </c>
      <c r="H30" s="574">
        <v>0</v>
      </c>
      <c r="I30" s="574">
        <v>0</v>
      </c>
      <c r="J30" s="574">
        <v>0</v>
      </c>
      <c r="K30" s="574">
        <v>0</v>
      </c>
      <c r="L30" s="574">
        <v>0</v>
      </c>
      <c r="M30" s="574">
        <v>0</v>
      </c>
      <c r="N30" s="574">
        <v>0</v>
      </c>
      <c r="O30" s="574">
        <v>0</v>
      </c>
      <c r="P30" s="574">
        <v>0</v>
      </c>
      <c r="Q30" s="574">
        <v>0</v>
      </c>
      <c r="R30" s="574">
        <v>0</v>
      </c>
      <c r="S30" s="574">
        <v>0</v>
      </c>
      <c r="T30" s="574">
        <v>0</v>
      </c>
      <c r="U30" s="574">
        <v>0</v>
      </c>
      <c r="V30" s="574">
        <v>0</v>
      </c>
    </row>
    <row r="31" spans="1:23">
      <c r="A31" s="576" t="s">
        <v>460</v>
      </c>
      <c r="B31" s="574">
        <v>0</v>
      </c>
      <c r="C31" s="574">
        <v>0</v>
      </c>
      <c r="D31" s="574">
        <v>0</v>
      </c>
      <c r="E31" s="574">
        <v>0</v>
      </c>
      <c r="F31" s="574">
        <v>0</v>
      </c>
      <c r="G31" s="574">
        <v>0</v>
      </c>
      <c r="H31" s="574">
        <v>0</v>
      </c>
      <c r="I31" s="574">
        <v>0</v>
      </c>
      <c r="J31" s="574">
        <v>0</v>
      </c>
      <c r="K31" s="574">
        <v>0</v>
      </c>
      <c r="L31" s="574">
        <v>0</v>
      </c>
      <c r="M31" s="574">
        <v>0</v>
      </c>
      <c r="N31" s="574">
        <v>0</v>
      </c>
      <c r="O31" s="574">
        <v>0</v>
      </c>
      <c r="P31" s="574">
        <v>0</v>
      </c>
      <c r="Q31" s="574">
        <v>0</v>
      </c>
      <c r="R31" s="574">
        <v>0</v>
      </c>
      <c r="S31" s="574">
        <v>0</v>
      </c>
      <c r="T31" s="574">
        <v>0</v>
      </c>
      <c r="U31" s="574">
        <v>0</v>
      </c>
      <c r="V31" s="574">
        <v>0</v>
      </c>
    </row>
    <row r="32" spans="1:23">
      <c r="A32" s="576" t="s">
        <v>461</v>
      </c>
      <c r="B32" s="574">
        <v>0</v>
      </c>
      <c r="C32" s="574">
        <v>0</v>
      </c>
      <c r="D32" s="574">
        <v>0</v>
      </c>
      <c r="E32" s="574">
        <v>0</v>
      </c>
      <c r="F32" s="574">
        <v>0</v>
      </c>
      <c r="G32" s="574">
        <v>0</v>
      </c>
      <c r="H32" s="574">
        <v>0</v>
      </c>
      <c r="I32" s="574">
        <v>0</v>
      </c>
      <c r="J32" s="574">
        <v>0</v>
      </c>
      <c r="K32" s="574">
        <v>0</v>
      </c>
      <c r="L32" s="574">
        <v>0</v>
      </c>
      <c r="M32" s="574">
        <v>0</v>
      </c>
      <c r="N32" s="574">
        <v>0</v>
      </c>
      <c r="O32" s="574">
        <v>0</v>
      </c>
      <c r="P32" s="574">
        <v>0</v>
      </c>
      <c r="Q32" s="574">
        <v>0</v>
      </c>
      <c r="R32" s="574">
        <v>0</v>
      </c>
      <c r="S32" s="574">
        <v>0</v>
      </c>
      <c r="T32" s="574">
        <v>0</v>
      </c>
      <c r="U32" s="574">
        <v>0</v>
      </c>
      <c r="V32" s="574">
        <v>0</v>
      </c>
    </row>
    <row r="33" spans="1:22">
      <c r="A33" s="576" t="s">
        <v>462</v>
      </c>
      <c r="B33" s="574">
        <v>0</v>
      </c>
      <c r="C33" s="574">
        <v>0</v>
      </c>
      <c r="D33" s="574">
        <v>0</v>
      </c>
      <c r="E33" s="574">
        <v>0</v>
      </c>
      <c r="F33" s="574">
        <v>0</v>
      </c>
      <c r="G33" s="574">
        <v>0</v>
      </c>
      <c r="H33" s="574">
        <v>0</v>
      </c>
      <c r="I33" s="574">
        <v>0</v>
      </c>
      <c r="J33" s="574">
        <v>0</v>
      </c>
      <c r="K33" s="574">
        <v>0</v>
      </c>
      <c r="L33" s="574">
        <v>0</v>
      </c>
      <c r="M33" s="574">
        <v>0</v>
      </c>
      <c r="N33" s="574">
        <v>0</v>
      </c>
      <c r="O33" s="574">
        <v>0</v>
      </c>
      <c r="P33" s="574">
        <v>0</v>
      </c>
      <c r="Q33" s="574">
        <v>0</v>
      </c>
      <c r="R33" s="574">
        <v>0</v>
      </c>
      <c r="S33" s="574">
        <v>0</v>
      </c>
      <c r="T33" s="574">
        <v>0</v>
      </c>
      <c r="U33" s="574">
        <v>0</v>
      </c>
      <c r="V33" s="574">
        <v>0</v>
      </c>
    </row>
    <row r="34" spans="1:22">
      <c r="A34" s="576" t="s">
        <v>463</v>
      </c>
      <c r="B34" s="574">
        <v>0</v>
      </c>
      <c r="C34" s="574">
        <v>0</v>
      </c>
      <c r="D34" s="574">
        <v>0</v>
      </c>
      <c r="E34" s="574">
        <v>0</v>
      </c>
      <c r="F34" s="574">
        <v>0</v>
      </c>
      <c r="G34" s="574">
        <v>0</v>
      </c>
      <c r="H34" s="574">
        <v>0</v>
      </c>
      <c r="I34" s="574">
        <v>0</v>
      </c>
      <c r="J34" s="574">
        <v>0</v>
      </c>
      <c r="K34" s="574">
        <v>0</v>
      </c>
      <c r="L34" s="574">
        <v>0</v>
      </c>
      <c r="M34" s="574">
        <v>0</v>
      </c>
      <c r="N34" s="574">
        <v>0</v>
      </c>
      <c r="O34" s="574">
        <v>0</v>
      </c>
      <c r="P34" s="574">
        <v>0</v>
      </c>
      <c r="Q34" s="574">
        <v>0</v>
      </c>
      <c r="R34" s="574">
        <v>0</v>
      </c>
      <c r="S34" s="574">
        <v>0</v>
      </c>
      <c r="T34" s="574">
        <v>0</v>
      </c>
      <c r="U34" s="574">
        <v>0</v>
      </c>
      <c r="V34" s="574">
        <v>0</v>
      </c>
    </row>
    <row r="35" spans="1:22">
      <c r="A35" s="576" t="s">
        <v>464</v>
      </c>
      <c r="B35" s="574">
        <v>0</v>
      </c>
      <c r="C35" s="574">
        <v>0</v>
      </c>
      <c r="D35" s="574">
        <v>0</v>
      </c>
      <c r="E35" s="574">
        <v>0</v>
      </c>
      <c r="F35" s="574">
        <v>0</v>
      </c>
      <c r="G35" s="574">
        <v>0</v>
      </c>
      <c r="H35" s="574">
        <v>0</v>
      </c>
      <c r="I35" s="574">
        <v>0</v>
      </c>
      <c r="J35" s="574">
        <v>0</v>
      </c>
      <c r="K35" s="574">
        <v>0</v>
      </c>
      <c r="L35" s="574">
        <v>0</v>
      </c>
      <c r="M35" s="574">
        <v>0</v>
      </c>
      <c r="N35" s="574">
        <v>0</v>
      </c>
      <c r="O35" s="574">
        <v>0</v>
      </c>
      <c r="P35" s="574">
        <v>0</v>
      </c>
      <c r="Q35" s="574">
        <v>0</v>
      </c>
      <c r="R35" s="574">
        <v>0</v>
      </c>
      <c r="S35" s="574">
        <v>0</v>
      </c>
      <c r="T35" s="574">
        <v>0</v>
      </c>
      <c r="U35" s="574">
        <v>0</v>
      </c>
      <c r="V35" s="574">
        <v>0</v>
      </c>
    </row>
    <row r="36" spans="1:22">
      <c r="A36" s="576" t="s">
        <v>465</v>
      </c>
      <c r="B36" s="574">
        <v>0</v>
      </c>
      <c r="C36" s="574">
        <v>0</v>
      </c>
      <c r="D36" s="574">
        <v>0</v>
      </c>
      <c r="E36" s="574">
        <v>0</v>
      </c>
      <c r="F36" s="574">
        <v>0</v>
      </c>
      <c r="G36" s="574">
        <v>0</v>
      </c>
      <c r="H36" s="574">
        <v>0</v>
      </c>
      <c r="I36" s="574">
        <v>0</v>
      </c>
      <c r="J36" s="574">
        <v>0</v>
      </c>
      <c r="K36" s="574">
        <v>0</v>
      </c>
      <c r="L36" s="574">
        <v>0</v>
      </c>
      <c r="M36" s="574">
        <v>0</v>
      </c>
      <c r="N36" s="574">
        <v>0</v>
      </c>
      <c r="O36" s="574">
        <v>0</v>
      </c>
      <c r="P36" s="574">
        <v>0</v>
      </c>
      <c r="Q36" s="574">
        <v>0</v>
      </c>
      <c r="R36" s="574">
        <v>0</v>
      </c>
      <c r="S36" s="574">
        <v>0</v>
      </c>
      <c r="T36" s="574">
        <v>0</v>
      </c>
      <c r="U36" s="574">
        <v>0</v>
      </c>
      <c r="V36" s="574">
        <v>0</v>
      </c>
    </row>
    <row r="37" spans="1:22">
      <c r="A37" s="576" t="s">
        <v>466</v>
      </c>
      <c r="B37" s="574">
        <v>0</v>
      </c>
      <c r="C37" s="574">
        <v>0</v>
      </c>
      <c r="D37" s="574">
        <v>0</v>
      </c>
      <c r="E37" s="574">
        <v>0</v>
      </c>
      <c r="F37" s="574">
        <v>0</v>
      </c>
      <c r="G37" s="574">
        <v>0</v>
      </c>
      <c r="H37" s="574">
        <v>0</v>
      </c>
      <c r="I37" s="574">
        <v>0</v>
      </c>
      <c r="J37" s="574">
        <v>0</v>
      </c>
      <c r="K37" s="574">
        <v>0</v>
      </c>
      <c r="L37" s="574">
        <v>0</v>
      </c>
      <c r="M37" s="574">
        <v>0</v>
      </c>
      <c r="N37" s="574">
        <v>0</v>
      </c>
      <c r="O37" s="574">
        <v>0</v>
      </c>
      <c r="P37" s="574">
        <v>0</v>
      </c>
      <c r="Q37" s="574">
        <v>0</v>
      </c>
      <c r="R37" s="574">
        <v>0</v>
      </c>
      <c r="S37" s="574">
        <v>0</v>
      </c>
      <c r="T37" s="574">
        <v>0</v>
      </c>
      <c r="U37" s="574">
        <v>0</v>
      </c>
      <c r="V37" s="574">
        <v>0</v>
      </c>
    </row>
    <row r="38" spans="1:22">
      <c r="A38" s="576" t="s">
        <v>467</v>
      </c>
      <c r="B38" s="574">
        <v>4221945.6900000004</v>
      </c>
      <c r="C38" s="574">
        <v>3882840.75</v>
      </c>
      <c r="D38" s="574">
        <v>3966720.43</v>
      </c>
      <c r="E38" s="574">
        <v>3879176.0999999898</v>
      </c>
      <c r="F38" s="574">
        <v>3322212.2299999902</v>
      </c>
      <c r="G38" s="574">
        <v>4990787.2599999905</v>
      </c>
      <c r="H38" s="574">
        <v>3832235.0599999898</v>
      </c>
      <c r="I38" s="574">
        <v>4298666.91</v>
      </c>
      <c r="J38" s="574">
        <v>3841491.73999999</v>
      </c>
      <c r="K38" s="574">
        <v>3580998.26</v>
      </c>
      <c r="L38" s="574">
        <v>3943927.39</v>
      </c>
      <c r="M38" s="574">
        <v>3814996.46999999</v>
      </c>
      <c r="N38" s="574">
        <v>944741.19999999902</v>
      </c>
      <c r="O38" s="574">
        <v>2030585.93</v>
      </c>
      <c r="P38" s="574">
        <v>2302814.0299999998</v>
      </c>
      <c r="Q38" s="574">
        <v>4497328.8599999901</v>
      </c>
      <c r="R38" s="574">
        <v>3867573.5999999898</v>
      </c>
      <c r="S38" s="574">
        <v>4326469.1500000004</v>
      </c>
      <c r="T38" s="574">
        <v>3317029.87</v>
      </c>
      <c r="U38" s="574">
        <v>3809036.3799999901</v>
      </c>
      <c r="V38" s="574">
        <v>2012232.03999999</v>
      </c>
    </row>
    <row r="40" spans="1:22">
      <c r="A40" s="575" t="s">
        <v>468</v>
      </c>
      <c r="B40" s="574">
        <v>-4221945.6900000004</v>
      </c>
      <c r="C40" s="574">
        <v>-3882840.75</v>
      </c>
      <c r="D40" s="574">
        <v>-3966720.43</v>
      </c>
      <c r="E40" s="574">
        <v>-3879176.0999999898</v>
      </c>
      <c r="F40" s="574">
        <v>-3322212.2299999902</v>
      </c>
      <c r="G40" s="574">
        <v>-4990787.2599999905</v>
      </c>
      <c r="H40" s="574">
        <v>-3832235.0599999898</v>
      </c>
      <c r="I40" s="574">
        <v>-4298666.91</v>
      </c>
      <c r="J40" s="574">
        <v>-3841491.73999999</v>
      </c>
      <c r="K40" s="574">
        <v>-3580998.26</v>
      </c>
      <c r="L40" s="574">
        <v>-3943927.39</v>
      </c>
      <c r="M40" s="574">
        <v>-3814996.46999999</v>
      </c>
      <c r="N40" s="574">
        <v>-944741.19999999902</v>
      </c>
      <c r="O40" s="574">
        <v>-2030585.93</v>
      </c>
      <c r="P40" s="574">
        <v>-2302814.0299999998</v>
      </c>
      <c r="Q40" s="574">
        <v>-4497328.8599999901</v>
      </c>
      <c r="R40" s="574">
        <v>-3867573.5999999898</v>
      </c>
      <c r="S40" s="574">
        <v>-4326469.1500000004</v>
      </c>
      <c r="T40" s="574">
        <v>-3317029.87</v>
      </c>
      <c r="U40" s="574">
        <v>-3809036.3799999901</v>
      </c>
      <c r="V40" s="574">
        <v>-2012232.03999999</v>
      </c>
    </row>
    <row r="42" spans="1:22">
      <c r="A42" s="575" t="s">
        <v>469</v>
      </c>
    </row>
    <row r="43" spans="1:22">
      <c r="A43" s="576" t="s">
        <v>470</v>
      </c>
      <c r="B43" s="574">
        <v>42368.18</v>
      </c>
      <c r="C43" s="574">
        <v>39803.440000000002</v>
      </c>
      <c r="D43" s="574">
        <v>45070.34</v>
      </c>
      <c r="E43" s="574">
        <v>818196.24</v>
      </c>
      <c r="F43" s="574">
        <v>374790.14999999898</v>
      </c>
      <c r="G43" s="574">
        <v>-1046184.91</v>
      </c>
      <c r="H43" s="574">
        <v>33870.3999999999</v>
      </c>
      <c r="I43" s="574">
        <v>39925.589999999997</v>
      </c>
      <c r="J43" s="574">
        <v>35383.319999999898</v>
      </c>
      <c r="K43" s="574">
        <v>36413.379999999997</v>
      </c>
      <c r="L43" s="574">
        <v>32783.15</v>
      </c>
      <c r="M43" s="574">
        <v>38319.24</v>
      </c>
      <c r="N43" s="574">
        <v>-11306.0699999999</v>
      </c>
      <c r="O43" s="574">
        <v>44885.7</v>
      </c>
      <c r="P43" s="574">
        <v>14936.55</v>
      </c>
      <c r="Q43" s="574">
        <v>43553.24</v>
      </c>
      <c r="R43" s="574">
        <v>799344.84</v>
      </c>
      <c r="S43" s="574">
        <v>419131.06</v>
      </c>
      <c r="T43" s="574">
        <v>410584.86</v>
      </c>
      <c r="U43" s="574">
        <v>1804062.26</v>
      </c>
      <c r="V43" s="574">
        <v>399107.31</v>
      </c>
    </row>
    <row r="44" spans="1:22">
      <c r="A44" s="576" t="s">
        <v>471</v>
      </c>
      <c r="B44" s="574">
        <v>0</v>
      </c>
      <c r="C44" s="574">
        <v>0</v>
      </c>
      <c r="D44" s="574">
        <v>0</v>
      </c>
      <c r="E44" s="574">
        <v>0</v>
      </c>
      <c r="F44" s="574">
        <v>0</v>
      </c>
      <c r="G44" s="574">
        <v>0</v>
      </c>
      <c r="H44" s="574">
        <v>0</v>
      </c>
      <c r="I44" s="574">
        <v>0</v>
      </c>
      <c r="J44" s="574">
        <v>0</v>
      </c>
      <c r="K44" s="574">
        <v>0</v>
      </c>
      <c r="L44" s="574">
        <v>0</v>
      </c>
      <c r="M44" s="574">
        <v>0</v>
      </c>
      <c r="N44" s="574">
        <v>0</v>
      </c>
      <c r="O44" s="574">
        <v>0</v>
      </c>
      <c r="P44" s="574">
        <v>0</v>
      </c>
      <c r="Q44" s="574">
        <v>0</v>
      </c>
      <c r="R44" s="574">
        <v>0</v>
      </c>
      <c r="S44" s="574">
        <v>0</v>
      </c>
      <c r="T44" s="574">
        <v>0</v>
      </c>
      <c r="U44" s="574">
        <v>0</v>
      </c>
      <c r="V44" s="574">
        <v>0</v>
      </c>
    </row>
    <row r="45" spans="1:22">
      <c r="A45" s="576" t="s">
        <v>472</v>
      </c>
      <c r="B45" s="574">
        <v>0</v>
      </c>
      <c r="C45" s="574">
        <v>0</v>
      </c>
      <c r="D45" s="574">
        <v>0</v>
      </c>
      <c r="E45" s="574">
        <v>0</v>
      </c>
      <c r="F45" s="574">
        <v>0</v>
      </c>
      <c r="G45" s="574">
        <v>0</v>
      </c>
      <c r="H45" s="574">
        <v>0</v>
      </c>
      <c r="I45" s="574">
        <v>0</v>
      </c>
      <c r="J45" s="574">
        <v>0</v>
      </c>
      <c r="K45" s="574">
        <v>0</v>
      </c>
      <c r="L45" s="574">
        <v>0</v>
      </c>
      <c r="M45" s="574">
        <v>0</v>
      </c>
      <c r="N45" s="574">
        <v>0</v>
      </c>
      <c r="O45" s="574">
        <v>0</v>
      </c>
      <c r="P45" s="574">
        <v>0</v>
      </c>
      <c r="Q45" s="574">
        <v>0</v>
      </c>
      <c r="R45" s="574">
        <v>0</v>
      </c>
      <c r="S45" s="574">
        <v>0</v>
      </c>
      <c r="T45" s="574">
        <v>0</v>
      </c>
      <c r="U45" s="574">
        <v>0</v>
      </c>
      <c r="V45" s="574">
        <v>0</v>
      </c>
    </row>
    <row r="46" spans="1:22">
      <c r="A46" s="575" t="s">
        <v>473</v>
      </c>
      <c r="B46" s="574">
        <v>42368.18</v>
      </c>
      <c r="C46" s="574">
        <v>39803.440000000002</v>
      </c>
      <c r="D46" s="574">
        <v>45070.34</v>
      </c>
      <c r="E46" s="574">
        <v>818196.24</v>
      </c>
      <c r="F46" s="574">
        <v>374790.14999999898</v>
      </c>
      <c r="G46" s="574">
        <v>-1046184.91</v>
      </c>
      <c r="H46" s="574">
        <v>33870.3999999999</v>
      </c>
      <c r="I46" s="574">
        <v>39925.589999999997</v>
      </c>
      <c r="J46" s="574">
        <v>35383.319999999898</v>
      </c>
      <c r="K46" s="574">
        <v>36413.379999999997</v>
      </c>
      <c r="L46" s="574">
        <v>32783.15</v>
      </c>
      <c r="M46" s="574">
        <v>38319.24</v>
      </c>
      <c r="N46" s="574">
        <v>-11306.0699999999</v>
      </c>
      <c r="O46" s="574">
        <v>44885.7</v>
      </c>
      <c r="P46" s="574">
        <v>14936.55</v>
      </c>
      <c r="Q46" s="574">
        <v>43553.24</v>
      </c>
      <c r="R46" s="574">
        <v>799344.84</v>
      </c>
      <c r="S46" s="574">
        <v>419131.06</v>
      </c>
      <c r="T46" s="574">
        <v>410584.86</v>
      </c>
      <c r="U46" s="574">
        <v>1804062.26</v>
      </c>
      <c r="V46" s="574">
        <v>399107.31</v>
      </c>
    </row>
    <row r="48" spans="1:22">
      <c r="A48" s="575" t="s">
        <v>474</v>
      </c>
      <c r="B48" s="574">
        <v>-4264313.87</v>
      </c>
      <c r="C48" s="574">
        <v>-3922644.19</v>
      </c>
      <c r="D48" s="574">
        <v>-4011790.77</v>
      </c>
      <c r="E48" s="574">
        <v>-4697372.3399999896</v>
      </c>
      <c r="F48" s="574">
        <v>-3697002.3799999901</v>
      </c>
      <c r="G48" s="574">
        <v>-3944602.3499999898</v>
      </c>
      <c r="H48" s="574">
        <v>-3866105.4599999902</v>
      </c>
      <c r="I48" s="574">
        <v>-4338592.5</v>
      </c>
      <c r="J48" s="574">
        <v>-3876875.0599999898</v>
      </c>
      <c r="K48" s="574">
        <v>-3617411.64</v>
      </c>
      <c r="L48" s="574">
        <v>-3976710.54</v>
      </c>
      <c r="M48" s="574">
        <v>-3853315.7099999902</v>
      </c>
      <c r="N48" s="574">
        <v>-933435.12999999896</v>
      </c>
      <c r="O48" s="574">
        <v>-2075471.63</v>
      </c>
      <c r="P48" s="574">
        <v>-2317750.5799999898</v>
      </c>
      <c r="Q48" s="574">
        <v>-4540882.0999999996</v>
      </c>
      <c r="R48" s="574">
        <v>-4666918.4399999902</v>
      </c>
      <c r="S48" s="574">
        <v>-4745600.21</v>
      </c>
      <c r="T48" s="574">
        <v>-3727614.73</v>
      </c>
      <c r="U48" s="574">
        <v>-5613098.6399999904</v>
      </c>
      <c r="V48" s="574">
        <v>-2411339.3499999898</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workbookViewId="0">
      <selection activeCell="O10" sqref="O10"/>
    </sheetView>
  </sheetViews>
  <sheetFormatPr defaultColWidth="9.140625" defaultRowHeight="15"/>
  <cols>
    <col min="1" max="1" width="47.85546875" style="556" bestFit="1" customWidth="1"/>
    <col min="2" max="3" width="13.28515625" style="556" bestFit="1" customWidth="1"/>
    <col min="4" max="7" width="9.28515625" style="556" bestFit="1" customWidth="1"/>
    <col min="8" max="8" width="14" style="556" bestFit="1" customWidth="1"/>
    <col min="9" max="9" width="13.28515625" style="556" bestFit="1" customWidth="1"/>
    <col min="10" max="13" width="9.28515625" style="556" bestFit="1" customWidth="1"/>
    <col min="14" max="14" width="11.28515625" style="556" bestFit="1" customWidth="1"/>
    <col min="15" max="16384" width="9.140625" style="556"/>
  </cols>
  <sheetData>
    <row r="1" spans="1:14">
      <c r="A1" s="556" t="s">
        <v>379</v>
      </c>
    </row>
    <row r="2" spans="1:14">
      <c r="A2" s="556" t="s">
        <v>404</v>
      </c>
    </row>
    <row r="3" spans="1:14">
      <c r="A3" s="556" t="s">
        <v>378</v>
      </c>
    </row>
    <row r="12" spans="1:14">
      <c r="A12" s="556" t="s">
        <v>376</v>
      </c>
      <c r="B12" s="556" t="s">
        <v>405</v>
      </c>
      <c r="C12" s="557">
        <v>43252</v>
      </c>
      <c r="D12" s="557">
        <v>43221</v>
      </c>
      <c r="E12" s="557">
        <v>43191</v>
      </c>
      <c r="F12" s="557">
        <v>43160</v>
      </c>
      <c r="G12" s="557">
        <v>43132</v>
      </c>
      <c r="H12" s="557">
        <v>43101</v>
      </c>
      <c r="I12" s="557">
        <v>43070</v>
      </c>
      <c r="J12" s="557">
        <v>43040</v>
      </c>
      <c r="K12" s="557">
        <v>43009</v>
      </c>
      <c r="L12" s="557">
        <v>42979</v>
      </c>
      <c r="M12" s="557">
        <v>42948</v>
      </c>
      <c r="N12" s="557">
        <v>42917</v>
      </c>
    </row>
    <row r="13" spans="1:14">
      <c r="A13" s="556" t="s">
        <v>173</v>
      </c>
      <c r="B13" s="558">
        <f>SUM(C13:N13)</f>
        <v>0</v>
      </c>
      <c r="C13" s="558">
        <v>0</v>
      </c>
      <c r="D13" s="558">
        <v>0</v>
      </c>
      <c r="E13" s="558">
        <v>0</v>
      </c>
      <c r="F13" s="558">
        <v>0</v>
      </c>
      <c r="G13" s="558">
        <v>0</v>
      </c>
      <c r="H13" s="558">
        <v>-1063362.3600000001</v>
      </c>
      <c r="I13" s="558">
        <v>1063362.3600000001</v>
      </c>
      <c r="J13" s="558">
        <v>0</v>
      </c>
      <c r="K13" s="558">
        <v>0</v>
      </c>
      <c r="L13" s="558">
        <v>0</v>
      </c>
      <c r="M13" s="558">
        <v>0</v>
      </c>
      <c r="N13" s="558">
        <v>0</v>
      </c>
    </row>
    <row r="14" spans="1:14">
      <c r="A14" s="556" t="s">
        <v>157</v>
      </c>
      <c r="B14" s="558">
        <f>SUM(C14:N14)</f>
        <v>1703775.51</v>
      </c>
      <c r="C14" s="558">
        <v>1781968.95</v>
      </c>
      <c r="D14" s="558">
        <v>0</v>
      </c>
      <c r="E14" s="558">
        <v>0</v>
      </c>
      <c r="F14" s="558">
        <v>0</v>
      </c>
      <c r="G14" s="558">
        <v>0</v>
      </c>
      <c r="H14" s="558">
        <v>0</v>
      </c>
      <c r="I14" s="558">
        <v>0</v>
      </c>
      <c r="J14" s="558">
        <v>0</v>
      </c>
      <c r="K14" s="558">
        <v>0</v>
      </c>
      <c r="L14" s="558">
        <v>0</v>
      </c>
      <c r="M14" s="558">
        <v>0</v>
      </c>
      <c r="N14" s="558">
        <v>-78193.440000000002</v>
      </c>
    </row>
    <row r="15" spans="1:14">
      <c r="A15" s="556" t="s">
        <v>374</v>
      </c>
      <c r="B15" s="559">
        <f>SUM(B13:B14)</f>
        <v>1703775.51</v>
      </c>
      <c r="C15" s="559">
        <f t="shared" ref="C15:N15" si="0">SUM(C13:C14)</f>
        <v>1781968.95</v>
      </c>
      <c r="D15" s="559">
        <f t="shared" si="0"/>
        <v>0</v>
      </c>
      <c r="E15" s="559">
        <f t="shared" si="0"/>
        <v>0</v>
      </c>
      <c r="F15" s="559">
        <f t="shared" si="0"/>
        <v>0</v>
      </c>
      <c r="G15" s="559">
        <f t="shared" si="0"/>
        <v>0</v>
      </c>
      <c r="H15" s="559">
        <f t="shared" si="0"/>
        <v>-1063362.3600000001</v>
      </c>
      <c r="I15" s="559">
        <f t="shared" si="0"/>
        <v>1063362.3600000001</v>
      </c>
      <c r="J15" s="559">
        <f t="shared" si="0"/>
        <v>0</v>
      </c>
      <c r="K15" s="559">
        <f t="shared" si="0"/>
        <v>0</v>
      </c>
      <c r="L15" s="559">
        <f t="shared" si="0"/>
        <v>0</v>
      </c>
      <c r="M15" s="559">
        <f t="shared" si="0"/>
        <v>0</v>
      </c>
      <c r="N15" s="559">
        <f t="shared" si="0"/>
        <v>-78193.440000000002</v>
      </c>
    </row>
    <row r="18" spans="1:16">
      <c r="A18" s="560" t="s">
        <v>406</v>
      </c>
      <c r="B18" s="290"/>
      <c r="C18" s="290"/>
      <c r="D18" s="290"/>
      <c r="E18" s="290"/>
      <c r="F18" s="290"/>
      <c r="G18" s="290"/>
      <c r="H18" s="290"/>
      <c r="I18" s="290"/>
      <c r="J18" s="290"/>
      <c r="K18" s="290"/>
      <c r="L18" s="290"/>
      <c r="M18" s="290"/>
      <c r="N18" s="290"/>
      <c r="O18" s="290"/>
      <c r="P18" s="290"/>
    </row>
    <row r="19" spans="1:16">
      <c r="A19" s="560" t="s">
        <v>407</v>
      </c>
      <c r="B19" s="290"/>
      <c r="C19" s="290"/>
      <c r="D19" s="290"/>
      <c r="E19" s="290"/>
      <c r="F19" s="290"/>
      <c r="G19" s="290"/>
      <c r="H19" s="290"/>
      <c r="I19" s="290"/>
      <c r="J19" s="290"/>
      <c r="K19" s="290"/>
      <c r="L19" s="290"/>
      <c r="M19" s="290"/>
      <c r="N19" s="290"/>
      <c r="O19" s="290"/>
      <c r="P19" s="290"/>
    </row>
    <row r="20" spans="1:16">
      <c r="A20" s="560" t="s">
        <v>408</v>
      </c>
      <c r="B20" s="290"/>
      <c r="C20" s="290"/>
      <c r="D20" s="290"/>
      <c r="E20" s="290"/>
      <c r="F20" s="290"/>
      <c r="G20" s="290"/>
      <c r="H20" s="290"/>
      <c r="I20" s="290"/>
      <c r="J20" s="290"/>
      <c r="K20" s="290"/>
      <c r="L20" s="290"/>
      <c r="M20" s="290"/>
      <c r="N20" s="290"/>
      <c r="O20" s="290"/>
      <c r="P20" s="290"/>
    </row>
    <row r="21" spans="1:16">
      <c r="A21" s="560" t="s">
        <v>409</v>
      </c>
      <c r="B21" s="290"/>
      <c r="C21" s="290"/>
      <c r="D21" s="290"/>
      <c r="E21" s="290"/>
      <c r="F21" s="290"/>
      <c r="G21" s="290"/>
      <c r="H21" s="290"/>
      <c r="I21" s="290"/>
      <c r="J21" s="290"/>
      <c r="K21" s="290"/>
      <c r="L21" s="290"/>
      <c r="M21" s="290"/>
      <c r="N21" s="290"/>
      <c r="O21" s="290"/>
      <c r="P21" s="29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
  <sheetViews>
    <sheetView workbookViewId="0">
      <selection activeCell="O10" sqref="O10"/>
    </sheetView>
  </sheetViews>
  <sheetFormatPr defaultRowHeight="12.7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workbookViewId="0">
      <pane xSplit="1" ySplit="9" topLeftCell="B10" activePane="bottomRight" state="frozen"/>
      <selection activeCell="O10" sqref="O10"/>
      <selection pane="topRight" activeCell="O10" sqref="O10"/>
      <selection pane="bottomLeft" activeCell="O10" sqref="O10"/>
      <selection pane="bottomRight" activeCell="O10" sqref="O10"/>
    </sheetView>
  </sheetViews>
  <sheetFormatPr defaultColWidth="9.140625" defaultRowHeight="15"/>
  <cols>
    <col min="1" max="1" width="17.5703125" style="645" bestFit="1" customWidth="1"/>
    <col min="2" max="3" width="14.28515625" style="645" bestFit="1" customWidth="1"/>
    <col min="4" max="4" width="15" style="645" bestFit="1" customWidth="1"/>
    <col min="5" max="15" width="14.28515625" style="645" bestFit="1" customWidth="1"/>
    <col min="16" max="18" width="14" style="645" bestFit="1" customWidth="1"/>
    <col min="19" max="20" width="13.28515625" style="645" bestFit="1" customWidth="1"/>
    <col min="21" max="21" width="14.28515625" style="645" bestFit="1" customWidth="1"/>
    <col min="22" max="16384" width="9.140625" style="645"/>
  </cols>
  <sheetData>
    <row r="1" spans="1:13">
      <c r="A1" s="645" t="s">
        <v>596</v>
      </c>
    </row>
    <row r="2" spans="1:13">
      <c r="A2" s="643" t="s">
        <v>520</v>
      </c>
      <c r="B2" s="644"/>
    </row>
    <row r="3" spans="1:13">
      <c r="A3" s="643" t="s">
        <v>521</v>
      </c>
      <c r="B3" s="644"/>
    </row>
    <row r="4" spans="1:13">
      <c r="A4" s="644"/>
      <c r="B4" s="644"/>
    </row>
    <row r="5" spans="1:13">
      <c r="A5" s="644"/>
      <c r="B5" s="644"/>
    </row>
    <row r="6" spans="1:13">
      <c r="A6" s="644"/>
      <c r="B6" s="587" t="s">
        <v>509</v>
      </c>
      <c r="C6" s="588"/>
      <c r="D6" s="588"/>
      <c r="E6" s="588"/>
      <c r="F6" s="588"/>
      <c r="G6" s="588"/>
      <c r="I6" s="590" t="s">
        <v>511</v>
      </c>
      <c r="J6" s="589"/>
      <c r="K6" s="589"/>
    </row>
    <row r="7" spans="1:13">
      <c r="B7" s="644" t="s">
        <v>377</v>
      </c>
      <c r="D7" s="644" t="s">
        <v>508</v>
      </c>
      <c r="F7" s="644" t="s">
        <v>508</v>
      </c>
      <c r="G7" s="644"/>
      <c r="H7" s="644"/>
      <c r="I7" s="646" t="s">
        <v>540</v>
      </c>
      <c r="J7" s="646" t="s">
        <v>508</v>
      </c>
      <c r="K7" s="646" t="s">
        <v>512</v>
      </c>
    </row>
    <row r="8" spans="1:13">
      <c r="B8" s="647" t="s">
        <v>507</v>
      </c>
      <c r="C8" s="647" t="s">
        <v>510</v>
      </c>
      <c r="D8" s="644" t="s">
        <v>506</v>
      </c>
      <c r="E8" s="644" t="s">
        <v>505</v>
      </c>
      <c r="F8" s="644" t="s">
        <v>504</v>
      </c>
      <c r="G8" s="644" t="s">
        <v>518</v>
      </c>
      <c r="H8" s="644"/>
      <c r="I8" s="646" t="s">
        <v>597</v>
      </c>
      <c r="J8" s="646" t="s">
        <v>598</v>
      </c>
      <c r="K8" s="646" t="s">
        <v>513</v>
      </c>
    </row>
    <row r="9" spans="1:13">
      <c r="A9" s="648" t="s">
        <v>503</v>
      </c>
      <c r="B9" s="648" t="s">
        <v>502</v>
      </c>
      <c r="C9" s="648" t="s">
        <v>501</v>
      </c>
      <c r="D9" s="649" t="s">
        <v>499</v>
      </c>
      <c r="E9" s="649" t="s">
        <v>500</v>
      </c>
      <c r="F9" s="649" t="s">
        <v>499</v>
      </c>
      <c r="G9" s="649" t="s">
        <v>514</v>
      </c>
      <c r="H9" s="649"/>
      <c r="I9" s="650" t="s">
        <v>502</v>
      </c>
      <c r="J9" s="650" t="s">
        <v>599</v>
      </c>
      <c r="K9" s="650" t="s">
        <v>514</v>
      </c>
    </row>
    <row r="10" spans="1:13">
      <c r="A10" s="647" t="s">
        <v>498</v>
      </c>
      <c r="B10" s="647" t="s">
        <v>497</v>
      </c>
      <c r="C10" s="647" t="s">
        <v>496</v>
      </c>
      <c r="D10" s="649" t="s">
        <v>495</v>
      </c>
      <c r="E10" s="649" t="s">
        <v>494</v>
      </c>
      <c r="F10" s="649" t="s">
        <v>493</v>
      </c>
      <c r="G10" s="649" t="s">
        <v>517</v>
      </c>
      <c r="H10" s="649"/>
      <c r="I10" s="651" t="s">
        <v>515</v>
      </c>
      <c r="J10" s="650" t="s">
        <v>516</v>
      </c>
      <c r="K10" s="650" t="s">
        <v>519</v>
      </c>
    </row>
    <row r="11" spans="1:13">
      <c r="I11" s="652"/>
      <c r="J11" s="652"/>
      <c r="K11" s="652"/>
    </row>
    <row r="12" spans="1:13">
      <c r="A12" s="653">
        <v>42736</v>
      </c>
      <c r="B12" s="660">
        <f>-'Staff Calc UE-180280'!$E$17</f>
        <v>13234650.954672035</v>
      </c>
      <c r="C12" s="660">
        <f>-'Staff Calc UE-180280'!$E$32</f>
        <v>2386577.0106594907</v>
      </c>
      <c r="D12" s="654">
        <f t="shared" ref="D12:D29" si="0">C12-B12</f>
        <v>-10848073.944012545</v>
      </c>
      <c r="E12" s="660">
        <f>-'Staff Calc w weather norm'!$E$25</f>
        <v>-223958.82484409728</v>
      </c>
      <c r="F12" s="660">
        <f t="shared" ref="F12:F27" si="1">E12-C12</f>
        <v>-2610535.835503588</v>
      </c>
      <c r="G12" s="660">
        <f>F12+D12</f>
        <v>-13458609.779516133</v>
      </c>
      <c r="H12" s="660"/>
      <c r="I12" s="660"/>
      <c r="J12" s="655"/>
      <c r="K12" s="655"/>
      <c r="M12" s="654"/>
    </row>
    <row r="13" spans="1:13">
      <c r="A13" s="653">
        <v>42767</v>
      </c>
      <c r="B13" s="661">
        <f>-'Staff Calc UE-180280'!$F$17</f>
        <v>4072858.786247272</v>
      </c>
      <c r="C13" s="661">
        <f>-'Staff Calc UE-180280'!$F$32</f>
        <v>-958498.48109817109</v>
      </c>
      <c r="D13" s="656">
        <f t="shared" si="0"/>
        <v>-5031357.2673454434</v>
      </c>
      <c r="E13" s="661">
        <f>-'Staff Calc w weather norm'!$F$25</f>
        <v>-2253989.2303940994</v>
      </c>
      <c r="F13" s="661">
        <f t="shared" si="1"/>
        <v>-1295490.7492959283</v>
      </c>
      <c r="G13" s="661">
        <f t="shared" ref="G13:G29" si="2">F13+D13</f>
        <v>-6326848.0166413719</v>
      </c>
      <c r="H13" s="661"/>
      <c r="I13" s="661"/>
      <c r="J13" s="657"/>
      <c r="K13" s="657"/>
      <c r="M13" s="654"/>
    </row>
    <row r="14" spans="1:13">
      <c r="A14" s="653">
        <v>42795</v>
      </c>
      <c r="B14" s="661">
        <f>-'Staff Calc UE-180280'!$G$17</f>
        <v>4088453.0492065311</v>
      </c>
      <c r="C14" s="661">
        <f>-'Staff Calc UE-180280'!$G$32</f>
        <v>1026730.0335166218</v>
      </c>
      <c r="D14" s="656">
        <f t="shared" si="0"/>
        <v>-3061723.0156899095</v>
      </c>
      <c r="E14" s="661">
        <f>-'Staff Calc w weather norm'!$G$25</f>
        <v>819786.64996632969</v>
      </c>
      <c r="F14" s="661">
        <f t="shared" si="1"/>
        <v>-206943.38355029211</v>
      </c>
      <c r="G14" s="661">
        <f t="shared" si="2"/>
        <v>-3268666.3992402013</v>
      </c>
      <c r="H14" s="661"/>
      <c r="I14" s="661"/>
      <c r="J14" s="657"/>
      <c r="K14" s="657"/>
      <c r="M14" s="654"/>
    </row>
    <row r="15" spans="1:13">
      <c r="A15" s="653">
        <v>42826</v>
      </c>
      <c r="B15" s="661">
        <f>-'Staff Calc UE-180280'!$H$17</f>
        <v>-3144219.9133847468</v>
      </c>
      <c r="C15" s="661">
        <f>-'Staff Calc UE-180280'!$H$32</f>
        <v>1100074.8342441209</v>
      </c>
      <c r="D15" s="656">
        <f t="shared" si="0"/>
        <v>4244294.7476288676</v>
      </c>
      <c r="E15" s="661">
        <f>-'Staff Calc w weather norm'!$H$25</f>
        <v>1356083.9275354375</v>
      </c>
      <c r="F15" s="661">
        <f t="shared" si="1"/>
        <v>256009.09329131665</v>
      </c>
      <c r="G15" s="661">
        <f t="shared" si="2"/>
        <v>4500303.8409201838</v>
      </c>
      <c r="H15" s="661"/>
      <c r="I15" s="661"/>
      <c r="J15" s="657"/>
      <c r="K15" s="657"/>
      <c r="M15" s="654"/>
    </row>
    <row r="16" spans="1:13">
      <c r="A16" s="653">
        <v>42856</v>
      </c>
      <c r="B16" s="661">
        <f>-'Staff Calc UE-180280'!$I$17</f>
        <v>-5706228.2004777417</v>
      </c>
      <c r="C16" s="661">
        <f>-'Staff Calc UE-180280'!$I$32</f>
        <v>-73558.477199621862</v>
      </c>
      <c r="D16" s="656">
        <f t="shared" si="0"/>
        <v>5632669.7232781202</v>
      </c>
      <c r="E16" s="661">
        <f>-'Staff Calc w weather norm'!$I$25</f>
        <v>-191657.47022681753</v>
      </c>
      <c r="F16" s="661">
        <f t="shared" si="1"/>
        <v>-118098.99302719567</v>
      </c>
      <c r="G16" s="661">
        <f t="shared" si="2"/>
        <v>5514570.7302509248</v>
      </c>
      <c r="H16" s="661"/>
      <c r="I16" s="661"/>
      <c r="J16" s="657"/>
      <c r="K16" s="657"/>
      <c r="M16" s="654"/>
    </row>
    <row r="17" spans="1:13">
      <c r="A17" s="653">
        <v>42887</v>
      </c>
      <c r="B17" s="661">
        <f>-'Staff Calc UE-180280'!$J$17</f>
        <v>-7374375.5136838052</v>
      </c>
      <c r="C17" s="661">
        <f>-'Staff Calc UE-180280'!$J$32</f>
        <v>-644970.31449696643</v>
      </c>
      <c r="D17" s="656">
        <f t="shared" si="0"/>
        <v>6729405.1991868392</v>
      </c>
      <c r="E17" s="661">
        <f>-'Staff Calc w weather norm'!$J$25</f>
        <v>-831218.08948720351</v>
      </c>
      <c r="F17" s="661">
        <f t="shared" si="1"/>
        <v>-186247.77499023709</v>
      </c>
      <c r="G17" s="661">
        <f t="shared" si="2"/>
        <v>6543157.4241966018</v>
      </c>
      <c r="H17" s="662"/>
      <c r="I17" s="661"/>
      <c r="J17" s="657"/>
      <c r="K17" s="657"/>
      <c r="M17" s="654"/>
    </row>
    <row r="18" spans="1:13">
      <c r="A18" s="653">
        <v>42917</v>
      </c>
      <c r="B18" s="661">
        <f>-'Staff Calc UE-180280'!$K$17</f>
        <v>-5412067.8883721838</v>
      </c>
      <c r="C18" s="661">
        <f>-'Staff Calc UE-180280'!$K$32</f>
        <v>-1134825.3619149115</v>
      </c>
      <c r="D18" s="658">
        <f t="shared" si="0"/>
        <v>4277242.5264572725</v>
      </c>
      <c r="E18" s="661">
        <f>-'Staff Calc w weather norm'!$K$25</f>
        <v>-1363863.5203084061</v>
      </c>
      <c r="F18" s="661">
        <f t="shared" si="1"/>
        <v>-229038.15839349455</v>
      </c>
      <c r="G18" s="663">
        <f t="shared" si="2"/>
        <v>4048204.3680637777</v>
      </c>
      <c r="H18" s="662"/>
      <c r="I18" s="661">
        <v>0</v>
      </c>
      <c r="J18" s="657">
        <f t="shared" ref="J18:J29" si="3">I18-E18</f>
        <v>1363863.5203084061</v>
      </c>
      <c r="K18" s="657">
        <f t="shared" ref="K18:K29" si="4">G18+J18</f>
        <v>5412067.8883721838</v>
      </c>
      <c r="M18" s="654"/>
    </row>
    <row r="19" spans="1:13">
      <c r="A19" s="653">
        <v>42948</v>
      </c>
      <c r="B19" s="661">
        <f>-'Staff Calc UE-180280'!$L$17</f>
        <v>-3131384.9634929406</v>
      </c>
      <c r="C19" s="661">
        <f>-'Staff Calc UE-180280'!$L$32</f>
        <v>1633208.5826518352</v>
      </c>
      <c r="D19" s="658">
        <f t="shared" si="0"/>
        <v>4764593.546144776</v>
      </c>
      <c r="E19" s="661">
        <f>-'Staff Calc w weather norm'!$L$25</f>
        <v>342883.36997303844</v>
      </c>
      <c r="F19" s="661">
        <f t="shared" si="1"/>
        <v>-1290325.2126787966</v>
      </c>
      <c r="G19" s="663">
        <f t="shared" si="2"/>
        <v>3474268.3334659794</v>
      </c>
      <c r="H19" s="662"/>
      <c r="I19" s="661">
        <v>0</v>
      </c>
      <c r="J19" s="657">
        <f t="shared" si="3"/>
        <v>-342883.36997303844</v>
      </c>
      <c r="K19" s="657">
        <f t="shared" si="4"/>
        <v>3131384.9634929411</v>
      </c>
      <c r="M19" s="654"/>
    </row>
    <row r="20" spans="1:13">
      <c r="A20" s="653">
        <v>42979</v>
      </c>
      <c r="B20" s="661">
        <f>-'Staff Calc UE-180280'!$M$17</f>
        <v>-7139184.7631606441</v>
      </c>
      <c r="C20" s="661">
        <f>-'Staff Calc UE-180280'!$M$32</f>
        <v>-661929.25654449128</v>
      </c>
      <c r="D20" s="658">
        <f t="shared" si="0"/>
        <v>6477255.5066161528</v>
      </c>
      <c r="E20" s="661">
        <f>-'Staff Calc w weather norm'!$M$25</f>
        <v>-1033284.2608750731</v>
      </c>
      <c r="F20" s="661">
        <f t="shared" si="1"/>
        <v>-371355.00433058187</v>
      </c>
      <c r="G20" s="663">
        <f t="shared" si="2"/>
        <v>6105900.5022855708</v>
      </c>
      <c r="H20" s="662"/>
      <c r="I20" s="661">
        <v>0</v>
      </c>
      <c r="J20" s="657">
        <f t="shared" si="3"/>
        <v>1033284.2608750731</v>
      </c>
      <c r="K20" s="657">
        <f t="shared" si="4"/>
        <v>7139184.7631606441</v>
      </c>
      <c r="M20" s="654"/>
    </row>
    <row r="21" spans="1:13">
      <c r="A21" s="653">
        <v>43009</v>
      </c>
      <c r="B21" s="661">
        <f>-'Staff Calc UE-180280'!$N$17</f>
        <v>-2175100.1651491337</v>
      </c>
      <c r="C21" s="661">
        <f>-'Staff Calc UE-180280'!$N$32</f>
        <v>408333.97177972284</v>
      </c>
      <c r="D21" s="658">
        <f t="shared" si="0"/>
        <v>2583434.1369288564</v>
      </c>
      <c r="E21" s="661">
        <f>-'Staff Calc w weather norm'!$N$25</f>
        <v>379472.51093245822</v>
      </c>
      <c r="F21" s="661">
        <f t="shared" si="1"/>
        <v>-28861.460847264621</v>
      </c>
      <c r="G21" s="663">
        <f t="shared" si="2"/>
        <v>2554572.6760815918</v>
      </c>
      <c r="H21" s="662"/>
      <c r="I21" s="661">
        <v>0</v>
      </c>
      <c r="J21" s="657">
        <f t="shared" si="3"/>
        <v>-379472.51093245822</v>
      </c>
      <c r="K21" s="657">
        <f t="shared" si="4"/>
        <v>2175100.1651491337</v>
      </c>
      <c r="M21" s="654"/>
    </row>
    <row r="22" spans="1:13">
      <c r="A22" s="653">
        <v>43040</v>
      </c>
      <c r="B22" s="661">
        <f>-'Staff Calc UE-180280'!$O$17</f>
        <v>2282250.9061237467</v>
      </c>
      <c r="C22" s="661">
        <f>-'Staff Calc UE-180280'!$O$32</f>
        <v>-2277606.8966616276</v>
      </c>
      <c r="D22" s="658">
        <f t="shared" si="0"/>
        <v>-4559857.8027853742</v>
      </c>
      <c r="E22" s="661">
        <f>-'Staff Calc w weather norm'!$O$25</f>
        <v>-1773622.8391720252</v>
      </c>
      <c r="F22" s="661">
        <f t="shared" si="1"/>
        <v>503984.05748960236</v>
      </c>
      <c r="G22" s="663">
        <f t="shared" si="2"/>
        <v>-4055873.7452957719</v>
      </c>
      <c r="H22" s="662"/>
      <c r="I22" s="661">
        <v>0</v>
      </c>
      <c r="J22" s="657">
        <f t="shared" si="3"/>
        <v>1773622.8391720252</v>
      </c>
      <c r="K22" s="657">
        <f t="shared" si="4"/>
        <v>-2282250.9061237467</v>
      </c>
      <c r="M22" s="654"/>
    </row>
    <row r="23" spans="1:13">
      <c r="A23" s="653">
        <v>43070</v>
      </c>
      <c r="B23" s="661">
        <f>-'Staff Calc UE-180280'!$P$17</f>
        <v>5434484.9653718043</v>
      </c>
      <c r="C23" s="661">
        <f>-'Staff Calc UE-180280'!$P$32</f>
        <v>-1073318.2738326059</v>
      </c>
      <c r="D23" s="658">
        <f t="shared" si="0"/>
        <v>-6507803.2392044105</v>
      </c>
      <c r="E23" s="661">
        <f>-'Staff Calc w weather norm'!$P$25</f>
        <v>-1653212.4865806776</v>
      </c>
      <c r="F23" s="661">
        <f t="shared" si="1"/>
        <v>-579894.21274807164</v>
      </c>
      <c r="G23" s="663">
        <f t="shared" si="2"/>
        <v>-7087697.4519524816</v>
      </c>
      <c r="H23" s="662"/>
      <c r="I23" s="661">
        <v>0</v>
      </c>
      <c r="J23" s="657">
        <f t="shared" si="3"/>
        <v>1653212.4865806776</v>
      </c>
      <c r="K23" s="657">
        <f t="shared" si="4"/>
        <v>-5434484.9653718043</v>
      </c>
      <c r="M23" s="654"/>
    </row>
    <row r="24" spans="1:13">
      <c r="A24" s="653">
        <v>43101</v>
      </c>
      <c r="B24" s="656">
        <v>1694.72</v>
      </c>
      <c r="C24" s="656">
        <v>0</v>
      </c>
      <c r="D24" s="658">
        <f t="shared" si="0"/>
        <v>-1694.72</v>
      </c>
      <c r="E24" s="656"/>
      <c r="F24" s="656">
        <f t="shared" si="1"/>
        <v>0</v>
      </c>
      <c r="G24" s="658">
        <f t="shared" si="2"/>
        <v>-1694.72</v>
      </c>
      <c r="H24" s="662"/>
      <c r="I24" s="657">
        <f>-'[4]Annualized Var  Power Costs'!$B$20</f>
        <v>0</v>
      </c>
      <c r="J24" s="657">
        <f t="shared" si="3"/>
        <v>0</v>
      </c>
      <c r="K24" s="657">
        <f t="shared" si="4"/>
        <v>-1694.72</v>
      </c>
      <c r="M24" s="654"/>
    </row>
    <row r="25" spans="1:13">
      <c r="A25" s="653">
        <v>43132</v>
      </c>
      <c r="B25" s="656">
        <v>0</v>
      </c>
      <c r="C25" s="656">
        <v>0</v>
      </c>
      <c r="D25" s="658">
        <f t="shared" si="0"/>
        <v>0</v>
      </c>
      <c r="E25" s="656"/>
      <c r="F25" s="656">
        <f t="shared" si="1"/>
        <v>0</v>
      </c>
      <c r="G25" s="658">
        <f t="shared" si="2"/>
        <v>0</v>
      </c>
      <c r="H25" s="662"/>
      <c r="I25" s="657">
        <f>-'[4]Annualized Var  Power Costs'!$C$20</f>
        <v>0</v>
      </c>
      <c r="J25" s="657">
        <f t="shared" si="3"/>
        <v>0</v>
      </c>
      <c r="K25" s="657">
        <f t="shared" si="4"/>
        <v>0</v>
      </c>
      <c r="M25" s="654"/>
    </row>
    <row r="26" spans="1:13">
      <c r="A26" s="653">
        <v>43160</v>
      </c>
      <c r="B26" s="656">
        <v>0</v>
      </c>
      <c r="C26" s="656">
        <v>0</v>
      </c>
      <c r="D26" s="658">
        <f t="shared" si="0"/>
        <v>0</v>
      </c>
      <c r="E26" s="656"/>
      <c r="F26" s="656">
        <f t="shared" si="1"/>
        <v>0</v>
      </c>
      <c r="G26" s="658">
        <f t="shared" si="2"/>
        <v>0</v>
      </c>
      <c r="H26" s="662"/>
      <c r="I26" s="657">
        <f>-'[4]Annualized Var  Power Costs'!$D$20</f>
        <v>0</v>
      </c>
      <c r="J26" s="657">
        <f t="shared" si="3"/>
        <v>0</v>
      </c>
      <c r="K26" s="657">
        <f t="shared" si="4"/>
        <v>0</v>
      </c>
      <c r="M26" s="654"/>
    </row>
    <row r="27" spans="1:13">
      <c r="A27" s="653">
        <v>43191</v>
      </c>
      <c r="B27" s="656">
        <v>4698477.6399999997</v>
      </c>
      <c r="C27" s="656">
        <v>0</v>
      </c>
      <c r="D27" s="658">
        <f t="shared" si="0"/>
        <v>-4698477.6399999997</v>
      </c>
      <c r="E27" s="656"/>
      <c r="F27" s="656">
        <f t="shared" si="1"/>
        <v>0</v>
      </c>
      <c r="G27" s="658">
        <f t="shared" si="2"/>
        <v>-4698477.6399999997</v>
      </c>
      <c r="H27" s="662"/>
      <c r="I27" s="657">
        <f>-'[4]Annualized Var  Power Costs'!$E$20</f>
        <v>0</v>
      </c>
      <c r="J27" s="657">
        <f t="shared" si="3"/>
        <v>0</v>
      </c>
      <c r="K27" s="657">
        <f t="shared" si="4"/>
        <v>-4698477.6399999997</v>
      </c>
      <c r="M27" s="654"/>
    </row>
    <row r="28" spans="1:13">
      <c r="A28" s="653">
        <v>43221</v>
      </c>
      <c r="B28" s="656">
        <v>0</v>
      </c>
      <c r="C28" s="656">
        <v>0</v>
      </c>
      <c r="D28" s="658">
        <f t="shared" si="0"/>
        <v>0</v>
      </c>
      <c r="E28" s="656"/>
      <c r="F28" s="656">
        <f t="shared" ref="F28:F29" si="5">E28-C28</f>
        <v>0</v>
      </c>
      <c r="G28" s="658">
        <f t="shared" si="2"/>
        <v>0</v>
      </c>
      <c r="H28" s="662"/>
      <c r="I28" s="657">
        <f>-'[4]Annualized Var  Power Costs'!$F$20</f>
        <v>0</v>
      </c>
      <c r="J28" s="657">
        <f t="shared" si="3"/>
        <v>0</v>
      </c>
      <c r="K28" s="657">
        <f t="shared" si="4"/>
        <v>0</v>
      </c>
      <c r="M28" s="654"/>
    </row>
    <row r="29" spans="1:13">
      <c r="A29" s="653">
        <v>43252</v>
      </c>
      <c r="B29" s="656">
        <v>0</v>
      </c>
      <c r="C29" s="656">
        <v>0</v>
      </c>
      <c r="D29" s="658">
        <f t="shared" si="0"/>
        <v>0</v>
      </c>
      <c r="E29" s="656"/>
      <c r="F29" s="656">
        <f t="shared" si="5"/>
        <v>0</v>
      </c>
      <c r="G29" s="658">
        <f t="shared" si="2"/>
        <v>0</v>
      </c>
      <c r="H29" s="662"/>
      <c r="I29" s="657">
        <f>-'[4]Annualized Var  Power Costs'!$G$20</f>
        <v>0</v>
      </c>
      <c r="J29" s="657">
        <f t="shared" si="3"/>
        <v>0</v>
      </c>
      <c r="K29" s="657">
        <f t="shared" si="4"/>
        <v>0</v>
      </c>
      <c r="M29" s="654"/>
    </row>
    <row r="30" spans="1:13">
      <c r="B30" s="656"/>
      <c r="C30" s="656"/>
      <c r="D30" s="656"/>
      <c r="H30" s="662"/>
      <c r="I30" s="657"/>
      <c r="J30" s="657"/>
      <c r="K30" s="657"/>
      <c r="M30" s="654"/>
    </row>
    <row r="31" spans="1:13">
      <c r="A31" s="659" t="s">
        <v>492</v>
      </c>
      <c r="B31" s="660">
        <f t="shared" ref="B31:G31" si="6">SUM(B12:B23)</f>
        <v>-4969862.7460998055</v>
      </c>
      <c r="C31" s="660">
        <f t="shared" si="6"/>
        <v>-269782.62889660452</v>
      </c>
      <c r="D31" s="660">
        <f t="shared" si="6"/>
        <v>4700080.1172032021</v>
      </c>
      <c r="E31" s="660">
        <f t="shared" si="6"/>
        <v>-6426580.2634811364</v>
      </c>
      <c r="F31" s="660">
        <f t="shared" si="6"/>
        <v>-6156797.6345845312</v>
      </c>
      <c r="G31" s="660">
        <f t="shared" si="6"/>
        <v>-1456717.5173813291</v>
      </c>
      <c r="H31" s="660"/>
      <c r="I31" s="660">
        <f>SUM(I12:I23)</f>
        <v>0</v>
      </c>
      <c r="J31" s="660">
        <f>SUM(J12:J23)</f>
        <v>5101627.226030685</v>
      </c>
      <c r="K31" s="660">
        <f>SUM(K12:K23)</f>
        <v>10141001.908679353</v>
      </c>
    </row>
    <row r="32" spans="1:13">
      <c r="B32" s="656"/>
      <c r="C32" s="656"/>
      <c r="D32" s="656"/>
      <c r="E32" s="656"/>
      <c r="F32" s="656"/>
      <c r="G32" s="656"/>
      <c r="H32" s="656"/>
      <c r="I32" s="657"/>
      <c r="J32" s="657"/>
      <c r="K32" s="657"/>
    </row>
    <row r="33" spans="1:13">
      <c r="A33" s="659" t="s">
        <v>491</v>
      </c>
      <c r="B33" s="660">
        <f t="shared" ref="B33:G33" si="7">SUM(B18:B29)</f>
        <v>-5440829.5486793527</v>
      </c>
      <c r="C33" s="660">
        <f t="shared" si="7"/>
        <v>-3106137.2345220782</v>
      </c>
      <c r="D33" s="660">
        <f t="shared" si="7"/>
        <v>2334692.3141572736</v>
      </c>
      <c r="E33" s="664">
        <f t="shared" si="7"/>
        <v>-5101627.226030685</v>
      </c>
      <c r="F33" s="660">
        <f t="shared" si="7"/>
        <v>-1995489.9915086068</v>
      </c>
      <c r="G33" s="660">
        <f t="shared" si="7"/>
        <v>339202.3226486668</v>
      </c>
      <c r="H33" s="660"/>
      <c r="I33" s="660">
        <f>SUM(I18:I29)</f>
        <v>0</v>
      </c>
      <c r="J33" s="660">
        <f>SUM(J18:J29)</f>
        <v>5101627.226030685</v>
      </c>
      <c r="K33" s="660">
        <f>SUM(K18:K29)</f>
        <v>5440829.5486793527</v>
      </c>
      <c r="M33" s="660">
        <f t="shared" ref="M33" si="8">SUM(M18:M29)</f>
        <v>0</v>
      </c>
    </row>
    <row r="34" spans="1:13">
      <c r="E34" s="645" t="s">
        <v>522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33"/>
    <pageSetUpPr fitToPage="1"/>
  </sheetPr>
  <dimension ref="A1:T13"/>
  <sheetViews>
    <sheetView workbookViewId="0">
      <pane xSplit="1" topLeftCell="B1" activePane="topRight" state="frozen"/>
      <selection activeCell="O10" sqref="O10"/>
      <selection pane="topRight" activeCell="O10" sqref="O10"/>
    </sheetView>
  </sheetViews>
  <sheetFormatPr defaultColWidth="9.140625" defaultRowHeight="15"/>
  <cols>
    <col min="1" max="1" width="49.5703125" style="483" bestFit="1" customWidth="1"/>
    <col min="2" max="2" width="15" style="483" bestFit="1" customWidth="1"/>
    <col min="3" max="5" width="14" style="483" bestFit="1" customWidth="1"/>
    <col min="6" max="6" width="13.140625" style="483" bestFit="1" customWidth="1"/>
    <col min="7" max="7" width="13.85546875" style="483" bestFit="1" customWidth="1"/>
    <col min="8" max="8" width="14.42578125" style="483" bestFit="1" customWidth="1"/>
    <col min="9" max="9" width="13.5703125" style="483" bestFit="1" customWidth="1"/>
    <col min="10" max="10" width="13.85546875" style="483" bestFit="1" customWidth="1"/>
    <col min="11" max="14" width="14.140625" style="483" bestFit="1" customWidth="1"/>
    <col min="15" max="17" width="14" style="483" bestFit="1" customWidth="1"/>
    <col min="18" max="19" width="13.28515625" style="483" bestFit="1" customWidth="1"/>
    <col min="20" max="20" width="14.28515625" style="483" bestFit="1" customWidth="1"/>
    <col min="21" max="16384" width="9.140625" style="483"/>
  </cols>
  <sheetData>
    <row r="1" spans="1:20">
      <c r="A1" s="483" t="s">
        <v>379</v>
      </c>
    </row>
    <row r="4" spans="1:20" ht="15.75" thickBot="1">
      <c r="B4" s="561" t="s">
        <v>377</v>
      </c>
      <c r="C4" s="491" t="s">
        <v>377</v>
      </c>
      <c r="D4" s="491" t="s">
        <v>377</v>
      </c>
      <c r="E4" s="491" t="s">
        <v>377</v>
      </c>
      <c r="F4" s="491" t="s">
        <v>377</v>
      </c>
      <c r="G4" s="491" t="s">
        <v>377</v>
      </c>
      <c r="H4" s="491" t="s">
        <v>377</v>
      </c>
      <c r="I4" s="491" t="s">
        <v>377</v>
      </c>
      <c r="J4" s="491" t="s">
        <v>377</v>
      </c>
      <c r="K4" s="491" t="s">
        <v>377</v>
      </c>
      <c r="L4" s="491" t="s">
        <v>377</v>
      </c>
      <c r="M4" s="491" t="s">
        <v>377</v>
      </c>
      <c r="N4" s="491" t="s">
        <v>377</v>
      </c>
    </row>
    <row r="5" spans="1:20">
      <c r="A5" s="483" t="s">
        <v>376</v>
      </c>
      <c r="B5" s="483" t="s">
        <v>375</v>
      </c>
      <c r="C5" s="490">
        <v>43252</v>
      </c>
      <c r="D5" s="489">
        <v>43221</v>
      </c>
      <c r="E5" s="489">
        <v>43191</v>
      </c>
      <c r="F5" s="489">
        <v>43160</v>
      </c>
      <c r="G5" s="489">
        <v>43132</v>
      </c>
      <c r="H5" s="489">
        <v>43101</v>
      </c>
      <c r="I5" s="489">
        <v>43070</v>
      </c>
      <c r="J5" s="489">
        <v>43040</v>
      </c>
      <c r="K5" s="489">
        <v>43009</v>
      </c>
      <c r="L5" s="489">
        <v>42979</v>
      </c>
      <c r="M5" s="489">
        <v>42948</v>
      </c>
      <c r="N5" s="488">
        <v>42917</v>
      </c>
      <c r="O5" s="487">
        <v>42887</v>
      </c>
      <c r="P5" s="487">
        <v>42856</v>
      </c>
      <c r="Q5" s="487">
        <v>42826</v>
      </c>
      <c r="R5" s="487">
        <v>42795</v>
      </c>
      <c r="S5" s="487">
        <v>42767</v>
      </c>
      <c r="T5" s="487">
        <v>42736</v>
      </c>
    </row>
    <row r="6" spans="1:20">
      <c r="A6" s="483" t="s">
        <v>174</v>
      </c>
      <c r="B6" s="562">
        <f t="shared" ref="B6:B11" si="0">SUM(C6:N6)</f>
        <v>-3559851</v>
      </c>
      <c r="C6" s="563">
        <v>0</v>
      </c>
      <c r="D6" s="564">
        <v>0</v>
      </c>
      <c r="E6" s="564">
        <v>0</v>
      </c>
      <c r="F6" s="564">
        <v>0</v>
      </c>
      <c r="G6" s="564">
        <v>-826.65</v>
      </c>
      <c r="H6" s="564">
        <v>826.65</v>
      </c>
      <c r="I6" s="564">
        <v>2988967</v>
      </c>
      <c r="J6" s="564">
        <v>1163948</v>
      </c>
      <c r="K6" s="564">
        <v>-1000546</v>
      </c>
      <c r="L6" s="564">
        <v>-3069849</v>
      </c>
      <c r="M6" s="564">
        <v>-1315182</v>
      </c>
      <c r="N6" s="565">
        <v>-2327189</v>
      </c>
      <c r="O6" s="486">
        <v>-3244726</v>
      </c>
      <c r="P6" s="486">
        <v>-2567802</v>
      </c>
      <c r="Q6" s="486">
        <v>-1603552</v>
      </c>
      <c r="R6" s="486">
        <v>-3350789</v>
      </c>
      <c r="S6" s="486">
        <v>2240072</v>
      </c>
      <c r="T6" s="486">
        <v>13234651</v>
      </c>
    </row>
    <row r="7" spans="1:20">
      <c r="A7" s="483" t="s">
        <v>175</v>
      </c>
      <c r="B7" s="562">
        <f t="shared" si="0"/>
        <v>-5739768</v>
      </c>
      <c r="C7" s="563">
        <v>0</v>
      </c>
      <c r="D7" s="564">
        <v>0</v>
      </c>
      <c r="E7" s="564">
        <v>0</v>
      </c>
      <c r="F7" s="564">
        <v>0</v>
      </c>
      <c r="G7" s="564">
        <v>-764.65</v>
      </c>
      <c r="H7" s="564">
        <v>764.65</v>
      </c>
      <c r="I7" s="564">
        <v>2173794</v>
      </c>
      <c r="J7" s="564">
        <v>981368</v>
      </c>
      <c r="K7" s="564">
        <v>-1022297</v>
      </c>
      <c r="L7" s="564">
        <v>-3569593</v>
      </c>
      <c r="M7" s="564">
        <v>-1597006</v>
      </c>
      <c r="N7" s="565">
        <v>-2706034</v>
      </c>
      <c r="O7" s="486">
        <v>-3613444</v>
      </c>
      <c r="P7" s="486">
        <v>-2738990</v>
      </c>
      <c r="Q7" s="486">
        <v>-1352015</v>
      </c>
      <c r="R7" s="486">
        <v>6705433</v>
      </c>
      <c r="S7" s="486">
        <v>1629144</v>
      </c>
      <c r="T7" s="486">
        <v>0</v>
      </c>
    </row>
    <row r="8" spans="1:20">
      <c r="A8" s="483" t="s">
        <v>176</v>
      </c>
      <c r="B8" s="562">
        <f t="shared" si="0"/>
        <v>-841383</v>
      </c>
      <c r="C8" s="563">
        <v>0</v>
      </c>
      <c r="D8" s="564">
        <v>0</v>
      </c>
      <c r="E8" s="564">
        <v>0</v>
      </c>
      <c r="F8" s="564">
        <v>0</v>
      </c>
      <c r="G8" s="564">
        <v>-103.42</v>
      </c>
      <c r="H8" s="564">
        <v>103.42</v>
      </c>
      <c r="I8" s="564">
        <v>271724</v>
      </c>
      <c r="J8" s="564">
        <v>136935</v>
      </c>
      <c r="K8" s="564">
        <v>-152257</v>
      </c>
      <c r="L8" s="564">
        <v>-499743</v>
      </c>
      <c r="M8" s="564">
        <v>-219197</v>
      </c>
      <c r="N8" s="565">
        <v>-378845</v>
      </c>
      <c r="O8" s="486">
        <v>-516206</v>
      </c>
      <c r="P8" s="486">
        <v>-399436</v>
      </c>
      <c r="Q8" s="486">
        <v>-188653</v>
      </c>
      <c r="R8" s="486">
        <v>733809</v>
      </c>
      <c r="S8" s="486">
        <v>203643</v>
      </c>
      <c r="T8" s="486">
        <v>0</v>
      </c>
    </row>
    <row r="9" spans="1:20">
      <c r="A9" s="483" t="s">
        <v>177</v>
      </c>
      <c r="B9" s="562">
        <f t="shared" si="0"/>
        <v>2299165.2999999998</v>
      </c>
      <c r="C9" s="563">
        <v>0</v>
      </c>
      <c r="D9" s="564">
        <v>0</v>
      </c>
      <c r="E9" s="564">
        <v>2298338.65</v>
      </c>
      <c r="F9" s="564">
        <v>0</v>
      </c>
      <c r="G9" s="564">
        <v>826.65</v>
      </c>
      <c r="H9" s="564">
        <v>0</v>
      </c>
      <c r="I9" s="564">
        <v>0</v>
      </c>
      <c r="J9" s="564">
        <v>0</v>
      </c>
      <c r="K9" s="564">
        <v>0</v>
      </c>
      <c r="L9" s="564">
        <v>0</v>
      </c>
      <c r="M9" s="564">
        <v>0</v>
      </c>
      <c r="N9" s="565">
        <v>0</v>
      </c>
      <c r="O9" s="484"/>
    </row>
    <row r="10" spans="1:20">
      <c r="A10" s="483" t="s">
        <v>178</v>
      </c>
      <c r="B10" s="562">
        <f t="shared" si="0"/>
        <v>2115079.58</v>
      </c>
      <c r="C10" s="563">
        <v>0</v>
      </c>
      <c r="D10" s="564">
        <v>0</v>
      </c>
      <c r="E10" s="564">
        <v>2114314.9300000002</v>
      </c>
      <c r="F10" s="564">
        <v>0</v>
      </c>
      <c r="G10" s="564">
        <v>764.65</v>
      </c>
      <c r="H10" s="564">
        <v>0</v>
      </c>
      <c r="I10" s="564">
        <v>0</v>
      </c>
      <c r="J10" s="564">
        <v>0</v>
      </c>
      <c r="K10" s="564">
        <v>0</v>
      </c>
      <c r="L10" s="564">
        <v>0</v>
      </c>
      <c r="M10" s="564">
        <v>0</v>
      </c>
      <c r="N10" s="565">
        <v>0</v>
      </c>
      <c r="O10" s="484"/>
    </row>
    <row r="11" spans="1:20">
      <c r="A11" s="483" t="s">
        <v>179</v>
      </c>
      <c r="B11" s="562">
        <f t="shared" si="0"/>
        <v>285927.48</v>
      </c>
      <c r="C11" s="563">
        <v>0</v>
      </c>
      <c r="D11" s="564">
        <v>0</v>
      </c>
      <c r="E11" s="564">
        <v>285824.06</v>
      </c>
      <c r="F11" s="564">
        <v>0</v>
      </c>
      <c r="G11" s="564">
        <v>103.42</v>
      </c>
      <c r="H11" s="564">
        <v>0</v>
      </c>
      <c r="I11" s="564">
        <v>0</v>
      </c>
      <c r="J11" s="564">
        <v>0</v>
      </c>
      <c r="K11" s="564">
        <v>0</v>
      </c>
      <c r="L11" s="564">
        <v>0</v>
      </c>
      <c r="M11" s="564">
        <v>0</v>
      </c>
      <c r="N11" s="565">
        <v>0</v>
      </c>
      <c r="O11" s="484"/>
    </row>
    <row r="12" spans="1:20" ht="15.75" thickBot="1">
      <c r="A12" s="483" t="s">
        <v>374</v>
      </c>
      <c r="B12" s="566">
        <f t="shared" ref="B12:T12" si="1">SUM(B6:B11)</f>
        <v>-5440829.6400000006</v>
      </c>
      <c r="C12" s="567">
        <f t="shared" si="1"/>
        <v>0</v>
      </c>
      <c r="D12" s="568">
        <f t="shared" si="1"/>
        <v>0</v>
      </c>
      <c r="E12" s="568">
        <f t="shared" si="1"/>
        <v>4698477.6399999997</v>
      </c>
      <c r="F12" s="568">
        <f t="shared" si="1"/>
        <v>0</v>
      </c>
      <c r="G12" s="568">
        <f t="shared" si="1"/>
        <v>0</v>
      </c>
      <c r="H12" s="568">
        <f t="shared" si="1"/>
        <v>1694.72</v>
      </c>
      <c r="I12" s="568">
        <f t="shared" si="1"/>
        <v>5434485</v>
      </c>
      <c r="J12" s="568">
        <f t="shared" si="1"/>
        <v>2282251</v>
      </c>
      <c r="K12" s="568">
        <f t="shared" si="1"/>
        <v>-2175100</v>
      </c>
      <c r="L12" s="568">
        <f t="shared" si="1"/>
        <v>-7139185</v>
      </c>
      <c r="M12" s="568">
        <f t="shared" si="1"/>
        <v>-3131385</v>
      </c>
      <c r="N12" s="569">
        <f t="shared" si="1"/>
        <v>-5412068</v>
      </c>
      <c r="O12" s="485">
        <f t="shared" si="1"/>
        <v>-7374376</v>
      </c>
      <c r="P12" s="485">
        <f t="shared" si="1"/>
        <v>-5706228</v>
      </c>
      <c r="Q12" s="485">
        <f t="shared" si="1"/>
        <v>-3144220</v>
      </c>
      <c r="R12" s="485">
        <f t="shared" si="1"/>
        <v>4088453</v>
      </c>
      <c r="S12" s="485">
        <f t="shared" si="1"/>
        <v>4072859</v>
      </c>
      <c r="T12" s="485">
        <f t="shared" si="1"/>
        <v>13234651</v>
      </c>
    </row>
    <row r="13" spans="1:20" ht="15.75" thickTop="1"/>
  </sheetData>
  <pageMargins left="0" right="0" top="0.75" bottom="0.75" header="0.3" footer="0.3"/>
  <pageSetup scale="4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2"/>
  <sheetViews>
    <sheetView topLeftCell="A7" zoomScaleNormal="100" workbookViewId="0">
      <pane xSplit="4" ySplit="2" topLeftCell="G9" activePane="bottomRight" state="frozen"/>
      <selection activeCell="O9" sqref="O9"/>
      <selection pane="topRight" activeCell="O9" sqref="O9"/>
      <selection pane="bottomLeft" activeCell="O9" sqref="O9"/>
      <selection pane="bottomRight" activeCell="J20" sqref="J20"/>
    </sheetView>
  </sheetViews>
  <sheetFormatPr defaultColWidth="9.140625" defaultRowHeight="12.75"/>
  <cols>
    <col min="1" max="1" width="5.42578125" style="592" customWidth="1"/>
    <col min="2" max="2" width="43" style="592" customWidth="1"/>
    <col min="3" max="3" width="13.42578125" style="592" bestFit="1" customWidth="1"/>
    <col min="4" max="4" width="6.42578125" style="592" customWidth="1"/>
    <col min="5" max="5" width="14.42578125" style="592" bestFit="1" customWidth="1"/>
    <col min="6" max="6" width="18.42578125" style="592" bestFit="1" customWidth="1"/>
    <col min="7" max="7" width="15.85546875" style="592" bestFit="1" customWidth="1"/>
    <col min="8" max="15" width="14" style="592" bestFit="1" customWidth="1"/>
    <col min="16" max="16" width="14.5703125" style="592" customWidth="1"/>
    <col min="17" max="17" width="15" style="592" bestFit="1" customWidth="1"/>
    <col min="18" max="18" width="14.28515625" style="592" customWidth="1"/>
    <col min="19" max="19" width="13.42578125" style="592" bestFit="1" customWidth="1"/>
    <col min="20" max="22" width="9.140625" style="592"/>
    <col min="23" max="23" width="11.5703125" style="592" bestFit="1" customWidth="1"/>
    <col min="24" max="16384" width="9.140625" style="592"/>
  </cols>
  <sheetData>
    <row r="1" spans="1:19">
      <c r="A1" s="591" t="s">
        <v>163</v>
      </c>
      <c r="B1" s="591"/>
    </row>
    <row r="2" spans="1:19">
      <c r="A2" s="591" t="s">
        <v>200</v>
      </c>
    </row>
    <row r="3" spans="1:19">
      <c r="A3" s="591"/>
    </row>
    <row r="4" spans="1:19">
      <c r="A4" s="591"/>
    </row>
    <row r="5" spans="1:19">
      <c r="A5" s="591" t="s">
        <v>201</v>
      </c>
    </row>
    <row r="6" spans="1:19">
      <c r="P6" s="593"/>
    </row>
    <row r="7" spans="1:19">
      <c r="A7" s="591"/>
      <c r="B7" s="592" t="s">
        <v>202</v>
      </c>
      <c r="C7" s="594">
        <v>525885095.34357238</v>
      </c>
      <c r="E7" s="594">
        <f>C7</f>
        <v>525885095.34357238</v>
      </c>
      <c r="F7" s="594">
        <f t="shared" ref="F7:P7" si="0">E7</f>
        <v>525885095.34357238</v>
      </c>
      <c r="G7" s="594">
        <f t="shared" si="0"/>
        <v>525885095.34357238</v>
      </c>
      <c r="H7" s="594">
        <f t="shared" si="0"/>
        <v>525885095.34357238</v>
      </c>
      <c r="I7" s="594">
        <f t="shared" si="0"/>
        <v>525885095.34357238</v>
      </c>
      <c r="J7" s="594">
        <f t="shared" si="0"/>
        <v>525885095.34357238</v>
      </c>
      <c r="K7" s="594">
        <f t="shared" si="0"/>
        <v>525885095.34357238</v>
      </c>
      <c r="L7" s="594">
        <f t="shared" si="0"/>
        <v>525885095.34357238</v>
      </c>
      <c r="M7" s="594">
        <f t="shared" si="0"/>
        <v>525885095.34357238</v>
      </c>
      <c r="N7" s="594">
        <f t="shared" si="0"/>
        <v>525885095.34357238</v>
      </c>
      <c r="O7" s="594">
        <f t="shared" si="0"/>
        <v>525885095.34357238</v>
      </c>
      <c r="P7" s="594">
        <f t="shared" si="0"/>
        <v>525885095.34357238</v>
      </c>
    </row>
    <row r="8" spans="1:19">
      <c r="A8" s="592" t="s">
        <v>4</v>
      </c>
      <c r="E8" s="469">
        <v>42736</v>
      </c>
      <c r="F8" s="469">
        <v>42767</v>
      </c>
      <c r="G8" s="469">
        <v>42795</v>
      </c>
      <c r="H8" s="469">
        <v>42826</v>
      </c>
      <c r="I8" s="469">
        <v>42856</v>
      </c>
      <c r="J8" s="469">
        <v>42887</v>
      </c>
      <c r="K8" s="469">
        <v>42917</v>
      </c>
      <c r="L8" s="469">
        <v>42948</v>
      </c>
      <c r="M8" s="469">
        <v>42979</v>
      </c>
      <c r="N8" s="469">
        <v>43009</v>
      </c>
      <c r="O8" s="469">
        <v>43040</v>
      </c>
      <c r="P8" s="469">
        <v>43070</v>
      </c>
      <c r="Q8" s="469" t="s">
        <v>42</v>
      </c>
      <c r="R8" s="469"/>
      <c r="S8" s="469"/>
    </row>
    <row r="9" spans="1:19">
      <c r="A9" s="450"/>
      <c r="B9" s="592" t="s">
        <v>164</v>
      </c>
      <c r="E9" s="467">
        <v>2311111402</v>
      </c>
      <c r="F9" s="467">
        <v>1939919961</v>
      </c>
      <c r="G9" s="467">
        <v>1940551765</v>
      </c>
      <c r="H9" s="467">
        <v>1647518890</v>
      </c>
      <c r="I9" s="467">
        <v>1543718724</v>
      </c>
      <c r="J9" s="467">
        <v>1476133475</v>
      </c>
      <c r="K9" s="467">
        <v>1555636675</v>
      </c>
      <c r="L9" s="467">
        <v>1648038900</v>
      </c>
      <c r="M9" s="467">
        <v>1485662265</v>
      </c>
      <c r="N9" s="467">
        <v>1686782928</v>
      </c>
      <c r="O9" s="467">
        <v>1867373203</v>
      </c>
      <c r="P9" s="467">
        <v>1250770430.53</v>
      </c>
      <c r="Q9" s="467">
        <f>SUM(E9:P9)</f>
        <v>20353218618.529999</v>
      </c>
    </row>
    <row r="10" spans="1:19">
      <c r="A10" s="450"/>
      <c r="B10" s="592" t="s">
        <v>371</v>
      </c>
      <c r="E10" s="595">
        <f>'Load Temp Adj Dec 17CBR'!$F$12</f>
        <v>-105919480.88277361</v>
      </c>
      <c r="F10" s="595">
        <f>'Load Temp Adj Dec 17CBR'!$F$13</f>
        <v>-52558070.889382407</v>
      </c>
      <c r="G10" s="595">
        <f>'Load Temp Adj Dec 17CBR'!$F$14</f>
        <v>-8427586.0147068053</v>
      </c>
      <c r="H10" s="595">
        <f>'Load Temp Adj Dec 17CBR'!$F$15</f>
        <v>10432193.06068312</v>
      </c>
      <c r="I10" s="595">
        <f>'Load Temp Adj Dec 17CBR'!$F$16</f>
        <v>-4705245.6715129483</v>
      </c>
      <c r="J10" s="595">
        <f>'Load Temp Adj Dec 17CBR'!$F$17</f>
        <v>-7450814.3842262728</v>
      </c>
      <c r="K10" s="595">
        <f>'[5]Sales &amp; Revenue Adj.'!$C$32</f>
        <v>-9219106.7768805642</v>
      </c>
      <c r="L10" s="595">
        <f>'[5]Sales &amp; Revenue Adj.'!$D$32</f>
        <v>-52210434.437473409</v>
      </c>
      <c r="M10" s="595">
        <f>'[5]Sales &amp; Revenue Adj.'!$E$32</f>
        <v>-14954023.956459759</v>
      </c>
      <c r="N10" s="595">
        <f>'[5]Sales &amp; Revenue Adj.'!$F$32</f>
        <v>-1132839.247447727</v>
      </c>
      <c r="O10" s="595">
        <f>'[5]Sales &amp; Revenue Adj.'!$G$32</f>
        <v>20354591.291598786</v>
      </c>
      <c r="P10" s="595">
        <f>'[5]Sales &amp; Revenue Adj.'!$H$32</f>
        <v>-23586418.125352636</v>
      </c>
      <c r="Q10" s="595">
        <f>SUM(E10:P10)</f>
        <v>-249377236.03393418</v>
      </c>
    </row>
    <row r="11" spans="1:19">
      <c r="A11" s="450">
        <v>3</v>
      </c>
      <c r="B11" s="592" t="s">
        <v>370</v>
      </c>
      <c r="E11" s="467">
        <f t="shared" ref="E11:Q11" si="1">SUM(E9:E10)</f>
        <v>2205191921.1172266</v>
      </c>
      <c r="F11" s="467">
        <f t="shared" si="1"/>
        <v>1887361890.1106176</v>
      </c>
      <c r="G11" s="467">
        <f t="shared" si="1"/>
        <v>1932124178.9852931</v>
      </c>
      <c r="H11" s="467">
        <f t="shared" si="1"/>
        <v>1657951083.060683</v>
      </c>
      <c r="I11" s="467">
        <f t="shared" si="1"/>
        <v>1539013478.3284872</v>
      </c>
      <c r="J11" s="467">
        <f t="shared" si="1"/>
        <v>1468682660.6157737</v>
      </c>
      <c r="K11" s="467">
        <f t="shared" si="1"/>
        <v>1546417568.2231195</v>
      </c>
      <c r="L11" s="467">
        <f t="shared" si="1"/>
        <v>1595828465.5625267</v>
      </c>
      <c r="M11" s="467">
        <f t="shared" si="1"/>
        <v>1470708241.0435402</v>
      </c>
      <c r="N11" s="467">
        <f t="shared" si="1"/>
        <v>1685650088.7525523</v>
      </c>
      <c r="O11" s="467">
        <f t="shared" si="1"/>
        <v>1887727794.2915988</v>
      </c>
      <c r="P11" s="467">
        <f t="shared" si="1"/>
        <v>1227184012.4046474</v>
      </c>
      <c r="Q11" s="467">
        <f t="shared" si="1"/>
        <v>20103841382.496063</v>
      </c>
    </row>
    <row r="12" spans="1:19" ht="25.5">
      <c r="A12" s="450">
        <v>4</v>
      </c>
      <c r="B12" s="596" t="s">
        <v>204</v>
      </c>
      <c r="C12" s="597">
        <v>2.4690728477550952E-2</v>
      </c>
      <c r="D12" s="597"/>
      <c r="E12" s="449">
        <f t="shared" ref="E12:P12" si="2">+E11*$C$12</f>
        <v>54447794.965194397</v>
      </c>
      <c r="F12" s="449">
        <f t="shared" si="2"/>
        <v>46600339.967598617</v>
      </c>
      <c r="G12" s="449">
        <f t="shared" si="2"/>
        <v>47705553.488236934</v>
      </c>
      <c r="H12" s="449">
        <f t="shared" si="2"/>
        <v>40936020.020912848</v>
      </c>
      <c r="I12" s="449">
        <f t="shared" si="2"/>
        <v>37999363.916699924</v>
      </c>
      <c r="J12" s="449">
        <f t="shared" si="2"/>
        <v>36262844.792951182</v>
      </c>
      <c r="K12" s="449">
        <f t="shared" si="2"/>
        <v>38182176.289911672</v>
      </c>
      <c r="L12" s="449">
        <f t="shared" si="2"/>
        <v>39402167.33995112</v>
      </c>
      <c r="M12" s="449">
        <f t="shared" si="2"/>
        <v>36312857.849302612</v>
      </c>
      <c r="N12" s="449">
        <f t="shared" si="2"/>
        <v>41619928.649548933</v>
      </c>
      <c r="O12" s="449">
        <f t="shared" si="2"/>
        <v>46609374.408380024</v>
      </c>
      <c r="P12" s="449">
        <f t="shared" si="2"/>
        <v>30300067.242274668</v>
      </c>
      <c r="Q12" s="449">
        <f>SUM(E12:P12)</f>
        <v>496378488.93096292</v>
      </c>
      <c r="R12" s="598"/>
    </row>
    <row r="13" spans="1:19">
      <c r="A13" s="450">
        <v>5</v>
      </c>
      <c r="C13" s="597"/>
      <c r="D13" s="597"/>
      <c r="E13" s="595"/>
      <c r="F13" s="595"/>
      <c r="G13" s="595"/>
      <c r="H13" s="595"/>
    </row>
    <row r="14" spans="1:19">
      <c r="A14" s="591" t="s">
        <v>205</v>
      </c>
    </row>
    <row r="16" spans="1:19">
      <c r="A16" s="592" t="s">
        <v>4</v>
      </c>
      <c r="E16" s="471" t="s">
        <v>206</v>
      </c>
      <c r="F16" s="471" t="s">
        <v>207</v>
      </c>
      <c r="G16" s="471" t="s">
        <v>208</v>
      </c>
      <c r="H16" s="471" t="s">
        <v>209</v>
      </c>
      <c r="I16" s="471" t="s">
        <v>210</v>
      </c>
      <c r="J16" s="471" t="s">
        <v>211</v>
      </c>
      <c r="K16" s="471" t="s">
        <v>212</v>
      </c>
      <c r="L16" s="471" t="s">
        <v>213</v>
      </c>
      <c r="M16" s="471" t="s">
        <v>214</v>
      </c>
      <c r="N16" s="471" t="s">
        <v>215</v>
      </c>
      <c r="O16" s="471" t="s">
        <v>216</v>
      </c>
      <c r="P16" s="471" t="s">
        <v>217</v>
      </c>
      <c r="Q16" s="471" t="s">
        <v>42</v>
      </c>
      <c r="R16" s="469"/>
      <c r="S16" s="469"/>
    </row>
    <row r="17" spans="1:18">
      <c r="A17" s="450">
        <v>1</v>
      </c>
      <c r="B17" s="592" t="s">
        <v>218</v>
      </c>
      <c r="E17" s="599">
        <f t="shared" ref="E17:P17" si="3">$C$7*E28</f>
        <v>54671831.889310241</v>
      </c>
      <c r="F17" s="599">
        <f t="shared" si="3"/>
        <v>48855115.212643139</v>
      </c>
      <c r="G17" s="599">
        <f t="shared" si="3"/>
        <v>46885480.960987605</v>
      </c>
      <c r="H17" s="599">
        <f t="shared" si="3"/>
        <v>39579463.197668828</v>
      </c>
      <c r="I17" s="599">
        <f t="shared" si="3"/>
        <v>38191088.222019576</v>
      </c>
      <c r="J17" s="599">
        <f t="shared" si="3"/>
        <v>37094352.746110857</v>
      </c>
      <c r="K17" s="599">
        <f t="shared" si="3"/>
        <v>39546515.418840423</v>
      </c>
      <c r="L17" s="599">
        <f t="shared" si="3"/>
        <v>39059164.39915292</v>
      </c>
      <c r="M17" s="599">
        <f t="shared" si="3"/>
        <v>37346502.438681543</v>
      </c>
      <c r="N17" s="599">
        <f t="shared" si="3"/>
        <v>41240323.808368839</v>
      </c>
      <c r="O17" s="599">
        <f t="shared" si="3"/>
        <v>48383615.74808307</v>
      </c>
      <c r="P17" s="449">
        <f t="shared" si="3"/>
        <v>55031641.301705293</v>
      </c>
      <c r="Q17" s="449">
        <f>SUM(E17:P17)</f>
        <v>525885095.34357238</v>
      </c>
      <c r="R17" s="598"/>
    </row>
    <row r="18" spans="1:18">
      <c r="A18" s="450">
        <v>2</v>
      </c>
      <c r="B18" s="592" t="s">
        <v>203</v>
      </c>
      <c r="E18" s="599">
        <f t="shared" ref="E18:O18" si="4">E17</f>
        <v>54671831.889310241</v>
      </c>
      <c r="F18" s="599">
        <f t="shared" si="4"/>
        <v>48855115.212643139</v>
      </c>
      <c r="G18" s="599">
        <f t="shared" si="4"/>
        <v>46885480.960987605</v>
      </c>
      <c r="H18" s="599">
        <f t="shared" si="4"/>
        <v>39579463.197668828</v>
      </c>
      <c r="I18" s="599">
        <f t="shared" si="4"/>
        <v>38191088.222019576</v>
      </c>
      <c r="J18" s="599">
        <f t="shared" si="4"/>
        <v>37094352.746110857</v>
      </c>
      <c r="K18" s="599">
        <f t="shared" si="4"/>
        <v>39546515.418840423</v>
      </c>
      <c r="L18" s="599">
        <f t="shared" si="4"/>
        <v>39059164.39915292</v>
      </c>
      <c r="M18" s="599">
        <f t="shared" si="4"/>
        <v>37346502.438681543</v>
      </c>
      <c r="N18" s="599">
        <f t="shared" si="4"/>
        <v>41240323.808368839</v>
      </c>
      <c r="O18" s="599">
        <f t="shared" si="4"/>
        <v>48383615.74808307</v>
      </c>
      <c r="P18" s="449">
        <f>P17/31*18</f>
        <v>31953856.239699848</v>
      </c>
      <c r="Q18" s="449">
        <f>SUM(E17:O17)+P18</f>
        <v>502807310.28156692</v>
      </c>
      <c r="R18" s="598"/>
    </row>
    <row r="19" spans="1:18">
      <c r="A19" s="450">
        <v>3</v>
      </c>
      <c r="B19" s="592" t="s">
        <v>370</v>
      </c>
      <c r="E19" s="467">
        <f t="shared" ref="E19:P19" si="5">E11</f>
        <v>2205191921.1172266</v>
      </c>
      <c r="F19" s="467">
        <f t="shared" si="5"/>
        <v>1887361890.1106176</v>
      </c>
      <c r="G19" s="467">
        <f t="shared" si="5"/>
        <v>1932124178.9852931</v>
      </c>
      <c r="H19" s="467">
        <f t="shared" si="5"/>
        <v>1657951083.060683</v>
      </c>
      <c r="I19" s="467">
        <f t="shared" si="5"/>
        <v>1539013478.3284872</v>
      </c>
      <c r="J19" s="467">
        <f t="shared" si="5"/>
        <v>1468682660.6157737</v>
      </c>
      <c r="K19" s="467">
        <f t="shared" si="5"/>
        <v>1546417568.2231195</v>
      </c>
      <c r="L19" s="467">
        <f t="shared" si="5"/>
        <v>1595828465.5625267</v>
      </c>
      <c r="M19" s="467">
        <f t="shared" si="5"/>
        <v>1470708241.0435402</v>
      </c>
      <c r="N19" s="467">
        <f t="shared" si="5"/>
        <v>1685650088.7525523</v>
      </c>
      <c r="O19" s="467">
        <f t="shared" si="5"/>
        <v>1887727794.2915988</v>
      </c>
      <c r="P19" s="467">
        <f t="shared" si="5"/>
        <v>1227184012.4046474</v>
      </c>
      <c r="Q19" s="467">
        <f>SUM(E19:P19)</f>
        <v>20103841382.496067</v>
      </c>
    </row>
    <row r="20" spans="1:18" ht="25.5">
      <c r="A20" s="450">
        <v>4</v>
      </c>
      <c r="B20" s="596" t="s">
        <v>204</v>
      </c>
      <c r="C20" s="597">
        <v>2.4690728477550952E-2</v>
      </c>
      <c r="D20" s="597"/>
      <c r="E20" s="449">
        <f t="shared" ref="E20:P20" si="6">E19*$C$20</f>
        <v>54447794.965194397</v>
      </c>
      <c r="F20" s="449">
        <f t="shared" si="6"/>
        <v>46600339.967598617</v>
      </c>
      <c r="G20" s="449">
        <f t="shared" si="6"/>
        <v>47705553.488236934</v>
      </c>
      <c r="H20" s="449">
        <f t="shared" si="6"/>
        <v>40936020.020912848</v>
      </c>
      <c r="I20" s="449">
        <f t="shared" si="6"/>
        <v>37999363.916699924</v>
      </c>
      <c r="J20" s="449">
        <f t="shared" si="6"/>
        <v>36262844.792951182</v>
      </c>
      <c r="K20" s="449">
        <f t="shared" si="6"/>
        <v>38182176.289911672</v>
      </c>
      <c r="L20" s="449">
        <f t="shared" si="6"/>
        <v>39402167.33995112</v>
      </c>
      <c r="M20" s="449">
        <f t="shared" si="6"/>
        <v>36312857.849302612</v>
      </c>
      <c r="N20" s="449">
        <f t="shared" si="6"/>
        <v>41619928.649548933</v>
      </c>
      <c r="O20" s="449">
        <f t="shared" si="6"/>
        <v>46609374.408380024</v>
      </c>
      <c r="P20" s="449">
        <f t="shared" si="6"/>
        <v>30300067.242274668</v>
      </c>
      <c r="Q20" s="449">
        <f>SUM(E20:P20)</f>
        <v>496378488.93096292</v>
      </c>
      <c r="R20" s="598"/>
    </row>
    <row r="21" spans="1:18">
      <c r="A21" s="450">
        <v>5</v>
      </c>
      <c r="C21" s="597"/>
      <c r="D21" s="597"/>
      <c r="E21" s="595"/>
      <c r="F21" s="595"/>
      <c r="G21" s="595"/>
      <c r="H21" s="595"/>
    </row>
    <row r="22" spans="1:18" ht="13.5" thickBot="1">
      <c r="A22" s="450">
        <v>6</v>
      </c>
      <c r="B22" s="592" t="s">
        <v>165</v>
      </c>
      <c r="E22" s="600">
        <f t="shared" ref="E22:P22" si="7">E18-E20</f>
        <v>224036.92411584407</v>
      </c>
      <c r="F22" s="600">
        <f t="shared" si="7"/>
        <v>2254775.245044522</v>
      </c>
      <c r="G22" s="600">
        <f t="shared" si="7"/>
        <v>-820072.52724932879</v>
      </c>
      <c r="H22" s="600">
        <f t="shared" si="7"/>
        <v>-1356556.8232440203</v>
      </c>
      <c r="I22" s="600">
        <f t="shared" si="7"/>
        <v>191724.30531965196</v>
      </c>
      <c r="J22" s="600">
        <f t="shared" si="7"/>
        <v>831507.953159675</v>
      </c>
      <c r="K22" s="600">
        <f t="shared" si="7"/>
        <v>1364339.1289287508</v>
      </c>
      <c r="L22" s="600">
        <f t="shared" si="7"/>
        <v>-343002.94079820067</v>
      </c>
      <c r="M22" s="600">
        <f t="shared" si="7"/>
        <v>1033644.5893789306</v>
      </c>
      <c r="N22" s="600">
        <f t="shared" si="7"/>
        <v>-379604.84118009359</v>
      </c>
      <c r="O22" s="600">
        <f t="shared" si="7"/>
        <v>1774241.3397030458</v>
      </c>
      <c r="P22" s="600">
        <f t="shared" si="7"/>
        <v>1653788.9974251799</v>
      </c>
      <c r="Q22" s="600">
        <f>SUM(E22:P22)</f>
        <v>6428821.3506039567</v>
      </c>
      <c r="R22" s="598"/>
    </row>
    <row r="23" spans="1:18" ht="13.5" thickTop="1">
      <c r="A23" s="450">
        <v>7</v>
      </c>
      <c r="B23" s="601" t="s">
        <v>44</v>
      </c>
      <c r="E23" s="595"/>
      <c r="F23" s="595"/>
      <c r="G23" s="595"/>
      <c r="H23" s="595"/>
    </row>
    <row r="24" spans="1:18">
      <c r="A24" s="450">
        <v>8</v>
      </c>
      <c r="B24" s="592" t="s">
        <v>34</v>
      </c>
      <c r="C24" s="462">
        <v>3.4860000000000002E-4</v>
      </c>
      <c r="D24" s="462"/>
      <c r="E24" s="599">
        <f>+E22*-($C$24)</f>
        <v>-78.099271746783245</v>
      </c>
      <c r="F24" s="599">
        <f t="shared" ref="F24:P24" si="8">+F22*-($C$24)</f>
        <v>-786.01465042252039</v>
      </c>
      <c r="G24" s="599">
        <f t="shared" si="8"/>
        <v>285.87728299911601</v>
      </c>
      <c r="H24" s="599">
        <f t="shared" si="8"/>
        <v>472.8957085828655</v>
      </c>
      <c r="I24" s="599">
        <f t="shared" si="8"/>
        <v>-66.835092834430682</v>
      </c>
      <c r="J24" s="599">
        <f t="shared" si="8"/>
        <v>-289.86367247146273</v>
      </c>
      <c r="K24" s="599">
        <f t="shared" si="8"/>
        <v>-475.60862034456255</v>
      </c>
      <c r="L24" s="599">
        <f t="shared" si="8"/>
        <v>119.57082516225276</v>
      </c>
      <c r="M24" s="599">
        <f t="shared" si="8"/>
        <v>-360.32850385749521</v>
      </c>
      <c r="N24" s="599">
        <f t="shared" si="8"/>
        <v>132.33024763538063</v>
      </c>
      <c r="O24" s="599">
        <f t="shared" si="8"/>
        <v>-618.50053102048184</v>
      </c>
      <c r="P24" s="599">
        <f t="shared" si="8"/>
        <v>-576.51084450241774</v>
      </c>
      <c r="Q24" s="449">
        <f>SUM(E24:P24)</f>
        <v>-2241.0871228205397</v>
      </c>
    </row>
    <row r="25" spans="1:18" ht="13.5" thickBot="1">
      <c r="A25" s="450">
        <v>9</v>
      </c>
      <c r="B25" s="592" t="s">
        <v>166</v>
      </c>
      <c r="E25" s="600">
        <f t="shared" ref="E25:P25" si="9">E22+E24</f>
        <v>223958.82484409728</v>
      </c>
      <c r="F25" s="600">
        <f t="shared" si="9"/>
        <v>2253989.2303940994</v>
      </c>
      <c r="G25" s="600">
        <f t="shared" si="9"/>
        <v>-819786.64996632969</v>
      </c>
      <c r="H25" s="600">
        <f t="shared" si="9"/>
        <v>-1356083.9275354375</v>
      </c>
      <c r="I25" s="600">
        <f t="shared" si="9"/>
        <v>191657.47022681753</v>
      </c>
      <c r="J25" s="600">
        <f t="shared" si="9"/>
        <v>831218.08948720351</v>
      </c>
      <c r="K25" s="600">
        <f t="shared" si="9"/>
        <v>1363863.5203084061</v>
      </c>
      <c r="L25" s="600">
        <f t="shared" si="9"/>
        <v>-342883.36997303844</v>
      </c>
      <c r="M25" s="600">
        <f t="shared" si="9"/>
        <v>1033284.2608750731</v>
      </c>
      <c r="N25" s="600">
        <f t="shared" si="9"/>
        <v>-379472.51093245822</v>
      </c>
      <c r="O25" s="600">
        <f t="shared" si="9"/>
        <v>1773622.8391720252</v>
      </c>
      <c r="P25" s="600">
        <f t="shared" si="9"/>
        <v>1653212.4865806776</v>
      </c>
      <c r="Q25" s="600">
        <f>SUM(E25:P25)</f>
        <v>6426580.2634811364</v>
      </c>
      <c r="R25" s="595" t="s">
        <v>369</v>
      </c>
    </row>
    <row r="26" spans="1:18" ht="13.5" thickTop="1">
      <c r="A26" s="450"/>
      <c r="E26" s="599"/>
      <c r="F26" s="599"/>
      <c r="G26" s="599"/>
      <c r="H26" s="599"/>
      <c r="I26" s="599"/>
      <c r="J26" s="599"/>
      <c r="K26" s="599"/>
      <c r="L26" s="599"/>
      <c r="M26" s="599"/>
      <c r="N26" s="599"/>
      <c r="O26" s="599"/>
      <c r="P26" s="599"/>
      <c r="Q26" s="599"/>
      <c r="R26" s="595"/>
    </row>
    <row r="27" spans="1:18">
      <c r="A27" s="586" t="s">
        <v>220</v>
      </c>
      <c r="E27" s="595">
        <v>2145590125.2520325</v>
      </c>
      <c r="F27" s="595">
        <v>1917313708.8313494</v>
      </c>
      <c r="G27" s="595">
        <v>1840015625.8026631</v>
      </c>
      <c r="H27" s="595">
        <v>1553291749.4264314</v>
      </c>
      <c r="I27" s="595">
        <v>1498805123.7737339</v>
      </c>
      <c r="J27" s="595">
        <v>1455763858.7236149</v>
      </c>
      <c r="K27" s="595">
        <v>1551998717.4123158</v>
      </c>
      <c r="L27" s="595">
        <v>1532872679.3916755</v>
      </c>
      <c r="M27" s="595">
        <v>1465659446.1178758</v>
      </c>
      <c r="N27" s="595">
        <v>1618472044.3350198</v>
      </c>
      <c r="O27" s="595">
        <v>1898809763.376039</v>
      </c>
      <c r="P27" s="595">
        <v>2159710806.6985693</v>
      </c>
      <c r="Q27" s="595">
        <f>SUM(E27:P27)</f>
        <v>20638303649.141323</v>
      </c>
      <c r="R27" s="595"/>
    </row>
    <row r="28" spans="1:18" s="602" customFormat="1">
      <c r="A28" s="497" t="s">
        <v>221</v>
      </c>
      <c r="E28" s="603">
        <f t="shared" ref="E28:P28" si="10">E27/$Q$27</f>
        <v>0.10396155428894961</v>
      </c>
      <c r="F28" s="603">
        <f t="shared" si="10"/>
        <v>9.2900741331573597E-2</v>
      </c>
      <c r="G28" s="603">
        <f t="shared" si="10"/>
        <v>8.9155371346579582E-2</v>
      </c>
      <c r="H28" s="603">
        <f t="shared" si="10"/>
        <v>7.526256885415375E-2</v>
      </c>
      <c r="I28" s="603">
        <f t="shared" si="10"/>
        <v>7.2622495979028451E-2</v>
      </c>
      <c r="J28" s="603">
        <f t="shared" si="10"/>
        <v>7.0536991967563356E-2</v>
      </c>
      <c r="K28" s="603">
        <f t="shared" si="10"/>
        <v>7.5199916805027162E-2</v>
      </c>
      <c r="L28" s="603">
        <f t="shared" si="10"/>
        <v>7.4273191510846492E-2</v>
      </c>
      <c r="M28" s="603">
        <f t="shared" si="10"/>
        <v>7.1016468748334172E-2</v>
      </c>
      <c r="N28" s="603">
        <f t="shared" si="10"/>
        <v>7.8420788445098685E-2</v>
      </c>
      <c r="O28" s="603">
        <f t="shared" si="10"/>
        <v>9.200415865840994E-2</v>
      </c>
      <c r="P28" s="603">
        <f t="shared" si="10"/>
        <v>0.1046457520644351</v>
      </c>
      <c r="R28" s="595"/>
    </row>
    <row r="29" spans="1:18" s="602" customFormat="1">
      <c r="A29" s="604"/>
      <c r="R29" s="595"/>
    </row>
    <row r="30" spans="1:18">
      <c r="E30" s="592" t="s">
        <v>368</v>
      </c>
      <c r="K30" s="605"/>
      <c r="L30" s="605"/>
      <c r="M30" s="605"/>
      <c r="N30" s="605"/>
      <c r="O30" s="605"/>
      <c r="P30" s="605"/>
      <c r="Q30" s="450"/>
    </row>
    <row r="31" spans="1:18">
      <c r="Q31" s="290"/>
    </row>
    <row r="32" spans="1:18">
      <c r="A32" s="450"/>
      <c r="E32" s="595"/>
      <c r="F32" s="595"/>
      <c r="G32" s="595"/>
      <c r="H32" s="595"/>
      <c r="I32" s="595"/>
      <c r="J32" s="595"/>
      <c r="K32" s="595"/>
      <c r="L32" s="595"/>
      <c r="M32" s="595"/>
      <c r="N32" s="595"/>
      <c r="O32" s="595"/>
      <c r="P32" s="595"/>
      <c r="Q32" s="595"/>
    </row>
  </sheetData>
  <printOptions horizontalCentered="1"/>
  <pageMargins left="0.5" right="0.5" top="1" bottom="0.75" header="0.5" footer="0.5"/>
  <pageSetup scale="40" orientation="landscape" blackAndWhite="1" r:id="rId1"/>
  <headerFooter>
    <oddHeader>&amp;L&amp;"Times New Roman,Regular"&amp;12Docket UE-180280
April 26, 2018
Page &amp;P&amp;R&amp;"Times New Roman,Regular"&amp;12Attachment 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topLeftCell="A7" zoomScaleNormal="100" workbookViewId="0">
      <pane xSplit="4" ySplit="2" topLeftCell="E9" activePane="bottomRight" state="frozen"/>
      <selection activeCell="O10" sqref="O10"/>
      <selection pane="topRight" activeCell="O10" sqref="O10"/>
      <selection pane="bottomLeft" activeCell="O10" sqref="O10"/>
      <selection pane="bottomRight" activeCell="O10" sqref="O10"/>
    </sheetView>
  </sheetViews>
  <sheetFormatPr defaultColWidth="9.140625" defaultRowHeight="12.75"/>
  <cols>
    <col min="1" max="1" width="5.42578125" style="445" customWidth="1"/>
    <col min="2" max="2" width="36.7109375" style="445" customWidth="1"/>
    <col min="3" max="3" width="13.42578125" style="445" bestFit="1" customWidth="1"/>
    <col min="4" max="4" width="6.42578125" style="445" customWidth="1"/>
    <col min="5" max="5" width="14.42578125" style="445" bestFit="1" customWidth="1"/>
    <col min="6" max="6" width="18.42578125" style="445" bestFit="1" customWidth="1"/>
    <col min="7" max="7" width="15.85546875" style="445" bestFit="1" customWidth="1"/>
    <col min="8" max="15" width="14" style="445" bestFit="1" customWidth="1"/>
    <col min="16" max="16" width="14.5703125" style="445" customWidth="1"/>
    <col min="17" max="17" width="15" style="445" bestFit="1" customWidth="1"/>
    <col min="18" max="18" width="14.28515625" style="445" customWidth="1"/>
    <col min="19" max="19" width="13.42578125" style="445" bestFit="1" customWidth="1"/>
    <col min="20" max="16384" width="9.140625" style="445"/>
  </cols>
  <sheetData>
    <row r="1" spans="1:19">
      <c r="A1" s="473" t="s">
        <v>163</v>
      </c>
      <c r="B1" s="473"/>
    </row>
    <row r="2" spans="1:19">
      <c r="A2" s="473" t="s">
        <v>200</v>
      </c>
    </row>
    <row r="3" spans="1:19">
      <c r="A3" s="473"/>
    </row>
    <row r="4" spans="1:19">
      <c r="A4" s="473"/>
    </row>
    <row r="5" spans="1:19">
      <c r="A5" s="473" t="s">
        <v>201</v>
      </c>
    </row>
    <row r="6" spans="1:19">
      <c r="P6" s="479"/>
    </row>
    <row r="7" spans="1:19">
      <c r="A7" s="473"/>
      <c r="B7" s="445" t="s">
        <v>202</v>
      </c>
      <c r="C7" s="478">
        <v>525885095.34357238</v>
      </c>
      <c r="E7" s="477">
        <f>C7</f>
        <v>525885095.34357238</v>
      </c>
      <c r="F7" s="477">
        <f t="shared" ref="F7:P7" si="0">E7</f>
        <v>525885095.34357238</v>
      </c>
      <c r="G7" s="477">
        <f t="shared" si="0"/>
        <v>525885095.34357238</v>
      </c>
      <c r="H7" s="477">
        <f t="shared" si="0"/>
        <v>525885095.34357238</v>
      </c>
      <c r="I7" s="477">
        <f t="shared" si="0"/>
        <v>525885095.34357238</v>
      </c>
      <c r="J7" s="477">
        <f t="shared" si="0"/>
        <v>525885095.34357238</v>
      </c>
      <c r="K7" s="477">
        <f t="shared" si="0"/>
        <v>525885095.34357238</v>
      </c>
      <c r="L7" s="477">
        <f t="shared" si="0"/>
        <v>525885095.34357238</v>
      </c>
      <c r="M7" s="477">
        <f t="shared" si="0"/>
        <v>525885095.34357238</v>
      </c>
      <c r="N7" s="477">
        <f t="shared" si="0"/>
        <v>525885095.34357238</v>
      </c>
      <c r="O7" s="477">
        <f t="shared" si="0"/>
        <v>525885095.34357238</v>
      </c>
      <c r="P7" s="477">
        <f t="shared" si="0"/>
        <v>525885095.34357238</v>
      </c>
    </row>
    <row r="8" spans="1:19">
      <c r="A8" s="445" t="s">
        <v>4</v>
      </c>
      <c r="E8" s="469">
        <v>42736</v>
      </c>
      <c r="F8" s="470">
        <v>42767</v>
      </c>
      <c r="G8" s="469">
        <v>42795</v>
      </c>
      <c r="H8" s="469">
        <v>42826</v>
      </c>
      <c r="I8" s="469">
        <v>42856</v>
      </c>
      <c r="J8" s="470">
        <v>42887</v>
      </c>
      <c r="K8" s="469">
        <v>42917</v>
      </c>
      <c r="L8" s="470">
        <v>42948</v>
      </c>
      <c r="M8" s="469">
        <v>42979</v>
      </c>
      <c r="N8" s="470">
        <v>43009</v>
      </c>
      <c r="O8" s="469">
        <v>43040</v>
      </c>
      <c r="P8" s="470">
        <v>43070</v>
      </c>
      <c r="Q8" s="469" t="s">
        <v>42</v>
      </c>
      <c r="R8" s="470"/>
      <c r="S8" s="469"/>
    </row>
    <row r="9" spans="1:19">
      <c r="A9" s="458">
        <v>1</v>
      </c>
      <c r="B9" s="445" t="s">
        <v>203</v>
      </c>
      <c r="E9" s="476">
        <f t="shared" ref="E9:O9" si="1">$C$7/12</f>
        <v>43823757.945297696</v>
      </c>
      <c r="F9" s="476">
        <f t="shared" si="1"/>
        <v>43823757.945297696</v>
      </c>
      <c r="G9" s="476">
        <f t="shared" si="1"/>
        <v>43823757.945297696</v>
      </c>
      <c r="H9" s="476">
        <f t="shared" si="1"/>
        <v>43823757.945297696</v>
      </c>
      <c r="I9" s="476">
        <f t="shared" si="1"/>
        <v>43823757.945297696</v>
      </c>
      <c r="J9" s="476">
        <f t="shared" si="1"/>
        <v>43823757.945297696</v>
      </c>
      <c r="K9" s="476">
        <f t="shared" si="1"/>
        <v>43823757.945297696</v>
      </c>
      <c r="L9" s="476">
        <f t="shared" si="1"/>
        <v>43823757.945297696</v>
      </c>
      <c r="M9" s="476">
        <f t="shared" si="1"/>
        <v>43823757.945297696</v>
      </c>
      <c r="N9" s="476">
        <f t="shared" si="1"/>
        <v>43823757.945297696</v>
      </c>
      <c r="O9" s="476">
        <f t="shared" si="1"/>
        <v>43823757.945297696</v>
      </c>
      <c r="P9" s="476">
        <f>$C$7/12*18/31</f>
        <v>25446053.000495438</v>
      </c>
      <c r="Q9" s="476">
        <f>SUM(E9:P9)</f>
        <v>507507390.39877015</v>
      </c>
      <c r="R9" s="464"/>
    </row>
    <row r="10" spans="1:19">
      <c r="A10" s="458">
        <v>2</v>
      </c>
      <c r="E10" s="446"/>
      <c r="F10" s="446"/>
      <c r="G10" s="446"/>
      <c r="H10" s="446"/>
    </row>
    <row r="11" spans="1:19">
      <c r="A11" s="458">
        <v>3</v>
      </c>
      <c r="B11" s="445" t="s">
        <v>164</v>
      </c>
      <c r="E11" s="468">
        <v>2311111402</v>
      </c>
      <c r="F11" s="467">
        <v>1939919961</v>
      </c>
      <c r="G11" s="467">
        <v>1940551765</v>
      </c>
      <c r="H11" s="467">
        <v>1647518890</v>
      </c>
      <c r="I11" s="467">
        <v>1543718724</v>
      </c>
      <c r="J11" s="467">
        <v>1476133475</v>
      </c>
      <c r="K11" s="467">
        <v>1555636675</v>
      </c>
      <c r="L11" s="467">
        <v>1648038900</v>
      </c>
      <c r="M11" s="467">
        <v>1485662265</v>
      </c>
      <c r="N11" s="467">
        <v>1686782928</v>
      </c>
      <c r="O11" s="467">
        <v>1867373203</v>
      </c>
      <c r="P11" s="467">
        <v>1250770430.53</v>
      </c>
      <c r="Q11" s="467">
        <f>SUM(E11:P11)</f>
        <v>20353218618.529999</v>
      </c>
    </row>
    <row r="12" spans="1:19" ht="25.5">
      <c r="A12" s="458">
        <v>4</v>
      </c>
      <c r="B12" s="466" t="s">
        <v>204</v>
      </c>
      <c r="C12" s="465">
        <v>2.4690728477550952E-2</v>
      </c>
      <c r="D12" s="465"/>
      <c r="E12" s="447">
        <f t="shared" ref="E12:P12" si="2">+E11*$C$12</f>
        <v>57063024.108154103</v>
      </c>
      <c r="F12" s="447">
        <f t="shared" si="2"/>
        <v>47898037.025232233</v>
      </c>
      <c r="G12" s="447">
        <f t="shared" si="2"/>
        <v>47913636.726247266</v>
      </c>
      <c r="H12" s="447">
        <f t="shared" si="2"/>
        <v>40678441.574626133</v>
      </c>
      <c r="I12" s="447">
        <f t="shared" si="2"/>
        <v>38115539.859995417</v>
      </c>
      <c r="J12" s="447">
        <f t="shared" si="2"/>
        <v>36446810.827848747</v>
      </c>
      <c r="K12" s="447">
        <f t="shared" si="2"/>
        <v>38409802.752145179</v>
      </c>
      <c r="L12" s="447">
        <f t="shared" si="2"/>
        <v>40691281.000341743</v>
      </c>
      <c r="M12" s="447">
        <f t="shared" si="2"/>
        <v>36682083.594458349</v>
      </c>
      <c r="N12" s="447">
        <f t="shared" si="2"/>
        <v>41647899.275816381</v>
      </c>
      <c r="O12" s="447">
        <f t="shared" si="2"/>
        <v>46106804.721527636</v>
      </c>
      <c r="P12" s="447">
        <f t="shared" si="2"/>
        <v>30882433.087965734</v>
      </c>
      <c r="Q12" s="447">
        <f>SUM(E12:P12)</f>
        <v>502535794.55435896</v>
      </c>
      <c r="R12" s="464"/>
    </row>
    <row r="13" spans="1:19">
      <c r="A13" s="458">
        <v>5</v>
      </c>
      <c r="C13" s="465"/>
      <c r="D13" s="465"/>
      <c r="E13" s="446"/>
      <c r="F13" s="446"/>
      <c r="G13" s="446"/>
      <c r="H13" s="446"/>
    </row>
    <row r="14" spans="1:19" ht="13.5" thickBot="1">
      <c r="A14" s="458">
        <v>6</v>
      </c>
      <c r="B14" s="445" t="s">
        <v>165</v>
      </c>
      <c r="E14" s="448">
        <f t="shared" ref="E14:Q14" si="3">+E9-E12</f>
        <v>-13239266.162856407</v>
      </c>
      <c r="F14" s="448">
        <f t="shared" si="3"/>
        <v>-4074279.0799345374</v>
      </c>
      <c r="G14" s="448">
        <f t="shared" si="3"/>
        <v>-4089878.7809495702</v>
      </c>
      <c r="H14" s="448">
        <f t="shared" si="3"/>
        <v>3145316.3706715629</v>
      </c>
      <c r="I14" s="448">
        <f t="shared" si="3"/>
        <v>5708218.0853022784</v>
      </c>
      <c r="J14" s="448">
        <f t="shared" si="3"/>
        <v>7376947.1174489483</v>
      </c>
      <c r="K14" s="448">
        <f t="shared" si="3"/>
        <v>5413955.1931525171</v>
      </c>
      <c r="L14" s="448">
        <f t="shared" si="3"/>
        <v>3132476.9449559525</v>
      </c>
      <c r="M14" s="448">
        <f t="shared" si="3"/>
        <v>7141674.3508393466</v>
      </c>
      <c r="N14" s="448">
        <f t="shared" si="3"/>
        <v>2175858.6694813147</v>
      </c>
      <c r="O14" s="448">
        <f t="shared" si="3"/>
        <v>-2283046.7762299404</v>
      </c>
      <c r="P14" s="448">
        <f t="shared" si="3"/>
        <v>-5436380.0874702968</v>
      </c>
      <c r="Q14" s="448">
        <f t="shared" si="3"/>
        <v>4971595.8444111943</v>
      </c>
      <c r="R14" s="464"/>
    </row>
    <row r="15" spans="1:19" ht="13.5" thickTop="1">
      <c r="A15" s="458">
        <v>7</v>
      </c>
      <c r="B15" s="463" t="s">
        <v>44</v>
      </c>
      <c r="E15" s="446"/>
      <c r="F15" s="446"/>
      <c r="G15" s="446"/>
      <c r="H15" s="446"/>
    </row>
    <row r="16" spans="1:19">
      <c r="A16" s="458">
        <v>8</v>
      </c>
      <c r="B16" s="445" t="s">
        <v>34</v>
      </c>
      <c r="C16" s="462">
        <v>3.4860000000000002E-4</v>
      </c>
      <c r="D16" s="462"/>
      <c r="E16" s="457">
        <f t="shared" ref="E16:P16" si="4">+E14*-($C$16)</f>
        <v>4615.2081843717442</v>
      </c>
      <c r="F16" s="457">
        <f t="shared" si="4"/>
        <v>1420.2936872651799</v>
      </c>
      <c r="G16" s="457">
        <f t="shared" si="4"/>
        <v>1425.7317430390203</v>
      </c>
      <c r="H16" s="457">
        <f t="shared" si="4"/>
        <v>-1096.4572868161069</v>
      </c>
      <c r="I16" s="457">
        <f t="shared" si="4"/>
        <v>-1989.8848245363743</v>
      </c>
      <c r="J16" s="457">
        <f t="shared" si="4"/>
        <v>-2571.6037651427037</v>
      </c>
      <c r="K16" s="457">
        <f t="shared" si="4"/>
        <v>-1887.3047803329675</v>
      </c>
      <c r="L16" s="457">
        <f t="shared" si="4"/>
        <v>-1091.981463011645</v>
      </c>
      <c r="M16" s="457">
        <f t="shared" si="4"/>
        <v>-2489.5876787025963</v>
      </c>
      <c r="N16" s="457">
        <f t="shared" si="4"/>
        <v>-758.50433218118633</v>
      </c>
      <c r="O16" s="457">
        <f t="shared" si="4"/>
        <v>795.87010619375724</v>
      </c>
      <c r="P16" s="457">
        <f t="shared" si="4"/>
        <v>1895.1220984921456</v>
      </c>
      <c r="Q16" s="447">
        <f>SUM(E16:P16)</f>
        <v>-1733.0983113617331</v>
      </c>
    </row>
    <row r="17" spans="1:19" ht="13.5" thickBot="1">
      <c r="A17" s="458">
        <v>9</v>
      </c>
      <c r="B17" s="445" t="s">
        <v>166</v>
      </c>
      <c r="E17" s="448">
        <f t="shared" ref="E17:P17" si="5">E14+E16</f>
        <v>-13234650.954672035</v>
      </c>
      <c r="F17" s="448">
        <f t="shared" si="5"/>
        <v>-4072858.786247272</v>
      </c>
      <c r="G17" s="448">
        <f t="shared" si="5"/>
        <v>-4088453.0492065311</v>
      </c>
      <c r="H17" s="448">
        <f t="shared" si="5"/>
        <v>3144219.9133847468</v>
      </c>
      <c r="I17" s="448">
        <f t="shared" si="5"/>
        <v>5706228.2004777417</v>
      </c>
      <c r="J17" s="448">
        <f t="shared" si="5"/>
        <v>7374375.5136838052</v>
      </c>
      <c r="K17" s="448">
        <f t="shared" si="5"/>
        <v>5412067.8883721838</v>
      </c>
      <c r="L17" s="448">
        <f t="shared" si="5"/>
        <v>3131384.9634929406</v>
      </c>
      <c r="M17" s="448">
        <f t="shared" si="5"/>
        <v>7139184.7631606441</v>
      </c>
      <c r="N17" s="448">
        <f t="shared" si="5"/>
        <v>2175100.1651491337</v>
      </c>
      <c r="O17" s="448">
        <f t="shared" si="5"/>
        <v>-2282250.9061237467</v>
      </c>
      <c r="P17" s="448">
        <f t="shared" si="5"/>
        <v>-5434484.9653718043</v>
      </c>
      <c r="Q17" s="448">
        <f>SUM(E17:P17)</f>
        <v>4969862.7460998055</v>
      </c>
      <c r="R17" s="446" t="s">
        <v>373</v>
      </c>
    </row>
    <row r="18" spans="1:19" ht="13.5" thickTop="1">
      <c r="A18" s="458"/>
      <c r="E18" s="446"/>
      <c r="F18" s="446"/>
      <c r="G18" s="446"/>
      <c r="H18" s="446"/>
      <c r="K18" s="482">
        <f>+'FPC Deferral'!N12</f>
        <v>-5412068</v>
      </c>
      <c r="L18" s="482">
        <f>+'FPC Deferral'!M12</f>
        <v>-3131385</v>
      </c>
      <c r="M18" s="482">
        <f>+'FPC Deferral'!L12</f>
        <v>-7139185</v>
      </c>
      <c r="N18" s="482">
        <f>+'FPC Deferral'!K12</f>
        <v>-2175100</v>
      </c>
      <c r="O18" s="482">
        <f>+'FPC Deferral'!J12</f>
        <v>2282251</v>
      </c>
      <c r="P18" s="482">
        <f>+'FPC Deferral'!I12</f>
        <v>5434485</v>
      </c>
      <c r="Q18" s="475"/>
      <c r="R18" s="481" t="s">
        <v>372</v>
      </c>
    </row>
    <row r="19" spans="1:19">
      <c r="A19" s="458"/>
      <c r="E19" s="446"/>
      <c r="F19" s="446"/>
      <c r="G19" s="446"/>
      <c r="H19" s="446"/>
      <c r="Q19" s="473"/>
    </row>
    <row r="20" spans="1:19">
      <c r="P20" s="474"/>
      <c r="Q20" s="474"/>
    </row>
    <row r="21" spans="1:19">
      <c r="A21" s="473" t="s">
        <v>205</v>
      </c>
    </row>
    <row r="23" spans="1:19">
      <c r="A23" s="445" t="s">
        <v>4</v>
      </c>
      <c r="E23" s="471" t="s">
        <v>206</v>
      </c>
      <c r="F23" s="472" t="s">
        <v>207</v>
      </c>
      <c r="G23" s="471" t="s">
        <v>208</v>
      </c>
      <c r="H23" s="471" t="s">
        <v>209</v>
      </c>
      <c r="I23" s="471" t="s">
        <v>210</v>
      </c>
      <c r="J23" s="472" t="s">
        <v>211</v>
      </c>
      <c r="K23" s="471" t="s">
        <v>212</v>
      </c>
      <c r="L23" s="472" t="s">
        <v>213</v>
      </c>
      <c r="M23" s="471" t="s">
        <v>214</v>
      </c>
      <c r="N23" s="472" t="s">
        <v>215</v>
      </c>
      <c r="O23" s="471" t="s">
        <v>216</v>
      </c>
      <c r="P23" s="472" t="s">
        <v>217</v>
      </c>
      <c r="Q23" s="471" t="s">
        <v>42</v>
      </c>
      <c r="R23" s="470"/>
      <c r="S23" s="469"/>
    </row>
    <row r="24" spans="1:19">
      <c r="A24" s="458">
        <v>1</v>
      </c>
      <c r="B24" s="445" t="s">
        <v>218</v>
      </c>
      <c r="E24" s="457">
        <f t="shared" ref="E24:P24" si="6">$C$7*E42</f>
        <v>54671831.889310241</v>
      </c>
      <c r="F24" s="457">
        <f t="shared" si="6"/>
        <v>48855115.212643139</v>
      </c>
      <c r="G24" s="457">
        <f t="shared" si="6"/>
        <v>46885480.960987605</v>
      </c>
      <c r="H24" s="457">
        <f t="shared" si="6"/>
        <v>39579463.197668828</v>
      </c>
      <c r="I24" s="457">
        <f t="shared" si="6"/>
        <v>38191088.222019576</v>
      </c>
      <c r="J24" s="457">
        <f t="shared" si="6"/>
        <v>37094352.746110857</v>
      </c>
      <c r="K24" s="457">
        <f t="shared" si="6"/>
        <v>39546515.418840423</v>
      </c>
      <c r="L24" s="457">
        <f t="shared" si="6"/>
        <v>39059164.39915292</v>
      </c>
      <c r="M24" s="457">
        <f t="shared" si="6"/>
        <v>37346502.438681543</v>
      </c>
      <c r="N24" s="457">
        <f t="shared" si="6"/>
        <v>41240323.808368839</v>
      </c>
      <c r="O24" s="457">
        <f t="shared" si="6"/>
        <v>48383615.74808307</v>
      </c>
      <c r="P24" s="447">
        <f t="shared" si="6"/>
        <v>55031641.301705293</v>
      </c>
      <c r="Q24" s="447">
        <f>SUM(E24:P24)</f>
        <v>525885095.34357238</v>
      </c>
      <c r="R24" s="464"/>
    </row>
    <row r="25" spans="1:19">
      <c r="A25" s="458">
        <v>2</v>
      </c>
      <c r="B25" s="445" t="s">
        <v>203</v>
      </c>
      <c r="E25" s="457">
        <f t="shared" ref="E25:O25" si="7">E24</f>
        <v>54671831.889310241</v>
      </c>
      <c r="F25" s="457">
        <f t="shared" si="7"/>
        <v>48855115.212643139</v>
      </c>
      <c r="G25" s="457">
        <f t="shared" si="7"/>
        <v>46885480.960987605</v>
      </c>
      <c r="H25" s="457">
        <f t="shared" si="7"/>
        <v>39579463.197668828</v>
      </c>
      <c r="I25" s="457">
        <f t="shared" si="7"/>
        <v>38191088.222019576</v>
      </c>
      <c r="J25" s="457">
        <f t="shared" si="7"/>
        <v>37094352.746110857</v>
      </c>
      <c r="K25" s="457">
        <f t="shared" si="7"/>
        <v>39546515.418840423</v>
      </c>
      <c r="L25" s="457">
        <f t="shared" si="7"/>
        <v>39059164.39915292</v>
      </c>
      <c r="M25" s="457">
        <f t="shared" si="7"/>
        <v>37346502.438681543</v>
      </c>
      <c r="N25" s="457">
        <f t="shared" si="7"/>
        <v>41240323.808368839</v>
      </c>
      <c r="O25" s="457">
        <f t="shared" si="7"/>
        <v>48383615.74808307</v>
      </c>
      <c r="P25" s="447">
        <f>P24/31*18</f>
        <v>31953856.239699848</v>
      </c>
      <c r="Q25" s="447">
        <f>SUM(E24:O24)+P25</f>
        <v>502807310.28156692</v>
      </c>
      <c r="R25" s="464"/>
    </row>
    <row r="26" spans="1:19">
      <c r="A26" s="458">
        <v>3</v>
      </c>
      <c r="B26" s="445" t="s">
        <v>164</v>
      </c>
      <c r="E26" s="468">
        <f t="shared" ref="E26:P26" si="8">E11</f>
        <v>2311111402</v>
      </c>
      <c r="F26" s="468">
        <f t="shared" si="8"/>
        <v>1939919961</v>
      </c>
      <c r="G26" s="468">
        <f t="shared" si="8"/>
        <v>1940551765</v>
      </c>
      <c r="H26" s="468">
        <f t="shared" si="8"/>
        <v>1647518890</v>
      </c>
      <c r="I26" s="468">
        <f t="shared" si="8"/>
        <v>1543718724</v>
      </c>
      <c r="J26" s="468">
        <f t="shared" si="8"/>
        <v>1476133475</v>
      </c>
      <c r="K26" s="468">
        <f t="shared" si="8"/>
        <v>1555636675</v>
      </c>
      <c r="L26" s="468">
        <f t="shared" si="8"/>
        <v>1648038900</v>
      </c>
      <c r="M26" s="468">
        <f t="shared" si="8"/>
        <v>1485662265</v>
      </c>
      <c r="N26" s="468">
        <f t="shared" si="8"/>
        <v>1686782928</v>
      </c>
      <c r="O26" s="468">
        <f t="shared" si="8"/>
        <v>1867373203</v>
      </c>
      <c r="P26" s="468">
        <f t="shared" si="8"/>
        <v>1250770430.53</v>
      </c>
      <c r="Q26" s="467">
        <f>SUM(E26:P26)</f>
        <v>20353218618.529999</v>
      </c>
    </row>
    <row r="27" spans="1:19" ht="25.5">
      <c r="A27" s="458">
        <v>4</v>
      </c>
      <c r="B27" s="466" t="s">
        <v>204</v>
      </c>
      <c r="C27" s="465">
        <f>C12</f>
        <v>2.4690728477550952E-2</v>
      </c>
      <c r="D27" s="465"/>
      <c r="E27" s="447">
        <f t="shared" ref="E27:P27" si="9">E26*$C$27</f>
        <v>57063024.108154103</v>
      </c>
      <c r="F27" s="447">
        <f t="shared" si="9"/>
        <v>47898037.025232233</v>
      </c>
      <c r="G27" s="447">
        <f t="shared" si="9"/>
        <v>47913636.726247266</v>
      </c>
      <c r="H27" s="447">
        <f t="shared" si="9"/>
        <v>40678441.574626133</v>
      </c>
      <c r="I27" s="447">
        <f t="shared" si="9"/>
        <v>38115539.859995417</v>
      </c>
      <c r="J27" s="447">
        <f t="shared" si="9"/>
        <v>36446810.827848747</v>
      </c>
      <c r="K27" s="447">
        <f t="shared" si="9"/>
        <v>38409802.752145179</v>
      </c>
      <c r="L27" s="447">
        <f t="shared" si="9"/>
        <v>40691281.000341743</v>
      </c>
      <c r="M27" s="447">
        <f t="shared" si="9"/>
        <v>36682083.594458349</v>
      </c>
      <c r="N27" s="447">
        <f t="shared" si="9"/>
        <v>41647899.275816381</v>
      </c>
      <c r="O27" s="447">
        <f t="shared" si="9"/>
        <v>46106804.721527636</v>
      </c>
      <c r="P27" s="447">
        <f t="shared" si="9"/>
        <v>30882433.087965734</v>
      </c>
      <c r="Q27" s="447">
        <f>SUM(E27:P27)</f>
        <v>502535794.55435896</v>
      </c>
      <c r="R27" s="464"/>
    </row>
    <row r="28" spans="1:19">
      <c r="A28" s="458">
        <v>5</v>
      </c>
      <c r="C28" s="465"/>
      <c r="D28" s="465"/>
      <c r="E28" s="446"/>
      <c r="F28" s="446"/>
      <c r="G28" s="446"/>
      <c r="H28" s="446"/>
    </row>
    <row r="29" spans="1:19" ht="13.5" thickBot="1">
      <c r="A29" s="458">
        <v>6</v>
      </c>
      <c r="B29" s="445" t="s">
        <v>165</v>
      </c>
      <c r="E29" s="448">
        <f t="shared" ref="E29:P29" si="10">E25-E27</f>
        <v>-2391192.2188438624</v>
      </c>
      <c r="F29" s="448">
        <f t="shared" si="10"/>
        <v>957078.18741090596</v>
      </c>
      <c r="G29" s="448">
        <f t="shared" si="10"/>
        <v>-1028155.7652596608</v>
      </c>
      <c r="H29" s="448">
        <f t="shared" si="10"/>
        <v>-1098978.3769573048</v>
      </c>
      <c r="I29" s="448">
        <f t="shared" si="10"/>
        <v>75548.362024158239</v>
      </c>
      <c r="J29" s="448">
        <f t="shared" si="10"/>
        <v>647541.91826210916</v>
      </c>
      <c r="K29" s="448">
        <f t="shared" si="10"/>
        <v>1136712.6666952446</v>
      </c>
      <c r="L29" s="448">
        <f t="shared" si="10"/>
        <v>-1632116.6011888236</v>
      </c>
      <c r="M29" s="448">
        <f t="shared" si="10"/>
        <v>664418.84422319382</v>
      </c>
      <c r="N29" s="448">
        <f t="shared" si="10"/>
        <v>-407575.46744754165</v>
      </c>
      <c r="O29" s="448">
        <f t="shared" si="10"/>
        <v>2276811.0265554339</v>
      </c>
      <c r="P29" s="448">
        <f t="shared" si="10"/>
        <v>1071423.1517341137</v>
      </c>
      <c r="Q29" s="448">
        <f>SUM(E29:P29)</f>
        <v>271515.72720796615</v>
      </c>
      <c r="R29" s="464"/>
    </row>
    <row r="30" spans="1:19" ht="13.5" thickTop="1">
      <c r="A30" s="458">
        <v>7</v>
      </c>
      <c r="B30" s="463" t="s">
        <v>44</v>
      </c>
      <c r="E30" s="446"/>
      <c r="F30" s="446"/>
      <c r="G30" s="446"/>
      <c r="H30" s="446"/>
    </row>
    <row r="31" spans="1:19">
      <c r="A31" s="458">
        <v>8</v>
      </c>
      <c r="B31" s="445" t="s">
        <v>34</v>
      </c>
      <c r="C31" s="462">
        <f>C16</f>
        <v>3.4860000000000002E-4</v>
      </c>
      <c r="D31" s="462"/>
      <c r="E31" s="457">
        <v>4615.2081843717442</v>
      </c>
      <c r="F31" s="457">
        <v>1420.2936872651799</v>
      </c>
      <c r="G31" s="457">
        <v>1425.7317430390203</v>
      </c>
      <c r="H31" s="457">
        <v>-1096.4572868161069</v>
      </c>
      <c r="I31" s="457">
        <v>-1989.8848245363743</v>
      </c>
      <c r="J31" s="457">
        <v>-2571.6037651427037</v>
      </c>
      <c r="K31" s="457">
        <v>-1887.3047803329675</v>
      </c>
      <c r="L31" s="457">
        <v>-1091.981463011645</v>
      </c>
      <c r="M31" s="457">
        <v>-2489.5876787025963</v>
      </c>
      <c r="N31" s="457">
        <v>-758.50433218118633</v>
      </c>
      <c r="O31" s="457">
        <v>795.87010619375724</v>
      </c>
      <c r="P31" s="457">
        <v>1895.1220984921456</v>
      </c>
      <c r="Q31" s="447">
        <v>-1733.0983113617331</v>
      </c>
    </row>
    <row r="32" spans="1:19" ht="13.5" thickBot="1">
      <c r="A32" s="458">
        <v>9</v>
      </c>
      <c r="B32" s="445" t="s">
        <v>166</v>
      </c>
      <c r="E32" s="448">
        <f t="shared" ref="E32:P32" si="11">E29+E31</f>
        <v>-2386577.0106594907</v>
      </c>
      <c r="F32" s="448">
        <f t="shared" si="11"/>
        <v>958498.48109817109</v>
      </c>
      <c r="G32" s="448">
        <f t="shared" si="11"/>
        <v>-1026730.0335166218</v>
      </c>
      <c r="H32" s="448">
        <f t="shared" si="11"/>
        <v>-1100074.8342441209</v>
      </c>
      <c r="I32" s="448">
        <f t="shared" si="11"/>
        <v>73558.477199621862</v>
      </c>
      <c r="J32" s="448">
        <f t="shared" si="11"/>
        <v>644970.31449696643</v>
      </c>
      <c r="K32" s="448">
        <f t="shared" si="11"/>
        <v>1134825.3619149115</v>
      </c>
      <c r="L32" s="448">
        <f t="shared" si="11"/>
        <v>-1633208.5826518352</v>
      </c>
      <c r="M32" s="448">
        <f t="shared" si="11"/>
        <v>661929.25654449128</v>
      </c>
      <c r="N32" s="448">
        <f t="shared" si="11"/>
        <v>-408333.97177972284</v>
      </c>
      <c r="O32" s="448">
        <f t="shared" si="11"/>
        <v>2277606.8966616276</v>
      </c>
      <c r="P32" s="448">
        <f t="shared" si="11"/>
        <v>1073318.2738326059</v>
      </c>
      <c r="Q32" s="448">
        <f>SUM(E32:P32)</f>
        <v>269782.62889660452</v>
      </c>
      <c r="R32" s="446" t="s">
        <v>477</v>
      </c>
    </row>
    <row r="33" spans="1:18" ht="13.5" thickTop="1">
      <c r="A33" s="458"/>
      <c r="E33" s="457"/>
      <c r="F33" s="457"/>
      <c r="G33" s="457"/>
      <c r="H33" s="457"/>
      <c r="I33" s="457"/>
      <c r="J33" s="457"/>
      <c r="K33" s="457"/>
      <c r="L33" s="457"/>
      <c r="M33" s="457"/>
      <c r="N33" s="457"/>
      <c r="O33" s="457"/>
      <c r="P33" s="457"/>
      <c r="Q33" s="457"/>
      <c r="R33" s="446"/>
    </row>
    <row r="34" spans="1:18">
      <c r="A34" s="458"/>
      <c r="E34" s="457"/>
      <c r="F34" s="457"/>
      <c r="G34" s="457"/>
      <c r="H34" s="457"/>
      <c r="I34" s="457"/>
      <c r="J34" s="457"/>
      <c r="K34" s="457"/>
      <c r="L34" s="457"/>
      <c r="M34" s="457"/>
      <c r="N34" s="457"/>
      <c r="O34" s="457"/>
      <c r="P34" s="457"/>
      <c r="Q34" s="461" t="s">
        <v>219</v>
      </c>
      <c r="R34" s="446"/>
    </row>
    <row r="35" spans="1:18">
      <c r="A35" s="458"/>
      <c r="E35" s="457"/>
      <c r="F35" s="457"/>
      <c r="G35" s="457"/>
      <c r="H35" s="457"/>
      <c r="I35" s="457"/>
      <c r="J35" s="457"/>
      <c r="K35" s="457"/>
      <c r="L35" s="457"/>
      <c r="M35" s="457"/>
      <c r="N35" s="457"/>
      <c r="O35" s="457"/>
      <c r="P35" s="457"/>
      <c r="Q35" s="460" t="s">
        <v>195</v>
      </c>
      <c r="R35" s="446"/>
    </row>
    <row r="36" spans="1:18">
      <c r="A36" s="458"/>
      <c r="E36" s="457"/>
      <c r="F36" s="457"/>
      <c r="G36" s="457"/>
      <c r="H36" s="457"/>
      <c r="J36" s="457"/>
      <c r="K36" s="457"/>
      <c r="L36" s="457"/>
      <c r="M36" s="457"/>
      <c r="N36" s="457"/>
      <c r="O36" s="457"/>
      <c r="P36" s="457"/>
      <c r="Q36" s="456">
        <f>-($C$7*E42-E12-E14)-($C$7*F42-F12-F14)-($C$7*G42-G12-G14)-($C$7*H42-H12-H14)-($C$7*I42-I12-I14)-($C$7*J42-J12-J14)-($C$7*K42-K12-K14)-($C$7*L42-L12-L14)-($C$7*M42-M12-M14)-($C$7*N42-N12-N14)-($C$7*O42-O12-O14)-((C7*P42*18/31-P12)-P14)</f>
        <v>4700080.1172032021</v>
      </c>
      <c r="R36" s="446"/>
    </row>
    <row r="37" spans="1:18">
      <c r="A37" s="458"/>
      <c r="E37" s="457"/>
      <c r="F37" s="457"/>
      <c r="G37" s="457"/>
      <c r="H37" s="457"/>
      <c r="J37" s="457"/>
      <c r="K37" s="457"/>
      <c r="L37" s="457"/>
      <c r="M37" s="457"/>
      <c r="N37" s="457"/>
      <c r="O37" s="457"/>
      <c r="P37" s="457"/>
      <c r="Q37" s="459">
        <v>0.95238599999999995</v>
      </c>
      <c r="R37" s="446"/>
    </row>
    <row r="38" spans="1:18">
      <c r="A38" s="458"/>
      <c r="E38" s="457"/>
      <c r="F38" s="457"/>
      <c r="G38" s="457"/>
      <c r="H38" s="457"/>
      <c r="J38" s="457"/>
      <c r="K38" s="457"/>
      <c r="L38" s="457"/>
      <c r="M38" s="457"/>
      <c r="N38" s="457"/>
      <c r="O38" s="457"/>
      <c r="P38" s="457"/>
      <c r="Q38" s="456">
        <f>Q36/Q37</f>
        <v>4935057.9672561362</v>
      </c>
      <c r="R38" s="446"/>
    </row>
    <row r="39" spans="1:18">
      <c r="R39" s="446"/>
    </row>
    <row r="40" spans="1:18">
      <c r="R40" s="446"/>
    </row>
    <row r="41" spans="1:18">
      <c r="A41" s="455" t="s">
        <v>220</v>
      </c>
      <c r="E41" s="454">
        <v>2145590125.2520325</v>
      </c>
      <c r="F41" s="454">
        <v>1917313708.8313494</v>
      </c>
      <c r="G41" s="454">
        <v>1840015625.8026631</v>
      </c>
      <c r="H41" s="454">
        <v>1553291749.4264314</v>
      </c>
      <c r="I41" s="454">
        <v>1498805123.7737339</v>
      </c>
      <c r="J41" s="454">
        <v>1455763858.7236149</v>
      </c>
      <c r="K41" s="454">
        <v>1551998717.4123158</v>
      </c>
      <c r="L41" s="454">
        <v>1532872679.3916755</v>
      </c>
      <c r="M41" s="454">
        <v>1465659446.1178758</v>
      </c>
      <c r="N41" s="454">
        <v>1618472044.3350198</v>
      </c>
      <c r="O41" s="454">
        <v>1898809763.376039</v>
      </c>
      <c r="P41" s="454">
        <v>2159710806.6985693</v>
      </c>
      <c r="Q41" s="446">
        <f>SUM(E41:P41)</f>
        <v>20638303649.141323</v>
      </c>
      <c r="R41" s="446"/>
    </row>
    <row r="42" spans="1:18" s="451" customFormat="1">
      <c r="A42" s="453" t="s">
        <v>221</v>
      </c>
      <c r="E42" s="452">
        <f t="shared" ref="E42:P42" si="12">E41/$Q$41</f>
        <v>0.10396155428894961</v>
      </c>
      <c r="F42" s="452">
        <f t="shared" si="12"/>
        <v>9.2900741331573597E-2</v>
      </c>
      <c r="G42" s="452">
        <f t="shared" si="12"/>
        <v>8.9155371346579582E-2</v>
      </c>
      <c r="H42" s="452">
        <f t="shared" si="12"/>
        <v>7.526256885415375E-2</v>
      </c>
      <c r="I42" s="452">
        <f t="shared" si="12"/>
        <v>7.2622495979028451E-2</v>
      </c>
      <c r="J42" s="452">
        <f t="shared" si="12"/>
        <v>7.0536991967563356E-2</v>
      </c>
      <c r="K42" s="452">
        <f t="shared" si="12"/>
        <v>7.5199916805027162E-2</v>
      </c>
      <c r="L42" s="452">
        <f t="shared" si="12"/>
        <v>7.4273191510846492E-2</v>
      </c>
      <c r="M42" s="452">
        <f t="shared" si="12"/>
        <v>7.1016468748334172E-2</v>
      </c>
      <c r="N42" s="452">
        <f t="shared" si="12"/>
        <v>7.8420788445098685E-2</v>
      </c>
      <c r="O42" s="452">
        <f t="shared" si="12"/>
        <v>9.200415865840994E-2</v>
      </c>
      <c r="P42" s="452">
        <f t="shared" si="12"/>
        <v>0.1046457520644351</v>
      </c>
      <c r="R42" s="446"/>
    </row>
    <row r="43" spans="1:18" s="451" customFormat="1" ht="15">
      <c r="A43" s="480"/>
      <c r="B43" s="480"/>
      <c r="C43" s="480"/>
      <c r="D43" s="480"/>
      <c r="E43" s="480"/>
      <c r="F43" s="480"/>
      <c r="G43" s="480"/>
      <c r="H43" s="480"/>
      <c r="I43" s="480"/>
      <c r="J43" s="480"/>
      <c r="K43" s="480"/>
      <c r="L43" s="480"/>
      <c r="M43" s="480"/>
      <c r="N43" s="480"/>
      <c r="O43" s="480"/>
      <c r="P43" s="480"/>
      <c r="Q43" s="480"/>
      <c r="R43" s="480"/>
    </row>
    <row r="44" spans="1:18" ht="15">
      <c r="A44" s="480"/>
      <c r="B44" s="480"/>
      <c r="C44" s="480"/>
      <c r="D44" s="480"/>
      <c r="E44" s="480"/>
      <c r="F44" s="480"/>
      <c r="G44" s="480"/>
      <c r="H44" s="480"/>
      <c r="I44" s="480"/>
      <c r="J44" s="480"/>
      <c r="K44" s="480"/>
      <c r="L44" s="480"/>
      <c r="M44" s="480"/>
      <c r="N44" s="480"/>
      <c r="O44" s="480"/>
      <c r="P44" s="480"/>
      <c r="Q44" s="480"/>
      <c r="R44" s="480"/>
    </row>
    <row r="45" spans="1:18" ht="15">
      <c r="A45" s="480"/>
      <c r="B45" s="480"/>
      <c r="C45" s="480"/>
      <c r="D45" s="480"/>
      <c r="E45" s="480"/>
      <c r="F45" s="480"/>
      <c r="G45" s="480"/>
      <c r="H45" s="480"/>
      <c r="I45" s="480"/>
      <c r="J45" s="480"/>
      <c r="K45" s="480"/>
      <c r="L45" s="480"/>
      <c r="M45" s="480"/>
      <c r="N45" s="480"/>
      <c r="O45" s="480"/>
      <c r="P45" s="480"/>
      <c r="Q45" s="480"/>
      <c r="R45" s="480"/>
    </row>
    <row r="46" spans="1:18" ht="15">
      <c r="A46" s="480"/>
      <c r="B46" s="480"/>
      <c r="C46" s="480"/>
      <c r="D46" s="480"/>
      <c r="E46" s="480"/>
      <c r="F46" s="480"/>
      <c r="G46" s="480"/>
      <c r="H46" s="480"/>
      <c r="I46" s="480"/>
      <c r="J46" s="480"/>
      <c r="K46" s="480"/>
      <c r="L46" s="480"/>
      <c r="M46" s="480"/>
      <c r="N46" s="480"/>
      <c r="O46" s="480"/>
      <c r="P46" s="480"/>
      <c r="Q46" s="480"/>
      <c r="R46" s="480"/>
    </row>
    <row r="47" spans="1:18" ht="15">
      <c r="A47" s="480"/>
      <c r="B47" s="480"/>
      <c r="C47" s="480"/>
      <c r="D47" s="480"/>
      <c r="E47" s="480"/>
      <c r="F47" s="480"/>
      <c r="G47" s="480"/>
      <c r="H47" s="480"/>
      <c r="I47" s="480"/>
      <c r="J47" s="480"/>
      <c r="K47" s="480"/>
      <c r="L47" s="480"/>
      <c r="M47" s="480"/>
      <c r="N47" s="480"/>
      <c r="O47" s="480"/>
      <c r="P47" s="480"/>
      <c r="Q47" s="480"/>
      <c r="R47" s="480"/>
    </row>
    <row r="48" spans="1:18" ht="15">
      <c r="A48" s="480"/>
      <c r="B48" s="480"/>
      <c r="C48" s="480"/>
      <c r="D48" s="480"/>
      <c r="E48" s="480"/>
      <c r="F48" s="480"/>
      <c r="G48" s="480"/>
      <c r="H48" s="480"/>
      <c r="I48" s="480"/>
      <c r="J48" s="480"/>
      <c r="K48" s="480"/>
      <c r="L48" s="480"/>
      <c r="M48" s="480"/>
      <c r="N48" s="480"/>
      <c r="O48" s="480"/>
      <c r="P48" s="480"/>
      <c r="Q48" s="480"/>
      <c r="R48" s="480"/>
    </row>
    <row r="49" spans="1:18" ht="15">
      <c r="A49" s="480"/>
      <c r="B49" s="480"/>
      <c r="C49" s="480"/>
      <c r="D49" s="480"/>
      <c r="E49" s="480"/>
      <c r="F49" s="480"/>
      <c r="G49" s="480"/>
      <c r="H49" s="480"/>
      <c r="I49" s="480"/>
      <c r="J49" s="480"/>
      <c r="K49" s="480"/>
      <c r="L49" s="480"/>
      <c r="M49" s="480"/>
      <c r="N49" s="480"/>
      <c r="O49" s="480"/>
      <c r="P49" s="480"/>
      <c r="Q49" s="480"/>
      <c r="R49" s="480"/>
    </row>
    <row r="50" spans="1:18" ht="15">
      <c r="A50" s="480"/>
      <c r="B50" s="480"/>
      <c r="C50" s="480"/>
      <c r="D50" s="480"/>
      <c r="E50" s="480"/>
      <c r="F50" s="480"/>
      <c r="G50" s="480"/>
      <c r="H50" s="480"/>
      <c r="I50" s="480"/>
      <c r="J50" s="480"/>
      <c r="K50" s="480"/>
      <c r="L50" s="480"/>
      <c r="M50" s="480"/>
      <c r="N50" s="480"/>
      <c r="O50" s="480"/>
      <c r="P50" s="480"/>
      <c r="Q50" s="480"/>
      <c r="R50" s="480"/>
    </row>
    <row r="51" spans="1:18" ht="15">
      <c r="A51" s="480"/>
      <c r="B51" s="480"/>
      <c r="C51" s="480"/>
      <c r="D51" s="480"/>
      <c r="E51" s="480"/>
      <c r="F51" s="480"/>
      <c r="G51" s="480"/>
      <c r="H51" s="480"/>
      <c r="I51" s="480"/>
      <c r="J51" s="480"/>
      <c r="K51" s="480"/>
      <c r="L51" s="480"/>
      <c r="M51" s="480"/>
      <c r="N51" s="480"/>
      <c r="O51" s="480"/>
      <c r="P51" s="480"/>
      <c r="Q51" s="480"/>
      <c r="R51" s="480"/>
    </row>
    <row r="52" spans="1:18" ht="15">
      <c r="A52" s="480"/>
      <c r="B52" s="480"/>
      <c r="C52" s="480"/>
      <c r="D52" s="480"/>
      <c r="E52" s="480"/>
      <c r="F52" s="480"/>
      <c r="G52" s="480"/>
      <c r="H52" s="480"/>
      <c r="I52" s="480"/>
      <c r="J52" s="480"/>
      <c r="K52" s="480"/>
      <c r="L52" s="480"/>
      <c r="M52" s="480"/>
      <c r="N52" s="480"/>
      <c r="O52" s="480"/>
      <c r="P52" s="480"/>
      <c r="Q52" s="480"/>
      <c r="R52" s="480"/>
    </row>
    <row r="53" spans="1:18" ht="15">
      <c r="A53" s="480"/>
      <c r="B53" s="480"/>
      <c r="C53" s="480"/>
      <c r="D53" s="480"/>
      <c r="E53" s="480"/>
      <c r="F53" s="480"/>
      <c r="G53" s="480"/>
      <c r="H53" s="480"/>
      <c r="I53" s="480"/>
      <c r="J53" s="480"/>
      <c r="K53" s="480"/>
      <c r="L53" s="480"/>
      <c r="M53" s="480"/>
      <c r="N53" s="480"/>
      <c r="O53" s="480"/>
      <c r="P53" s="480"/>
      <c r="Q53" s="480"/>
      <c r="R53" s="480"/>
    </row>
    <row r="54" spans="1:18" ht="15">
      <c r="A54" s="480"/>
      <c r="B54" s="480"/>
      <c r="C54" s="480"/>
      <c r="D54" s="480"/>
      <c r="E54" s="480"/>
      <c r="F54" s="480"/>
      <c r="G54" s="480"/>
      <c r="H54" s="480"/>
      <c r="I54" s="480"/>
      <c r="J54" s="480"/>
      <c r="K54" s="480"/>
      <c r="L54" s="480"/>
      <c r="M54" s="480"/>
      <c r="N54" s="480"/>
      <c r="O54" s="480"/>
      <c r="P54" s="480"/>
      <c r="Q54" s="480"/>
      <c r="R54" s="480"/>
    </row>
    <row r="55" spans="1:18" ht="15">
      <c r="A55" s="480"/>
      <c r="B55" s="480"/>
      <c r="C55" s="480"/>
      <c r="D55" s="480"/>
      <c r="E55" s="480"/>
      <c r="F55" s="480"/>
      <c r="G55" s="480"/>
      <c r="H55" s="480"/>
      <c r="I55" s="480"/>
      <c r="J55" s="480"/>
      <c r="K55" s="480"/>
      <c r="L55" s="480"/>
      <c r="M55" s="480"/>
      <c r="N55" s="480"/>
      <c r="O55" s="480"/>
      <c r="P55" s="480"/>
      <c r="Q55" s="480"/>
      <c r="R55" s="480"/>
    </row>
    <row r="56" spans="1:18" ht="15">
      <c r="A56" s="480"/>
      <c r="B56" s="480"/>
      <c r="C56" s="480"/>
      <c r="D56" s="480"/>
      <c r="E56" s="480"/>
      <c r="F56" s="480"/>
      <c r="G56" s="480"/>
      <c r="H56" s="480"/>
      <c r="I56" s="480"/>
      <c r="J56" s="480"/>
      <c r="K56" s="480"/>
      <c r="L56" s="480"/>
      <c r="M56" s="480"/>
      <c r="N56" s="480"/>
      <c r="O56" s="480"/>
      <c r="P56" s="480"/>
      <c r="Q56" s="480"/>
      <c r="R56" s="480"/>
    </row>
    <row r="57" spans="1:18" ht="15">
      <c r="A57" s="480"/>
      <c r="B57" s="480"/>
      <c r="C57" s="480"/>
      <c r="D57" s="480"/>
      <c r="E57" s="480"/>
      <c r="F57" s="480"/>
      <c r="G57" s="480"/>
      <c r="H57" s="480"/>
      <c r="I57" s="480"/>
      <c r="J57" s="480"/>
      <c r="K57" s="480"/>
      <c r="L57" s="480"/>
      <c r="M57" s="480"/>
      <c r="N57" s="480"/>
      <c r="O57" s="480"/>
      <c r="P57" s="480"/>
      <c r="Q57" s="480"/>
      <c r="R57" s="480"/>
    </row>
    <row r="58" spans="1:18" ht="15">
      <c r="A58" s="480"/>
      <c r="B58" s="480"/>
      <c r="C58" s="480"/>
      <c r="D58" s="480"/>
      <c r="E58" s="480"/>
      <c r="F58" s="480"/>
      <c r="G58" s="480"/>
      <c r="H58" s="480"/>
      <c r="I58" s="480"/>
      <c r="J58" s="480"/>
      <c r="K58" s="480"/>
      <c r="L58" s="480"/>
      <c r="M58" s="480"/>
      <c r="N58" s="480"/>
      <c r="O58" s="480"/>
      <c r="P58" s="480"/>
      <c r="Q58" s="480"/>
      <c r="R58" s="480"/>
    </row>
  </sheetData>
  <printOptions horizontalCentered="1"/>
  <pageMargins left="0.5" right="0.5" top="1" bottom="0.75" header="0.5" footer="0.5"/>
  <pageSetup scale="50" orientation="landscape" blackAndWhite="1" r:id="rId1"/>
  <headerFooter>
    <oddHeader>&amp;L&amp;"Times New Roman,Regular"&amp;12Docket UE-180280
April 26, 2018
Page &amp;P&amp;R&amp;"Times New Roman,Regular"&amp;12Attachment 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2"/>
  <sheetViews>
    <sheetView showGridLines="0" workbookViewId="0">
      <selection activeCell="O10" sqref="O10"/>
    </sheetView>
  </sheetViews>
  <sheetFormatPr defaultColWidth="9.140625" defaultRowHeight="15"/>
  <cols>
    <col min="1" max="1" width="9.28515625" style="492" bestFit="1" customWidth="1"/>
    <col min="2" max="2" width="40.28515625" style="492" bestFit="1" customWidth="1"/>
    <col min="3" max="4" width="14.42578125" style="492" bestFit="1" customWidth="1"/>
    <col min="5" max="6" width="18.42578125" style="492" customWidth="1"/>
    <col min="7" max="7" width="13.5703125" style="492" bestFit="1" customWidth="1"/>
    <col min="8" max="8" width="10.28515625" style="492" bestFit="1" customWidth="1"/>
    <col min="9" max="9" width="10.28515625" style="493" customWidth="1"/>
    <col min="10" max="10" width="12.5703125" style="493" customWidth="1"/>
    <col min="11" max="11" width="13.28515625" style="493" customWidth="1"/>
    <col min="12" max="12" width="12.42578125" style="493" customWidth="1"/>
    <col min="13" max="13" width="13.28515625" style="493" customWidth="1"/>
    <col min="14" max="15" width="9.140625" style="493"/>
    <col min="16" max="16" width="1" style="493" customWidth="1"/>
    <col min="17" max="18" width="10.7109375" style="493" customWidth="1"/>
    <col min="19" max="19" width="9.7109375" style="493" customWidth="1"/>
    <col min="20" max="20" width="0.7109375" style="493" customWidth="1"/>
    <col min="21" max="22" width="10.7109375" style="493" customWidth="1"/>
    <col min="23" max="23" width="10.7109375" style="493" bestFit="1" customWidth="1"/>
    <col min="24" max="24" width="0.7109375" style="493" customWidth="1"/>
    <col min="25" max="26" width="10.7109375" style="493" customWidth="1"/>
    <col min="27" max="29" width="9.140625" style="493"/>
    <col min="30" max="16384" width="9.140625" style="492"/>
  </cols>
  <sheetData>
    <row r="1" spans="1:8">
      <c r="F1" s="555"/>
    </row>
    <row r="2" spans="1:8">
      <c r="A2" s="553" t="s">
        <v>60</v>
      </c>
      <c r="B2" s="553"/>
      <c r="C2" s="553"/>
      <c r="D2" s="553"/>
      <c r="E2" s="553"/>
      <c r="F2" s="553"/>
    </row>
    <row r="3" spans="1:8">
      <c r="A3" s="553" t="s">
        <v>61</v>
      </c>
      <c r="B3" s="553"/>
      <c r="C3" s="553"/>
      <c r="D3" s="553"/>
      <c r="E3" s="553"/>
      <c r="F3" s="553"/>
    </row>
    <row r="4" spans="1:8">
      <c r="A4" s="554" t="s">
        <v>392</v>
      </c>
      <c r="B4" s="554"/>
      <c r="C4" s="554"/>
      <c r="D4" s="554"/>
      <c r="E4" s="554"/>
      <c r="F4" s="554"/>
    </row>
    <row r="5" spans="1:8" ht="15.75" customHeight="1">
      <c r="A5" s="553"/>
      <c r="B5" s="553"/>
      <c r="C5" s="553"/>
      <c r="D5" s="553"/>
      <c r="E5" s="553"/>
      <c r="F5" s="553"/>
    </row>
    <row r="6" spans="1:8">
      <c r="A6" s="523"/>
    </row>
    <row r="7" spans="1:8">
      <c r="A7" s="552" t="s">
        <v>62</v>
      </c>
      <c r="B7" s="551"/>
      <c r="C7" s="551"/>
      <c r="D7" s="551"/>
      <c r="G7" s="497"/>
    </row>
    <row r="8" spans="1:8">
      <c r="A8" s="550" t="s">
        <v>63</v>
      </c>
      <c r="B8" s="549" t="s">
        <v>64</v>
      </c>
      <c r="C8" s="549"/>
      <c r="D8" s="549"/>
      <c r="E8" s="518"/>
      <c r="F8" s="518"/>
      <c r="G8" s="497"/>
    </row>
    <row r="9" spans="1:8">
      <c r="A9" s="523"/>
      <c r="B9" s="494"/>
      <c r="C9" s="548"/>
      <c r="D9" s="547"/>
      <c r="E9" s="494"/>
      <c r="F9" s="494"/>
      <c r="G9" s="497"/>
    </row>
    <row r="10" spans="1:8">
      <c r="A10" s="512">
        <v>1</v>
      </c>
      <c r="B10" s="542"/>
      <c r="C10" s="546" t="s">
        <v>65</v>
      </c>
      <c r="D10" s="543" t="s">
        <v>66</v>
      </c>
      <c r="E10" s="545" t="s">
        <v>67</v>
      </c>
      <c r="F10" s="544" t="s">
        <v>68</v>
      </c>
      <c r="G10" s="543"/>
    </row>
    <row r="11" spans="1:8">
      <c r="A11" s="512">
        <f t="shared" ref="A11:A35" si="0">A10+1</f>
        <v>2</v>
      </c>
      <c r="B11" s="542"/>
      <c r="C11" s="541" t="s">
        <v>69</v>
      </c>
      <c r="D11" s="540" t="s">
        <v>69</v>
      </c>
      <c r="E11" s="539" t="s">
        <v>70</v>
      </c>
      <c r="F11" s="538">
        <f>0.073</f>
        <v>7.2999999999999995E-2</v>
      </c>
      <c r="G11" s="537" t="s">
        <v>192</v>
      </c>
      <c r="H11" s="536">
        <f>0.071</f>
        <v>7.0999999999999994E-2</v>
      </c>
    </row>
    <row r="12" spans="1:8">
      <c r="A12" s="512">
        <f t="shared" si="0"/>
        <v>3</v>
      </c>
      <c r="B12" s="530">
        <v>42736</v>
      </c>
      <c r="C12" s="532">
        <v>2485902740</v>
      </c>
      <c r="D12" s="531">
        <v>2371642242.8233294</v>
      </c>
      <c r="E12" s="515">
        <f t="shared" ref="E12:E23" si="1">+D12-C12</f>
        <v>-114260497.17667055</v>
      </c>
      <c r="F12" s="515">
        <f t="shared" ref="F12:F19" si="2">E12*(1-$F$11)</f>
        <v>-105919480.88277361</v>
      </c>
      <c r="G12" s="535"/>
      <c r="H12" s="534"/>
    </row>
    <row r="13" spans="1:8">
      <c r="A13" s="512">
        <f t="shared" si="0"/>
        <v>4</v>
      </c>
      <c r="B13" s="530">
        <v>42767</v>
      </c>
      <c r="C13" s="532">
        <v>2052421733</v>
      </c>
      <c r="D13" s="531">
        <v>1995724784.8992639</v>
      </c>
      <c r="E13" s="515">
        <f t="shared" si="1"/>
        <v>-56696948.100736141</v>
      </c>
      <c r="F13" s="515">
        <f t="shared" si="2"/>
        <v>-52558070.889382407</v>
      </c>
      <c r="G13" s="533"/>
      <c r="H13" s="493"/>
    </row>
    <row r="14" spans="1:8">
      <c r="A14" s="512">
        <f t="shared" si="0"/>
        <v>5</v>
      </c>
      <c r="B14" s="530">
        <v>42795</v>
      </c>
      <c r="C14" s="532">
        <v>2094841272</v>
      </c>
      <c r="D14" s="531">
        <v>2085750024.9506938</v>
      </c>
      <c r="E14" s="515">
        <f t="shared" si="1"/>
        <v>-9091247.0493061543</v>
      </c>
      <c r="F14" s="515">
        <f t="shared" si="2"/>
        <v>-8427586.0147068053</v>
      </c>
      <c r="G14" s="533"/>
      <c r="H14" s="493"/>
    </row>
    <row r="15" spans="1:8">
      <c r="A15" s="512">
        <f t="shared" si="0"/>
        <v>6</v>
      </c>
      <c r="B15" s="530">
        <v>42826</v>
      </c>
      <c r="C15" s="532">
        <v>1766732131</v>
      </c>
      <c r="D15" s="531">
        <v>1777985845.1970692</v>
      </c>
      <c r="E15" s="515">
        <f t="shared" si="1"/>
        <v>11253714.197069168</v>
      </c>
      <c r="F15" s="515">
        <f t="shared" si="2"/>
        <v>10432193.06068312</v>
      </c>
      <c r="G15" s="533"/>
      <c r="H15" s="493"/>
    </row>
    <row r="16" spans="1:8">
      <c r="A16" s="512">
        <f t="shared" si="0"/>
        <v>7</v>
      </c>
      <c r="B16" s="530">
        <v>42856</v>
      </c>
      <c r="C16" s="532">
        <v>1719520881</v>
      </c>
      <c r="D16" s="531">
        <v>1714445103.5765772</v>
      </c>
      <c r="E16" s="515">
        <f t="shared" si="1"/>
        <v>-5075777.4234228134</v>
      </c>
      <c r="F16" s="515">
        <f t="shared" si="2"/>
        <v>-4705245.6715129483</v>
      </c>
      <c r="G16" s="533"/>
      <c r="H16" s="493"/>
    </row>
    <row r="17" spans="1:8">
      <c r="A17" s="512">
        <f t="shared" si="0"/>
        <v>8</v>
      </c>
      <c r="B17" s="530">
        <v>42887</v>
      </c>
      <c r="C17" s="532">
        <v>1578536053</v>
      </c>
      <c r="D17" s="531">
        <v>1570498497.0299609</v>
      </c>
      <c r="E17" s="515">
        <f t="shared" si="1"/>
        <v>-8037555.9700391293</v>
      </c>
      <c r="F17" s="515">
        <f t="shared" si="2"/>
        <v>-7450814.3842262728</v>
      </c>
      <c r="G17" s="527"/>
      <c r="H17" s="526"/>
    </row>
    <row r="18" spans="1:8">
      <c r="A18" s="512">
        <f t="shared" si="0"/>
        <v>9</v>
      </c>
      <c r="B18" s="530">
        <v>42917</v>
      </c>
      <c r="C18" s="532">
        <v>1674840812</v>
      </c>
      <c r="D18" s="531">
        <v>1664208710.1870997</v>
      </c>
      <c r="E18" s="515">
        <f t="shared" si="1"/>
        <v>-10632101.812900305</v>
      </c>
      <c r="F18" s="515">
        <f t="shared" si="2"/>
        <v>-9855958.3805585839</v>
      </c>
      <c r="G18" s="527"/>
      <c r="H18" s="526"/>
    </row>
    <row r="19" spans="1:8">
      <c r="A19" s="512">
        <f t="shared" si="0"/>
        <v>10</v>
      </c>
      <c r="B19" s="530">
        <v>42948</v>
      </c>
      <c r="C19" s="532">
        <v>1762350614</v>
      </c>
      <c r="D19" s="531">
        <v>1707950110.8809016</v>
      </c>
      <c r="E19" s="515">
        <f t="shared" si="1"/>
        <v>-54400503.119098425</v>
      </c>
      <c r="F19" s="515">
        <f t="shared" si="2"/>
        <v>-50429266.391404241</v>
      </c>
      <c r="G19" s="527"/>
      <c r="H19" s="526"/>
    </row>
    <row r="20" spans="1:8">
      <c r="A20" s="512">
        <f t="shared" si="0"/>
        <v>11</v>
      </c>
      <c r="B20" s="530">
        <v>42979</v>
      </c>
      <c r="C20" s="532">
        <v>1614649543</v>
      </c>
      <c r="D20" s="531">
        <v>1599497226.2481043</v>
      </c>
      <c r="E20" s="515">
        <f t="shared" si="1"/>
        <v>-15152316.751895666</v>
      </c>
      <c r="F20" s="515">
        <f>E20*(1-$H$11)</f>
        <v>-14076502.262511075</v>
      </c>
      <c r="G20" s="527"/>
      <c r="H20" s="526"/>
    </row>
    <row r="21" spans="1:8">
      <c r="A21" s="512">
        <f t="shared" si="0"/>
        <v>12</v>
      </c>
      <c r="B21" s="530">
        <v>43009</v>
      </c>
      <c r="C21" s="532">
        <v>1788067702</v>
      </c>
      <c r="D21" s="531">
        <v>1786246325.9386802</v>
      </c>
      <c r="E21" s="515">
        <f t="shared" si="1"/>
        <v>-1821376.061319828</v>
      </c>
      <c r="F21" s="515">
        <f>E21*(1-$H$11)</f>
        <v>-1692058.3609661204</v>
      </c>
      <c r="G21" s="527"/>
      <c r="H21" s="526"/>
    </row>
    <row r="22" spans="1:8">
      <c r="A22" s="512">
        <f t="shared" si="0"/>
        <v>13</v>
      </c>
      <c r="B22" s="530">
        <v>43040</v>
      </c>
      <c r="C22" s="532">
        <v>2006678704</v>
      </c>
      <c r="D22" s="531">
        <v>2027309151.2616332</v>
      </c>
      <c r="E22" s="515">
        <f t="shared" si="1"/>
        <v>20630447.261633158</v>
      </c>
      <c r="F22" s="515">
        <f>E22*(1-$H$11)</f>
        <v>19165685.506057203</v>
      </c>
      <c r="G22" s="527"/>
      <c r="H22" s="526"/>
    </row>
    <row r="23" spans="1:8">
      <c r="A23" s="512">
        <f t="shared" si="0"/>
        <v>14</v>
      </c>
      <c r="B23" s="530">
        <v>43070</v>
      </c>
      <c r="C23" s="529">
        <v>2389752569</v>
      </c>
      <c r="D23" s="528">
        <v>2362763967.906136</v>
      </c>
      <c r="E23" s="515">
        <f t="shared" si="1"/>
        <v>-26988601.093863964</v>
      </c>
      <c r="F23" s="515">
        <f>E23*(1-$H$11)</f>
        <v>-25072410.416199625</v>
      </c>
      <c r="G23" s="527"/>
      <c r="H23" s="526"/>
    </row>
    <row r="24" spans="1:8">
      <c r="A24" s="512">
        <f t="shared" si="0"/>
        <v>15</v>
      </c>
      <c r="C24" s="502">
        <f>SUM(C12:C23)</f>
        <v>22934294754</v>
      </c>
      <c r="D24" s="525">
        <f>SUM(D12:D23)</f>
        <v>22664021990.899448</v>
      </c>
      <c r="E24" s="525">
        <f>SUM(E12:E23)</f>
        <v>-270272763.10055065</v>
      </c>
      <c r="F24" s="525">
        <f>SUM(F12:F23)</f>
        <v>-250589515.08750132</v>
      </c>
      <c r="G24" s="508"/>
    </row>
    <row r="25" spans="1:8">
      <c r="A25" s="512">
        <f t="shared" si="0"/>
        <v>16</v>
      </c>
      <c r="B25" s="494"/>
      <c r="C25" s="524"/>
      <c r="D25" s="524"/>
      <c r="E25" s="494"/>
      <c r="F25" s="494"/>
    </row>
    <row r="26" spans="1:8">
      <c r="A26" s="512">
        <f t="shared" si="0"/>
        <v>17</v>
      </c>
      <c r="B26" s="492" t="s">
        <v>391</v>
      </c>
      <c r="C26" s="492" t="s">
        <v>390</v>
      </c>
      <c r="D26" s="508"/>
      <c r="E26" s="515">
        <v>-190393582.23115528</v>
      </c>
      <c r="F26" s="503">
        <v>-12844310</v>
      </c>
      <c r="G26" s="503"/>
      <c r="H26" s="513"/>
    </row>
    <row r="27" spans="1:8">
      <c r="A27" s="512">
        <f t="shared" si="0"/>
        <v>18</v>
      </c>
      <c r="B27" s="523" t="s">
        <v>389</v>
      </c>
      <c r="C27" s="492" t="s">
        <v>388</v>
      </c>
      <c r="E27" s="515">
        <v>-27451218.264058281</v>
      </c>
      <c r="F27" s="503">
        <v>-1713363</v>
      </c>
      <c r="G27" s="503"/>
      <c r="H27" s="513"/>
    </row>
    <row r="28" spans="1:8">
      <c r="A28" s="512">
        <f t="shared" si="0"/>
        <v>19</v>
      </c>
      <c r="C28" s="520" t="s">
        <v>387</v>
      </c>
      <c r="D28" s="522"/>
      <c r="E28" s="515">
        <v>-17662449.019866344</v>
      </c>
      <c r="F28" s="503">
        <v>-1100547</v>
      </c>
      <c r="G28" s="503"/>
      <c r="H28" s="513"/>
    </row>
    <row r="29" spans="1:8">
      <c r="A29" s="512">
        <f t="shared" si="0"/>
        <v>20</v>
      </c>
      <c r="B29" s="521"/>
      <c r="C29" s="492" t="s">
        <v>386</v>
      </c>
      <c r="D29" s="520"/>
      <c r="E29" s="515">
        <v>-6537875.3150298409</v>
      </c>
      <c r="F29" s="503">
        <v>-423669</v>
      </c>
      <c r="G29" s="503"/>
      <c r="H29" s="513"/>
    </row>
    <row r="30" spans="1:8">
      <c r="A30" s="512">
        <f t="shared" si="0"/>
        <v>21</v>
      </c>
      <c r="C30" s="520" t="s">
        <v>385</v>
      </c>
      <c r="E30" s="515">
        <v>-360745.93803249963</v>
      </c>
      <c r="F30" s="503">
        <v>-22835</v>
      </c>
      <c r="G30" s="503"/>
      <c r="H30" s="513"/>
    </row>
    <row r="31" spans="1:8">
      <c r="A31" s="512">
        <f t="shared" si="0"/>
        <v>22</v>
      </c>
      <c r="C31" s="520" t="s">
        <v>384</v>
      </c>
      <c r="E31" s="515">
        <v>-3214179.1429178487</v>
      </c>
      <c r="F31" s="503">
        <v>-187348</v>
      </c>
      <c r="G31" s="503"/>
      <c r="H31" s="513"/>
    </row>
    <row r="32" spans="1:8">
      <c r="A32" s="512">
        <f t="shared" si="0"/>
        <v>23</v>
      </c>
      <c r="C32" s="492" t="s">
        <v>383</v>
      </c>
      <c r="E32" s="515">
        <v>-2310220.3547160146</v>
      </c>
      <c r="F32" s="503">
        <v>-149471</v>
      </c>
      <c r="G32" s="503"/>
      <c r="H32" s="513"/>
    </row>
    <row r="33" spans="1:8">
      <c r="A33" s="512">
        <f t="shared" si="0"/>
        <v>24</v>
      </c>
      <c r="C33" s="519" t="s">
        <v>382</v>
      </c>
      <c r="E33" s="515">
        <v>-2578987.9116305378</v>
      </c>
      <c r="F33" s="503">
        <v>-144968</v>
      </c>
      <c r="G33" s="503"/>
      <c r="H33" s="513"/>
    </row>
    <row r="34" spans="1:8">
      <c r="A34" s="512">
        <f t="shared" si="0"/>
        <v>25</v>
      </c>
      <c r="C34" s="518" t="s">
        <v>381</v>
      </c>
      <c r="D34" s="518"/>
      <c r="E34" s="517">
        <v>-80256.910094675972</v>
      </c>
      <c r="F34" s="516">
        <v>-2819</v>
      </c>
      <c r="G34" s="503"/>
      <c r="H34" s="513"/>
    </row>
    <row r="35" spans="1:8">
      <c r="A35" s="512">
        <f t="shared" si="0"/>
        <v>26</v>
      </c>
      <c r="C35" s="492" t="s">
        <v>42</v>
      </c>
      <c r="E35" s="515">
        <f>SUM(E26:E34)</f>
        <v>-250589515.08750132</v>
      </c>
      <c r="F35" s="514">
        <f>SUM(F26:F34)</f>
        <v>-16589330</v>
      </c>
      <c r="G35" s="503"/>
      <c r="H35" s="513"/>
    </row>
    <row r="36" spans="1:8">
      <c r="A36" s="512"/>
    </row>
    <row r="37" spans="1:8">
      <c r="A37" s="499"/>
      <c r="B37" s="498"/>
      <c r="C37" s="498"/>
      <c r="D37" s="498"/>
      <c r="E37" s="506"/>
      <c r="F37" s="505"/>
      <c r="G37" s="503"/>
    </row>
    <row r="38" spans="1:8">
      <c r="A38" s="509"/>
      <c r="B38" s="498"/>
      <c r="C38" s="498"/>
      <c r="D38" s="498"/>
      <c r="E38" s="506"/>
      <c r="F38" s="511"/>
      <c r="G38" s="510"/>
    </row>
    <row r="39" spans="1:8">
      <c r="A39" s="509" t="s">
        <v>380</v>
      </c>
      <c r="B39" s="498"/>
      <c r="C39" s="498"/>
      <c r="D39" s="498"/>
      <c r="E39" s="506"/>
      <c r="F39" s="500"/>
      <c r="G39" s="508"/>
    </row>
    <row r="40" spans="1:8">
      <c r="A40" s="499"/>
      <c r="B40" s="498"/>
      <c r="C40" s="498"/>
      <c r="D40" s="498"/>
      <c r="E40" s="506"/>
      <c r="F40" s="502"/>
      <c r="G40" s="508"/>
    </row>
    <row r="41" spans="1:8">
      <c r="A41" s="507"/>
      <c r="B41" s="498"/>
      <c r="C41" s="498"/>
      <c r="D41" s="498"/>
      <c r="E41" s="506"/>
      <c r="F41" s="505"/>
      <c r="G41" s="503"/>
    </row>
    <row r="42" spans="1:8">
      <c r="A42" s="499"/>
      <c r="B42" s="498"/>
      <c r="C42" s="498"/>
      <c r="D42" s="498"/>
      <c r="E42" s="497"/>
      <c r="F42" s="500"/>
    </row>
    <row r="43" spans="1:8">
      <c r="A43" s="499"/>
      <c r="B43" s="498"/>
      <c r="C43" s="498"/>
      <c r="D43" s="498"/>
      <c r="E43" s="497"/>
      <c r="F43" s="504"/>
      <c r="H43" s="503"/>
    </row>
    <row r="44" spans="1:8">
      <c r="A44" s="499"/>
      <c r="B44" s="498"/>
      <c r="C44" s="498"/>
      <c r="D44" s="498"/>
      <c r="E44" s="497"/>
      <c r="F44" s="500"/>
      <c r="H44" s="503"/>
    </row>
    <row r="45" spans="1:8">
      <c r="A45" s="499"/>
      <c r="B45" s="498"/>
      <c r="C45" s="498"/>
      <c r="D45" s="498"/>
      <c r="E45" s="497"/>
      <c r="F45" s="502"/>
    </row>
    <row r="46" spans="1:8">
      <c r="A46" s="499"/>
      <c r="B46" s="498"/>
      <c r="C46" s="498"/>
      <c r="D46" s="498"/>
      <c r="E46" s="501"/>
      <c r="F46" s="500"/>
    </row>
    <row r="47" spans="1:8">
      <c r="A47" s="499"/>
      <c r="B47" s="498"/>
      <c r="C47" s="498"/>
      <c r="D47" s="498"/>
      <c r="E47" s="497"/>
      <c r="F47" s="496"/>
    </row>
    <row r="48" spans="1:8">
      <c r="A48" s="495"/>
      <c r="B48" s="494"/>
      <c r="C48" s="494"/>
      <c r="D48" s="494"/>
      <c r="E48" s="494"/>
      <c r="F48" s="494"/>
    </row>
    <row r="49" spans="1:6">
      <c r="A49" s="495"/>
      <c r="B49" s="494"/>
      <c r="C49" s="494"/>
      <c r="D49" s="494"/>
      <c r="E49" s="494"/>
      <c r="F49" s="494"/>
    </row>
    <row r="50" spans="1:6">
      <c r="A50" s="495"/>
      <c r="B50" s="494"/>
      <c r="C50" s="494"/>
      <c r="D50" s="494"/>
      <c r="E50" s="494"/>
      <c r="F50" s="494"/>
    </row>
    <row r="51" spans="1:6">
      <c r="A51" s="495"/>
      <c r="B51" s="494"/>
      <c r="C51" s="494"/>
      <c r="D51" s="494"/>
      <c r="E51" s="494"/>
      <c r="F51" s="494"/>
    </row>
    <row r="52" spans="1:6">
      <c r="A52" s="495"/>
      <c r="B52" s="494"/>
      <c r="C52" s="494"/>
      <c r="D52" s="494"/>
      <c r="E52" s="494"/>
      <c r="F52" s="494"/>
    </row>
  </sheetData>
  <printOptions horizontalCentered="1"/>
  <pageMargins left="0.75" right="0.75" top="1" bottom="1" header="0.5" footer="0.5"/>
  <pageSetup scale="82" orientation="landscape" r:id="rId1"/>
  <headerFooter alignWithMargins="0">
    <oddFooter xml:space="preserve">&amp;L&amp;F 
&amp;A&amp;R&amp;D
Page &amp;P of &amp;N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
  <sheetViews>
    <sheetView workbookViewId="0">
      <selection activeCell="O10" sqref="O10"/>
    </sheetView>
  </sheetViews>
  <sheetFormatPr defaultRowHeight="12.7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7"/>
  <sheetViews>
    <sheetView workbookViewId="0">
      <pane xSplit="1" ySplit="2" topLeftCell="G3" activePane="bottomRight" state="frozen"/>
      <selection activeCell="O10" sqref="O10"/>
      <selection pane="topRight" activeCell="O10" sqref="O10"/>
      <selection pane="bottomLeft" activeCell="O10" sqref="O10"/>
      <selection pane="bottomRight" activeCell="O10" sqref="O10"/>
    </sheetView>
  </sheetViews>
  <sheetFormatPr defaultColWidth="9.140625" defaultRowHeight="15" outlineLevelRow="1"/>
  <cols>
    <col min="1" max="1" width="50.7109375" style="74" customWidth="1"/>
    <col min="2" max="7" width="15.7109375" style="148" customWidth="1"/>
    <col min="8" max="8" width="13.85546875" style="74" bestFit="1" customWidth="1"/>
    <col min="9" max="10" width="11.5703125" style="74" bestFit="1" customWidth="1"/>
    <col min="11" max="11" width="12.7109375" style="74" customWidth="1"/>
    <col min="12" max="12" width="11.5703125" style="74" bestFit="1" customWidth="1"/>
    <col min="13" max="13" width="12.5703125" style="74" bestFit="1" customWidth="1"/>
    <col min="14" max="15" width="11.5703125" style="74" bestFit="1" customWidth="1"/>
    <col min="16" max="16" width="12.5703125" style="74" bestFit="1" customWidth="1"/>
    <col min="17" max="17" width="10.85546875" style="74" bestFit="1" customWidth="1"/>
    <col min="18" max="19" width="11.5703125" style="74" bestFit="1" customWidth="1"/>
    <col min="20" max="20" width="14.140625" style="74" customWidth="1"/>
    <col min="21" max="21" width="11.5703125" style="74" bestFit="1" customWidth="1"/>
    <col min="22" max="22" width="9.140625" style="74"/>
    <col min="23" max="23" width="11.5703125" style="74" bestFit="1" customWidth="1"/>
    <col min="24" max="16384" width="9.140625" style="74"/>
  </cols>
  <sheetData>
    <row r="1" spans="1:42" ht="18.75">
      <c r="A1" s="73" t="s">
        <v>45</v>
      </c>
      <c r="B1" s="299" t="s">
        <v>323</v>
      </c>
      <c r="C1" s="300"/>
      <c r="D1" s="300"/>
      <c r="E1" s="300"/>
      <c r="F1" s="300"/>
      <c r="G1" s="300"/>
      <c r="H1" s="292"/>
      <c r="I1" s="292"/>
      <c r="J1" s="292"/>
      <c r="K1" s="293"/>
      <c r="L1" s="292"/>
      <c r="M1" s="292"/>
      <c r="N1" s="292"/>
      <c r="O1" s="292"/>
      <c r="P1" s="292"/>
      <c r="Q1" s="292"/>
      <c r="R1" s="292"/>
      <c r="S1" s="292"/>
      <c r="T1" s="292"/>
    </row>
    <row r="2" spans="1:42" ht="30">
      <c r="A2" s="75" t="s">
        <v>46</v>
      </c>
      <c r="B2" s="307">
        <v>42736</v>
      </c>
      <c r="C2" s="307">
        <v>42767</v>
      </c>
      <c r="D2" s="307">
        <v>42795</v>
      </c>
      <c r="E2" s="307">
        <v>42826</v>
      </c>
      <c r="F2" s="307">
        <v>42856</v>
      </c>
      <c r="G2" s="307">
        <v>42887</v>
      </c>
      <c r="H2" s="413">
        <v>42917</v>
      </c>
      <c r="I2" s="413">
        <v>42948</v>
      </c>
      <c r="J2" s="413">
        <v>42979</v>
      </c>
      <c r="K2" s="413">
        <v>43009</v>
      </c>
      <c r="L2" s="413">
        <v>43040</v>
      </c>
      <c r="M2" s="413">
        <v>43070</v>
      </c>
      <c r="N2" s="413">
        <v>43101</v>
      </c>
      <c r="O2" s="413">
        <v>43132</v>
      </c>
      <c r="P2" s="413">
        <v>43160</v>
      </c>
      <c r="Q2" s="413">
        <v>43191</v>
      </c>
      <c r="R2" s="413">
        <v>43221</v>
      </c>
      <c r="S2" s="413">
        <v>43252</v>
      </c>
      <c r="T2" s="412" t="s">
        <v>199</v>
      </c>
      <c r="U2" s="76"/>
      <c r="V2" s="76"/>
      <c r="W2" s="76"/>
      <c r="X2" s="76"/>
      <c r="Y2" s="76"/>
      <c r="Z2" s="76"/>
      <c r="AA2" s="76"/>
      <c r="AB2" s="76"/>
      <c r="AC2" s="76"/>
      <c r="AD2" s="76"/>
      <c r="AE2" s="76"/>
      <c r="AF2" s="76"/>
      <c r="AG2" s="76"/>
      <c r="AH2" s="76"/>
      <c r="AI2" s="76"/>
      <c r="AJ2" s="76"/>
      <c r="AK2" s="76"/>
      <c r="AL2" s="76"/>
      <c r="AM2" s="76"/>
      <c r="AN2" s="76"/>
      <c r="AO2" s="76"/>
      <c r="AP2" s="76"/>
    </row>
    <row r="3" spans="1:42">
      <c r="B3" s="301"/>
      <c r="C3" s="301"/>
      <c r="D3" s="301"/>
      <c r="E3" s="301"/>
      <c r="F3" s="301"/>
      <c r="G3" s="301"/>
      <c r="H3" s="292"/>
      <c r="I3" s="292"/>
      <c r="J3" s="292"/>
      <c r="K3" s="292"/>
      <c r="L3" s="292"/>
      <c r="M3" s="292"/>
      <c r="N3" s="292"/>
      <c r="O3" s="292"/>
      <c r="P3" s="292"/>
      <c r="Q3" s="292"/>
      <c r="R3" s="292"/>
      <c r="S3" s="292"/>
      <c r="T3" s="292"/>
    </row>
    <row r="4" spans="1:42">
      <c r="A4" s="74" t="s">
        <v>47</v>
      </c>
      <c r="B4" s="302">
        <v>-3158562.8775698766</v>
      </c>
      <c r="C4" s="302">
        <v>-1634497.4043141485</v>
      </c>
      <c r="D4" s="302">
        <v>-228958.13727337567</v>
      </c>
      <c r="E4" s="302">
        <v>244567.3037044091</v>
      </c>
      <c r="F4" s="302">
        <v>-103882.31242011377</v>
      </c>
      <c r="G4" s="302">
        <v>-179353.4697305217</v>
      </c>
      <c r="H4" s="294">
        <f>+'Load Impact to Cost &amp; Rev'!H9</f>
        <v>-245204.53399044994</v>
      </c>
      <c r="I4" s="294">
        <f>+'Load Impact to Cost &amp; Rev'!I9</f>
        <v>-1454004.3495618068</v>
      </c>
      <c r="J4" s="294">
        <f>+'Load Impact to Cost &amp; Rev'!J9</f>
        <v>-417705.42769963591</v>
      </c>
      <c r="K4" s="294">
        <f>+'Load Impact to Cost &amp; Rev'!K9</f>
        <v>-30378.79526365512</v>
      </c>
      <c r="L4" s="294">
        <f>+'Load Impact to Cost &amp; Rev'!L9</f>
        <v>575373.90231514734</v>
      </c>
      <c r="M4" s="294">
        <f>+'Load Impact to Cost &amp; Rev'!M9</f>
        <v>-670761.04437619552</v>
      </c>
      <c r="N4" s="294">
        <f>+'Load Impact to Cost &amp; Rev'!N9</f>
        <v>2478608.6687740674</v>
      </c>
      <c r="O4" s="294">
        <f>+'Load Impact to Cost &amp; Rev'!O9</f>
        <v>-1500281.6798446304</v>
      </c>
      <c r="P4" s="294">
        <f>+'Load Impact to Cost &amp; Rev'!P9</f>
        <v>138122.12223451654</v>
      </c>
      <c r="Q4" s="294">
        <f>+'Load Impact to Cost &amp; Rev'!Q9</f>
        <v>164818.04706966807</v>
      </c>
      <c r="R4" s="294">
        <f>+'Load Impact to Cost &amp; Rev'!R9</f>
        <v>264751.57528189517</v>
      </c>
      <c r="S4" s="294">
        <f>+'Load Impact to Cost &amp; Rev'!S9</f>
        <v>-86237.131114037853</v>
      </c>
      <c r="T4" s="294">
        <f>SUM(H4:S4)</f>
        <v>-782898.64617511688</v>
      </c>
      <c r="U4" s="168">
        <f>+'Load Impact to Cost &amp; Rev'!T9-T4</f>
        <v>0</v>
      </c>
      <c r="V4" s="167" t="s">
        <v>170</v>
      </c>
      <c r="W4"/>
    </row>
    <row r="5" spans="1:42">
      <c r="A5" s="74" t="s">
        <v>48</v>
      </c>
      <c r="B5" s="302">
        <v>77633.149683614945</v>
      </c>
      <c r="C5" s="302">
        <v>1724499.6524411594</v>
      </c>
      <c r="D5" s="302">
        <v>1213075.0887824437</v>
      </c>
      <c r="E5" s="302">
        <v>796758.79217802896</v>
      </c>
      <c r="F5" s="302">
        <v>-752620.44163814711</v>
      </c>
      <c r="G5" s="302">
        <v>-1341214.0012347028</v>
      </c>
      <c r="H5" s="294">
        <f>+'2018 Hydro'!B34</f>
        <v>-1404825.4540582027</v>
      </c>
      <c r="I5" s="294">
        <f>+'2018 Hydro'!C34</f>
        <v>-2016407.3343883755</v>
      </c>
      <c r="J5" s="294">
        <f>+'2018 Hydro'!D34</f>
        <v>76035.463076156928</v>
      </c>
      <c r="K5" s="294">
        <f>+'2018 Hydro'!E34</f>
        <v>-768641.14866890246</v>
      </c>
      <c r="L5" s="294">
        <f>+'2018 Hydro'!F34</f>
        <v>-1414735.8662314815</v>
      </c>
      <c r="M5" s="294">
        <f>+'2018 Hydro'!G34</f>
        <v>-1064324.4224835446</v>
      </c>
      <c r="N5" s="294">
        <f>+'2018 Hydro'!H34</f>
        <v>2126879.9802721641</v>
      </c>
      <c r="O5" s="294">
        <f>+'2018 Hydro'!I34</f>
        <v>3191589.2414176003</v>
      </c>
      <c r="P5" s="294">
        <f>+'2018 Hydro'!J34</f>
        <v>826923.4597516642</v>
      </c>
      <c r="Q5" s="294">
        <f>+'2018 Hydro'!K34</f>
        <v>773743.32981642603</v>
      </c>
      <c r="R5" s="294">
        <f>+'2018 Hydro'!L34</f>
        <v>-116864.87643975964</v>
      </c>
      <c r="S5" s="294">
        <f>+'2018 Hydro'!M34</f>
        <v>-135729.90180466825</v>
      </c>
      <c r="T5" s="294">
        <f t="shared" ref="T5:T6" si="0">SUM(H5:S5)</f>
        <v>73642.470259076334</v>
      </c>
      <c r="U5" s="168">
        <f>+'2018 Hydro'!N34-T5</f>
        <v>0</v>
      </c>
      <c r="V5" s="167" t="s">
        <v>170</v>
      </c>
      <c r="W5"/>
    </row>
    <row r="6" spans="1:42">
      <c r="A6" s="74" t="s">
        <v>49</v>
      </c>
      <c r="B6" s="302">
        <v>-3128795.6055223681</v>
      </c>
      <c r="C6" s="302">
        <v>112988.31204560478</v>
      </c>
      <c r="D6" s="302">
        <v>-105021.65484888083</v>
      </c>
      <c r="E6" s="302">
        <v>789577.03709316358</v>
      </c>
      <c r="F6" s="302">
        <v>-1585627.2628325031</v>
      </c>
      <c r="G6" s="302">
        <v>-499456.99647727137</v>
      </c>
      <c r="H6" s="294">
        <f>+'2018 Wind'!B35</f>
        <v>-498145.69740737666</v>
      </c>
      <c r="I6" s="294">
        <f>+'2018 Wind'!C35</f>
        <v>-1070289.1382922987</v>
      </c>
      <c r="J6" s="294">
        <f>+'2018 Wind'!D35</f>
        <v>-238540.85137799382</v>
      </c>
      <c r="K6" s="294">
        <f>+'2018 Wind'!E35</f>
        <v>973235.02931157011</v>
      </c>
      <c r="L6" s="294">
        <f>+'2018 Wind'!F35</f>
        <v>592254.91277370555</v>
      </c>
      <c r="M6" s="294">
        <f>+'2018 Wind'!G35</f>
        <v>-2202109.1694945646</v>
      </c>
      <c r="N6" s="294">
        <f>+'2018 Wind'!H35</f>
        <v>-382026.12247596128</v>
      </c>
      <c r="O6" s="294">
        <f>+'2018 Wind'!I35</f>
        <v>2785877.7937076623</v>
      </c>
      <c r="P6" s="294">
        <f>+'2018 Wind'!J35</f>
        <v>23315.136739645444</v>
      </c>
      <c r="Q6" s="294">
        <f>+'2018 Wind'!K35</f>
        <v>397039.85209911934</v>
      </c>
      <c r="R6" s="294">
        <f>+'2018 Wind'!L35</f>
        <v>-1086365.8080997411</v>
      </c>
      <c r="S6" s="294">
        <f>+'2018 Wind'!M35</f>
        <v>13224.818687152438</v>
      </c>
      <c r="T6" s="294">
        <f t="shared" si="0"/>
        <v>-692529.24382908095</v>
      </c>
      <c r="U6" s="168">
        <f>+'2018 Wind'!N35-T6</f>
        <v>-1.7462298274040222E-9</v>
      </c>
      <c r="V6" s="167" t="s">
        <v>170</v>
      </c>
      <c r="W6"/>
    </row>
    <row r="7" spans="1:42" s="148" customFormat="1">
      <c r="B7" s="301"/>
      <c r="C7" s="301"/>
      <c r="D7" s="301"/>
      <c r="E7" s="301"/>
      <c r="F7" s="301"/>
      <c r="G7" s="301"/>
      <c r="H7" s="292"/>
      <c r="I7" s="292"/>
      <c r="J7" s="292"/>
      <c r="K7" s="292"/>
      <c r="L7" s="292"/>
      <c r="M7" s="292"/>
      <c r="N7" s="292"/>
      <c r="O7" s="292"/>
      <c r="P7" s="292"/>
      <c r="Q7" s="292"/>
      <c r="R7" s="292"/>
      <c r="S7" s="292"/>
      <c r="T7" s="292"/>
      <c r="W7"/>
    </row>
    <row r="8" spans="1:42" ht="15.75" thickBot="1">
      <c r="A8" s="75" t="s">
        <v>50</v>
      </c>
      <c r="B8" s="303">
        <f t="shared" ref="B8:G8" si="1">SUM(B4:B7)</f>
        <v>-6209725.3334086295</v>
      </c>
      <c r="C8" s="303">
        <f t="shared" si="1"/>
        <v>202990.56017261566</v>
      </c>
      <c r="D8" s="303">
        <f t="shared" si="1"/>
        <v>879095.29666018719</v>
      </c>
      <c r="E8" s="303">
        <f t="shared" si="1"/>
        <v>1830903.1329756016</v>
      </c>
      <c r="F8" s="303">
        <f t="shared" si="1"/>
        <v>-2442130.0168907642</v>
      </c>
      <c r="G8" s="303">
        <f t="shared" si="1"/>
        <v>-2020024.467442496</v>
      </c>
      <c r="H8" s="295">
        <f>SUM(H4:H7)</f>
        <v>-2148175.6854560291</v>
      </c>
      <c r="I8" s="295">
        <f t="shared" ref="I8:T8" si="2">SUM(I4:I7)</f>
        <v>-4540700.8222424807</v>
      </c>
      <c r="J8" s="295">
        <f t="shared" si="2"/>
        <v>-580210.81600147276</v>
      </c>
      <c r="K8" s="295">
        <f t="shared" si="2"/>
        <v>174215.08537901251</v>
      </c>
      <c r="L8" s="295">
        <f t="shared" si="2"/>
        <v>-247107.05114262865</v>
      </c>
      <c r="M8" s="295">
        <f t="shared" si="2"/>
        <v>-3937194.6363543049</v>
      </c>
      <c r="N8" s="295">
        <f t="shared" si="2"/>
        <v>4223462.5265702698</v>
      </c>
      <c r="O8" s="295">
        <f t="shared" si="2"/>
        <v>4477185.3552806322</v>
      </c>
      <c r="P8" s="295">
        <f t="shared" si="2"/>
        <v>988360.71872582613</v>
      </c>
      <c r="Q8" s="295">
        <f t="shared" si="2"/>
        <v>1335601.2289852134</v>
      </c>
      <c r="R8" s="295">
        <f t="shared" si="2"/>
        <v>-938479.10925760563</v>
      </c>
      <c r="S8" s="295">
        <f t="shared" si="2"/>
        <v>-208742.21423155366</v>
      </c>
      <c r="T8" s="295">
        <f t="shared" si="2"/>
        <v>-1401785.4197451216</v>
      </c>
      <c r="W8"/>
    </row>
    <row r="9" spans="1:42" ht="15.75" thickTop="1">
      <c r="A9" s="75"/>
      <c r="B9" s="299"/>
      <c r="C9" s="299"/>
      <c r="D9" s="299"/>
      <c r="E9" s="299"/>
      <c r="F9" s="299"/>
      <c r="G9" s="299"/>
      <c r="H9" s="296"/>
      <c r="I9" s="296"/>
      <c r="J9" s="296"/>
      <c r="K9" s="296"/>
      <c r="L9" s="296"/>
      <c r="M9" s="296"/>
      <c r="N9" s="296"/>
      <c r="O9" s="296"/>
      <c r="P9" s="296"/>
      <c r="Q9" s="296"/>
      <c r="R9" s="296"/>
      <c r="S9" s="296"/>
      <c r="T9" s="296"/>
      <c r="W9"/>
    </row>
    <row r="10" spans="1:42" ht="15.75" thickBot="1">
      <c r="A10" s="75" t="s">
        <v>51</v>
      </c>
      <c r="B10" s="304"/>
      <c r="C10" s="304"/>
      <c r="D10" s="304"/>
      <c r="E10" s="304"/>
      <c r="F10" s="304"/>
      <c r="G10" s="304"/>
      <c r="H10" s="295">
        <f>-'CBR Jun 18 Sch B'!J61</f>
        <v>0</v>
      </c>
      <c r="I10" s="295">
        <f>-'CBR Jun 18 Sch B'!K61</f>
        <v>0</v>
      </c>
      <c r="J10" s="295">
        <f>-'CBR Jun 18 Sch B'!L61</f>
        <v>0</v>
      </c>
      <c r="K10" s="295">
        <f>-'CBR Jun 18 Sch B'!M61</f>
        <v>0</v>
      </c>
      <c r="L10" s="295">
        <f>-'CBR Jun 18 Sch B'!N61</f>
        <v>0</v>
      </c>
      <c r="M10" s="295">
        <f>-'CBR Jun 18 Sch B'!O61</f>
        <v>0</v>
      </c>
      <c r="N10" s="295">
        <f>-'CBR Jun 18 Sch B'!P61</f>
        <v>0</v>
      </c>
      <c r="O10" s="295">
        <f>-'CBR Jun 18 Sch B'!Q61</f>
        <v>0</v>
      </c>
      <c r="P10" s="295">
        <f>-'CBR Jun 18 Sch B'!R61</f>
        <v>0</v>
      </c>
      <c r="Q10" s="295">
        <f>-'CBR Jun 18 Sch B'!S61</f>
        <v>0</v>
      </c>
      <c r="R10" s="295">
        <f>-'CBR Jun 18 Sch B'!T61</f>
        <v>0</v>
      </c>
      <c r="S10" s="295">
        <f>-'CBR Jun 18 Sch B'!U61</f>
        <v>0</v>
      </c>
      <c r="T10" s="295">
        <f>SUM(H10:S10)</f>
        <v>0</v>
      </c>
    </row>
    <row r="11" spans="1:42" s="441" customFormat="1" ht="16.5" thickTop="1" thickBot="1">
      <c r="A11" s="290"/>
      <c r="B11" s="439"/>
      <c r="C11" s="439"/>
      <c r="D11" s="439"/>
      <c r="E11" s="439"/>
      <c r="F11" s="439"/>
      <c r="G11" s="439"/>
      <c r="H11" s="440"/>
      <c r="I11" s="440"/>
      <c r="J11" s="440"/>
      <c r="K11" s="440"/>
      <c r="L11" s="440"/>
      <c r="M11" s="440"/>
      <c r="N11" s="440"/>
      <c r="O11" s="440"/>
      <c r="P11" s="440"/>
      <c r="Q11" s="440"/>
      <c r="R11" s="440"/>
      <c r="S11" s="440"/>
      <c r="T11" s="440"/>
    </row>
    <row r="12" spans="1:42" s="441" customFormat="1" outlineLevel="1">
      <c r="A12" s="380"/>
      <c r="B12" s="414">
        <v>2018</v>
      </c>
      <c r="C12" s="384"/>
      <c r="D12" s="384"/>
      <c r="E12" s="384"/>
      <c r="F12" s="385"/>
      <c r="G12" s="386">
        <v>2018</v>
      </c>
      <c r="H12" s="74"/>
      <c r="I12" s="74"/>
      <c r="J12" s="74"/>
      <c r="K12" s="74"/>
      <c r="L12" s="74"/>
      <c r="M12" s="74"/>
    </row>
    <row r="13" spans="1:42" s="441" customFormat="1" outlineLevel="1">
      <c r="A13" s="381"/>
      <c r="B13" s="387" t="s">
        <v>367</v>
      </c>
      <c r="C13" s="388"/>
      <c r="D13" s="388"/>
      <c r="E13" s="389"/>
      <c r="F13" s="390"/>
      <c r="G13" s="391" t="s">
        <v>311</v>
      </c>
      <c r="H13" s="74"/>
      <c r="I13" s="74"/>
      <c r="J13" s="74"/>
      <c r="K13" s="74"/>
      <c r="L13" s="74"/>
      <c r="M13" s="74"/>
    </row>
    <row r="14" spans="1:42" s="441" customFormat="1" outlineLevel="1">
      <c r="A14" s="382" t="s">
        <v>257</v>
      </c>
      <c r="B14" s="392" t="s">
        <v>312</v>
      </c>
      <c r="C14" s="392" t="s">
        <v>259</v>
      </c>
      <c r="D14" s="392" t="s">
        <v>258</v>
      </c>
      <c r="E14" s="393" t="s">
        <v>305</v>
      </c>
      <c r="F14" s="394" t="s">
        <v>313</v>
      </c>
      <c r="G14" s="391" t="s">
        <v>314</v>
      </c>
      <c r="H14" s="74"/>
      <c r="I14" s="74"/>
      <c r="J14" s="74"/>
      <c r="K14" s="74"/>
      <c r="L14" s="74"/>
      <c r="M14" s="74"/>
    </row>
    <row r="15" spans="1:42" s="441" customFormat="1" outlineLevel="1">
      <c r="A15" s="415" t="s">
        <v>306</v>
      </c>
      <c r="B15" s="395">
        <f>+'Lead Sheet'!C14</f>
        <v>192974971.49000001</v>
      </c>
      <c r="C15" s="396"/>
      <c r="D15" s="396"/>
      <c r="E15" s="397"/>
      <c r="F15" s="398"/>
      <c r="G15" s="399">
        <f>SUM(B15:F15)</f>
        <v>192974971.49000001</v>
      </c>
      <c r="H15" s="74"/>
      <c r="I15" s="74"/>
      <c r="J15" s="74"/>
      <c r="K15" s="74"/>
      <c r="L15" s="74"/>
      <c r="M15" s="74"/>
    </row>
    <row r="16" spans="1:42" s="441" customFormat="1" outlineLevel="1">
      <c r="A16" s="382" t="s">
        <v>307</v>
      </c>
      <c r="B16" s="400">
        <f>+'Lead Sheet'!C15</f>
        <v>491827524.63999999</v>
      </c>
      <c r="C16" s="401">
        <f>+T4</f>
        <v>-782898.64617511688</v>
      </c>
      <c r="D16" s="401">
        <f>+T5</f>
        <v>73642.470259076334</v>
      </c>
      <c r="E16" s="402">
        <f>+T6</f>
        <v>-692529.24382908095</v>
      </c>
      <c r="F16" s="403">
        <f>+T10</f>
        <v>0</v>
      </c>
      <c r="G16" s="404">
        <f t="shared" ref="G16:G20" si="3">SUM(B16:F16)</f>
        <v>490425739.22025484</v>
      </c>
      <c r="H16" s="74"/>
      <c r="I16" s="74"/>
      <c r="J16" s="74"/>
      <c r="K16" s="74"/>
      <c r="L16" s="74"/>
      <c r="M16" s="74"/>
    </row>
    <row r="17" spans="1:22" s="441" customFormat="1" outlineLevel="1">
      <c r="A17" s="382" t="s">
        <v>16</v>
      </c>
      <c r="B17" s="400">
        <f>+'Lead Sheet'!C17</f>
        <v>116538099.3</v>
      </c>
      <c r="C17" s="405"/>
      <c r="D17" s="405"/>
      <c r="E17" s="406"/>
      <c r="F17" s="407"/>
      <c r="G17" s="404">
        <f t="shared" si="3"/>
        <v>116538099.3</v>
      </c>
      <c r="H17" s="74"/>
      <c r="I17" s="74"/>
      <c r="J17" s="74"/>
      <c r="K17" s="74"/>
      <c r="L17" s="74"/>
      <c r="M17" s="74"/>
    </row>
    <row r="18" spans="1:22" s="441" customFormat="1" outlineLevel="1">
      <c r="A18" s="382" t="s">
        <v>15</v>
      </c>
      <c r="B18" s="400">
        <f>+'Lead Sheet'!C18</f>
        <v>-116721927.84999999</v>
      </c>
      <c r="C18" s="405"/>
      <c r="D18" s="405"/>
      <c r="E18" s="406"/>
      <c r="F18" s="407"/>
      <c r="G18" s="404">
        <f t="shared" si="3"/>
        <v>-116721927.84999999</v>
      </c>
      <c r="H18" s="74"/>
      <c r="I18" s="74"/>
      <c r="J18" s="74"/>
      <c r="K18" s="74"/>
      <c r="L18" s="74"/>
      <c r="M18" s="74"/>
    </row>
    <row r="19" spans="1:22" s="441" customFormat="1" outlineLevel="1">
      <c r="A19" s="382" t="s">
        <v>308</v>
      </c>
      <c r="B19" s="400">
        <f>+'Lead Sheet'!C19</f>
        <v>-9134513.7999999989</v>
      </c>
      <c r="C19" s="405"/>
      <c r="D19" s="405"/>
      <c r="E19" s="406"/>
      <c r="F19" s="407"/>
      <c r="G19" s="404">
        <f t="shared" si="3"/>
        <v>-9134513.7999999989</v>
      </c>
      <c r="H19" s="74"/>
      <c r="I19" s="74"/>
      <c r="J19" s="74"/>
      <c r="K19" s="74"/>
      <c r="L19" s="74"/>
      <c r="M19" s="74"/>
    </row>
    <row r="20" spans="1:22" s="441" customFormat="1" outlineLevel="1">
      <c r="A20" s="382" t="s">
        <v>309</v>
      </c>
      <c r="B20" s="400"/>
      <c r="C20" s="405"/>
      <c r="D20" s="408"/>
      <c r="E20" s="406"/>
      <c r="F20" s="407"/>
      <c r="G20" s="404">
        <f t="shared" si="3"/>
        <v>0</v>
      </c>
      <c r="H20" s="74"/>
      <c r="I20" s="74"/>
      <c r="J20" s="74"/>
      <c r="K20" s="74"/>
      <c r="L20" s="74"/>
      <c r="M20" s="74"/>
    </row>
    <row r="21" spans="1:22" s="441" customFormat="1" ht="15.75" outlineLevel="1" thickBot="1">
      <c r="A21" s="383" t="s">
        <v>310</v>
      </c>
      <c r="B21" s="409">
        <f>SUM(B15:B20)</f>
        <v>675484153.77999997</v>
      </c>
      <c r="C21" s="409">
        <f t="shared" ref="C21:G21" si="4">SUM(C15:C20)</f>
        <v>-782898.64617511688</v>
      </c>
      <c r="D21" s="409">
        <f t="shared" si="4"/>
        <v>73642.470259076334</v>
      </c>
      <c r="E21" s="409">
        <f t="shared" si="4"/>
        <v>-692529.24382908095</v>
      </c>
      <c r="F21" s="410">
        <f t="shared" si="4"/>
        <v>0</v>
      </c>
      <c r="G21" s="411">
        <f t="shared" si="4"/>
        <v>674082368.36025488</v>
      </c>
      <c r="H21" s="74"/>
      <c r="I21" s="74"/>
      <c r="J21" s="74"/>
      <c r="K21" s="74"/>
      <c r="L21" s="74"/>
      <c r="M21" s="74"/>
    </row>
    <row r="22" spans="1:22" s="441" customFormat="1">
      <c r="A22" s="290"/>
      <c r="B22" s="442"/>
      <c r="C22" s="442"/>
      <c r="D22" s="442"/>
      <c r="E22" s="442"/>
      <c r="F22" s="442"/>
      <c r="G22" s="442"/>
      <c r="H22" s="443"/>
      <c r="I22" s="439"/>
      <c r="J22" s="439"/>
      <c r="K22" s="439"/>
      <c r="L22" s="443"/>
    </row>
    <row r="23" spans="1:22" s="441" customFormat="1">
      <c r="A23" s="442"/>
      <c r="B23" s="442"/>
      <c r="C23" s="442"/>
      <c r="D23" s="442"/>
      <c r="E23" s="442"/>
      <c r="F23" s="442"/>
      <c r="G23" s="442"/>
      <c r="H23" s="444"/>
    </row>
    <row r="24" spans="1:22" hidden="1">
      <c r="A24" s="287" t="s">
        <v>254</v>
      </c>
      <c r="B24" s="302" t="e">
        <f>+#REF!</f>
        <v>#REF!</v>
      </c>
      <c r="C24" s="302" t="e">
        <f>+#REF!</f>
        <v>#REF!</v>
      </c>
      <c r="D24" s="302" t="e">
        <f>+#REF!</f>
        <v>#REF!</v>
      </c>
      <c r="E24" s="302" t="e">
        <f>+#REF!</f>
        <v>#REF!</v>
      </c>
      <c r="F24" s="302" t="e">
        <f>+#REF!</f>
        <v>#REF!</v>
      </c>
      <c r="G24" s="302" t="e">
        <f>+#REF!</f>
        <v>#REF!</v>
      </c>
      <c r="H24" s="294" t="e">
        <f>+#REF!</f>
        <v>#REF!</v>
      </c>
      <c r="I24" s="294" t="e">
        <f>+#REF!</f>
        <v>#REF!</v>
      </c>
      <c r="J24" s="294" t="e">
        <f>+#REF!</f>
        <v>#REF!</v>
      </c>
      <c r="K24" s="294" t="e">
        <f>+#REF!</f>
        <v>#REF!</v>
      </c>
      <c r="L24" s="294" t="e">
        <f>+#REF!</f>
        <v>#REF!</v>
      </c>
      <c r="M24" s="294" t="e">
        <f>+#REF!</f>
        <v>#REF!</v>
      </c>
      <c r="N24" s="294"/>
      <c r="O24" s="294"/>
      <c r="P24" s="294"/>
      <c r="Q24" s="294"/>
      <c r="R24" s="294"/>
      <c r="S24" s="294"/>
      <c r="T24" s="294" t="e">
        <f>SUM(H24:S24)</f>
        <v>#REF!</v>
      </c>
      <c r="U24" s="168"/>
      <c r="V24" s="167"/>
    </row>
    <row r="25" spans="1:22" s="148" customFormat="1" hidden="1">
      <c r="A25" s="166" t="s">
        <v>255</v>
      </c>
      <c r="B25" s="302" t="e">
        <f>-#REF!</f>
        <v>#REF!</v>
      </c>
      <c r="C25" s="302" t="e">
        <f>-#REF!</f>
        <v>#REF!</v>
      </c>
      <c r="D25" s="302" t="e">
        <f>-#REF!</f>
        <v>#REF!</v>
      </c>
      <c r="E25" s="302" t="e">
        <f>-#REF!</f>
        <v>#REF!</v>
      </c>
      <c r="F25" s="302" t="e">
        <f>-#REF!</f>
        <v>#REF!</v>
      </c>
      <c r="G25" s="302" t="e">
        <f>-#REF!</f>
        <v>#REF!</v>
      </c>
      <c r="H25" s="294" t="e">
        <f>-#REF!</f>
        <v>#REF!</v>
      </c>
      <c r="I25" s="294" t="e">
        <f>-#REF!</f>
        <v>#REF!</v>
      </c>
      <c r="J25" s="294" t="e">
        <f>-#REF!</f>
        <v>#REF!</v>
      </c>
      <c r="K25" s="294" t="e">
        <f>-#REF!</f>
        <v>#REF!</v>
      </c>
      <c r="L25" s="294" t="e">
        <f>-#REF!</f>
        <v>#REF!</v>
      </c>
      <c r="M25" s="294" t="e">
        <f>-#REF!</f>
        <v>#REF!</v>
      </c>
      <c r="N25" s="294"/>
      <c r="O25" s="294"/>
      <c r="P25" s="294"/>
      <c r="Q25" s="294"/>
      <c r="R25" s="294"/>
      <c r="S25" s="294"/>
      <c r="T25" s="294" t="e">
        <f>SUM(H25:S25)</f>
        <v>#REF!</v>
      </c>
      <c r="U25" s="168"/>
      <c r="V25" s="167"/>
    </row>
    <row r="26" spans="1:22" s="148" customFormat="1" hidden="1">
      <c r="A26" s="166"/>
      <c r="B26" s="305"/>
      <c r="C26" s="305"/>
      <c r="D26" s="305"/>
      <c r="E26" s="305"/>
      <c r="F26" s="305"/>
      <c r="G26" s="305"/>
      <c r="H26" s="294"/>
      <c r="I26" s="294"/>
      <c r="J26" s="294"/>
      <c r="K26" s="294"/>
      <c r="L26" s="294"/>
      <c r="M26" s="294"/>
      <c r="N26" s="294"/>
      <c r="O26" s="294"/>
      <c r="P26" s="294"/>
      <c r="Q26" s="294"/>
      <c r="R26" s="294"/>
      <c r="S26" s="294"/>
      <c r="T26" s="294"/>
      <c r="U26" s="168"/>
      <c r="V26" s="167"/>
    </row>
    <row r="27" spans="1:22" ht="15.75" hidden="1" thickBot="1">
      <c r="A27" s="74" t="s">
        <v>168</v>
      </c>
      <c r="B27" s="306" t="e">
        <f t="shared" ref="B27:G27" si="5">SUM(B8,B24:B25)</f>
        <v>#REF!</v>
      </c>
      <c r="C27" s="306" t="e">
        <f t="shared" si="5"/>
        <v>#REF!</v>
      </c>
      <c r="D27" s="306" t="e">
        <f t="shared" si="5"/>
        <v>#REF!</v>
      </c>
      <c r="E27" s="306" t="e">
        <f t="shared" si="5"/>
        <v>#REF!</v>
      </c>
      <c r="F27" s="306" t="e">
        <f t="shared" si="5"/>
        <v>#REF!</v>
      </c>
      <c r="G27" s="306" t="e">
        <f t="shared" si="5"/>
        <v>#REF!</v>
      </c>
      <c r="H27" s="297" t="e">
        <f>SUM(H8,H24:H25)</f>
        <v>#REF!</v>
      </c>
      <c r="I27" s="297" t="e">
        <f t="shared" ref="I27:T27" si="6">SUM(I8,I24:I25)</f>
        <v>#REF!</v>
      </c>
      <c r="J27" s="297" t="e">
        <f t="shared" si="6"/>
        <v>#REF!</v>
      </c>
      <c r="K27" s="297" t="e">
        <f t="shared" si="6"/>
        <v>#REF!</v>
      </c>
      <c r="L27" s="297" t="e">
        <f t="shared" si="6"/>
        <v>#REF!</v>
      </c>
      <c r="M27" s="297" t="e">
        <f t="shared" si="6"/>
        <v>#REF!</v>
      </c>
      <c r="N27" s="297">
        <f t="shared" si="6"/>
        <v>4223462.5265702698</v>
      </c>
      <c r="O27" s="297">
        <f t="shared" si="6"/>
        <v>4477185.3552806322</v>
      </c>
      <c r="P27" s="297">
        <f t="shared" si="6"/>
        <v>988360.71872582613</v>
      </c>
      <c r="Q27" s="297">
        <f t="shared" si="6"/>
        <v>1335601.2289852134</v>
      </c>
      <c r="R27" s="297">
        <f t="shared" si="6"/>
        <v>-938479.10925760563</v>
      </c>
      <c r="S27" s="297">
        <f t="shared" si="6"/>
        <v>-208742.21423155366</v>
      </c>
      <c r="T27" s="298" t="e">
        <f t="shared" si="6"/>
        <v>#REF!</v>
      </c>
    </row>
  </sheetData>
  <pageMargins left="0.7" right="0.7" top="0.75" bottom="0.75" header="0.3" footer="0.3"/>
  <pageSetup scale="6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
  <sheetViews>
    <sheetView zoomScaleNormal="100" workbookViewId="0">
      <pane xSplit="1" ySplit="2" topLeftCell="H3" activePane="bottomRight" state="frozen"/>
      <selection activeCell="O10" sqref="O10"/>
      <selection pane="topRight" activeCell="O10" sqref="O10"/>
      <selection pane="bottomLeft" activeCell="O10" sqref="O10"/>
      <selection pane="bottomRight" activeCell="O10" sqref="O10"/>
    </sheetView>
  </sheetViews>
  <sheetFormatPr defaultColWidth="9.140625" defaultRowHeight="15"/>
  <cols>
    <col min="1" max="1" width="44.28515625" style="212" customWidth="1"/>
    <col min="2" max="7" width="15.7109375" style="212" customWidth="1"/>
    <col min="8" max="8" width="15.28515625" style="212" bestFit="1" customWidth="1"/>
    <col min="9" max="11" width="14.28515625" style="212" bestFit="1" customWidth="1"/>
    <col min="12" max="12" width="15" style="212" bestFit="1" customWidth="1"/>
    <col min="13" max="15" width="14.28515625" style="212" bestFit="1" customWidth="1"/>
    <col min="16" max="16" width="16" style="212" bestFit="1" customWidth="1"/>
    <col min="17" max="19" width="14.28515625" style="212" bestFit="1" customWidth="1"/>
    <col min="20" max="20" width="11.5703125" style="212" bestFit="1" customWidth="1"/>
    <col min="21" max="16384" width="9.140625" style="212"/>
  </cols>
  <sheetData>
    <row r="1" spans="1:22" ht="18.75">
      <c r="B1" s="299" t="s">
        <v>323</v>
      </c>
      <c r="C1" s="300"/>
      <c r="D1" s="300"/>
      <c r="E1" s="300"/>
      <c r="F1" s="300"/>
      <c r="G1" s="300"/>
      <c r="H1" s="697"/>
      <c r="O1" s="213"/>
      <c r="P1" s="213"/>
      <c r="Q1" s="213"/>
      <c r="R1" s="213"/>
      <c r="S1" s="213"/>
    </row>
    <row r="2" spans="1:22">
      <c r="B2" s="307">
        <v>42736</v>
      </c>
      <c r="C2" s="307">
        <v>42767</v>
      </c>
      <c r="D2" s="307">
        <v>42795</v>
      </c>
      <c r="E2" s="307">
        <v>42826</v>
      </c>
      <c r="F2" s="307">
        <v>42856</v>
      </c>
      <c r="G2" s="307">
        <v>42887</v>
      </c>
      <c r="H2" s="77">
        <f t="array" ref="H2:S2">TRANSPOSE('Load Temp Adj'!B12:B23)</f>
        <v>42917</v>
      </c>
      <c r="I2" s="77">
        <v>42948</v>
      </c>
      <c r="J2" s="77">
        <v>42979</v>
      </c>
      <c r="K2" s="77">
        <v>43009</v>
      </c>
      <c r="L2" s="77">
        <v>43040</v>
      </c>
      <c r="M2" s="77">
        <v>43070</v>
      </c>
      <c r="N2" s="77">
        <v>43101</v>
      </c>
      <c r="O2" s="214">
        <v>43132</v>
      </c>
      <c r="P2" s="214">
        <v>43160</v>
      </c>
      <c r="Q2" s="214">
        <v>43191</v>
      </c>
      <c r="R2" s="214">
        <v>43221</v>
      </c>
      <c r="S2" s="214">
        <v>43252</v>
      </c>
      <c r="T2" s="77" t="s">
        <v>324</v>
      </c>
    </row>
    <row r="3" spans="1:22">
      <c r="A3" s="161" t="s">
        <v>52</v>
      </c>
      <c r="B3" s="299"/>
      <c r="C3" s="299"/>
      <c r="D3" s="299"/>
      <c r="E3" s="299"/>
      <c r="F3" s="299"/>
      <c r="G3" s="299"/>
      <c r="H3" s="77"/>
      <c r="I3" s="77"/>
      <c r="J3" s="77"/>
      <c r="K3" s="77"/>
      <c r="L3" s="77"/>
      <c r="M3" s="77"/>
      <c r="N3" s="77"/>
      <c r="O3" s="77"/>
      <c r="P3" s="77"/>
      <c r="Q3" s="77"/>
      <c r="R3" s="77"/>
      <c r="S3" s="77"/>
      <c r="T3" s="77"/>
    </row>
    <row r="4" spans="1:22">
      <c r="A4" s="212" t="s">
        <v>53</v>
      </c>
      <c r="B4" s="696">
        <v>2371642.2428233293</v>
      </c>
      <c r="C4" s="696">
        <v>1995724.7848992639</v>
      </c>
      <c r="D4" s="696">
        <v>2085750.0249506938</v>
      </c>
      <c r="E4" s="696">
        <v>1777985.8451970692</v>
      </c>
      <c r="F4" s="696">
        <v>1714445.1035765773</v>
      </c>
      <c r="G4" s="696">
        <v>1570498.4970299609</v>
      </c>
      <c r="H4" s="698">
        <f t="array" ref="H4:S4">TRANSPOSE('Load Temp Adj'!D12:D23)/1000</f>
        <v>1664895.7129958139</v>
      </c>
      <c r="I4" s="698">
        <v>1706028.6782529952</v>
      </c>
      <c r="J4" s="698">
        <v>1598552.6388488053</v>
      </c>
      <c r="K4" s="698">
        <v>1786848.28408025</v>
      </c>
      <c r="L4" s="698">
        <v>2028588.9206755639</v>
      </c>
      <c r="M4" s="698">
        <v>2364363.5290372954</v>
      </c>
      <c r="N4" s="698">
        <v>2305584.0654216884</v>
      </c>
      <c r="O4" s="698">
        <v>2007991.9306302031</v>
      </c>
      <c r="P4" s="698">
        <v>2068533.3330722307</v>
      </c>
      <c r="Q4" s="698">
        <v>1779404.1856001571</v>
      </c>
      <c r="R4" s="698">
        <v>1611520.0068019745</v>
      </c>
      <c r="S4" s="698">
        <v>1559953.2997715843</v>
      </c>
      <c r="T4" s="215">
        <f>SUM(H4:S4)</f>
        <v>22482264.585188564</v>
      </c>
    </row>
    <row r="5" spans="1:22">
      <c r="A5" s="212" t="s">
        <v>54</v>
      </c>
      <c r="B5" s="696">
        <v>2485902.7400000002</v>
      </c>
      <c r="C5" s="696">
        <v>2052421.733</v>
      </c>
      <c r="D5" s="696">
        <v>2094841.2720000001</v>
      </c>
      <c r="E5" s="696">
        <v>1766732.1310000001</v>
      </c>
      <c r="F5" s="696">
        <v>1719520.8810000001</v>
      </c>
      <c r="G5" s="696">
        <v>1578536.0530000001</v>
      </c>
      <c r="H5" s="698">
        <f t="array" ref="H5:S5">TRANSPOSE('Load Temp Adj'!C12:C23)/1000</f>
        <v>1674840.8119999999</v>
      </c>
      <c r="I5" s="698">
        <v>1762350.6140000001</v>
      </c>
      <c r="J5" s="698">
        <v>1614649.5430000001</v>
      </c>
      <c r="K5" s="698">
        <v>1788067.702</v>
      </c>
      <c r="L5" s="698">
        <v>2006678.7039999999</v>
      </c>
      <c r="M5" s="698">
        <v>2389752.5690000001</v>
      </c>
      <c r="N5" s="698">
        <v>2215266.1669999999</v>
      </c>
      <c r="O5" s="698">
        <v>2064898.7</v>
      </c>
      <c r="P5" s="698">
        <v>2062414.077</v>
      </c>
      <c r="Q5" s="698">
        <v>1768077.5989999999</v>
      </c>
      <c r="R5" s="698">
        <v>1593061.4380000001</v>
      </c>
      <c r="S5" s="698">
        <v>1565951.96</v>
      </c>
      <c r="T5" s="215">
        <f>SUM(H5:S5)</f>
        <v>22506009.885000002</v>
      </c>
    </row>
    <row r="6" spans="1:22">
      <c r="A6" s="212" t="s">
        <v>55</v>
      </c>
      <c r="B6" s="308">
        <f>+B4-B5</f>
        <v>-114260.49717667094</v>
      </c>
      <c r="C6" s="308">
        <f>+C4-C5</f>
        <v>-56696.948100736132</v>
      </c>
      <c r="D6" s="308">
        <f>+D4-D5</f>
        <v>-9091.2470493062865</v>
      </c>
      <c r="E6" s="308">
        <f t="shared" ref="E6:F6" si="0">+E4-E5</f>
        <v>11253.714197069174</v>
      </c>
      <c r="F6" s="308">
        <f t="shared" si="0"/>
        <v>-5075.7774234227836</v>
      </c>
      <c r="G6" s="308">
        <f>+G4-G5</f>
        <v>-8037.5559700392187</v>
      </c>
      <c r="H6" s="216">
        <f>+H4-H5</f>
        <v>-9945.0990041859914</v>
      </c>
      <c r="I6" s="216">
        <f t="shared" ref="I6:T6" si="1">+I4-I5</f>
        <v>-56321.935747004813</v>
      </c>
      <c r="J6" s="216">
        <f t="shared" si="1"/>
        <v>-16096.904151194729</v>
      </c>
      <c r="K6" s="216">
        <f t="shared" si="1"/>
        <v>-1219.4179197500926</v>
      </c>
      <c r="L6" s="216">
        <f t="shared" si="1"/>
        <v>21910.216675563948</v>
      </c>
      <c r="M6" s="216">
        <f t="shared" si="1"/>
        <v>-25389.039962704759</v>
      </c>
      <c r="N6" s="216">
        <f t="shared" si="1"/>
        <v>90317.898421688471</v>
      </c>
      <c r="O6" s="216">
        <f t="shared" si="1"/>
        <v>-56906.76936979685</v>
      </c>
      <c r="P6" s="216">
        <f t="shared" si="1"/>
        <v>6119.2560722306371</v>
      </c>
      <c r="Q6" s="216">
        <f t="shared" si="1"/>
        <v>11326.586600157199</v>
      </c>
      <c r="R6" s="216">
        <f t="shared" si="1"/>
        <v>18458.568801974412</v>
      </c>
      <c r="S6" s="216">
        <f t="shared" si="1"/>
        <v>-5998.6602284156252</v>
      </c>
      <c r="T6" s="216">
        <f t="shared" si="1"/>
        <v>-23745.299811437726</v>
      </c>
    </row>
    <row r="7" spans="1:22">
      <c r="A7" s="212" t="s">
        <v>56</v>
      </c>
      <c r="B7" s="309">
        <v>27.643524714285718</v>
      </c>
      <c r="C7" s="309">
        <v>28.828666428571431</v>
      </c>
      <c r="D7" s="309">
        <v>25.184458857142868</v>
      </c>
      <c r="E7" s="309">
        <v>21.732141000000002</v>
      </c>
      <c r="F7" s="309">
        <v>20.466285999999997</v>
      </c>
      <c r="G7" s="309">
        <v>22.314428714285715</v>
      </c>
      <c r="H7" s="699">
        <f>+Price!I9</f>
        <v>24.655816285714291</v>
      </c>
      <c r="I7" s="699">
        <f>+Price!J9</f>
        <v>25.815951285714295</v>
      </c>
      <c r="J7" s="699">
        <f>+Price!K9</f>
        <v>25.949426285714285</v>
      </c>
      <c r="K7" s="699">
        <f>+Price!L9</f>
        <v>24.912537999999991</v>
      </c>
      <c r="L7" s="699">
        <f>+Price!M9</f>
        <v>26.260529999999999</v>
      </c>
      <c r="M7" s="699">
        <f>+Price!B9</f>
        <v>27.422109285714289</v>
      </c>
      <c r="N7" s="699"/>
      <c r="O7" s="699"/>
      <c r="P7" s="699"/>
      <c r="Q7" s="699"/>
      <c r="R7" s="699"/>
      <c r="S7" s="699"/>
      <c r="T7" s="217">
        <f>AVERAGE(H7:S7)</f>
        <v>25.836061857142855</v>
      </c>
      <c r="U7" s="157">
        <f>AVERAGE(Price!I9:M9,Price!B9)-T7</f>
        <v>0</v>
      </c>
      <c r="V7" s="156" t="s">
        <v>95</v>
      </c>
    </row>
    <row r="8" spans="1:22">
      <c r="B8" s="310"/>
      <c r="C8" s="310"/>
      <c r="D8" s="310"/>
      <c r="E8" s="310"/>
      <c r="F8" s="310"/>
      <c r="G8" s="310"/>
      <c r="H8" s="699"/>
      <c r="I8" s="699"/>
      <c r="J8" s="699"/>
      <c r="K8" s="699"/>
      <c r="L8" s="699"/>
      <c r="M8" s="699">
        <f>+Price!M24</f>
        <v>25.030830609459009</v>
      </c>
      <c r="N8" s="699">
        <f>+Price!B24</f>
        <v>27.443161456233209</v>
      </c>
      <c r="O8" s="699">
        <f>+Price!C24</f>
        <v>26.363852604166663</v>
      </c>
      <c r="P8" s="699">
        <f>+Price!D24</f>
        <v>22.571717967698518</v>
      </c>
      <c r="Q8" s="699">
        <f>+Price!E24</f>
        <v>14.551431325954864</v>
      </c>
      <c r="R8" s="699">
        <f>+Price!F24</f>
        <v>14.343017496219758</v>
      </c>
      <c r="S8" s="699">
        <f>+Price!G24</f>
        <v>14.376065292968748</v>
      </c>
      <c r="T8" s="217">
        <f>AVERAGE(H8:S8)</f>
        <v>20.668582393242964</v>
      </c>
      <c r="U8" s="157">
        <f>AVERAGE(Price!B24:G24,Price!M24)-T8</f>
        <v>0</v>
      </c>
      <c r="V8" s="156" t="s">
        <v>95</v>
      </c>
    </row>
    <row r="9" spans="1:22" ht="15.75" thickBot="1">
      <c r="A9" s="212" t="s">
        <v>46</v>
      </c>
      <c r="B9" s="311">
        <f>+B7*B6</f>
        <v>-3158562.8775698766</v>
      </c>
      <c r="C9" s="311">
        <f>+C7*C6</f>
        <v>-1634497.4043141485</v>
      </c>
      <c r="D9" s="311">
        <f>+D7*D6</f>
        <v>-228958.13727337567</v>
      </c>
      <c r="E9" s="311">
        <f t="shared" ref="E9:G9" si="2">+E7*E6</f>
        <v>244567.3037044091</v>
      </c>
      <c r="F9" s="311">
        <f t="shared" si="2"/>
        <v>-103882.31242011377</v>
      </c>
      <c r="G9" s="311">
        <f t="shared" si="2"/>
        <v>-179353.4697305217</v>
      </c>
      <c r="H9" s="218">
        <f>+H7*H6</f>
        <v>-245204.53399044994</v>
      </c>
      <c r="I9" s="218">
        <f t="shared" ref="I9:L9" si="3">+I7*I6</f>
        <v>-1454004.3495618068</v>
      </c>
      <c r="J9" s="218">
        <f t="shared" si="3"/>
        <v>-417705.42769963591</v>
      </c>
      <c r="K9" s="218">
        <f t="shared" si="3"/>
        <v>-30378.79526365512</v>
      </c>
      <c r="L9" s="218">
        <f t="shared" si="3"/>
        <v>575373.90231514734</v>
      </c>
      <c r="M9" s="218">
        <f>+(M7*(M6*(18/31)))+(M8*(M6*(13/31)))</f>
        <v>-670761.04437619552</v>
      </c>
      <c r="N9" s="218">
        <f t="shared" ref="N9:O9" si="4">+N8*N6</f>
        <v>2478608.6687740674</v>
      </c>
      <c r="O9" s="218">
        <f t="shared" si="4"/>
        <v>-1500281.6798446304</v>
      </c>
      <c r="P9" s="218">
        <f>+P8*P6</f>
        <v>138122.12223451654</v>
      </c>
      <c r="Q9" s="218">
        <f>+Q8*Q6</f>
        <v>164818.04706966807</v>
      </c>
      <c r="R9" s="218">
        <f t="shared" ref="R9:S9" si="5">+R8*R6</f>
        <v>264751.57528189517</v>
      </c>
      <c r="S9" s="218">
        <f t="shared" si="5"/>
        <v>-86237.131114037853</v>
      </c>
      <c r="T9" s="218">
        <f>SUM(H9:S9)</f>
        <v>-782898.64617511688</v>
      </c>
    </row>
    <row r="10" spans="1:22" ht="15.75" thickTop="1">
      <c r="B10" s="310"/>
      <c r="C10" s="310"/>
      <c r="D10" s="310"/>
      <c r="E10" s="310"/>
      <c r="F10" s="310"/>
      <c r="G10" s="310"/>
    </row>
    <row r="11" spans="1:22">
      <c r="A11" s="161" t="s">
        <v>57</v>
      </c>
      <c r="B11" s="299"/>
      <c r="C11" s="299"/>
      <c r="D11" s="299"/>
      <c r="E11" s="299"/>
      <c r="F11" s="299"/>
      <c r="G11" s="299"/>
    </row>
    <row r="12" spans="1:22">
      <c r="A12" s="212" t="s">
        <v>58</v>
      </c>
      <c r="B12" s="312">
        <v>-105919.48088277361</v>
      </c>
      <c r="C12" s="312">
        <v>-52558.070889382405</v>
      </c>
      <c r="D12" s="312">
        <v>-8427.5860147068051</v>
      </c>
      <c r="E12" s="312">
        <v>10432.193060683119</v>
      </c>
      <c r="F12" s="312">
        <v>-4705.2456715129483</v>
      </c>
      <c r="G12" s="312">
        <v>-7450.8143842262725</v>
      </c>
      <c r="H12" s="215">
        <f t="array" ref="H12:S12">TRANSPOSE('Load Temp Adj'!F12:F23)/1000</f>
        <v>-9219.1067768805642</v>
      </c>
      <c r="I12" s="215">
        <v>-52210.434437473399</v>
      </c>
      <c r="J12" s="215">
        <v>-14954.02395645976</v>
      </c>
      <c r="K12" s="215">
        <v>-1132.8392474477271</v>
      </c>
      <c r="L12" s="215">
        <v>20354.591291598783</v>
      </c>
      <c r="M12" s="215">
        <v>-23586.418125352629</v>
      </c>
      <c r="N12" s="215">
        <v>83905.327633748675</v>
      </c>
      <c r="O12" s="215">
        <v>-52866.388744541408</v>
      </c>
      <c r="P12" s="215">
        <v>5684.7888911022073</v>
      </c>
      <c r="Q12" s="215">
        <v>10522.398951545874</v>
      </c>
      <c r="R12" s="215">
        <v>17148.010417034344</v>
      </c>
      <c r="S12" s="215">
        <v>-5572.7553521982118</v>
      </c>
      <c r="T12" s="215">
        <f>SUM(H12:S12)</f>
        <v>-21926.849455323823</v>
      </c>
    </row>
    <row r="13" spans="1:22">
      <c r="A13" s="212" t="s">
        <v>197</v>
      </c>
      <c r="B13" s="313">
        <v>33.453100447737889</v>
      </c>
      <c r="C13" s="313">
        <v>33.453100447737889</v>
      </c>
      <c r="D13" s="313">
        <v>33.453100447737889</v>
      </c>
      <c r="E13" s="313">
        <v>33.453100447737889</v>
      </c>
      <c r="F13" s="313">
        <v>33.453100447737889</v>
      </c>
      <c r="G13" s="313">
        <v>33.453100447737889</v>
      </c>
      <c r="H13" s="219">
        <f>G13</f>
        <v>33.453100447737889</v>
      </c>
      <c r="I13" s="219">
        <f t="shared" ref="I13:M13" si="6">H13</f>
        <v>33.453100447737889</v>
      </c>
      <c r="J13" s="219">
        <f t="shared" si="6"/>
        <v>33.453100447737889</v>
      </c>
      <c r="K13" s="219">
        <f t="shared" si="6"/>
        <v>33.453100447737889</v>
      </c>
      <c r="L13" s="219">
        <f t="shared" si="6"/>
        <v>33.453100447737889</v>
      </c>
      <c r="M13" s="219">
        <f t="shared" si="6"/>
        <v>33.453100447737889</v>
      </c>
      <c r="N13" s="219"/>
      <c r="O13" s="219"/>
      <c r="P13" s="219"/>
      <c r="Q13" s="219"/>
      <c r="R13" s="219"/>
      <c r="S13" s="219"/>
    </row>
    <row r="14" spans="1:22">
      <c r="A14" s="212" t="s">
        <v>198</v>
      </c>
      <c r="B14" s="313"/>
      <c r="C14" s="313"/>
      <c r="D14" s="313"/>
      <c r="E14" s="313"/>
      <c r="F14" s="313"/>
      <c r="G14" s="313"/>
      <c r="H14" s="219"/>
      <c r="I14" s="219"/>
      <c r="J14" s="219"/>
      <c r="K14" s="219"/>
      <c r="L14" s="219"/>
      <c r="M14" s="219">
        <f>'Sched B 2017'!$C$29*1000</f>
        <v>32.895000000000003</v>
      </c>
      <c r="N14" s="219">
        <f>'Sched B 2017'!$C$29*1000</f>
        <v>32.895000000000003</v>
      </c>
      <c r="O14" s="219">
        <f>'Sched B 2017'!$C$29*1000</f>
        <v>32.895000000000003</v>
      </c>
      <c r="P14" s="219">
        <f>'Sched B 2017'!$C$29*1000</f>
        <v>32.895000000000003</v>
      </c>
      <c r="Q14" s="219">
        <f>'Sched B 2017'!$C$29*1000</f>
        <v>32.895000000000003</v>
      </c>
      <c r="R14" s="219">
        <f>'Sched B 2017'!$C$29*1000</f>
        <v>32.895000000000003</v>
      </c>
      <c r="S14" s="219">
        <f>'Sched B 2017'!$C$29*1000</f>
        <v>32.895000000000003</v>
      </c>
    </row>
    <row r="15" spans="1:22" ht="15.75" thickBot="1">
      <c r="A15" s="212" t="s">
        <v>59</v>
      </c>
      <c r="B15" s="314">
        <f t="shared" ref="B15:G15" si="7">+B13*B12</f>
        <v>-3543335.0333436788</v>
      </c>
      <c r="C15" s="314">
        <f t="shared" si="7"/>
        <v>-1758230.4248018381</v>
      </c>
      <c r="D15" s="314">
        <f t="shared" si="7"/>
        <v>-281928.88148193777</v>
      </c>
      <c r="E15" s="314">
        <f t="shared" si="7"/>
        <v>348989.20234922657</v>
      </c>
      <c r="F15" s="314">
        <f t="shared" si="7"/>
        <v>-157405.05608040656</v>
      </c>
      <c r="G15" s="314">
        <f t="shared" si="7"/>
        <v>-249252.84201297181</v>
      </c>
      <c r="H15" s="220">
        <f>+H13*H12</f>
        <v>-308407.70504540659</v>
      </c>
      <c r="I15" s="220">
        <f t="shared" ref="I15:L15" si="8">+I13*I12</f>
        <v>-1746600.907656831</v>
      </c>
      <c r="J15" s="220">
        <f t="shared" si="8"/>
        <v>-500258.4655133271</v>
      </c>
      <c r="K15" s="220">
        <f t="shared" si="8"/>
        <v>-37896.98513600861</v>
      </c>
      <c r="L15" s="220">
        <f t="shared" si="8"/>
        <v>680924.18705050496</v>
      </c>
      <c r="M15" s="315">
        <f>+(M13*(M12*(18/31)))+(M14*(M12*(13/31)))</f>
        <v>-783518.59937196714</v>
      </c>
      <c r="N15" s="315">
        <f t="shared" ref="N15:P15" si="9">+N14*N12</f>
        <v>2760065.752512163</v>
      </c>
      <c r="O15" s="315">
        <f t="shared" si="9"/>
        <v>-1739039.8577516899</v>
      </c>
      <c r="P15" s="315">
        <f t="shared" si="9"/>
        <v>187001.13057280713</v>
      </c>
      <c r="Q15" s="315">
        <f>+Q14*Q12</f>
        <v>346134.31351110159</v>
      </c>
      <c r="R15" s="315">
        <f t="shared" ref="R15:S15" si="10">+R14*R12</f>
        <v>564083.80266834481</v>
      </c>
      <c r="S15" s="315">
        <f t="shared" si="10"/>
        <v>-183315.7873105602</v>
      </c>
    </row>
    <row r="16" spans="1:22" ht="15.75" thickTop="1"/>
    <row r="17" spans="2:2">
      <c r="B17" s="416"/>
    </row>
    <row r="18" spans="2:2">
      <c r="B18" s="417"/>
    </row>
  </sheetData>
  <pageMargins left="0.7" right="0.7" top="0.75" bottom="0.75" header="0.3" footer="0.3"/>
  <pageSetup scale="6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workbookViewId="0">
      <selection activeCell="O10" sqref="O10"/>
    </sheetView>
  </sheetViews>
  <sheetFormatPr defaultColWidth="9.140625" defaultRowHeight="12.75"/>
  <cols>
    <col min="1" max="1" width="9.28515625" style="174" bestFit="1" customWidth="1"/>
    <col min="2" max="2" width="40.28515625" style="174" bestFit="1" customWidth="1"/>
    <col min="3" max="4" width="14.42578125" style="174" bestFit="1" customWidth="1"/>
    <col min="5" max="6" width="18.42578125" style="174" customWidth="1"/>
    <col min="7" max="7" width="14.5703125" style="174" bestFit="1" customWidth="1"/>
    <col min="8" max="8" width="5" style="174" bestFit="1" customWidth="1"/>
    <col min="9" max="16384" width="9.140625" style="174"/>
  </cols>
  <sheetData>
    <row r="1" spans="1:8">
      <c r="F1" s="78"/>
    </row>
    <row r="2" spans="1:8">
      <c r="A2" s="79" t="s">
        <v>60</v>
      </c>
      <c r="B2" s="79"/>
      <c r="C2" s="79"/>
      <c r="D2" s="79"/>
      <c r="E2" s="79"/>
      <c r="F2" s="79"/>
    </row>
    <row r="3" spans="1:8">
      <c r="A3" s="79" t="s">
        <v>61</v>
      </c>
      <c r="B3" s="79"/>
      <c r="C3" s="79"/>
      <c r="D3" s="79"/>
      <c r="E3" s="79"/>
      <c r="F3" s="79"/>
    </row>
    <row r="4" spans="1:8">
      <c r="A4" s="80" t="s">
        <v>256</v>
      </c>
      <c r="B4" s="80"/>
      <c r="C4" s="80"/>
      <c r="D4" s="80"/>
      <c r="E4" s="80"/>
      <c r="F4" s="80"/>
    </row>
    <row r="5" spans="1:8" ht="15.75" customHeight="1">
      <c r="A5" s="79"/>
      <c r="B5" s="79"/>
      <c r="C5" s="79"/>
      <c r="D5" s="79"/>
      <c r="E5" s="79"/>
      <c r="F5" s="79"/>
    </row>
    <row r="6" spans="1:8">
      <c r="A6" s="81"/>
    </row>
    <row r="7" spans="1:8">
      <c r="A7" s="82" t="s">
        <v>62</v>
      </c>
      <c r="B7" s="83"/>
      <c r="C7" s="83"/>
      <c r="D7" s="83"/>
    </row>
    <row r="8" spans="1:8">
      <c r="A8" s="84" t="s">
        <v>63</v>
      </c>
      <c r="B8" s="85" t="s">
        <v>64</v>
      </c>
      <c r="C8"/>
      <c r="D8"/>
      <c r="E8" s="86"/>
      <c r="F8" s="86"/>
    </row>
    <row r="9" spans="1:8">
      <c r="A9" s="81"/>
      <c r="B9" s="87"/>
      <c r="C9" s="88"/>
      <c r="D9" s="89"/>
      <c r="E9" s="87"/>
      <c r="F9" s="87"/>
    </row>
    <row r="10" spans="1:8">
      <c r="A10" s="90">
        <v>1</v>
      </c>
      <c r="B10" s="91"/>
      <c r="C10" s="92" t="s">
        <v>65</v>
      </c>
      <c r="D10" s="93" t="s">
        <v>66</v>
      </c>
      <c r="E10" s="94" t="s">
        <v>67</v>
      </c>
      <c r="F10" s="95" t="s">
        <v>68</v>
      </c>
    </row>
    <row r="11" spans="1:8">
      <c r="A11" s="90">
        <f t="shared" ref="A11:A24" si="0">A10+1</f>
        <v>2</v>
      </c>
      <c r="B11" s="91"/>
      <c r="C11" s="96" t="s">
        <v>69</v>
      </c>
      <c r="D11" s="97" t="s">
        <v>69</v>
      </c>
      <c r="E11" s="98" t="s">
        <v>70</v>
      </c>
      <c r="F11" s="99">
        <f>0.073</f>
        <v>7.2999999999999995E-2</v>
      </c>
      <c r="G11" s="198" t="s">
        <v>192</v>
      </c>
      <c r="H11" s="199">
        <f>0.071</f>
        <v>7.0999999999999994E-2</v>
      </c>
    </row>
    <row r="12" spans="1:8">
      <c r="A12" s="90">
        <f t="shared" si="0"/>
        <v>3</v>
      </c>
      <c r="B12" s="100">
        <v>42917</v>
      </c>
      <c r="C12" s="18">
        <f>'[2]CBR Model'!C14</f>
        <v>1674840812</v>
      </c>
      <c r="D12" s="102">
        <f>'[2]CBR Model'!D14</f>
        <v>1664895712.9958138</v>
      </c>
      <c r="E12" s="103">
        <f t="shared" ref="E12:E23" si="1">+D12-C12</f>
        <v>-9945099.0041861534</v>
      </c>
      <c r="F12" s="104">
        <f t="shared" ref="F12:F13" si="2">E12*(1-$F$11)</f>
        <v>-9219106.7768805642</v>
      </c>
      <c r="G12" s="222"/>
    </row>
    <row r="13" spans="1:8">
      <c r="A13" s="90">
        <f t="shared" si="0"/>
        <v>4</v>
      </c>
      <c r="B13" s="100">
        <v>42948</v>
      </c>
      <c r="C13" s="18">
        <f>'[2]CBR Model'!C15</f>
        <v>1762350614</v>
      </c>
      <c r="D13" s="102">
        <f>'[2]CBR Model'!D15</f>
        <v>1706028678.2529953</v>
      </c>
      <c r="E13" s="103">
        <f t="shared" si="1"/>
        <v>-56321935.747004747</v>
      </c>
      <c r="F13" s="104">
        <f t="shared" si="2"/>
        <v>-52210434.437473401</v>
      </c>
      <c r="G13" s="222"/>
    </row>
    <row r="14" spans="1:8">
      <c r="A14" s="90">
        <f t="shared" si="0"/>
        <v>5</v>
      </c>
      <c r="B14" s="100">
        <v>42979</v>
      </c>
      <c r="C14" s="18">
        <f>'[2]CBR Model'!C16</f>
        <v>1614649543</v>
      </c>
      <c r="D14" s="102">
        <f>'[2]CBR Model'!D16</f>
        <v>1598552638.8488054</v>
      </c>
      <c r="E14" s="103">
        <f t="shared" si="1"/>
        <v>-16096904.151194572</v>
      </c>
      <c r="F14" s="104">
        <f>E14*(1-$H$11)</f>
        <v>-14954023.956459759</v>
      </c>
      <c r="G14" s="222"/>
    </row>
    <row r="15" spans="1:8">
      <c r="A15" s="90">
        <f t="shared" si="0"/>
        <v>6</v>
      </c>
      <c r="B15" s="100">
        <v>43009</v>
      </c>
      <c r="C15" s="18">
        <f>'[2]CBR Model'!C17</f>
        <v>1788067702</v>
      </c>
      <c r="D15" s="102">
        <f>'[2]CBR Model'!D17</f>
        <v>1786848284.08025</v>
      </c>
      <c r="E15" s="103">
        <f t="shared" si="1"/>
        <v>-1219417.9197499752</v>
      </c>
      <c r="F15" s="104">
        <f t="shared" ref="F15:F19" si="3">E15*(1-$H$11)</f>
        <v>-1132839.247447727</v>
      </c>
      <c r="G15" s="222"/>
    </row>
    <row r="16" spans="1:8">
      <c r="A16" s="90">
        <f t="shared" si="0"/>
        <v>7</v>
      </c>
      <c r="B16" s="100">
        <v>43040</v>
      </c>
      <c r="C16" s="18">
        <f>'[2]CBR Model'!C18</f>
        <v>2006678704</v>
      </c>
      <c r="D16" s="102">
        <f>'[2]CBR Model'!D18</f>
        <v>2028588920.6755638</v>
      </c>
      <c r="E16" s="103">
        <f t="shared" si="1"/>
        <v>21910216.675563812</v>
      </c>
      <c r="F16" s="104">
        <f t="shared" si="3"/>
        <v>20354591.291598782</v>
      </c>
      <c r="G16" s="222"/>
    </row>
    <row r="17" spans="1:12">
      <c r="A17" s="90">
        <f t="shared" si="0"/>
        <v>8</v>
      </c>
      <c r="B17" s="100">
        <v>43070</v>
      </c>
      <c r="C17" s="18">
        <f>'[2]CBR Model'!C19</f>
        <v>2389752569</v>
      </c>
      <c r="D17" s="102">
        <f>'[2]CBR Model'!D19</f>
        <v>2364363529.0372953</v>
      </c>
      <c r="E17" s="103">
        <f t="shared" si="1"/>
        <v>-25389039.962704659</v>
      </c>
      <c r="F17" s="104">
        <f t="shared" si="3"/>
        <v>-23586418.125352629</v>
      </c>
      <c r="G17" s="222"/>
    </row>
    <row r="18" spans="1:12">
      <c r="A18" s="90">
        <f t="shared" si="0"/>
        <v>9</v>
      </c>
      <c r="B18" s="100">
        <v>43101</v>
      </c>
      <c r="C18" s="18">
        <f>'[2]CBR Model'!C20</f>
        <v>2215266167</v>
      </c>
      <c r="D18" s="102">
        <f>'[2]CBR Model'!D20</f>
        <v>2305584065.4216886</v>
      </c>
      <c r="E18" s="103">
        <f t="shared" si="1"/>
        <v>90317898.421688557</v>
      </c>
      <c r="F18" s="104">
        <f t="shared" si="3"/>
        <v>83905327.63374868</v>
      </c>
      <c r="G18" s="222"/>
    </row>
    <row r="19" spans="1:12">
      <c r="A19" s="90">
        <f t="shared" si="0"/>
        <v>10</v>
      </c>
      <c r="B19" s="100">
        <v>43132</v>
      </c>
      <c r="C19" s="18">
        <f>'[2]CBR Model'!C21</f>
        <v>2064898700</v>
      </c>
      <c r="D19" s="102">
        <f>'[2]CBR Model'!D21</f>
        <v>2007991930.630203</v>
      </c>
      <c r="E19" s="103">
        <f t="shared" si="1"/>
        <v>-56906769.369796991</v>
      </c>
      <c r="F19" s="104">
        <f t="shared" si="3"/>
        <v>-52866388.744541407</v>
      </c>
      <c r="G19" s="222"/>
    </row>
    <row r="20" spans="1:12">
      <c r="A20" s="90">
        <f t="shared" si="0"/>
        <v>11</v>
      </c>
      <c r="B20" s="100">
        <v>43160</v>
      </c>
      <c r="C20" s="18">
        <f>'[2]CBR Model'!C22</f>
        <v>2062414077</v>
      </c>
      <c r="D20" s="102">
        <f>'[2]CBR Model'!D22</f>
        <v>2068533333.0722306</v>
      </c>
      <c r="E20" s="103">
        <f t="shared" si="1"/>
        <v>6119256.0722305775</v>
      </c>
      <c r="F20" s="104">
        <f>E20*(1-$H$11)</f>
        <v>5684788.8911022069</v>
      </c>
      <c r="G20" s="222"/>
    </row>
    <row r="21" spans="1:12">
      <c r="A21" s="90">
        <f t="shared" si="0"/>
        <v>12</v>
      </c>
      <c r="B21" s="100">
        <v>43191</v>
      </c>
      <c r="C21" s="18">
        <f>'[2]CBR Model'!C23</f>
        <v>1768077599</v>
      </c>
      <c r="D21" s="102">
        <f>'[2]CBR Model'!D23</f>
        <v>1779404185.600157</v>
      </c>
      <c r="E21" s="103">
        <f t="shared" si="1"/>
        <v>11326586.600157022</v>
      </c>
      <c r="F21" s="104">
        <f t="shared" ref="F21:F23" si="4">E21*(1-$H$11)</f>
        <v>10522398.951545874</v>
      </c>
    </row>
    <row r="22" spans="1:12">
      <c r="A22" s="90">
        <f t="shared" si="0"/>
        <v>13</v>
      </c>
      <c r="B22" s="100">
        <v>43221</v>
      </c>
      <c r="C22" s="18">
        <f>'[2]CBR Model'!C24</f>
        <v>1593061438</v>
      </c>
      <c r="D22" s="102">
        <f>'[2]CBR Model'!D24</f>
        <v>1611520006.8019745</v>
      </c>
      <c r="E22" s="103">
        <f t="shared" si="1"/>
        <v>18458568.801974535</v>
      </c>
      <c r="F22" s="104">
        <f t="shared" si="4"/>
        <v>17148010.417034343</v>
      </c>
    </row>
    <row r="23" spans="1:12">
      <c r="A23" s="90">
        <f t="shared" si="0"/>
        <v>14</v>
      </c>
      <c r="B23" s="100">
        <v>43252</v>
      </c>
      <c r="C23" s="200">
        <f>'[2]CBR Model'!C25</f>
        <v>1565951960</v>
      </c>
      <c r="D23" s="102">
        <f>'[2]CBR Model'!D25</f>
        <v>1559953299.7715843</v>
      </c>
      <c r="E23" s="103">
        <f t="shared" si="1"/>
        <v>-5998660.2284157276</v>
      </c>
      <c r="F23" s="104">
        <f t="shared" si="4"/>
        <v>-5572755.3521982115</v>
      </c>
    </row>
    <row r="24" spans="1:12">
      <c r="A24" s="90">
        <f t="shared" si="0"/>
        <v>15</v>
      </c>
      <c r="C24" s="201">
        <f>SUM(C12:C23)</f>
        <v>22506009885</v>
      </c>
      <c r="D24" s="107">
        <f>SUM(D12:D23)</f>
        <v>22482264585.188564</v>
      </c>
      <c r="E24" s="107">
        <f>SUM(E12:E23)</f>
        <v>-23745299.811438322</v>
      </c>
      <c r="F24" s="107">
        <f>SUM(F12:F23)</f>
        <v>-21926849.455323808</v>
      </c>
    </row>
    <row r="25" spans="1:12">
      <c r="A25"/>
      <c r="B25"/>
      <c r="C25"/>
      <c r="D25"/>
      <c r="E25"/>
      <c r="F25"/>
      <c r="G25"/>
      <c r="H25"/>
      <c r="I25"/>
      <c r="J25"/>
      <c r="K25"/>
      <c r="L25"/>
    </row>
    <row r="26" spans="1:12">
      <c r="A26"/>
      <c r="B26"/>
      <c r="C26"/>
      <c r="D26"/>
      <c r="E26"/>
      <c r="F26"/>
      <c r="G26"/>
      <c r="H26"/>
      <c r="I26"/>
      <c r="J26"/>
      <c r="K26"/>
      <c r="L26"/>
    </row>
    <row r="27" spans="1:12">
      <c r="A27"/>
      <c r="B27"/>
      <c r="C27"/>
      <c r="D27"/>
      <c r="E27"/>
      <c r="F27"/>
      <c r="G27"/>
      <c r="H27"/>
      <c r="I27"/>
      <c r="J27"/>
      <c r="K27"/>
      <c r="L27"/>
    </row>
    <row r="28" spans="1:12">
      <c r="A28"/>
      <c r="B28"/>
      <c r="C28"/>
      <c r="D28"/>
      <c r="E28"/>
      <c r="F28"/>
      <c r="G28"/>
      <c r="H28"/>
      <c r="I28"/>
      <c r="J28"/>
      <c r="K28"/>
      <c r="L28"/>
    </row>
    <row r="29" spans="1:12">
      <c r="A29"/>
      <c r="B29"/>
      <c r="C29"/>
      <c r="D29"/>
      <c r="E29"/>
      <c r="F29"/>
      <c r="G29"/>
      <c r="H29"/>
      <c r="I29"/>
      <c r="J29"/>
      <c r="K29"/>
      <c r="L29"/>
    </row>
    <row r="30" spans="1:12">
      <c r="A30"/>
      <c r="B30"/>
      <c r="C30"/>
      <c r="D30"/>
      <c r="E30"/>
      <c r="F30"/>
      <c r="G30"/>
      <c r="H30"/>
      <c r="I30"/>
      <c r="J30"/>
      <c r="K30"/>
      <c r="L30"/>
    </row>
    <row r="31" spans="1:12">
      <c r="A31"/>
      <c r="B31"/>
      <c r="C31"/>
      <c r="D31"/>
      <c r="E31"/>
      <c r="F31"/>
      <c r="G31"/>
      <c r="H31"/>
      <c r="I31"/>
      <c r="J31"/>
      <c r="K31"/>
      <c r="L31"/>
    </row>
    <row r="32" spans="1:12">
      <c r="A32"/>
      <c r="B32"/>
      <c r="C32"/>
      <c r="D32"/>
      <c r="E32"/>
      <c r="F32"/>
      <c r="G32"/>
      <c r="H32"/>
      <c r="I32"/>
      <c r="J32"/>
      <c r="K32"/>
      <c r="L32"/>
    </row>
    <row r="33" spans="1:12">
      <c r="A33"/>
      <c r="B33"/>
      <c r="C33"/>
      <c r="D33"/>
      <c r="E33"/>
      <c r="F33"/>
      <c r="G33"/>
      <c r="H33"/>
      <c r="I33"/>
      <c r="J33"/>
      <c r="K33"/>
      <c r="L33"/>
    </row>
    <row r="34" spans="1:12">
      <c r="A34"/>
      <c r="B34"/>
      <c r="C34"/>
      <c r="D34"/>
      <c r="E34"/>
      <c r="F34"/>
      <c r="G34"/>
      <c r="H34"/>
      <c r="I34"/>
      <c r="J34"/>
      <c r="K34"/>
      <c r="L34"/>
    </row>
    <row r="35" spans="1:12">
      <c r="A35"/>
      <c r="B35"/>
      <c r="C35"/>
      <c r="D35"/>
      <c r="E35"/>
      <c r="F35"/>
      <c r="G35"/>
      <c r="H35"/>
      <c r="I35"/>
      <c r="J35"/>
      <c r="K35"/>
      <c r="L35"/>
    </row>
    <row r="36" spans="1:12">
      <c r="A36"/>
      <c r="B36"/>
      <c r="C36"/>
      <c r="D36"/>
      <c r="E36"/>
      <c r="F36"/>
      <c r="G36"/>
      <c r="H36"/>
      <c r="I36"/>
      <c r="J36"/>
      <c r="K36"/>
      <c r="L36"/>
    </row>
    <row r="37" spans="1:12">
      <c r="A37"/>
      <c r="B37"/>
      <c r="C37"/>
      <c r="D37"/>
      <c r="E37"/>
      <c r="F37"/>
      <c r="G37"/>
      <c r="H37"/>
      <c r="I37"/>
      <c r="J37"/>
      <c r="K37"/>
      <c r="L37"/>
    </row>
    <row r="38" spans="1:12">
      <c r="A38"/>
      <c r="B38"/>
      <c r="C38"/>
      <c r="D38"/>
      <c r="E38"/>
      <c r="F38"/>
      <c r="G38"/>
      <c r="H38"/>
      <c r="I38"/>
      <c r="J38"/>
      <c r="K38"/>
      <c r="L38"/>
    </row>
    <row r="39" spans="1:12">
      <c r="A39"/>
      <c r="B39"/>
      <c r="C39"/>
      <c r="D39"/>
      <c r="E39"/>
      <c r="F39"/>
      <c r="G39"/>
      <c r="H39"/>
      <c r="I39"/>
      <c r="J39"/>
      <c r="K39"/>
      <c r="L39"/>
    </row>
    <row r="40" spans="1:12">
      <c r="A40"/>
      <c r="B40"/>
      <c r="C40"/>
      <c r="D40"/>
      <c r="E40"/>
      <c r="F40"/>
      <c r="G40"/>
      <c r="H40"/>
      <c r="I40"/>
      <c r="J40"/>
      <c r="K40"/>
      <c r="L40"/>
    </row>
    <row r="41" spans="1:12">
      <c r="A41"/>
      <c r="B41"/>
      <c r="C41"/>
      <c r="D41"/>
      <c r="E41"/>
      <c r="F41"/>
      <c r="G41"/>
      <c r="H41"/>
      <c r="I41"/>
      <c r="J41"/>
      <c r="K41"/>
      <c r="L41"/>
    </row>
    <row r="42" spans="1:12">
      <c r="A42"/>
      <c r="B42"/>
      <c r="C42"/>
      <c r="D42"/>
      <c r="E42"/>
      <c r="F42"/>
      <c r="G42"/>
      <c r="H42"/>
      <c r="I42"/>
      <c r="J42"/>
      <c r="K42"/>
      <c r="L42"/>
    </row>
    <row r="43" spans="1:12">
      <c r="A43"/>
      <c r="B43"/>
      <c r="C43"/>
      <c r="D43"/>
      <c r="E43"/>
      <c r="F43"/>
      <c r="G43"/>
      <c r="H43"/>
      <c r="I43"/>
      <c r="J43"/>
      <c r="K43"/>
      <c r="L43"/>
    </row>
    <row r="44" spans="1:12">
      <c r="A44"/>
      <c r="B44"/>
      <c r="C44"/>
      <c r="D44"/>
      <c r="E44"/>
      <c r="F44"/>
      <c r="G44"/>
      <c r="H44"/>
      <c r="I44"/>
      <c r="J44"/>
      <c r="K44"/>
      <c r="L44"/>
    </row>
    <row r="45" spans="1:12">
      <c r="A45"/>
      <c r="B45"/>
      <c r="C45"/>
      <c r="D45"/>
      <c r="E45"/>
      <c r="F45"/>
      <c r="G45"/>
      <c r="H45"/>
      <c r="I45"/>
      <c r="J45"/>
      <c r="K45"/>
      <c r="L45"/>
    </row>
    <row r="46" spans="1:12">
      <c r="A46"/>
      <c r="B46"/>
      <c r="C46"/>
      <c r="D46"/>
      <c r="E46"/>
      <c r="F46"/>
      <c r="G46"/>
      <c r="H46"/>
      <c r="I46"/>
      <c r="J46"/>
      <c r="K46"/>
      <c r="L46"/>
    </row>
    <row r="47" spans="1:12">
      <c r="A47"/>
      <c r="B47"/>
      <c r="C47"/>
      <c r="D47"/>
      <c r="E47"/>
      <c r="F47"/>
      <c r="G47"/>
      <c r="H47"/>
      <c r="I47"/>
      <c r="J47"/>
      <c r="K47"/>
      <c r="L47"/>
    </row>
    <row r="48" spans="1:12">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s="110"/>
      <c r="B51" s="87"/>
      <c r="C51" s="87"/>
      <c r="D51" s="87"/>
      <c r="E51" s="87"/>
      <c r="F51" s="87"/>
    </row>
    <row r="52" spans="1:12">
      <c r="A52" s="110"/>
      <c r="B52" s="87"/>
      <c r="C52" s="87"/>
      <c r="D52" s="87"/>
      <c r="E52" s="87"/>
      <c r="F52" s="87"/>
    </row>
  </sheetData>
  <printOptions horizontalCentered="1"/>
  <pageMargins left="0.75" right="0.75" top="1" bottom="1" header="0.5" footer="0.5"/>
  <pageSetup scale="39" orientation="landscape" r:id="rId1"/>
  <headerFooter alignWithMargins="0">
    <oddFooter xml:space="preserve">&amp;L&amp;F 
&amp;A&amp;R&amp;D
Page &amp;P of &amp;N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0"/>
  <sheetViews>
    <sheetView zoomScale="80" zoomScaleNormal="80" workbookViewId="0">
      <pane xSplit="1" ySplit="3" topLeftCell="B4" activePane="bottomRight" state="frozen"/>
      <selection activeCell="O10" sqref="O10"/>
      <selection pane="topRight" activeCell="O10" sqref="O10"/>
      <selection pane="bottomLeft" activeCell="O10" sqref="O10"/>
      <selection pane="bottomRight" activeCell="O10" sqref="O10"/>
    </sheetView>
  </sheetViews>
  <sheetFormatPr defaultColWidth="9.140625" defaultRowHeight="12.75" outlineLevelRow="1"/>
  <cols>
    <col min="1" max="1" width="47.5703125" style="27" customWidth="1"/>
    <col min="2" max="2" width="20.85546875" style="174" bestFit="1" customWidth="1"/>
    <col min="3" max="3" width="13.85546875" style="174" customWidth="1"/>
    <col min="4" max="4" width="15" style="174" customWidth="1"/>
    <col min="5" max="7" width="12.7109375" style="174" customWidth="1"/>
    <col min="8" max="8" width="15.42578125" style="174" customWidth="1"/>
    <col min="9" max="10" width="14" style="174" customWidth="1"/>
    <col min="11" max="11" width="14.140625" style="174" customWidth="1"/>
    <col min="12" max="13" width="13.42578125" style="174" bestFit="1" customWidth="1"/>
    <col min="14" max="14" width="15.28515625" style="174" customWidth="1"/>
    <col min="15" max="15" width="14.7109375" style="27" customWidth="1"/>
    <col min="16" max="16" width="12.140625" style="27" bestFit="1" customWidth="1"/>
    <col min="17" max="17" width="12.28515625" style="27" bestFit="1" customWidth="1"/>
    <col min="18" max="18" width="10.5703125" style="27" bestFit="1" customWidth="1"/>
    <col min="19" max="16384" width="9.140625" style="27"/>
  </cols>
  <sheetData>
    <row r="1" spans="1:18">
      <c r="B1" s="111"/>
      <c r="C1" s="111"/>
      <c r="D1" s="111"/>
      <c r="E1" s="111"/>
      <c r="F1" s="111"/>
      <c r="G1" s="111"/>
      <c r="H1" s="111"/>
      <c r="I1" s="111"/>
      <c r="J1" s="111"/>
      <c r="K1" s="111"/>
      <c r="L1" s="111"/>
      <c r="M1" s="111"/>
    </row>
    <row r="2" spans="1:18" s="26" customFormat="1" ht="15">
      <c r="B2" s="112">
        <f>'Summary Normalization'!H2</f>
        <v>42917</v>
      </c>
      <c r="C2" s="112">
        <f>'Summary Normalization'!I2</f>
        <v>42948</v>
      </c>
      <c r="D2" s="112">
        <f>'Summary Normalization'!J2</f>
        <v>42979</v>
      </c>
      <c r="E2" s="112">
        <f>'Summary Normalization'!K2</f>
        <v>43009</v>
      </c>
      <c r="F2" s="112">
        <f>'Summary Normalization'!L2</f>
        <v>43040</v>
      </c>
      <c r="G2" s="112">
        <f>'Summary Normalization'!M2</f>
        <v>43070</v>
      </c>
      <c r="H2" s="112">
        <f>'Summary Normalization'!N2</f>
        <v>43101</v>
      </c>
      <c r="I2" s="112">
        <f>'Summary Normalization'!O2</f>
        <v>43132</v>
      </c>
      <c r="J2" s="112">
        <f>'Summary Normalization'!P2</f>
        <v>43160</v>
      </c>
      <c r="K2" s="112">
        <f>'Summary Normalization'!Q2</f>
        <v>43191</v>
      </c>
      <c r="L2" s="112">
        <f>'Summary Normalization'!R2</f>
        <v>43221</v>
      </c>
      <c r="M2" s="112">
        <f>'Summary Normalization'!S2</f>
        <v>43252</v>
      </c>
      <c r="N2" s="113" t="s">
        <v>71</v>
      </c>
    </row>
    <row r="3" spans="1:18">
      <c r="A3" s="114" t="s">
        <v>72</v>
      </c>
      <c r="B3" s="115"/>
      <c r="C3" s="115"/>
      <c r="D3" s="115"/>
      <c r="E3" s="115"/>
      <c r="F3" s="115"/>
      <c r="G3" s="115"/>
      <c r="H3" s="115"/>
      <c r="I3" s="115"/>
      <c r="J3" s="115"/>
      <c r="K3" s="115"/>
      <c r="L3" s="115"/>
      <c r="M3" s="115"/>
      <c r="O3" s="202"/>
    </row>
    <row r="4" spans="1:18">
      <c r="A4" s="27" t="s">
        <v>73</v>
      </c>
      <c r="B4" s="508">
        <v>10573.3</v>
      </c>
      <c r="C4" s="508">
        <v>3426</v>
      </c>
      <c r="D4" s="508">
        <v>2768</v>
      </c>
      <c r="E4" s="508">
        <v>13076</v>
      </c>
      <c r="F4" s="508">
        <v>20136</v>
      </c>
      <c r="G4" s="508">
        <v>21902</v>
      </c>
      <c r="H4" s="508">
        <v>25609</v>
      </c>
      <c r="I4" s="508">
        <v>22150</v>
      </c>
      <c r="J4" s="508">
        <v>22574</v>
      </c>
      <c r="K4" s="508">
        <v>19123</v>
      </c>
      <c r="L4" s="508">
        <v>25508</v>
      </c>
      <c r="M4" s="508">
        <v>11754</v>
      </c>
      <c r="N4" s="109">
        <f>SUM(B4:M4)</f>
        <v>198599.3</v>
      </c>
      <c r="O4" s="202"/>
    </row>
    <row r="5" spans="1:18">
      <c r="A5" s="27" t="s">
        <v>74</v>
      </c>
      <c r="B5" s="508">
        <v>36678.78</v>
      </c>
      <c r="C5" s="508">
        <v>19203.599999999999</v>
      </c>
      <c r="D5" s="508">
        <v>14037.1</v>
      </c>
      <c r="E5" s="508">
        <v>34614.800000000003</v>
      </c>
      <c r="F5" s="508">
        <v>39516</v>
      </c>
      <c r="G5" s="508">
        <v>28307.200000000001</v>
      </c>
      <c r="H5" s="508">
        <v>44308.2</v>
      </c>
      <c r="I5" s="508">
        <v>35106.1</v>
      </c>
      <c r="J5" s="508">
        <v>15214.7</v>
      </c>
      <c r="K5" s="508">
        <v>16843.599999999999</v>
      </c>
      <c r="L5" s="508">
        <v>38057.300000000003</v>
      </c>
      <c r="M5" s="508">
        <v>39639.1</v>
      </c>
      <c r="N5" s="109">
        <f t="shared" ref="N5:N8" si="0">SUM(B5:M5)</f>
        <v>361526.47999999992</v>
      </c>
      <c r="O5" s="202"/>
    </row>
    <row r="6" spans="1:18">
      <c r="A6" s="27" t="s">
        <v>75</v>
      </c>
      <c r="B6" s="508">
        <v>35748</v>
      </c>
      <c r="C6" s="508">
        <v>19616.2</v>
      </c>
      <c r="D6" s="508">
        <v>16830.599999999999</v>
      </c>
      <c r="E6" s="508">
        <v>41929</v>
      </c>
      <c r="F6" s="508">
        <v>37703.599999999999</v>
      </c>
      <c r="G6" s="508">
        <v>20547.5</v>
      </c>
      <c r="H6" s="508">
        <v>36415.699999999997</v>
      </c>
      <c r="I6" s="508">
        <v>24866</v>
      </c>
      <c r="J6" s="508">
        <v>9478</v>
      </c>
      <c r="K6" s="508">
        <v>19530.5</v>
      </c>
      <c r="L6" s="508">
        <v>17024.18</v>
      </c>
      <c r="M6" s="508">
        <v>37877.5</v>
      </c>
      <c r="N6" s="109">
        <f t="shared" si="0"/>
        <v>317566.77999999997</v>
      </c>
      <c r="O6" s="202"/>
    </row>
    <row r="7" spans="1:18">
      <c r="A7" s="27" t="s">
        <v>76</v>
      </c>
      <c r="B7" s="508">
        <v>304802</v>
      </c>
      <c r="C7" s="508">
        <v>241693</v>
      </c>
      <c r="D7" s="508">
        <v>201234</v>
      </c>
      <c r="E7" s="508">
        <v>162595</v>
      </c>
      <c r="F7" s="508">
        <v>206245</v>
      </c>
      <c r="G7" s="508">
        <v>277059</v>
      </c>
      <c r="H7" s="508">
        <v>357393</v>
      </c>
      <c r="I7" s="508">
        <v>356886</v>
      </c>
      <c r="J7" s="508">
        <v>326583</v>
      </c>
      <c r="K7" s="508">
        <v>358764</v>
      </c>
      <c r="L7" s="508">
        <v>365481</v>
      </c>
      <c r="M7" s="508">
        <v>370563</v>
      </c>
      <c r="N7" s="109">
        <f t="shared" si="0"/>
        <v>3529298</v>
      </c>
      <c r="O7" s="202"/>
    </row>
    <row r="8" spans="1:18">
      <c r="A8" s="33" t="s">
        <v>77</v>
      </c>
      <c r="B8" s="508">
        <v>-10192</v>
      </c>
      <c r="C8" s="508">
        <v>-10584</v>
      </c>
      <c r="D8" s="508">
        <v>-10192</v>
      </c>
      <c r="E8" s="508">
        <v>-10116</v>
      </c>
      <c r="F8" s="508">
        <v>-9984</v>
      </c>
      <c r="G8" s="508">
        <v>-9984</v>
      </c>
      <c r="H8" s="508">
        <v>-10368</v>
      </c>
      <c r="I8" s="508">
        <v>-9216</v>
      </c>
      <c r="J8" s="508">
        <v>-10368</v>
      </c>
      <c r="K8" s="508">
        <v>-9600</v>
      </c>
      <c r="L8" s="508">
        <v>-10368</v>
      </c>
      <c r="M8" s="508">
        <v>-9984</v>
      </c>
      <c r="N8" s="109">
        <f t="shared" si="0"/>
        <v>-120956</v>
      </c>
      <c r="O8" s="202"/>
    </row>
    <row r="9" spans="1:18" ht="13.5" thickBot="1">
      <c r="A9" s="204" t="s">
        <v>78</v>
      </c>
      <c r="B9" s="117">
        <f t="shared" ref="B9:N9" si="1">SUM(B4:B8)</f>
        <v>377610.08</v>
      </c>
      <c r="C9" s="117">
        <f t="shared" si="1"/>
        <v>273354.8</v>
      </c>
      <c r="D9" s="117">
        <f t="shared" si="1"/>
        <v>224677.7</v>
      </c>
      <c r="E9" s="117">
        <f t="shared" si="1"/>
        <v>242098.8</v>
      </c>
      <c r="F9" s="117">
        <f t="shared" si="1"/>
        <v>293616.59999999998</v>
      </c>
      <c r="G9" s="117">
        <f t="shared" si="1"/>
        <v>337831.7</v>
      </c>
      <c r="H9" s="117">
        <f t="shared" si="1"/>
        <v>453357.9</v>
      </c>
      <c r="I9" s="117">
        <f t="shared" si="1"/>
        <v>429792.1</v>
      </c>
      <c r="J9" s="117">
        <f t="shared" si="1"/>
        <v>363481.7</v>
      </c>
      <c r="K9" s="117">
        <f t="shared" si="1"/>
        <v>404661.1</v>
      </c>
      <c r="L9" s="117">
        <f t="shared" si="1"/>
        <v>435702.48</v>
      </c>
      <c r="M9" s="117">
        <f t="shared" si="1"/>
        <v>449849.59999999998</v>
      </c>
      <c r="N9" s="117">
        <f t="shared" si="1"/>
        <v>4286034.5599999996</v>
      </c>
      <c r="O9" s="203"/>
    </row>
    <row r="10" spans="1:18">
      <c r="B10" s="181"/>
      <c r="C10" s="181"/>
      <c r="D10" s="181"/>
      <c r="E10" s="181"/>
      <c r="F10" s="181"/>
      <c r="G10" s="181"/>
      <c r="H10" s="181"/>
      <c r="I10" s="181"/>
      <c r="J10" s="181"/>
      <c r="K10" s="181"/>
      <c r="L10" s="181"/>
      <c r="M10" s="181"/>
      <c r="N10" s="181"/>
      <c r="O10" s="33"/>
    </row>
    <row r="11" spans="1:18">
      <c r="A11" s="114" t="s">
        <v>79</v>
      </c>
      <c r="B11" s="181"/>
      <c r="C11" s="181"/>
      <c r="D11" s="181"/>
      <c r="E11" s="181"/>
      <c r="F11" s="181"/>
      <c r="G11" s="181"/>
      <c r="H11" s="181"/>
      <c r="I11" s="181"/>
      <c r="J11" s="181"/>
      <c r="K11" s="181"/>
      <c r="L11" s="181"/>
      <c r="M11" s="181"/>
      <c r="N11" s="181"/>
      <c r="O11" s="33"/>
    </row>
    <row r="12" spans="1:18" outlineLevel="1">
      <c r="A12" s="118" t="s">
        <v>80</v>
      </c>
      <c r="B12" s="109"/>
      <c r="C12" s="109"/>
      <c r="D12" s="109"/>
      <c r="E12" s="109"/>
      <c r="F12" s="109"/>
      <c r="G12" s="109"/>
      <c r="H12" s="109"/>
      <c r="I12" s="109"/>
      <c r="J12" s="109"/>
      <c r="K12" s="109"/>
      <c r="L12" s="109"/>
      <c r="M12" s="109"/>
      <c r="O12" s="205"/>
    </row>
    <row r="13" spans="1:18" outlineLevel="1">
      <c r="A13" s="27" t="s">
        <v>81</v>
      </c>
      <c r="B13" s="109">
        <v>58875.974999999999</v>
      </c>
      <c r="C13" s="109">
        <v>53935.275000000001</v>
      </c>
      <c r="D13" s="109">
        <v>35856</v>
      </c>
      <c r="E13" s="109">
        <v>39829.574999999997</v>
      </c>
      <c r="F13" s="109">
        <v>49434.75</v>
      </c>
      <c r="G13" s="109">
        <v>57929.7</v>
      </c>
      <c r="H13" s="109">
        <v>61138.2</v>
      </c>
      <c r="I13" s="109">
        <v>50843.1</v>
      </c>
      <c r="J13" s="109">
        <v>54116.7</v>
      </c>
      <c r="K13" s="109">
        <v>59207.625</v>
      </c>
      <c r="L13" s="109">
        <v>73842</v>
      </c>
      <c r="M13" s="109">
        <v>65630.25</v>
      </c>
      <c r="N13" s="109">
        <f t="shared" ref="N13" si="2">SUM(B13:M13)</f>
        <v>660639.15</v>
      </c>
      <c r="O13" s="203"/>
      <c r="P13" s="206"/>
      <c r="Q13" s="206"/>
    </row>
    <row r="14" spans="1:18" outlineLevel="1">
      <c r="A14" s="27" t="s">
        <v>82</v>
      </c>
      <c r="B14" s="109">
        <v>150136.875</v>
      </c>
      <c r="C14" s="109">
        <v>130571.625</v>
      </c>
      <c r="D14" s="109">
        <v>76871.25</v>
      </c>
      <c r="E14" s="109">
        <v>85936.65</v>
      </c>
      <c r="F14" s="109">
        <v>108123.75</v>
      </c>
      <c r="G14" s="109">
        <v>128216.77499999999</v>
      </c>
      <c r="H14" s="109">
        <v>136249.65</v>
      </c>
      <c r="I14" s="109">
        <v>112478.1</v>
      </c>
      <c r="J14" s="109">
        <v>119086.5</v>
      </c>
      <c r="K14" s="109">
        <v>137418.75</v>
      </c>
      <c r="L14" s="109">
        <v>182277.67499999999</v>
      </c>
      <c r="M14" s="109">
        <v>167031.00000000003</v>
      </c>
      <c r="N14" s="109">
        <f>SUM(B14:M14)</f>
        <v>1534398.6</v>
      </c>
      <c r="O14" s="203"/>
      <c r="P14" s="206"/>
      <c r="Q14" s="206"/>
    </row>
    <row r="15" spans="1:18" outlineLevel="1">
      <c r="A15" s="27" t="s">
        <v>83</v>
      </c>
      <c r="B15" s="109">
        <v>125567.77043999999</v>
      </c>
      <c r="C15" s="109">
        <v>112324.13913</v>
      </c>
      <c r="D15" s="109">
        <v>68939.1927</v>
      </c>
      <c r="E15" s="109">
        <v>75748.732499999998</v>
      </c>
      <c r="F15" s="109">
        <v>94984.740900000004</v>
      </c>
      <c r="G15" s="109">
        <v>111610.54527</v>
      </c>
      <c r="H15" s="109">
        <v>116097.09405</v>
      </c>
      <c r="I15" s="109">
        <v>96538.721999999994</v>
      </c>
      <c r="J15" s="109">
        <v>102239.9406</v>
      </c>
      <c r="K15" s="109">
        <v>110965.27995</v>
      </c>
      <c r="L15" s="109">
        <v>138129.55106999999</v>
      </c>
      <c r="M15" s="109">
        <v>130477.9203</v>
      </c>
      <c r="N15" s="109">
        <f>SUM(B15:M15)</f>
        <v>1283623.62891</v>
      </c>
      <c r="O15" s="203"/>
      <c r="P15" s="206"/>
      <c r="Q15" s="206"/>
    </row>
    <row r="16" spans="1:18" outlineLevel="1">
      <c r="A16" s="27" t="s">
        <v>84</v>
      </c>
      <c r="B16" s="109">
        <v>2698.2796800000001</v>
      </c>
      <c r="C16" s="109">
        <v>2281.6320000000001</v>
      </c>
      <c r="D16" s="109">
        <v>1664.4672</v>
      </c>
      <c r="E16" s="109">
        <v>1859.2857600000002</v>
      </c>
      <c r="F16" s="109">
        <v>2348.1792</v>
      </c>
      <c r="G16" s="109">
        <v>2771.7868800000001</v>
      </c>
      <c r="H16" s="109">
        <v>2835.4732800000002</v>
      </c>
      <c r="I16" s="109">
        <v>2372.3212800000001</v>
      </c>
      <c r="J16" s="109">
        <v>2502.8755200000001</v>
      </c>
      <c r="K16" s="109">
        <v>2514.5856000000003</v>
      </c>
      <c r="L16" s="109">
        <v>3000.5222399999998</v>
      </c>
      <c r="M16" s="109">
        <v>2812.4928</v>
      </c>
      <c r="N16" s="109">
        <f t="shared" ref="N16:N17" si="3">SUM(B16:M16)</f>
        <v>29661.901440000001</v>
      </c>
      <c r="O16" s="203"/>
      <c r="P16" s="206"/>
      <c r="Q16" s="206"/>
      <c r="R16" s="206"/>
    </row>
    <row r="17" spans="1:16" outlineLevel="1">
      <c r="A17" s="27" t="s">
        <v>85</v>
      </c>
      <c r="B17" s="106">
        <v>3017.7830399999998</v>
      </c>
      <c r="C17" s="106">
        <v>2697.8361600000003</v>
      </c>
      <c r="D17" s="106">
        <v>1638.8352</v>
      </c>
      <c r="E17" s="106">
        <v>1839.9417600000002</v>
      </c>
      <c r="F17" s="106">
        <v>2403.4176000000002</v>
      </c>
      <c r="G17" s="106">
        <v>2875.53024</v>
      </c>
      <c r="H17" s="106">
        <v>2969.0361600000001</v>
      </c>
      <c r="I17" s="106">
        <v>2470.5408000000002</v>
      </c>
      <c r="J17" s="106">
        <v>2633.2838400000001</v>
      </c>
      <c r="K17" s="106">
        <v>2777.2128000000002</v>
      </c>
      <c r="L17" s="106">
        <v>3316.1568000000002</v>
      </c>
      <c r="M17" s="106">
        <v>3138.7392</v>
      </c>
      <c r="N17" s="106">
        <f t="shared" si="3"/>
        <v>31778.313600000001</v>
      </c>
      <c r="O17" s="203"/>
    </row>
    <row r="18" spans="1:16" outlineLevel="1">
      <c r="A18" s="207" t="s">
        <v>86</v>
      </c>
      <c r="B18" s="120">
        <f t="shared" ref="B18:N18" si="4">SUM(B13:B17)</f>
        <v>340296.68315999996</v>
      </c>
      <c r="C18" s="120">
        <f t="shared" si="4"/>
        <v>301810.50728999998</v>
      </c>
      <c r="D18" s="120">
        <f t="shared" si="4"/>
        <v>184969.74510000003</v>
      </c>
      <c r="E18" s="120">
        <f t="shared" si="4"/>
        <v>205214.18501999998</v>
      </c>
      <c r="F18" s="120">
        <f t="shared" si="4"/>
        <v>257294.8377</v>
      </c>
      <c r="G18" s="120">
        <f t="shared" si="4"/>
        <v>303404.33739</v>
      </c>
      <c r="H18" s="120">
        <f t="shared" si="4"/>
        <v>319289.45348999999</v>
      </c>
      <c r="I18" s="120">
        <f t="shared" si="4"/>
        <v>264702.78408000001</v>
      </c>
      <c r="J18" s="120">
        <f t="shared" si="4"/>
        <v>280579.29996000003</v>
      </c>
      <c r="K18" s="120">
        <f t="shared" si="4"/>
        <v>312883.45334999997</v>
      </c>
      <c r="L18" s="120">
        <f t="shared" si="4"/>
        <v>400565.90510999999</v>
      </c>
      <c r="M18" s="120">
        <f t="shared" si="4"/>
        <v>369090.40230000002</v>
      </c>
      <c r="N18" s="120">
        <f t="shared" si="4"/>
        <v>3540101.5939500001</v>
      </c>
      <c r="O18" s="203"/>
      <c r="P18" s="206"/>
    </row>
    <row r="19" spans="1:16" outlineLevel="1">
      <c r="B19" s="109"/>
      <c r="O19" s="203"/>
      <c r="P19" s="206"/>
    </row>
    <row r="20" spans="1:16" outlineLevel="1">
      <c r="A20" s="27" t="s">
        <v>87</v>
      </c>
      <c r="B20" s="420">
        <v>-14236.716841407</v>
      </c>
      <c r="C20" s="420">
        <v>-14236.716841406998</v>
      </c>
      <c r="D20" s="420">
        <v>-13777.467911039032</v>
      </c>
      <c r="E20" s="420">
        <v>-14236.716841406998</v>
      </c>
      <c r="F20" s="420">
        <v>-13777.467911039032</v>
      </c>
      <c r="G20" s="420">
        <v>-14236.716841406998</v>
      </c>
      <c r="H20" s="420">
        <v>-14236.716841406998</v>
      </c>
      <c r="I20" s="420">
        <v>-12858.970050303096</v>
      </c>
      <c r="J20" s="420">
        <v>-14236.716841406998</v>
      </c>
      <c r="K20" s="420">
        <v>-13485.886312610282</v>
      </c>
      <c r="L20" s="420">
        <v>-13935.415856363958</v>
      </c>
      <c r="M20" s="420">
        <v>-13485.886312610282</v>
      </c>
      <c r="N20" s="109">
        <f>SUM(B20:M20)</f>
        <v>-166741.39540240771</v>
      </c>
      <c r="O20" s="203"/>
      <c r="P20" s="206"/>
    </row>
    <row r="21" spans="1:16" outlineLevel="1">
      <c r="B21" s="105"/>
      <c r="C21" s="105"/>
      <c r="D21" s="105"/>
      <c r="E21" s="105"/>
      <c r="F21" s="105"/>
      <c r="G21" s="105"/>
      <c r="H21" s="105"/>
      <c r="I21" s="105"/>
      <c r="J21" s="105"/>
      <c r="K21" s="105"/>
      <c r="L21" s="105"/>
      <c r="M21" s="105"/>
    </row>
    <row r="22" spans="1:16" outlineLevel="1">
      <c r="A22" s="118" t="s">
        <v>88</v>
      </c>
      <c r="O22" s="205"/>
    </row>
    <row r="23" spans="1:16" outlineLevel="1">
      <c r="A23" s="27" t="s">
        <v>73</v>
      </c>
      <c r="B23" s="109">
        <v>19686.014477857469</v>
      </c>
      <c r="C23" s="109">
        <v>7967.3573586697185</v>
      </c>
      <c r="D23" s="109">
        <v>5378.7282521466623</v>
      </c>
      <c r="E23" s="109">
        <v>16485.165574963736</v>
      </c>
      <c r="F23" s="109">
        <v>26063.339191045136</v>
      </c>
      <c r="G23" s="109">
        <v>28746.591422821297</v>
      </c>
      <c r="H23" s="109">
        <v>20552.77601479541</v>
      </c>
      <c r="I23" s="109">
        <v>18146.792452809481</v>
      </c>
      <c r="J23" s="109">
        <v>21589.586264827849</v>
      </c>
      <c r="K23" s="109">
        <v>17921.071183548069</v>
      </c>
      <c r="L23" s="109">
        <v>21741.320401255573</v>
      </c>
      <c r="M23" s="109">
        <v>18308.814648694017</v>
      </c>
      <c r="N23" s="109">
        <f>SUM(B23:M23)</f>
        <v>222587.55724343439</v>
      </c>
      <c r="O23" s="202"/>
      <c r="P23" s="206"/>
    </row>
    <row r="24" spans="1:16" outlineLevel="1">
      <c r="A24" s="27" t="s">
        <v>89</v>
      </c>
      <c r="B24" s="109">
        <v>45763.447598701663</v>
      </c>
      <c r="C24" s="109">
        <v>30076.564620328845</v>
      </c>
      <c r="D24" s="109">
        <v>23321.366517356124</v>
      </c>
      <c r="E24" s="109">
        <v>31548.473604465096</v>
      </c>
      <c r="F24" s="109">
        <v>39238.443439506329</v>
      </c>
      <c r="G24" s="109">
        <v>31669.804824095325</v>
      </c>
      <c r="H24" s="109">
        <v>27019.32408307444</v>
      </c>
      <c r="I24" s="109">
        <v>20221.492652177927</v>
      </c>
      <c r="J24" s="109">
        <v>19379.902194388786</v>
      </c>
      <c r="K24" s="109">
        <v>19357.725334996179</v>
      </c>
      <c r="L24" s="109">
        <v>24898.267837938609</v>
      </c>
      <c r="M24" s="109">
        <v>47038.394443493926</v>
      </c>
      <c r="N24" s="109">
        <f>SUM(B24:M24)</f>
        <v>359533.20715052326</v>
      </c>
      <c r="O24" s="202"/>
      <c r="P24" s="206"/>
    </row>
    <row r="25" spans="1:16" outlineLevel="1">
      <c r="A25" s="27" t="s">
        <v>75</v>
      </c>
      <c r="B25" s="121">
        <v>43078.098134256332</v>
      </c>
      <c r="C25" s="121">
        <v>25844.119619071393</v>
      </c>
      <c r="D25" s="121">
        <v>21855.187612265327</v>
      </c>
      <c r="E25" s="121">
        <v>33941.279244391066</v>
      </c>
      <c r="F25" s="121">
        <v>38670.536441659868</v>
      </c>
      <c r="G25" s="121">
        <v>27060.321991471323</v>
      </c>
      <c r="H25" s="121">
        <v>23231.789077668414</v>
      </c>
      <c r="I25" s="121">
        <v>18520.712250070246</v>
      </c>
      <c r="J25" s="121">
        <v>19534.248654684787</v>
      </c>
      <c r="K25" s="121">
        <v>14811.731501498811</v>
      </c>
      <c r="L25" s="121">
        <v>10580.26096656025</v>
      </c>
      <c r="M25" s="121">
        <v>38339.255370402105</v>
      </c>
      <c r="N25" s="121">
        <f>SUM(B25:M25)</f>
        <v>315467.54086399998</v>
      </c>
      <c r="O25" s="202"/>
      <c r="P25" s="206"/>
    </row>
    <row r="26" spans="1:16" outlineLevel="1">
      <c r="A26" s="207" t="s">
        <v>90</v>
      </c>
      <c r="B26" s="105">
        <f t="shared" ref="B26:N26" si="5">SUM(B23:B25)</f>
        <v>108527.56021081546</v>
      </c>
      <c r="C26" s="105">
        <f t="shared" si="5"/>
        <v>63888.041598069962</v>
      </c>
      <c r="D26" s="105">
        <f t="shared" si="5"/>
        <v>50555.282381768113</v>
      </c>
      <c r="E26" s="105">
        <f t="shared" si="5"/>
        <v>81974.918423819909</v>
      </c>
      <c r="F26" s="105">
        <f t="shared" si="5"/>
        <v>103972.31907221134</v>
      </c>
      <c r="G26" s="105">
        <f t="shared" si="5"/>
        <v>87476.718238387941</v>
      </c>
      <c r="H26" s="105">
        <f t="shared" si="5"/>
        <v>70803.889175538265</v>
      </c>
      <c r="I26" s="105">
        <f t="shared" si="5"/>
        <v>56888.997355057654</v>
      </c>
      <c r="J26" s="105">
        <f t="shared" si="5"/>
        <v>60503.737113901421</v>
      </c>
      <c r="K26" s="105">
        <f t="shared" si="5"/>
        <v>52090.528020043057</v>
      </c>
      <c r="L26" s="105">
        <f t="shared" si="5"/>
        <v>57219.849205754435</v>
      </c>
      <c r="M26" s="105">
        <f t="shared" si="5"/>
        <v>103686.46446259005</v>
      </c>
      <c r="N26" s="105">
        <f t="shared" si="5"/>
        <v>897588.30525795766</v>
      </c>
      <c r="O26" s="202"/>
      <c r="P26" s="206"/>
    </row>
    <row r="27" spans="1:16" outlineLevel="1"/>
    <row r="28" spans="1:16" ht="13.5" thickBot="1">
      <c r="A28" s="207" t="s">
        <v>91</v>
      </c>
      <c r="B28" s="122">
        <f>B18+B20+B26</f>
        <v>434587.52652940841</v>
      </c>
      <c r="C28" s="122">
        <f t="shared" ref="C28:N28" si="6">C18+C20+C26</f>
        <v>351461.83204666292</v>
      </c>
      <c r="D28" s="122">
        <f t="shared" si="6"/>
        <v>221747.55957072909</v>
      </c>
      <c r="E28" s="122">
        <f t="shared" si="6"/>
        <v>272952.38660241291</v>
      </c>
      <c r="F28" s="122">
        <f t="shared" si="6"/>
        <v>347489.6888611723</v>
      </c>
      <c r="G28" s="122">
        <f t="shared" si="6"/>
        <v>376644.33878698095</v>
      </c>
      <c r="H28" s="122">
        <f t="shared" si="6"/>
        <v>375856.62582413125</v>
      </c>
      <c r="I28" s="122">
        <f t="shared" si="6"/>
        <v>308732.8113847546</v>
      </c>
      <c r="J28" s="122">
        <f t="shared" si="6"/>
        <v>326846.32023249444</v>
      </c>
      <c r="K28" s="122">
        <f t="shared" si="6"/>
        <v>351488.09505743271</v>
      </c>
      <c r="L28" s="122">
        <f t="shared" si="6"/>
        <v>443850.33845939045</v>
      </c>
      <c r="M28" s="122">
        <f t="shared" si="6"/>
        <v>459290.98044997978</v>
      </c>
      <c r="N28" s="117">
        <f t="shared" si="6"/>
        <v>4270948.5038055498</v>
      </c>
    </row>
    <row r="31" spans="1:16">
      <c r="A31" s="27" t="s">
        <v>92</v>
      </c>
      <c r="B31" s="123">
        <f t="shared" ref="B31:M31" si="7">B28-B9</f>
        <v>56977.446529408393</v>
      </c>
      <c r="C31" s="123">
        <f t="shared" si="7"/>
        <v>78107.032046662935</v>
      </c>
      <c r="D31" s="123">
        <f t="shared" si="7"/>
        <v>-2930.1404292709194</v>
      </c>
      <c r="E31" s="123">
        <f t="shared" si="7"/>
        <v>30853.586602412921</v>
      </c>
      <c r="F31" s="123">
        <f t="shared" si="7"/>
        <v>53873.08886117232</v>
      </c>
      <c r="G31" s="123">
        <f t="shared" si="7"/>
        <v>38812.63878698094</v>
      </c>
      <c r="H31" s="123">
        <f t="shared" si="7"/>
        <v>-77501.274175868777</v>
      </c>
      <c r="I31" s="123">
        <f t="shared" si="7"/>
        <v>-121059.28861524537</v>
      </c>
      <c r="J31" s="123">
        <f t="shared" si="7"/>
        <v>-36635.379767505568</v>
      </c>
      <c r="K31" s="123">
        <f t="shared" si="7"/>
        <v>-53173.004942567262</v>
      </c>
      <c r="L31" s="123">
        <f t="shared" si="7"/>
        <v>8147.858459390467</v>
      </c>
      <c r="M31" s="123">
        <f t="shared" si="7"/>
        <v>9441.3804499797989</v>
      </c>
      <c r="N31" s="123">
        <f>SUM(N47:N54)</f>
        <v>2418786.1443511327</v>
      </c>
    </row>
    <row r="32" spans="1:16">
      <c r="A32" s="208" t="s">
        <v>93</v>
      </c>
      <c r="B32" s="105">
        <f>B9-B28</f>
        <v>-56977.446529408393</v>
      </c>
      <c r="C32" s="105">
        <f t="shared" ref="C32:N32" si="8">-C31</f>
        <v>-78107.032046662935</v>
      </c>
      <c r="D32" s="105">
        <f t="shared" si="8"/>
        <v>2930.1404292709194</v>
      </c>
      <c r="E32" s="105">
        <f t="shared" si="8"/>
        <v>-30853.586602412921</v>
      </c>
      <c r="F32" s="105">
        <f t="shared" si="8"/>
        <v>-53873.08886117232</v>
      </c>
      <c r="G32" s="105">
        <f t="shared" si="8"/>
        <v>-38812.63878698094</v>
      </c>
      <c r="H32" s="105">
        <f t="shared" si="8"/>
        <v>77501.274175868777</v>
      </c>
      <c r="I32" s="105">
        <f t="shared" si="8"/>
        <v>121059.28861524537</v>
      </c>
      <c r="J32" s="105">
        <f t="shared" si="8"/>
        <v>36635.379767505568</v>
      </c>
      <c r="K32" s="105">
        <f t="shared" si="8"/>
        <v>53173.004942567262</v>
      </c>
      <c r="L32" s="105">
        <f t="shared" si="8"/>
        <v>-8147.858459390467</v>
      </c>
      <c r="M32" s="105">
        <f t="shared" si="8"/>
        <v>-9441.3804499797989</v>
      </c>
      <c r="N32" s="105">
        <f t="shared" si="8"/>
        <v>-2418786.1443511327</v>
      </c>
    </row>
    <row r="33" spans="1:18">
      <c r="A33" s="27" t="s">
        <v>94</v>
      </c>
      <c r="B33" s="124">
        <f>+'Load Impact to Cost &amp; Rev'!H7</f>
        <v>24.655816285714291</v>
      </c>
      <c r="C33" s="124">
        <f>+'Load Impact to Cost &amp; Rev'!I7</f>
        <v>25.815951285714295</v>
      </c>
      <c r="D33" s="124">
        <f>+'Load Impact to Cost &amp; Rev'!J7</f>
        <v>25.949426285714285</v>
      </c>
      <c r="E33" s="124">
        <f>+'Load Impact to Cost &amp; Rev'!K7</f>
        <v>24.912537999999991</v>
      </c>
      <c r="F33" s="124">
        <f>+'Load Impact to Cost &amp; Rev'!L7</f>
        <v>26.260529999999999</v>
      </c>
      <c r="G33" s="124">
        <f>+'Load Impact to Cost &amp; Rev'!M7</f>
        <v>27.422109285714289</v>
      </c>
      <c r="H33" s="124">
        <f>+'Load Impact to Cost &amp; Rev'!N8</f>
        <v>27.443161456233209</v>
      </c>
      <c r="I33" s="124">
        <f>+'Load Impact to Cost &amp; Rev'!O8</f>
        <v>26.363852604166663</v>
      </c>
      <c r="J33" s="124">
        <f>+'Load Impact to Cost &amp; Rev'!P8</f>
        <v>22.571717967698518</v>
      </c>
      <c r="K33" s="124">
        <f>+'Load Impact to Cost &amp; Rev'!Q8</f>
        <v>14.551431325954864</v>
      </c>
      <c r="L33" s="124">
        <f>+'Load Impact to Cost &amp; Rev'!R8</f>
        <v>14.343017496219758</v>
      </c>
      <c r="M33" s="124">
        <f>+'Load Impact to Cost &amp; Rev'!S8</f>
        <v>14.376065292968748</v>
      </c>
      <c r="N33" s="125">
        <f>AVERAGE(B33:M33)</f>
        <v>22.888801440508242</v>
      </c>
      <c r="O33" s="209">
        <f>AVERAGE(Price!B9,Price!I9:M9,Price!B24:G24)-N33</f>
        <v>0</v>
      </c>
      <c r="P33" s="126" t="s">
        <v>95</v>
      </c>
    </row>
    <row r="34" spans="1:18" ht="13.5" thickBot="1">
      <c r="A34" s="210" t="s">
        <v>96</v>
      </c>
      <c r="B34" s="127">
        <f t="shared" ref="B34:L34" si="9">B32*B33</f>
        <v>-1404825.4540582027</v>
      </c>
      <c r="C34" s="127">
        <f t="shared" si="9"/>
        <v>-2016407.3343883755</v>
      </c>
      <c r="D34" s="127">
        <f t="shared" si="9"/>
        <v>76035.463076156928</v>
      </c>
      <c r="E34" s="127">
        <f t="shared" si="9"/>
        <v>-768641.14866890246</v>
      </c>
      <c r="F34" s="127">
        <f t="shared" si="9"/>
        <v>-1414735.8662314815</v>
      </c>
      <c r="G34" s="127">
        <f t="shared" si="9"/>
        <v>-1064324.4224835446</v>
      </c>
      <c r="H34" s="127">
        <f t="shared" si="9"/>
        <v>2126879.9802721641</v>
      </c>
      <c r="I34" s="127">
        <f t="shared" si="9"/>
        <v>3191589.2414176003</v>
      </c>
      <c r="J34" s="127">
        <f>J32*J33</f>
        <v>826923.4597516642</v>
      </c>
      <c r="K34" s="127">
        <f t="shared" si="9"/>
        <v>773743.32981642603</v>
      </c>
      <c r="L34" s="127">
        <f t="shared" si="9"/>
        <v>-116864.87643975964</v>
      </c>
      <c r="M34" s="127">
        <f>M32*M33</f>
        <v>-135729.90180466825</v>
      </c>
      <c r="N34" s="127">
        <f>SUM(B34:M34)</f>
        <v>73642.470259076334</v>
      </c>
      <c r="P34" s="203"/>
      <c r="Q34" s="203"/>
      <c r="R34" s="206"/>
    </row>
    <row r="35" spans="1:18" ht="13.5" thickTop="1">
      <c r="B35" s="101">
        <f>B60-B34</f>
        <v>0</v>
      </c>
      <c r="C35" s="101">
        <f t="shared" ref="C35:N35" si="10">C60-C34</f>
        <v>0</v>
      </c>
      <c r="D35" s="101">
        <f t="shared" si="10"/>
        <v>-5.9662852436304092E-10</v>
      </c>
      <c r="E35" s="101">
        <f t="shared" si="10"/>
        <v>1.0477378964424133E-9</v>
      </c>
      <c r="F35" s="101">
        <f t="shared" si="10"/>
        <v>0</v>
      </c>
      <c r="G35" s="101">
        <f t="shared" si="10"/>
        <v>0</v>
      </c>
      <c r="H35" s="101">
        <f t="shared" si="10"/>
        <v>0</v>
      </c>
      <c r="I35" s="101">
        <f t="shared" si="10"/>
        <v>0</v>
      </c>
      <c r="J35" s="101">
        <f t="shared" si="10"/>
        <v>0</v>
      </c>
      <c r="K35" s="101">
        <f t="shared" si="10"/>
        <v>0</v>
      </c>
      <c r="L35" s="101">
        <f t="shared" si="10"/>
        <v>0</v>
      </c>
      <c r="M35" s="101">
        <f t="shared" si="10"/>
        <v>4.0745362639427185E-10</v>
      </c>
      <c r="N35" s="101">
        <f t="shared" si="10"/>
        <v>2.3865140974521637E-9</v>
      </c>
    </row>
    <row r="38" spans="1:18" ht="15">
      <c r="A38" s="35" t="s">
        <v>97</v>
      </c>
    </row>
    <row r="39" spans="1:18" ht="13.5" thickBot="1"/>
    <row r="40" spans="1:18" ht="13.5" thickBot="1">
      <c r="B40" s="128" t="s">
        <v>98</v>
      </c>
      <c r="C40" s="129" t="str">
        <f>IF(N9 &gt;N28,"&gt;","&lt;")</f>
        <v>&gt;</v>
      </c>
      <c r="D40" s="128" t="s">
        <v>99</v>
      </c>
      <c r="E40" s="128"/>
      <c r="F40" s="128"/>
      <c r="G40" s="129" t="str">
        <f>IF(N9 &gt;N28,"MORE","LESS")</f>
        <v>MORE</v>
      </c>
      <c r="H40" s="128" t="s">
        <v>325</v>
      </c>
      <c r="I40" s="128"/>
      <c r="J40" s="129" t="str">
        <f>IF(N9 &gt;N28,"INCREASE","DECREASE")</f>
        <v>INCREASE</v>
      </c>
      <c r="K40" s="128" t="s">
        <v>100</v>
      </c>
      <c r="M40" s="128">
        <f>+N34</f>
        <v>73642.470259076334</v>
      </c>
    </row>
    <row r="45" spans="1:18">
      <c r="A45" s="27" t="s">
        <v>101</v>
      </c>
      <c r="B45" s="105">
        <f>SUM(B7:B8)</f>
        <v>294610</v>
      </c>
      <c r="C45" s="105">
        <f t="shared" ref="C45:M45" si="11">SUM(C7:C8)</f>
        <v>231109</v>
      </c>
      <c r="D45" s="105">
        <f t="shared" si="11"/>
        <v>191042</v>
      </c>
      <c r="E45" s="105">
        <f t="shared" si="11"/>
        <v>152479</v>
      </c>
      <c r="F45" s="105">
        <f t="shared" si="11"/>
        <v>196261</v>
      </c>
      <c r="G45" s="105">
        <f t="shared" si="11"/>
        <v>267075</v>
      </c>
      <c r="H45" s="105">
        <f t="shared" si="11"/>
        <v>347025</v>
      </c>
      <c r="I45" s="105">
        <f t="shared" si="11"/>
        <v>347670</v>
      </c>
      <c r="J45" s="105">
        <f t="shared" si="11"/>
        <v>316215</v>
      </c>
      <c r="K45" s="105">
        <f t="shared" si="11"/>
        <v>349164</v>
      </c>
      <c r="L45" s="105">
        <f t="shared" si="11"/>
        <v>355113</v>
      </c>
      <c r="M45" s="105">
        <f t="shared" si="11"/>
        <v>360579</v>
      </c>
      <c r="N45" s="105">
        <f>SUM(B45:M45)</f>
        <v>3408342</v>
      </c>
    </row>
    <row r="46" spans="1:18">
      <c r="A46" s="27" t="s">
        <v>102</v>
      </c>
      <c r="B46" s="130">
        <f>B18+B20</f>
        <v>326059.96631859295</v>
      </c>
      <c r="C46" s="130">
        <f t="shared" ref="C46:M46" si="12">C18+C20</f>
        <v>287573.79044859298</v>
      </c>
      <c r="D46" s="130">
        <f t="shared" si="12"/>
        <v>171192.27718896099</v>
      </c>
      <c r="E46" s="130">
        <f t="shared" si="12"/>
        <v>190977.46817859297</v>
      </c>
      <c r="F46" s="130">
        <f t="shared" si="12"/>
        <v>243517.36978896096</v>
      </c>
      <c r="G46" s="130">
        <f t="shared" si="12"/>
        <v>289167.620548593</v>
      </c>
      <c r="H46" s="130">
        <f t="shared" si="12"/>
        <v>305052.73664859298</v>
      </c>
      <c r="I46" s="130">
        <f t="shared" si="12"/>
        <v>251843.81402969692</v>
      </c>
      <c r="J46" s="130">
        <f t="shared" si="12"/>
        <v>266342.58311859303</v>
      </c>
      <c r="K46" s="130">
        <f t="shared" si="12"/>
        <v>299397.56703738967</v>
      </c>
      <c r="L46" s="130">
        <f t="shared" si="12"/>
        <v>386630.48925363604</v>
      </c>
      <c r="M46" s="130">
        <f t="shared" si="12"/>
        <v>355604.51598738972</v>
      </c>
      <c r="N46" s="130">
        <f>SUM(B46:M46)</f>
        <v>3373360.1985475919</v>
      </c>
    </row>
    <row r="47" spans="1:18">
      <c r="A47" s="27" t="s">
        <v>103</v>
      </c>
      <c r="B47" s="105">
        <f>B18+B20-SUM(B7:B8)</f>
        <v>31449.966318592953</v>
      </c>
      <c r="C47" s="105">
        <f t="shared" ref="C47:M47" si="13">C18+C20-SUM(C7:C8)</f>
        <v>56464.790448592976</v>
      </c>
      <c r="D47" s="105">
        <f t="shared" si="13"/>
        <v>-19849.722811039013</v>
      </c>
      <c r="E47" s="105">
        <f t="shared" si="13"/>
        <v>38498.468178592972</v>
      </c>
      <c r="F47" s="105">
        <f t="shared" si="13"/>
        <v>47256.369788960961</v>
      </c>
      <c r="G47" s="105">
        <f t="shared" si="13"/>
        <v>22092.620548592997</v>
      </c>
      <c r="H47" s="105">
        <f t="shared" si="13"/>
        <v>-41972.263351407018</v>
      </c>
      <c r="I47" s="105">
        <f t="shared" si="13"/>
        <v>-95826.185970303079</v>
      </c>
      <c r="J47" s="105">
        <f t="shared" si="13"/>
        <v>-49872.416881406971</v>
      </c>
      <c r="K47" s="105">
        <f t="shared" si="13"/>
        <v>-49766.432962610328</v>
      </c>
      <c r="L47" s="105">
        <f t="shared" si="13"/>
        <v>31517.489253636042</v>
      </c>
      <c r="M47" s="105">
        <f t="shared" si="13"/>
        <v>-4974.484012610279</v>
      </c>
      <c r="N47" s="123">
        <f>N18+N20-SUM(N7:N8)</f>
        <v>-34981.801452407613</v>
      </c>
    </row>
    <row r="48" spans="1:18">
      <c r="A48" s="208" t="s">
        <v>93</v>
      </c>
      <c r="B48" s="105">
        <f>-B47</f>
        <v>-31449.966318592953</v>
      </c>
      <c r="C48" s="105">
        <f t="shared" ref="C48:M48" si="14">-C47</f>
        <v>-56464.790448592976</v>
      </c>
      <c r="D48" s="105">
        <f t="shared" si="14"/>
        <v>19849.722811039013</v>
      </c>
      <c r="E48" s="105">
        <f t="shared" si="14"/>
        <v>-38498.468178592972</v>
      </c>
      <c r="F48" s="105">
        <f t="shared" si="14"/>
        <v>-47256.369788960961</v>
      </c>
      <c r="G48" s="105">
        <f t="shared" si="14"/>
        <v>-22092.620548592997</v>
      </c>
      <c r="H48" s="105">
        <f t="shared" si="14"/>
        <v>41972.263351407018</v>
      </c>
      <c r="I48" s="105">
        <f t="shared" si="14"/>
        <v>95826.185970303079</v>
      </c>
      <c r="J48" s="105">
        <f t="shared" si="14"/>
        <v>49872.416881406971</v>
      </c>
      <c r="K48" s="105">
        <f t="shared" si="14"/>
        <v>49766.432962610328</v>
      </c>
      <c r="L48" s="105">
        <f t="shared" si="14"/>
        <v>-31517.489253636042</v>
      </c>
      <c r="M48" s="105">
        <f t="shared" si="14"/>
        <v>4974.484012610279</v>
      </c>
      <c r="N48" s="105">
        <f>SUM(B48:M48)</f>
        <v>34981.801452407788</v>
      </c>
    </row>
    <row r="49" spans="1:14">
      <c r="A49" s="208" t="s">
        <v>104</v>
      </c>
      <c r="B49" s="128">
        <f>B48*B33</f>
        <v>-775424.59174313</v>
      </c>
      <c r="C49" s="128">
        <f t="shared" ref="C49:M49" si="15">C48*C33</f>
        <v>-1457692.2795789421</v>
      </c>
      <c r="D49" s="128">
        <f t="shared" si="15"/>
        <v>515088.91887691821</v>
      </c>
      <c r="E49" s="128">
        <f t="shared" si="15"/>
        <v>-959094.55144098785</v>
      </c>
      <c r="F49" s="128">
        <f t="shared" si="15"/>
        <v>-1240977.3165341029</v>
      </c>
      <c r="G49" s="128">
        <f t="shared" si="15"/>
        <v>-605826.25509133434</v>
      </c>
      <c r="H49" s="128">
        <f t="shared" si="15"/>
        <v>1151851.5998362028</v>
      </c>
      <c r="I49" s="128">
        <f t="shared" si="15"/>
        <v>2526347.4425405338</v>
      </c>
      <c r="J49" s="128">
        <f t="shared" si="15"/>
        <v>1125706.1282146047</v>
      </c>
      <c r="K49" s="128">
        <f t="shared" si="15"/>
        <v>724172.83159316063</v>
      </c>
      <c r="L49" s="128">
        <f t="shared" si="15"/>
        <v>-452055.89980181993</v>
      </c>
      <c r="M49" s="128">
        <f t="shared" si="15"/>
        <v>71513.506964114553</v>
      </c>
      <c r="N49" s="128">
        <f>SUM(B49:M49)</f>
        <v>623609.53383521712</v>
      </c>
    </row>
    <row r="52" spans="1:14">
      <c r="A52" s="27" t="s">
        <v>105</v>
      </c>
      <c r="B52" s="105">
        <f>SUM(B4:B6)</f>
        <v>83000.08</v>
      </c>
      <c r="C52" s="105">
        <f t="shared" ref="C52:M52" si="16">SUM(C4:C6)</f>
        <v>42245.8</v>
      </c>
      <c r="D52" s="105">
        <f t="shared" si="16"/>
        <v>33635.699999999997</v>
      </c>
      <c r="E52" s="105">
        <f t="shared" si="16"/>
        <v>89619.8</v>
      </c>
      <c r="F52" s="105">
        <f t="shared" si="16"/>
        <v>97355.6</v>
      </c>
      <c r="G52" s="105">
        <f t="shared" si="16"/>
        <v>70756.7</v>
      </c>
      <c r="H52" s="105">
        <f t="shared" si="16"/>
        <v>106332.9</v>
      </c>
      <c r="I52" s="105">
        <f t="shared" si="16"/>
        <v>82122.100000000006</v>
      </c>
      <c r="J52" s="105">
        <f t="shared" si="16"/>
        <v>47266.7</v>
      </c>
      <c r="K52" s="105">
        <f t="shared" si="16"/>
        <v>55497.1</v>
      </c>
      <c r="L52" s="105">
        <f t="shared" si="16"/>
        <v>80589.48000000001</v>
      </c>
      <c r="M52" s="105">
        <f t="shared" si="16"/>
        <v>89270.6</v>
      </c>
      <c r="N52" s="105">
        <f>SUM(B52:M52)</f>
        <v>877692.55999999982</v>
      </c>
    </row>
    <row r="53" spans="1:14">
      <c r="A53" s="27" t="s">
        <v>106</v>
      </c>
      <c r="B53" s="130">
        <f>B26</f>
        <v>108527.56021081546</v>
      </c>
      <c r="C53" s="130">
        <f t="shared" ref="C53:M53" si="17">C26</f>
        <v>63888.041598069962</v>
      </c>
      <c r="D53" s="130">
        <f t="shared" si="17"/>
        <v>50555.282381768113</v>
      </c>
      <c r="E53" s="130">
        <f t="shared" si="17"/>
        <v>81974.918423819909</v>
      </c>
      <c r="F53" s="130">
        <f t="shared" si="17"/>
        <v>103972.31907221134</v>
      </c>
      <c r="G53" s="130">
        <f t="shared" si="17"/>
        <v>87476.718238387941</v>
      </c>
      <c r="H53" s="130">
        <f t="shared" si="17"/>
        <v>70803.889175538265</v>
      </c>
      <c r="I53" s="130">
        <f t="shared" si="17"/>
        <v>56888.997355057654</v>
      </c>
      <c r="J53" s="130">
        <f t="shared" si="17"/>
        <v>60503.737113901421</v>
      </c>
      <c r="K53" s="130">
        <f t="shared" si="17"/>
        <v>52090.528020043057</v>
      </c>
      <c r="L53" s="130">
        <f t="shared" si="17"/>
        <v>57219.849205754435</v>
      </c>
      <c r="M53" s="130">
        <f t="shared" si="17"/>
        <v>103686.46446259005</v>
      </c>
      <c r="N53" s="130">
        <f>SUM(B53:M53)</f>
        <v>897588.30525795755</v>
      </c>
    </row>
    <row r="54" spans="1:14">
      <c r="A54" s="27" t="s">
        <v>107</v>
      </c>
      <c r="B54" s="123">
        <f t="shared" ref="B54:N54" si="18">B26-SUM(B4:B6)</f>
        <v>25527.480210815454</v>
      </c>
      <c r="C54" s="123">
        <f t="shared" si="18"/>
        <v>21642.241598069959</v>
      </c>
      <c r="D54" s="123">
        <f t="shared" si="18"/>
        <v>16919.582381768116</v>
      </c>
      <c r="E54" s="123">
        <f t="shared" si="18"/>
        <v>-7644.8815761800943</v>
      </c>
      <c r="F54" s="123">
        <f t="shared" si="18"/>
        <v>6616.7190722113301</v>
      </c>
      <c r="G54" s="123">
        <f t="shared" si="18"/>
        <v>16720.018238387944</v>
      </c>
      <c r="H54" s="123">
        <f t="shared" si="18"/>
        <v>-35529.010824461729</v>
      </c>
      <c r="I54" s="123">
        <f t="shared" si="18"/>
        <v>-25233.102644942352</v>
      </c>
      <c r="J54" s="123">
        <f t="shared" si="18"/>
        <v>13237.037113901424</v>
      </c>
      <c r="K54" s="123">
        <f t="shared" si="18"/>
        <v>-3406.5719799569415</v>
      </c>
      <c r="L54" s="123">
        <f t="shared" si="18"/>
        <v>-23369.630794245575</v>
      </c>
      <c r="M54" s="123">
        <f t="shared" si="18"/>
        <v>14415.864462590049</v>
      </c>
      <c r="N54" s="123">
        <f t="shared" si="18"/>
        <v>19895.745257957838</v>
      </c>
    </row>
    <row r="55" spans="1:14">
      <c r="A55" s="208" t="s">
        <v>93</v>
      </c>
      <c r="B55" s="105">
        <f>-B54</f>
        <v>-25527.480210815454</v>
      </c>
      <c r="C55" s="105">
        <f t="shared" ref="C55:M55" si="19">-C54</f>
        <v>-21642.241598069959</v>
      </c>
      <c r="D55" s="105">
        <f t="shared" si="19"/>
        <v>-16919.582381768116</v>
      </c>
      <c r="E55" s="105">
        <f t="shared" si="19"/>
        <v>7644.8815761800943</v>
      </c>
      <c r="F55" s="105">
        <f t="shared" si="19"/>
        <v>-6616.7190722113301</v>
      </c>
      <c r="G55" s="105">
        <f t="shared" si="19"/>
        <v>-16720.018238387944</v>
      </c>
      <c r="H55" s="105">
        <f t="shared" si="19"/>
        <v>35529.010824461729</v>
      </c>
      <c r="I55" s="105">
        <f t="shared" si="19"/>
        <v>25233.102644942352</v>
      </c>
      <c r="J55" s="105">
        <f t="shared" si="19"/>
        <v>-13237.037113901424</v>
      </c>
      <c r="K55" s="105">
        <f t="shared" si="19"/>
        <v>3406.5719799569415</v>
      </c>
      <c r="L55" s="105">
        <f t="shared" si="19"/>
        <v>23369.630794245575</v>
      </c>
      <c r="M55" s="105">
        <f t="shared" si="19"/>
        <v>-14415.864462590049</v>
      </c>
      <c r="N55" s="105">
        <f>SUM(B55:M55)</f>
        <v>-19895.745257957591</v>
      </c>
    </row>
    <row r="56" spans="1:14">
      <c r="A56" s="27" t="s">
        <v>108</v>
      </c>
      <c r="B56" s="128">
        <f>B55*B33</f>
        <v>-629400.86231507291</v>
      </c>
      <c r="C56" s="128">
        <f t="shared" ref="C56:M56" si="20">C55*C33</f>
        <v>-558715.05480943352</v>
      </c>
      <c r="D56" s="128">
        <f t="shared" si="20"/>
        <v>-439053.45580076188</v>
      </c>
      <c r="E56" s="128">
        <f t="shared" si="20"/>
        <v>190453.40277208641</v>
      </c>
      <c r="F56" s="128">
        <f t="shared" si="20"/>
        <v>-173758.54969737781</v>
      </c>
      <c r="G56" s="128">
        <f t="shared" si="20"/>
        <v>-458498.16739221028</v>
      </c>
      <c r="H56" s="128">
        <f t="shared" si="20"/>
        <v>975028.3804359606</v>
      </c>
      <c r="I56" s="128">
        <f t="shared" si="20"/>
        <v>665241.7988770681</v>
      </c>
      <c r="J56" s="128">
        <f t="shared" si="20"/>
        <v>-298782.6684629409</v>
      </c>
      <c r="K56" s="128">
        <f t="shared" si="20"/>
        <v>49570.498223265524</v>
      </c>
      <c r="L56" s="128">
        <f t="shared" si="20"/>
        <v>335191.02336206031</v>
      </c>
      <c r="M56" s="128">
        <f t="shared" si="20"/>
        <v>-207243.40876878239</v>
      </c>
      <c r="N56" s="128">
        <f>SUM(B56:M56)</f>
        <v>-549967.06357613893</v>
      </c>
    </row>
    <row r="58" spans="1:14">
      <c r="A58" s="208" t="s">
        <v>104</v>
      </c>
      <c r="B58" s="128">
        <f t="shared" ref="B58:M58" si="21">-B47*B$33</f>
        <v>-775424.59174313</v>
      </c>
      <c r="C58" s="128">
        <f t="shared" si="21"/>
        <v>-1457692.2795789421</v>
      </c>
      <c r="D58" s="128">
        <f t="shared" si="21"/>
        <v>515088.91887691821</v>
      </c>
      <c r="E58" s="128">
        <f t="shared" si="21"/>
        <v>-959094.55144098785</v>
      </c>
      <c r="F58" s="128">
        <f t="shared" si="21"/>
        <v>-1240977.3165341029</v>
      </c>
      <c r="G58" s="128">
        <f t="shared" si="21"/>
        <v>-605826.25509133434</v>
      </c>
      <c r="H58" s="128">
        <f t="shared" si="21"/>
        <v>1151851.5998362028</v>
      </c>
      <c r="I58" s="128">
        <f t="shared" si="21"/>
        <v>2526347.4425405338</v>
      </c>
      <c r="J58" s="128">
        <f t="shared" si="21"/>
        <v>1125706.1282146047</v>
      </c>
      <c r="K58" s="128">
        <f t="shared" si="21"/>
        <v>724172.83159316063</v>
      </c>
      <c r="L58" s="128">
        <f t="shared" si="21"/>
        <v>-452055.89980181993</v>
      </c>
      <c r="M58" s="128">
        <f t="shared" si="21"/>
        <v>71513.506964114553</v>
      </c>
      <c r="N58" s="128">
        <f>SUM(B58:M58)</f>
        <v>623609.53383521712</v>
      </c>
    </row>
    <row r="59" spans="1:14">
      <c r="A59" s="27" t="s">
        <v>108</v>
      </c>
      <c r="B59" s="131">
        <f t="shared" ref="B59:M59" si="22">-B54*B$33</f>
        <v>-629400.86231507291</v>
      </c>
      <c r="C59" s="131">
        <f t="shared" si="22"/>
        <v>-558715.05480943352</v>
      </c>
      <c r="D59" s="131">
        <f t="shared" si="22"/>
        <v>-439053.45580076188</v>
      </c>
      <c r="E59" s="131">
        <f t="shared" si="22"/>
        <v>190453.40277208641</v>
      </c>
      <c r="F59" s="131">
        <f t="shared" si="22"/>
        <v>-173758.54969737781</v>
      </c>
      <c r="G59" s="131">
        <f t="shared" si="22"/>
        <v>-458498.16739221028</v>
      </c>
      <c r="H59" s="131">
        <f t="shared" si="22"/>
        <v>975028.3804359606</v>
      </c>
      <c r="I59" s="131">
        <f t="shared" si="22"/>
        <v>665241.7988770681</v>
      </c>
      <c r="J59" s="131">
        <f t="shared" si="22"/>
        <v>-298782.6684629409</v>
      </c>
      <c r="K59" s="131">
        <f t="shared" si="22"/>
        <v>49570.498223265524</v>
      </c>
      <c r="L59" s="131">
        <f t="shared" si="22"/>
        <v>335191.02336206031</v>
      </c>
      <c r="M59" s="131">
        <f t="shared" si="22"/>
        <v>-207243.40876878239</v>
      </c>
      <c r="N59" s="131">
        <f>SUM(B59:M59)</f>
        <v>-549967.06357613893</v>
      </c>
    </row>
    <row r="60" spans="1:14">
      <c r="A60" s="210" t="s">
        <v>96</v>
      </c>
      <c r="B60" s="128">
        <f>SUM(B58:B59)</f>
        <v>-1404825.4540582029</v>
      </c>
      <c r="C60" s="128">
        <f t="shared" ref="C60:M60" si="23">SUM(C58:C59)</f>
        <v>-2016407.3343883757</v>
      </c>
      <c r="D60" s="128">
        <f t="shared" si="23"/>
        <v>76035.463076156331</v>
      </c>
      <c r="E60" s="128">
        <f t="shared" si="23"/>
        <v>-768641.14866890141</v>
      </c>
      <c r="F60" s="128">
        <f t="shared" si="23"/>
        <v>-1414735.8662314806</v>
      </c>
      <c r="G60" s="128">
        <f t="shared" si="23"/>
        <v>-1064324.4224835446</v>
      </c>
      <c r="H60" s="128">
        <f t="shared" si="23"/>
        <v>2126879.9802721636</v>
      </c>
      <c r="I60" s="128">
        <f t="shared" si="23"/>
        <v>3191589.2414176017</v>
      </c>
      <c r="J60" s="128">
        <f t="shared" si="23"/>
        <v>826923.45975166373</v>
      </c>
      <c r="K60" s="128">
        <f t="shared" si="23"/>
        <v>773743.32981642615</v>
      </c>
      <c r="L60" s="128">
        <f t="shared" si="23"/>
        <v>-116864.87643975962</v>
      </c>
      <c r="M60" s="128">
        <f t="shared" si="23"/>
        <v>-135729.90180466784</v>
      </c>
      <c r="N60" s="128">
        <f>SUM(B60:M60)</f>
        <v>73642.47025907872</v>
      </c>
    </row>
  </sheetData>
  <pageMargins left="0.7" right="0.7" top="0.75" bottom="0.75" header="0.3" footer="0.3"/>
  <pageSetup scale="4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8"/>
  <sheetViews>
    <sheetView zoomScale="90" zoomScaleNormal="90" workbookViewId="0">
      <pane xSplit="1" ySplit="2" topLeftCell="B3" activePane="bottomRight" state="frozen"/>
      <selection activeCell="O10" sqref="O10"/>
      <selection pane="topRight" activeCell="O10" sqref="O10"/>
      <selection pane="bottomLeft" activeCell="O10" sqref="O10"/>
      <selection pane="bottomRight" activeCell="O10" sqref="O10"/>
    </sheetView>
  </sheetViews>
  <sheetFormatPr defaultColWidth="9.140625" defaultRowHeight="12.75"/>
  <cols>
    <col min="1" max="1" width="40.42578125" style="132" customWidth="1"/>
    <col min="2" max="2" width="12.42578125" style="132" bestFit="1" customWidth="1"/>
    <col min="3" max="3" width="13.140625" style="132" customWidth="1"/>
    <col min="4" max="4" width="13.7109375" style="132" customWidth="1"/>
    <col min="5" max="5" width="11.5703125" style="132" bestFit="1" customWidth="1"/>
    <col min="6" max="7" width="14" style="132" customWidth="1"/>
    <col min="8" max="8" width="12.42578125" style="132" customWidth="1"/>
    <col min="9" max="10" width="12.7109375" style="132" customWidth="1"/>
    <col min="11" max="11" width="13.7109375" style="132" customWidth="1"/>
    <col min="12" max="12" width="12.85546875" style="132" customWidth="1"/>
    <col min="13" max="13" width="11.7109375" style="132" bestFit="1" customWidth="1"/>
    <col min="14" max="14" width="12.42578125" style="132" bestFit="1" customWidth="1"/>
    <col min="15" max="15" width="9.85546875" style="132" bestFit="1" customWidth="1"/>
    <col min="16" max="16" width="9.140625" style="132"/>
    <col min="17" max="17" width="10.28515625" style="132" bestFit="1" customWidth="1"/>
    <col min="18" max="18" width="11.28515625" style="132" bestFit="1" customWidth="1"/>
    <col min="19" max="21" width="10.28515625" style="132" bestFit="1" customWidth="1"/>
    <col min="22" max="16384" width="9.140625" style="132"/>
  </cols>
  <sheetData>
    <row r="1" spans="1:21">
      <c r="B1" s="111"/>
      <c r="C1" s="111"/>
      <c r="D1" s="111"/>
      <c r="E1" s="111"/>
      <c r="F1" s="111"/>
      <c r="G1" s="111"/>
      <c r="H1" s="111"/>
      <c r="I1" s="111"/>
      <c r="J1" s="111"/>
      <c r="K1" s="111"/>
      <c r="L1" s="111"/>
      <c r="M1" s="111"/>
    </row>
    <row r="2" spans="1:21">
      <c r="B2" s="133">
        <f>+'Summary Normalization'!H2</f>
        <v>42917</v>
      </c>
      <c r="C2" s="133">
        <f>+'Summary Normalization'!I2</f>
        <v>42948</v>
      </c>
      <c r="D2" s="133">
        <f>+'Summary Normalization'!J2</f>
        <v>42979</v>
      </c>
      <c r="E2" s="133">
        <f>+'Summary Normalization'!K2</f>
        <v>43009</v>
      </c>
      <c r="F2" s="133">
        <f>+'Summary Normalization'!L2</f>
        <v>43040</v>
      </c>
      <c r="G2" s="133">
        <f>+'Summary Normalization'!M2</f>
        <v>43070</v>
      </c>
      <c r="H2" s="133">
        <f>+'Summary Normalization'!N2</f>
        <v>43101</v>
      </c>
      <c r="I2" s="133">
        <f>+'Summary Normalization'!O2</f>
        <v>43132</v>
      </c>
      <c r="J2" s="133">
        <f>+'Summary Normalization'!P2</f>
        <v>43160</v>
      </c>
      <c r="K2" s="133">
        <f>+'Summary Normalization'!Q2</f>
        <v>43191</v>
      </c>
      <c r="L2" s="133">
        <f>+'Summary Normalization'!R2</f>
        <v>43221</v>
      </c>
      <c r="M2" s="133">
        <f>+'Summary Normalization'!S2</f>
        <v>43252</v>
      </c>
    </row>
    <row r="3" spans="1:21">
      <c r="A3" s="134" t="s">
        <v>109</v>
      </c>
      <c r="O3" s="135"/>
    </row>
    <row r="4" spans="1:21">
      <c r="A4" s="135" t="s">
        <v>110</v>
      </c>
      <c r="B4" s="136">
        <v>26756.671999999999</v>
      </c>
      <c r="C4" s="136">
        <v>20954.495999999999</v>
      </c>
      <c r="D4" s="136">
        <v>23788.48</v>
      </c>
      <c r="E4" s="136">
        <v>37826.624000000003</v>
      </c>
      <c r="F4" s="136">
        <v>39152.192000000003</v>
      </c>
      <c r="G4" s="136">
        <v>16745.024000000001</v>
      </c>
      <c r="H4" s="136">
        <v>42654.847999999998</v>
      </c>
      <c r="I4" s="136">
        <v>55543.616000000002</v>
      </c>
      <c r="J4" s="136">
        <v>43456.447999999997</v>
      </c>
      <c r="K4" s="136">
        <v>41533.311999999998</v>
      </c>
      <c r="L4" s="136">
        <v>20557.056</v>
      </c>
      <c r="M4" s="136">
        <v>28600.560000000001</v>
      </c>
      <c r="N4" s="136">
        <f>SUM(B4:M4)</f>
        <v>397569.32799999992</v>
      </c>
      <c r="O4" s="136"/>
      <c r="P4" s="135"/>
      <c r="Q4" s="378"/>
      <c r="R4" s="378"/>
      <c r="S4" s="378"/>
      <c r="T4" s="378"/>
      <c r="U4" s="378"/>
    </row>
    <row r="5" spans="1:21">
      <c r="A5" s="181" t="s">
        <v>111</v>
      </c>
      <c r="B5" s="136">
        <v>57691.428</v>
      </c>
      <c r="C5" s="136">
        <v>43700.830999999998</v>
      </c>
      <c r="D5" s="136">
        <v>51777.504000000001</v>
      </c>
      <c r="E5" s="136">
        <v>79174.172999999995</v>
      </c>
      <c r="F5" s="136">
        <v>76030.694000000003</v>
      </c>
      <c r="G5" s="136">
        <v>33851.826999999997</v>
      </c>
      <c r="H5" s="136">
        <v>81165.915999999997</v>
      </c>
      <c r="I5" s="136">
        <v>122525.69899999999</v>
      </c>
      <c r="J5" s="136">
        <v>93914.043999999994</v>
      </c>
      <c r="K5" s="136">
        <v>91343.65</v>
      </c>
      <c r="L5" s="136">
        <v>43565.186999999998</v>
      </c>
      <c r="M5" s="136">
        <v>80903.95</v>
      </c>
      <c r="N5" s="136">
        <f t="shared" ref="N5:N7" si="0">SUM(B5:M5)</f>
        <v>855644.90300000005</v>
      </c>
      <c r="O5" s="136"/>
      <c r="P5" s="181"/>
      <c r="Q5" s="378"/>
      <c r="R5" s="379"/>
      <c r="S5" s="379"/>
      <c r="T5" s="379"/>
      <c r="U5" s="379"/>
    </row>
    <row r="6" spans="1:21">
      <c r="A6" s="135" t="s">
        <v>171</v>
      </c>
      <c r="B6" s="136">
        <v>53767.497000000003</v>
      </c>
      <c r="C6" s="136">
        <v>37815.290999999997</v>
      </c>
      <c r="D6" s="136">
        <v>41260.54</v>
      </c>
      <c r="E6" s="136">
        <v>74193.066999999995</v>
      </c>
      <c r="F6" s="136">
        <v>59983.207000000002</v>
      </c>
      <c r="G6" s="136">
        <v>27696.361000000001</v>
      </c>
      <c r="H6" s="136">
        <v>54099.735000000001</v>
      </c>
      <c r="I6" s="136">
        <v>84717.93</v>
      </c>
      <c r="J6" s="136">
        <v>63384.726999999999</v>
      </c>
      <c r="K6" s="136">
        <v>70312.697</v>
      </c>
      <c r="L6" s="136">
        <v>34502.785000000003</v>
      </c>
      <c r="M6" s="136">
        <v>61755.777999999998</v>
      </c>
      <c r="N6" s="136">
        <f t="shared" si="0"/>
        <v>663489.61500000011</v>
      </c>
      <c r="O6" s="136"/>
      <c r="P6" s="135"/>
      <c r="Q6" s="135"/>
    </row>
    <row r="7" spans="1:21">
      <c r="A7" s="135" t="s">
        <v>112</v>
      </c>
      <c r="B7" s="136">
        <v>17778</v>
      </c>
      <c r="C7" s="136">
        <v>11485</v>
      </c>
      <c r="D7" s="136">
        <v>6912</v>
      </c>
      <c r="E7" s="136">
        <v>9216</v>
      </c>
      <c r="F7" s="136">
        <v>6063</v>
      </c>
      <c r="G7" s="136">
        <v>4831</v>
      </c>
      <c r="H7" s="136">
        <v>4337</v>
      </c>
      <c r="I7" s="136">
        <v>10887</v>
      </c>
      <c r="J7" s="136">
        <v>5843</v>
      </c>
      <c r="K7" s="136">
        <v>11154</v>
      </c>
      <c r="L7" s="136">
        <v>16026</v>
      </c>
      <c r="M7" s="136">
        <v>15825</v>
      </c>
      <c r="N7" s="136">
        <f t="shared" si="0"/>
        <v>120357</v>
      </c>
      <c r="O7" s="136"/>
      <c r="P7" s="135"/>
      <c r="Q7" s="378"/>
      <c r="R7" s="378"/>
      <c r="S7" s="378"/>
      <c r="T7" s="378"/>
      <c r="U7" s="378"/>
    </row>
    <row r="8" spans="1:21" ht="13.5" thickBot="1">
      <c r="A8" s="137" t="s">
        <v>113</v>
      </c>
      <c r="B8" s="138">
        <f t="shared" ref="B8:N8" si="1">SUM(B4:B7)</f>
        <v>155993.59700000001</v>
      </c>
      <c r="C8" s="138">
        <f t="shared" si="1"/>
        <v>113955.61799999999</v>
      </c>
      <c r="D8" s="138">
        <f t="shared" si="1"/>
        <v>123738.524</v>
      </c>
      <c r="E8" s="138">
        <f>SUM(E4:E7)</f>
        <v>200409.864</v>
      </c>
      <c r="F8" s="138">
        <f t="shared" si="1"/>
        <v>181229.09299999999</v>
      </c>
      <c r="G8" s="138">
        <f t="shared" si="1"/>
        <v>83124.212</v>
      </c>
      <c r="H8" s="138">
        <f t="shared" si="1"/>
        <v>182257.49900000001</v>
      </c>
      <c r="I8" s="138">
        <f t="shared" si="1"/>
        <v>273674.245</v>
      </c>
      <c r="J8" s="138">
        <f t="shared" si="1"/>
        <v>206598.21899999998</v>
      </c>
      <c r="K8" s="138">
        <f t="shared" si="1"/>
        <v>214343.65899999999</v>
      </c>
      <c r="L8" s="138">
        <f t="shared" si="1"/>
        <v>114651.02800000001</v>
      </c>
      <c r="M8" s="138">
        <f t="shared" si="1"/>
        <v>187085.288</v>
      </c>
      <c r="N8" s="138">
        <f t="shared" si="1"/>
        <v>2037060.8459999999</v>
      </c>
      <c r="O8" s="136"/>
    </row>
    <row r="9" spans="1:21">
      <c r="B9" s="135"/>
      <c r="C9" s="135"/>
      <c r="D9" s="135"/>
      <c r="E9" s="135"/>
      <c r="F9" s="135"/>
      <c r="G9" s="135"/>
      <c r="H9" s="135"/>
      <c r="I9" s="135"/>
      <c r="J9" s="135"/>
      <c r="K9" s="135"/>
      <c r="L9" s="135"/>
      <c r="M9" s="135"/>
      <c r="N9" s="135"/>
      <c r="O9" s="135"/>
    </row>
    <row r="10" spans="1:21">
      <c r="A10" s="134" t="s">
        <v>172</v>
      </c>
      <c r="B10" s="135"/>
      <c r="C10" s="135"/>
      <c r="D10" s="135"/>
      <c r="E10" s="135"/>
      <c r="F10" s="135"/>
      <c r="G10" s="135"/>
      <c r="H10" s="135"/>
      <c r="I10" s="135"/>
      <c r="J10" s="135"/>
      <c r="K10" s="135"/>
      <c r="L10" s="135"/>
      <c r="M10" s="135"/>
      <c r="N10" s="135"/>
    </row>
    <row r="11" spans="1:21">
      <c r="A11" s="135" t="s">
        <v>110</v>
      </c>
      <c r="B11" s="136">
        <v>37655.071324072727</v>
      </c>
      <c r="C11" s="136">
        <v>30580.753524782009</v>
      </c>
      <c r="D11" s="136">
        <v>33894.041607994121</v>
      </c>
      <c r="E11" s="136">
        <v>31834.430096808213</v>
      </c>
      <c r="F11" s="136">
        <v>34923.847363587061</v>
      </c>
      <c r="G11" s="136">
        <v>39669.908671971971</v>
      </c>
      <c r="H11" s="136">
        <v>42848.874265324121</v>
      </c>
      <c r="I11" s="136">
        <v>28745.012830029355</v>
      </c>
      <c r="J11" s="136">
        <v>56102.026598172553</v>
      </c>
      <c r="K11" s="136">
        <v>33356.751648554316</v>
      </c>
      <c r="L11" s="136">
        <v>42535.455122317573</v>
      </c>
      <c r="M11" s="136">
        <v>35685.008139460115</v>
      </c>
      <c r="N11" s="136">
        <f>SUM(B11:M11)</f>
        <v>447831.18119307415</v>
      </c>
      <c r="O11" s="179"/>
    </row>
    <row r="12" spans="1:21">
      <c r="A12" s="181" t="s">
        <v>111</v>
      </c>
      <c r="B12" s="136">
        <v>67915.387889655176</v>
      </c>
      <c r="C12" s="136">
        <v>71145.18176551722</v>
      </c>
      <c r="D12" s="136">
        <v>61724.949627586175</v>
      </c>
      <c r="E12" s="136">
        <v>62442.681599999982</v>
      </c>
      <c r="F12" s="136">
        <v>58943.738234482749</v>
      </c>
      <c r="G12" s="136">
        <v>81731.728358620676</v>
      </c>
      <c r="H12" s="136">
        <v>90434.228524137914</v>
      </c>
      <c r="I12" s="136">
        <v>58046.573268965491</v>
      </c>
      <c r="J12" s="136">
        <v>94381.754372413779</v>
      </c>
      <c r="K12" s="136">
        <v>86217.553186206875</v>
      </c>
      <c r="L12" s="136">
        <v>82718.609820689642</v>
      </c>
      <c r="M12" s="136">
        <v>81911.161351724149</v>
      </c>
      <c r="N12" s="136">
        <f t="shared" ref="N12:N14" si="2">SUM(B12:M12)</f>
        <v>897613.54799999984</v>
      </c>
      <c r="O12" s="179"/>
    </row>
    <row r="13" spans="1:21">
      <c r="A13" s="135" t="s">
        <v>171</v>
      </c>
      <c r="B13" s="136">
        <v>57217.231393212955</v>
      </c>
      <c r="C13" s="136">
        <v>56664.200324254751</v>
      </c>
      <c r="D13" s="136">
        <v>41335.479119715412</v>
      </c>
      <c r="E13" s="136">
        <v>59281.10532056087</v>
      </c>
      <c r="F13" s="136">
        <v>61702.358469281193</v>
      </c>
      <c r="G13" s="136">
        <v>48720.843875545834</v>
      </c>
      <c r="H13" s="136">
        <v>67138.388405121892</v>
      </c>
      <c r="I13" s="136">
        <v>58358.397320007796</v>
      </c>
      <c r="J13" s="136">
        <v>60281.787833113951</v>
      </c>
      <c r="K13" s="136">
        <v>61406.757746910807</v>
      </c>
      <c r="L13" s="136">
        <v>63197.950641883181</v>
      </c>
      <c r="M13" s="136">
        <v>61159.288926881221</v>
      </c>
      <c r="N13" s="136">
        <f t="shared" si="2"/>
        <v>696463.78937648982</v>
      </c>
      <c r="O13" s="179"/>
    </row>
    <row r="14" spans="1:21">
      <c r="A14" s="135" t="s">
        <v>112</v>
      </c>
      <c r="B14" s="136">
        <v>19579.651470792905</v>
      </c>
      <c r="C14" s="136">
        <v>18148.251388122004</v>
      </c>
      <c r="D14" s="136">
        <v>13930.187678710206</v>
      </c>
      <c r="E14" s="136">
        <v>12403.97811127453</v>
      </c>
      <c r="F14" s="136">
        <v>8495.8444697323994</v>
      </c>
      <c r="G14" s="136">
        <v>9402.4159740158011</v>
      </c>
      <c r="H14" s="136">
        <v>8793.8982458799801</v>
      </c>
      <c r="I14" s="136">
        <v>8391.6445005886872</v>
      </c>
      <c r="J14" s="136">
        <v>11733.926469110369</v>
      </c>
      <c r="K14" s="136">
        <v>13568.047232408824</v>
      </c>
      <c r="L14" s="136">
        <v>16805.206930397144</v>
      </c>
      <c r="M14" s="136">
        <v>18141.783128433777</v>
      </c>
      <c r="N14" s="136">
        <f t="shared" si="2"/>
        <v>159394.83559946663</v>
      </c>
      <c r="O14" s="179"/>
    </row>
    <row r="15" spans="1:21" ht="13.5" thickBot="1">
      <c r="A15" s="137" t="s">
        <v>114</v>
      </c>
      <c r="B15" s="138">
        <f t="shared" ref="B15:N15" si="3">SUM(B11:B14)</f>
        <v>182367.34207773377</v>
      </c>
      <c r="C15" s="138">
        <f t="shared" si="3"/>
        <v>176538.387002676</v>
      </c>
      <c r="D15" s="138">
        <f t="shared" si="3"/>
        <v>150884.6580340059</v>
      </c>
      <c r="E15" s="138">
        <f t="shared" si="3"/>
        <v>165962.19512864359</v>
      </c>
      <c r="F15" s="138">
        <f t="shared" si="3"/>
        <v>164065.7885370834</v>
      </c>
      <c r="G15" s="138">
        <f t="shared" si="3"/>
        <v>179524.89688015429</v>
      </c>
      <c r="H15" s="138">
        <f t="shared" si="3"/>
        <v>209215.38944046388</v>
      </c>
      <c r="I15" s="138">
        <f t="shared" si="3"/>
        <v>153541.62791959132</v>
      </c>
      <c r="J15" s="138">
        <f t="shared" si="3"/>
        <v>222499.49527281066</v>
      </c>
      <c r="K15" s="138">
        <f t="shared" si="3"/>
        <v>194549.10981408082</v>
      </c>
      <c r="L15" s="138">
        <f t="shared" si="3"/>
        <v>205257.22251528755</v>
      </c>
      <c r="M15" s="138">
        <f t="shared" si="3"/>
        <v>196897.24154649925</v>
      </c>
      <c r="N15" s="138">
        <f t="shared" si="3"/>
        <v>2201303.3541690302</v>
      </c>
      <c r="O15" s="179"/>
    </row>
    <row r="16" spans="1:21">
      <c r="B16" s="135"/>
      <c r="C16" s="135"/>
      <c r="D16" s="135"/>
      <c r="E16" s="135"/>
      <c r="F16" s="135"/>
      <c r="G16" s="135"/>
      <c r="H16" s="135"/>
      <c r="I16" s="135"/>
      <c r="J16" s="135"/>
      <c r="K16" s="135"/>
      <c r="L16" s="135"/>
      <c r="M16" s="135"/>
      <c r="N16" s="135"/>
      <c r="O16" s="135"/>
    </row>
    <row r="17" spans="1:15">
      <c r="A17" s="134" t="s">
        <v>115</v>
      </c>
    </row>
    <row r="18" spans="1:15">
      <c r="A18" s="135" t="s">
        <v>110</v>
      </c>
      <c r="B18" s="139">
        <f t="shared" ref="B18:N21" si="4">B4-B11</f>
        <v>-10898.399324072729</v>
      </c>
      <c r="C18" s="139">
        <f t="shared" si="4"/>
        <v>-9626.2575247820096</v>
      </c>
      <c r="D18" s="139">
        <f t="shared" si="4"/>
        <v>-10105.561607994121</v>
      </c>
      <c r="E18" s="139">
        <f t="shared" si="4"/>
        <v>5992.19390319179</v>
      </c>
      <c r="F18" s="139">
        <f t="shared" si="4"/>
        <v>4228.3446364129413</v>
      </c>
      <c r="G18" s="139">
        <f t="shared" si="4"/>
        <v>-22924.88467197197</v>
      </c>
      <c r="H18" s="139">
        <f t="shared" si="4"/>
        <v>-194.02626532412251</v>
      </c>
      <c r="I18" s="139">
        <f t="shared" si="4"/>
        <v>26798.603169970647</v>
      </c>
      <c r="J18" s="139">
        <f t="shared" si="4"/>
        <v>-12645.578598172557</v>
      </c>
      <c r="K18" s="139">
        <f t="shared" si="4"/>
        <v>8176.5603514456816</v>
      </c>
      <c r="L18" s="139">
        <f t="shared" si="4"/>
        <v>-21978.399122317573</v>
      </c>
      <c r="M18" s="139">
        <f t="shared" si="4"/>
        <v>-7084.4481394601135</v>
      </c>
      <c r="N18" s="139">
        <f t="shared" si="4"/>
        <v>-50261.853193074232</v>
      </c>
    </row>
    <row r="19" spans="1:15">
      <c r="A19" s="181" t="s">
        <v>111</v>
      </c>
      <c r="B19" s="139">
        <f t="shared" si="4"/>
        <v>-10223.959889655176</v>
      </c>
      <c r="C19" s="139">
        <f t="shared" si="4"/>
        <v>-27444.350765517222</v>
      </c>
      <c r="D19" s="139">
        <f t="shared" si="4"/>
        <v>-9947.4456275861739</v>
      </c>
      <c r="E19" s="139">
        <f t="shared" si="4"/>
        <v>16731.491400000014</v>
      </c>
      <c r="F19" s="139">
        <f t="shared" si="4"/>
        <v>17086.955765517254</v>
      </c>
      <c r="G19" s="139">
        <f t="shared" si="4"/>
        <v>-47879.901358620678</v>
      </c>
      <c r="H19" s="139">
        <f t="shared" si="4"/>
        <v>-9268.3125241379166</v>
      </c>
      <c r="I19" s="139">
        <f t="shared" si="4"/>
        <v>64479.125731034503</v>
      </c>
      <c r="J19" s="139">
        <f t="shared" si="4"/>
        <v>-467.71037241378508</v>
      </c>
      <c r="K19" s="139">
        <f t="shared" si="4"/>
        <v>5126.0968137931195</v>
      </c>
      <c r="L19" s="139">
        <f t="shared" si="4"/>
        <v>-39153.422820689644</v>
      </c>
      <c r="M19" s="139">
        <f t="shared" si="4"/>
        <v>-1007.2113517241523</v>
      </c>
      <c r="N19" s="139">
        <f t="shared" si="4"/>
        <v>-41968.644999999786</v>
      </c>
    </row>
    <row r="20" spans="1:15">
      <c r="A20" s="135" t="s">
        <v>193</v>
      </c>
      <c r="B20" s="139">
        <f t="shared" si="4"/>
        <v>-3449.7343932129515</v>
      </c>
      <c r="C20" s="139">
        <f t="shared" si="4"/>
        <v>-18848.909324254753</v>
      </c>
      <c r="D20" s="139">
        <f t="shared" si="4"/>
        <v>-74.939119715410925</v>
      </c>
      <c r="E20" s="139">
        <f t="shared" si="4"/>
        <v>14911.961679439126</v>
      </c>
      <c r="F20" s="139">
        <f t="shared" si="4"/>
        <v>-1719.1514692811907</v>
      </c>
      <c r="G20" s="139">
        <f t="shared" si="4"/>
        <v>-21024.482875545833</v>
      </c>
      <c r="H20" s="139">
        <f t="shared" si="4"/>
        <v>-13038.653405121891</v>
      </c>
      <c r="I20" s="139">
        <f t="shared" si="4"/>
        <v>26359.532679992197</v>
      </c>
      <c r="J20" s="139">
        <f t="shared" si="4"/>
        <v>3102.939166886048</v>
      </c>
      <c r="K20" s="139">
        <f t="shared" si="4"/>
        <v>8905.9392530891928</v>
      </c>
      <c r="L20" s="139">
        <f t="shared" si="4"/>
        <v>-28695.165641883177</v>
      </c>
      <c r="M20" s="139">
        <f t="shared" si="4"/>
        <v>596.48907311877701</v>
      </c>
      <c r="N20" s="139">
        <f t="shared" si="4"/>
        <v>-32974.174376489711</v>
      </c>
    </row>
    <row r="21" spans="1:15">
      <c r="A21" s="135" t="s">
        <v>112</v>
      </c>
      <c r="B21" s="139">
        <f t="shared" si="4"/>
        <v>-1801.6514707929055</v>
      </c>
      <c r="C21" s="139">
        <f t="shared" si="4"/>
        <v>-6663.2513881220038</v>
      </c>
      <c r="D21" s="139">
        <f t="shared" si="4"/>
        <v>-7018.1876787102065</v>
      </c>
      <c r="E21" s="139">
        <f t="shared" si="4"/>
        <v>-3187.9781112745295</v>
      </c>
      <c r="F21" s="139">
        <f t="shared" si="4"/>
        <v>-2432.8444697323994</v>
      </c>
      <c r="G21" s="139">
        <f t="shared" si="4"/>
        <v>-4571.4159740158011</v>
      </c>
      <c r="H21" s="139">
        <f t="shared" si="4"/>
        <v>-4456.8982458799801</v>
      </c>
      <c r="I21" s="139">
        <f t="shared" si="4"/>
        <v>2495.3554994113128</v>
      </c>
      <c r="J21" s="139">
        <f t="shared" si="4"/>
        <v>-5890.926469110369</v>
      </c>
      <c r="K21" s="139">
        <f t="shared" si="4"/>
        <v>-2414.0472324088241</v>
      </c>
      <c r="L21" s="139">
        <f t="shared" si="4"/>
        <v>-779.20693039714388</v>
      </c>
      <c r="M21" s="139">
        <f t="shared" si="4"/>
        <v>-2316.7831284337772</v>
      </c>
      <c r="N21" s="139">
        <f t="shared" si="4"/>
        <v>-39037.835599466634</v>
      </c>
    </row>
    <row r="22" spans="1:15" ht="13.5" thickBot="1">
      <c r="A22" s="137" t="s">
        <v>116</v>
      </c>
      <c r="B22" s="140">
        <f t="shared" ref="B22:N22" si="5">SUM(B18:B21)</f>
        <v>-26373.745077733762</v>
      </c>
      <c r="C22" s="140">
        <f t="shared" si="5"/>
        <v>-62582.769002675996</v>
      </c>
      <c r="D22" s="140">
        <f t="shared" si="5"/>
        <v>-27146.134034005911</v>
      </c>
      <c r="E22" s="140">
        <f t="shared" si="5"/>
        <v>34447.668871356407</v>
      </c>
      <c r="F22" s="140">
        <f t="shared" si="5"/>
        <v>17163.304462916603</v>
      </c>
      <c r="G22" s="140">
        <f t="shared" si="5"/>
        <v>-96400.68488015428</v>
      </c>
      <c r="H22" s="140">
        <f t="shared" si="5"/>
        <v>-26957.890440463911</v>
      </c>
      <c r="I22" s="140">
        <f t="shared" si="5"/>
        <v>120132.61708040866</v>
      </c>
      <c r="J22" s="140">
        <f t="shared" si="5"/>
        <v>-15901.276272810663</v>
      </c>
      <c r="K22" s="140">
        <f t="shared" si="5"/>
        <v>19794.549185919168</v>
      </c>
      <c r="L22" s="140">
        <f t="shared" si="5"/>
        <v>-90606.194515287527</v>
      </c>
      <c r="M22" s="140">
        <f t="shared" si="5"/>
        <v>-9811.9535464992659</v>
      </c>
      <c r="N22" s="140">
        <f t="shared" si="5"/>
        <v>-164242.50816903036</v>
      </c>
    </row>
    <row r="24" spans="1:15">
      <c r="A24" s="134" t="s">
        <v>117</v>
      </c>
    </row>
    <row r="25" spans="1:15" ht="3.75" customHeight="1"/>
    <row r="26" spans="1:15" ht="13.5" thickBot="1">
      <c r="A26" s="132" t="s">
        <v>118</v>
      </c>
      <c r="B26" s="421">
        <v>38832.671512030662</v>
      </c>
      <c r="C26" s="421">
        <v>126359.33032078399</v>
      </c>
      <c r="D26" s="421">
        <v>24582.111442264555</v>
      </c>
      <c r="E26" s="421">
        <v>-85403.894094455594</v>
      </c>
      <c r="F26" s="421">
        <v>-11439.819230622999</v>
      </c>
      <c r="G26" s="421">
        <v>153950.31006061728</v>
      </c>
      <c r="H26" s="421">
        <v>70759.370366464893</v>
      </c>
      <c r="I26" s="421">
        <v>-220579.92179093766</v>
      </c>
      <c r="J26" s="421">
        <v>2858.5954852761906</v>
      </c>
      <c r="K26" s="421">
        <v>-46463.81277514746</v>
      </c>
      <c r="L26" s="421">
        <v>163019.4987813425</v>
      </c>
      <c r="M26" s="421">
        <v>5081.2700520669005</v>
      </c>
      <c r="N26" s="141">
        <f>SUM(B26:M26)</f>
        <v>221555.71012968326</v>
      </c>
    </row>
    <row r="27" spans="1:15">
      <c r="B27" s="364"/>
      <c r="C27" s="364"/>
      <c r="D27" s="364"/>
      <c r="E27" s="364"/>
      <c r="F27" s="364"/>
      <c r="G27" s="364"/>
      <c r="H27" s="364"/>
      <c r="I27" s="364"/>
      <c r="J27" s="364"/>
      <c r="K27" s="364"/>
      <c r="L27" s="364"/>
      <c r="M27" s="364"/>
    </row>
    <row r="29" spans="1:15">
      <c r="A29" s="132" t="s">
        <v>94</v>
      </c>
      <c r="B29" s="142">
        <f>+'Load Impact to Cost &amp; Rev'!H7</f>
        <v>24.655816285714291</v>
      </c>
      <c r="C29" s="142">
        <f>+'Load Impact to Cost &amp; Rev'!I7</f>
        <v>25.815951285714295</v>
      </c>
      <c r="D29" s="142">
        <f>+'Load Impact to Cost &amp; Rev'!J7</f>
        <v>25.949426285714285</v>
      </c>
      <c r="E29" s="142">
        <f>+'Load Impact to Cost &amp; Rev'!K7</f>
        <v>24.912537999999991</v>
      </c>
      <c r="F29" s="142">
        <f>+'Load Impact to Cost &amp; Rev'!L7</f>
        <v>26.260529999999999</v>
      </c>
      <c r="G29" s="142">
        <f>+'Load Impact to Cost &amp; Rev'!M7</f>
        <v>27.422109285714289</v>
      </c>
      <c r="H29" s="142">
        <f>+'Load Impact to Cost &amp; Rev'!N8</f>
        <v>27.443161456233209</v>
      </c>
      <c r="I29" s="142">
        <f>+'Load Impact to Cost &amp; Rev'!O8</f>
        <v>26.363852604166663</v>
      </c>
      <c r="J29" s="142">
        <f>+'Load Impact to Cost &amp; Rev'!P8</f>
        <v>22.571717967698518</v>
      </c>
      <c r="K29" s="142">
        <f>+'Load Impact to Cost &amp; Rev'!Q8</f>
        <v>14.551431325954864</v>
      </c>
      <c r="L29" s="142">
        <f>+'Load Impact to Cost &amp; Rev'!R8</f>
        <v>14.343017496219758</v>
      </c>
      <c r="M29" s="142">
        <f>+'Load Impact to Cost &amp; Rev'!S8</f>
        <v>14.376065292968748</v>
      </c>
      <c r="N29" s="125">
        <f>AVERAGE(B29:M29)</f>
        <v>22.888801440508242</v>
      </c>
      <c r="O29" s="143">
        <f>AVERAGE(Price!B9,Price!I9:M9,Price!B24:G24)-N29</f>
        <v>0</v>
      </c>
    </row>
    <row r="30" spans="1:15">
      <c r="A30" s="132" t="s">
        <v>119</v>
      </c>
      <c r="B30" s="143">
        <v>62.88</v>
      </c>
      <c r="C30" s="143">
        <v>62.88</v>
      </c>
      <c r="D30" s="143">
        <v>62.88</v>
      </c>
      <c r="E30" s="143">
        <v>62.88</v>
      </c>
      <c r="F30" s="143">
        <v>62.88</v>
      </c>
      <c r="G30" s="143">
        <v>62.88</v>
      </c>
      <c r="H30" s="143">
        <v>64.400000000000006</v>
      </c>
      <c r="I30" s="143">
        <v>64.400000000000006</v>
      </c>
      <c r="J30" s="143">
        <v>64.400000000000006</v>
      </c>
      <c r="K30" s="143">
        <v>64.400000000000006</v>
      </c>
      <c r="L30" s="143">
        <v>64.400000000000006</v>
      </c>
      <c r="M30" s="143">
        <v>64.400000000000006</v>
      </c>
      <c r="N30" s="143"/>
    </row>
    <row r="32" spans="1:15">
      <c r="A32" s="132" t="s">
        <v>120</v>
      </c>
      <c r="B32" s="144">
        <f>B26</f>
        <v>38832.671512030662</v>
      </c>
      <c r="C32" s="144">
        <f t="shared" ref="C32:M32" si="6">C26</f>
        <v>126359.33032078399</v>
      </c>
      <c r="D32" s="144">
        <f t="shared" si="6"/>
        <v>24582.111442264555</v>
      </c>
      <c r="E32" s="144">
        <f t="shared" si="6"/>
        <v>-85403.894094455594</v>
      </c>
      <c r="F32" s="144">
        <f t="shared" si="6"/>
        <v>-11439.819230622999</v>
      </c>
      <c r="G32" s="144">
        <f t="shared" si="6"/>
        <v>153950.31006061728</v>
      </c>
      <c r="H32" s="144">
        <f t="shared" si="6"/>
        <v>70759.370366464893</v>
      </c>
      <c r="I32" s="144">
        <f t="shared" si="6"/>
        <v>-220579.92179093766</v>
      </c>
      <c r="J32" s="144">
        <f t="shared" si="6"/>
        <v>2858.5954852761906</v>
      </c>
      <c r="K32" s="144">
        <f t="shared" si="6"/>
        <v>-46463.81277514746</v>
      </c>
      <c r="L32" s="144">
        <f t="shared" si="6"/>
        <v>163019.4987813425</v>
      </c>
      <c r="M32" s="144">
        <f t="shared" si="6"/>
        <v>5081.2700520669005</v>
      </c>
      <c r="N32" s="144">
        <f>SUM(B32:M32)</f>
        <v>221555.71012968326</v>
      </c>
    </row>
    <row r="33" spans="1:14">
      <c r="A33" s="132" t="s">
        <v>121</v>
      </c>
      <c r="B33" s="144">
        <f>B22*B29</f>
        <v>-650266.21340286522</v>
      </c>
      <c r="C33" s="144">
        <f t="shared" ref="C33:M33" si="7">C22*C29</f>
        <v>-1615633.7158981941</v>
      </c>
      <c r="D33" s="144">
        <f t="shared" si="7"/>
        <v>-704426.60405755613</v>
      </c>
      <c r="E33" s="144">
        <f t="shared" si="7"/>
        <v>858178.85976908333</v>
      </c>
      <c r="F33" s="144">
        <f t="shared" si="7"/>
        <v>450717.47174755536</v>
      </c>
      <c r="G33" s="144">
        <f t="shared" si="7"/>
        <v>-2643510.1160012959</v>
      </c>
      <c r="H33" s="144">
        <f t="shared" si="7"/>
        <v>-739809.73987709684</v>
      </c>
      <c r="I33" s="144">
        <f t="shared" si="7"/>
        <v>3167158.6096606883</v>
      </c>
      <c r="J33" s="144">
        <f t="shared" si="7"/>
        <v>-358919.12335633853</v>
      </c>
      <c r="K33" s="144">
        <f t="shared" si="7"/>
        <v>288039.02310713852</v>
      </c>
      <c r="L33" s="144">
        <f t="shared" si="7"/>
        <v>-1299566.2331986597</v>
      </c>
      <c r="M33" s="144">
        <f t="shared" si="7"/>
        <v>-141057.28483604972</v>
      </c>
      <c r="N33" s="144">
        <f>SUM(B33:M33)</f>
        <v>-3389095.066343592</v>
      </c>
    </row>
    <row r="34" spans="1:14">
      <c r="A34" s="132" t="s">
        <v>122</v>
      </c>
      <c r="B34" s="144">
        <f>-B21*B30</f>
        <v>113287.8444834579</v>
      </c>
      <c r="C34" s="144">
        <f t="shared" ref="C34:M34" si="8">-C21*C30</f>
        <v>418985.24728511163</v>
      </c>
      <c r="D34" s="144">
        <f t="shared" si="8"/>
        <v>441303.64123729779</v>
      </c>
      <c r="E34" s="144">
        <f t="shared" si="8"/>
        <v>200460.06363694242</v>
      </c>
      <c r="F34" s="144">
        <f t="shared" si="8"/>
        <v>152977.26025677327</v>
      </c>
      <c r="G34" s="144">
        <f t="shared" si="8"/>
        <v>287450.63644611358</v>
      </c>
      <c r="H34" s="144">
        <f t="shared" si="8"/>
        <v>287024.24703467073</v>
      </c>
      <c r="I34" s="144">
        <f t="shared" si="8"/>
        <v>-160700.89416208857</v>
      </c>
      <c r="J34" s="144">
        <f t="shared" si="8"/>
        <v>379375.66461070778</v>
      </c>
      <c r="K34" s="144">
        <f t="shared" si="8"/>
        <v>155464.64176712828</v>
      </c>
      <c r="L34" s="144">
        <f t="shared" si="8"/>
        <v>50180.926317576072</v>
      </c>
      <c r="M34" s="144">
        <f t="shared" si="8"/>
        <v>149200.83347113527</v>
      </c>
      <c r="N34" s="144">
        <f>SUM(B34:M34)</f>
        <v>2475010.1123848259</v>
      </c>
    </row>
    <row r="35" spans="1:14" ht="13.5" thickBot="1">
      <c r="A35" s="132" t="s">
        <v>123</v>
      </c>
      <c r="B35" s="145">
        <f>SUM(B32:B34)</f>
        <v>-498145.69740737666</v>
      </c>
      <c r="C35" s="145">
        <f t="shared" ref="C35:N35" si="9">SUM(C32:C34)</f>
        <v>-1070289.1382922987</v>
      </c>
      <c r="D35" s="145">
        <f t="shared" si="9"/>
        <v>-238540.85137799382</v>
      </c>
      <c r="E35" s="145">
        <f t="shared" si="9"/>
        <v>973235.02931157011</v>
      </c>
      <c r="F35" s="145">
        <f t="shared" si="9"/>
        <v>592254.91277370555</v>
      </c>
      <c r="G35" s="145">
        <f t="shared" si="9"/>
        <v>-2202109.1694945646</v>
      </c>
      <c r="H35" s="145">
        <f t="shared" si="9"/>
        <v>-382026.12247596128</v>
      </c>
      <c r="I35" s="145">
        <f t="shared" si="9"/>
        <v>2785877.7937076623</v>
      </c>
      <c r="J35" s="145">
        <f t="shared" si="9"/>
        <v>23315.136739645444</v>
      </c>
      <c r="K35" s="145">
        <f t="shared" si="9"/>
        <v>397039.85209911934</v>
      </c>
      <c r="L35" s="145">
        <f t="shared" si="9"/>
        <v>-1086365.8080997411</v>
      </c>
      <c r="M35" s="145">
        <f t="shared" si="9"/>
        <v>13224.818687152438</v>
      </c>
      <c r="N35" s="145">
        <f t="shared" si="9"/>
        <v>-692529.2438290827</v>
      </c>
    </row>
    <row r="36" spans="1:14" ht="13.5" thickTop="1">
      <c r="B36" s="146"/>
      <c r="C36" s="146"/>
      <c r="D36" s="146"/>
      <c r="E36" s="146"/>
      <c r="F36" s="146"/>
      <c r="G36" s="146"/>
      <c r="H36" s="146"/>
      <c r="I36" s="146"/>
      <c r="J36" s="146"/>
      <c r="K36" s="146"/>
      <c r="L36" s="146"/>
      <c r="M36" s="146"/>
      <c r="N36" s="146"/>
    </row>
    <row r="37" spans="1:14" ht="13.5" thickBot="1">
      <c r="B37" s="146"/>
      <c r="C37" s="146"/>
      <c r="D37" s="146"/>
      <c r="E37" s="146"/>
      <c r="F37" s="146"/>
      <c r="G37" s="146"/>
      <c r="H37" s="146"/>
      <c r="I37" s="146"/>
      <c r="J37" s="146"/>
      <c r="K37" s="146"/>
      <c r="L37" s="146"/>
      <c r="M37" s="146"/>
      <c r="N37" s="146"/>
    </row>
    <row r="38" spans="1:14" ht="13.5" thickBot="1">
      <c r="B38" s="146" t="s">
        <v>124</v>
      </c>
      <c r="C38" s="147" t="str">
        <f>IF(N8 &gt;N15,"&gt;","&lt;")</f>
        <v>&lt;</v>
      </c>
      <c r="D38" s="146" t="s">
        <v>125</v>
      </c>
      <c r="E38" s="146"/>
      <c r="F38" s="146"/>
      <c r="G38" s="147" t="str">
        <f>IF(N8 &gt;N15,"MORE","LESS")</f>
        <v>LESS</v>
      </c>
      <c r="H38" s="146" t="s">
        <v>126</v>
      </c>
      <c r="I38" s="146"/>
      <c r="J38" s="147" t="str">
        <f>IF(N8 &gt;N15,"INCREASE","DECREASE")</f>
        <v>DECREASE</v>
      </c>
      <c r="K38" s="146" t="s">
        <v>127</v>
      </c>
      <c r="L38" s="146">
        <f>+N35</f>
        <v>-692529.2438290827</v>
      </c>
      <c r="M38" s="146"/>
      <c r="N38" s="146"/>
    </row>
  </sheetData>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3"/>
  <sheetViews>
    <sheetView zoomScale="85" zoomScaleNormal="85" workbookViewId="0">
      <selection activeCell="O10" sqref="O10"/>
    </sheetView>
  </sheetViews>
  <sheetFormatPr defaultColWidth="9.140625" defaultRowHeight="15" outlineLevelRow="1"/>
  <cols>
    <col min="1" max="1" width="40.7109375" style="319" customWidth="1"/>
    <col min="2" max="3" width="14.5703125" style="319" bestFit="1" customWidth="1"/>
    <col min="4" max="4" width="13.5703125" style="319" customWidth="1"/>
    <col min="5" max="5" width="10.28515625" style="319" bestFit="1" customWidth="1"/>
    <col min="6" max="6" width="11.5703125" style="319" customWidth="1"/>
    <col min="7" max="7" width="12.7109375" style="319" customWidth="1"/>
    <col min="8" max="8" width="12.42578125" style="319" customWidth="1"/>
    <col min="9" max="9" width="12" style="319" customWidth="1"/>
    <col min="10" max="10" width="9.7109375" style="319" bestFit="1" customWidth="1"/>
    <col min="11" max="11" width="9.7109375" style="319" customWidth="1"/>
    <col min="12" max="12" width="11.5703125" style="319" bestFit="1" customWidth="1"/>
    <col min="13" max="13" width="10.5703125" style="319" bestFit="1" customWidth="1"/>
    <col min="14" max="14" width="11.140625" style="319" customWidth="1"/>
    <col min="15" max="15" width="11.5703125" style="319" customWidth="1"/>
    <col min="16" max="16" width="11" style="319" customWidth="1"/>
    <col min="17" max="17" width="14.7109375" style="319" customWidth="1"/>
    <col min="18" max="18" width="3.140625" style="319" customWidth="1"/>
    <col min="19" max="19" width="12.7109375" style="319" customWidth="1"/>
    <col min="20" max="16384" width="9.140625" style="319"/>
  </cols>
  <sheetData>
    <row r="1" spans="1:15" ht="39.75" thickBot="1">
      <c r="A1" s="316" t="s">
        <v>261</v>
      </c>
      <c r="B1" s="317" t="s">
        <v>262</v>
      </c>
      <c r="C1" s="318" t="s">
        <v>263</v>
      </c>
      <c r="D1" s="316" t="s">
        <v>264</v>
      </c>
      <c r="E1" s="316" t="s">
        <v>265</v>
      </c>
      <c r="K1" s="377" t="s">
        <v>266</v>
      </c>
      <c r="L1" s="317" t="s">
        <v>262</v>
      </c>
      <c r="M1" s="318" t="s">
        <v>263</v>
      </c>
      <c r="N1" s="316" t="s">
        <v>264</v>
      </c>
      <c r="O1" s="316" t="s">
        <v>265</v>
      </c>
    </row>
    <row r="2" spans="1:15" ht="45" customHeight="1">
      <c r="A2" s="320" t="s">
        <v>267</v>
      </c>
      <c r="B2" s="321">
        <v>270802.83199885004</v>
      </c>
      <c r="C2" s="322">
        <v>447831.44</v>
      </c>
      <c r="D2" s="323">
        <v>0.60469812480974994</v>
      </c>
      <c r="E2" s="324" t="s">
        <v>268</v>
      </c>
      <c r="K2" s="376" t="s">
        <v>267</v>
      </c>
      <c r="L2" s="321">
        <v>265624.980974395</v>
      </c>
      <c r="M2" s="325">
        <v>447830.62000000011</v>
      </c>
      <c r="N2" s="323">
        <v>0.59313715746903362</v>
      </c>
      <c r="O2" s="324" t="s">
        <v>269</v>
      </c>
    </row>
    <row r="3" spans="1:15" ht="45" customHeight="1">
      <c r="A3" s="320" t="s">
        <v>270</v>
      </c>
      <c r="B3" s="321">
        <v>356773.41960545647</v>
      </c>
      <c r="C3" s="322">
        <v>892274.1100000001</v>
      </c>
      <c r="D3" s="323">
        <v>0.3998473289844266</v>
      </c>
      <c r="E3" s="324" t="s">
        <v>271</v>
      </c>
      <c r="K3" s="376" t="s">
        <v>270</v>
      </c>
      <c r="L3" s="321">
        <v>434963.42143418256</v>
      </c>
      <c r="M3" s="325">
        <v>897613.54799999984</v>
      </c>
      <c r="N3" s="323">
        <v>0.48457760291535018</v>
      </c>
      <c r="O3" s="324" t="s">
        <v>269</v>
      </c>
    </row>
    <row r="4" spans="1:15" ht="45" customHeight="1">
      <c r="A4" s="320" t="s">
        <v>272</v>
      </c>
      <c r="B4" s="321">
        <v>95641.141065553631</v>
      </c>
      <c r="C4" s="322">
        <v>696463.83799999987</v>
      </c>
      <c r="D4" s="323">
        <v>0.13732391525194113</v>
      </c>
      <c r="E4" s="324" t="s">
        <v>268</v>
      </c>
      <c r="K4" s="376" t="s">
        <v>272</v>
      </c>
      <c r="L4" s="321">
        <v>237344.05876537063</v>
      </c>
      <c r="M4" s="325">
        <v>696463.83799999987</v>
      </c>
      <c r="N4" s="323">
        <v>0.34078446836082632</v>
      </c>
      <c r="O4" s="324" t="s">
        <v>269</v>
      </c>
    </row>
    <row r="5" spans="1:15" ht="45" customHeight="1" thickBot="1">
      <c r="A5" s="320" t="s">
        <v>273</v>
      </c>
      <c r="B5" s="326">
        <v>60613.768696419189</v>
      </c>
      <c r="C5" s="327">
        <v>159394.87099999998</v>
      </c>
      <c r="D5" s="323">
        <v>0.3802742730436991</v>
      </c>
      <c r="E5" s="324" t="s">
        <v>268</v>
      </c>
      <c r="K5" s="376" t="s">
        <v>273</v>
      </c>
      <c r="L5" s="326">
        <v>71058.710754206855</v>
      </c>
      <c r="M5" s="328">
        <v>159394.87099999998</v>
      </c>
      <c r="N5" s="323">
        <v>0.4458029942143299</v>
      </c>
      <c r="O5" s="324" t="s">
        <v>269</v>
      </c>
    </row>
    <row r="6" spans="1:15" ht="15.75" thickBot="1">
      <c r="B6" s="329">
        <v>783831.16136627935</v>
      </c>
      <c r="C6" s="330">
        <v>2195964.2589999996</v>
      </c>
      <c r="D6" s="331"/>
      <c r="K6" s="21"/>
      <c r="L6" s="329">
        <v>1008991.171928155</v>
      </c>
      <c r="M6" s="332">
        <v>2201302.8769999999</v>
      </c>
      <c r="N6" s="19"/>
    </row>
    <row r="7" spans="1:15" ht="15.75" thickTop="1">
      <c r="D7" s="331"/>
      <c r="E7" s="331"/>
      <c r="I7" s="333"/>
    </row>
    <row r="8" spans="1:15" outlineLevel="1">
      <c r="D8" s="331"/>
      <c r="E8" s="331"/>
    </row>
    <row r="9" spans="1:15" outlineLevel="1">
      <c r="D9" s="331"/>
      <c r="E9" s="331"/>
    </row>
    <row r="10" spans="1:15" outlineLevel="1">
      <c r="D10" s="331"/>
      <c r="E10" s="331"/>
    </row>
    <row r="11" spans="1:15">
      <c r="A11" s="700" t="s">
        <v>274</v>
      </c>
      <c r="D11" s="319" t="s">
        <v>275</v>
      </c>
    </row>
    <row r="12" spans="1:15">
      <c r="D12" s="334" t="s">
        <v>276</v>
      </c>
      <c r="E12" s="334" t="s">
        <v>276</v>
      </c>
      <c r="F12" s="334" t="s">
        <v>276</v>
      </c>
      <c r="G12" s="334" t="s">
        <v>276</v>
      </c>
      <c r="H12" s="334" t="s">
        <v>276</v>
      </c>
      <c r="I12" s="334" t="s">
        <v>276</v>
      </c>
      <c r="J12" s="334" t="s">
        <v>277</v>
      </c>
      <c r="K12" s="334" t="s">
        <v>277</v>
      </c>
      <c r="L12" s="334" t="s">
        <v>277</v>
      </c>
      <c r="M12" s="334" t="s">
        <v>277</v>
      </c>
      <c r="N12" s="334" t="s">
        <v>277</v>
      </c>
      <c r="O12" s="334" t="s">
        <v>277</v>
      </c>
    </row>
    <row r="13" spans="1:15">
      <c r="D13" s="133">
        <v>42917</v>
      </c>
      <c r="E13" s="133">
        <v>42948</v>
      </c>
      <c r="F13" s="133">
        <v>42979</v>
      </c>
      <c r="G13" s="133">
        <v>43009</v>
      </c>
      <c r="H13" s="133">
        <v>43040</v>
      </c>
      <c r="I13" s="133">
        <v>43070</v>
      </c>
      <c r="J13" s="133">
        <v>43101</v>
      </c>
      <c r="K13" s="133">
        <v>43132</v>
      </c>
      <c r="L13" s="133">
        <v>43160</v>
      </c>
      <c r="M13" s="133">
        <v>43191</v>
      </c>
      <c r="N13" s="133">
        <v>43221</v>
      </c>
      <c r="O13" s="133">
        <v>43252</v>
      </c>
    </row>
    <row r="14" spans="1:15" outlineLevel="1">
      <c r="D14" s="335">
        <v>0.58880503435166864</v>
      </c>
      <c r="E14" s="335">
        <v>0.6715881301208606</v>
      </c>
      <c r="F14" s="335">
        <v>0.57340286348693004</v>
      </c>
      <c r="G14" s="335">
        <v>0.49830451077558607</v>
      </c>
      <c r="H14" s="335">
        <v>0.49106425264066506</v>
      </c>
      <c r="I14" s="335">
        <v>0.38965927050933408</v>
      </c>
      <c r="J14" s="335">
        <v>0.49638345528571592</v>
      </c>
      <c r="K14" s="335">
        <v>0.57080103114491743</v>
      </c>
      <c r="L14" s="335">
        <v>0.50770526428778062</v>
      </c>
      <c r="M14" s="335">
        <v>0.31424930328202794</v>
      </c>
      <c r="N14" s="335">
        <v>0.2386133862119986</v>
      </c>
      <c r="O14" s="335">
        <v>0.21889279898617747</v>
      </c>
    </row>
    <row r="15" spans="1:15">
      <c r="A15" s="701" t="s">
        <v>278</v>
      </c>
    </row>
    <row r="16" spans="1:15" ht="15.75" thickBot="1">
      <c r="A16" s="336"/>
      <c r="B16" s="337" t="s">
        <v>279</v>
      </c>
      <c r="C16" s="337"/>
      <c r="D16" s="338" t="s">
        <v>280</v>
      </c>
      <c r="E16" s="337" t="s">
        <v>260</v>
      </c>
      <c r="F16" s="338" t="s">
        <v>281</v>
      </c>
      <c r="G16" s="338" t="s">
        <v>265</v>
      </c>
      <c r="H16" s="338" t="s">
        <v>282</v>
      </c>
      <c r="I16" s="337" t="s">
        <v>283</v>
      </c>
      <c r="J16" s="337" t="s">
        <v>284</v>
      </c>
    </row>
    <row r="17" spans="1:18">
      <c r="A17" s="339" t="s">
        <v>285</v>
      </c>
      <c r="B17" s="340">
        <v>273</v>
      </c>
      <c r="C17" s="340" t="s">
        <v>286</v>
      </c>
      <c r="D17" s="341">
        <v>696463.83799999976</v>
      </c>
      <c r="E17" s="323">
        <v>4.2202097278097002</v>
      </c>
      <c r="F17" s="342">
        <v>2743206.9598870738</v>
      </c>
      <c r="G17" s="343" t="s">
        <v>287</v>
      </c>
      <c r="H17" s="321">
        <v>2939223.4641952799</v>
      </c>
      <c r="I17" s="321">
        <v>2939223.4641952799</v>
      </c>
      <c r="J17" s="323">
        <v>0</v>
      </c>
    </row>
    <row r="18" spans="1:18">
      <c r="A18" s="339"/>
      <c r="B18" s="340">
        <v>273</v>
      </c>
      <c r="C18" s="340" t="s">
        <v>195</v>
      </c>
      <c r="D18" s="341">
        <v>696463.83799999999</v>
      </c>
      <c r="E18" s="323">
        <v>3.7043630471005602</v>
      </c>
      <c r="F18" s="342">
        <f>D18*E18</f>
        <v>2579954.9051290308</v>
      </c>
      <c r="G18" s="343" t="s">
        <v>287</v>
      </c>
      <c r="H18" s="321">
        <v>2534120</v>
      </c>
      <c r="I18" s="321">
        <f>2200352+333768</f>
        <v>2534120</v>
      </c>
      <c r="J18" s="323">
        <v>0</v>
      </c>
    </row>
    <row r="19" spans="1:18">
      <c r="A19" s="344"/>
      <c r="B19" s="344"/>
      <c r="C19" s="344"/>
      <c r="D19" s="331"/>
      <c r="E19" s="344"/>
      <c r="F19" s="345"/>
      <c r="G19" s="331"/>
      <c r="H19" s="331"/>
    </row>
    <row r="20" spans="1:18" s="347" customFormat="1">
      <c r="A20" s="346" t="s">
        <v>117</v>
      </c>
      <c r="B20" s="346"/>
      <c r="C20" s="346"/>
    </row>
    <row r="21" spans="1:18">
      <c r="D21" s="133">
        <v>42917</v>
      </c>
      <c r="E21" s="133">
        <v>42948</v>
      </c>
      <c r="F21" s="133">
        <v>42979</v>
      </c>
      <c r="G21" s="133">
        <v>43009</v>
      </c>
      <c r="H21" s="133">
        <v>43040</v>
      </c>
      <c r="I21" s="133">
        <v>43070</v>
      </c>
      <c r="J21" s="133">
        <v>43101</v>
      </c>
      <c r="K21" s="133">
        <v>43132</v>
      </c>
      <c r="L21" s="133">
        <v>43160</v>
      </c>
      <c r="M21" s="133">
        <v>43191</v>
      </c>
      <c r="N21" s="133">
        <v>43221</v>
      </c>
      <c r="O21" s="133">
        <v>43252</v>
      </c>
      <c r="P21" s="348" t="s">
        <v>42</v>
      </c>
      <c r="Q21" s="348"/>
    </row>
    <row r="22" spans="1:18" s="132" customFormat="1" ht="12.75">
      <c r="A22" s="134" t="s">
        <v>288</v>
      </c>
      <c r="B22" s="134"/>
      <c r="C22" s="134"/>
    </row>
    <row r="23" spans="1:18" s="132" customFormat="1" ht="12.75">
      <c r="A23" s="349" t="s">
        <v>110</v>
      </c>
      <c r="B23" s="349"/>
      <c r="C23" s="349"/>
      <c r="D23" s="139">
        <f>'2018 Wind'!B18</f>
        <v>-10898.399324072729</v>
      </c>
      <c r="E23" s="139">
        <f>'2018 Wind'!C18</f>
        <v>-9626.2575247820096</v>
      </c>
      <c r="F23" s="139">
        <f>'2018 Wind'!D18</f>
        <v>-10105.561607994121</v>
      </c>
      <c r="G23" s="139">
        <f>'2018 Wind'!E18</f>
        <v>5992.19390319179</v>
      </c>
      <c r="H23" s="139">
        <f>'2018 Wind'!F18</f>
        <v>4228.3446364129413</v>
      </c>
      <c r="I23" s="139">
        <f>'2018 Wind'!G18</f>
        <v>-22924.88467197197</v>
      </c>
      <c r="J23" s="139">
        <f>'2018 Wind'!H18</f>
        <v>-194.02626532412251</v>
      </c>
      <c r="K23" s="139">
        <f>'2018 Wind'!I18</f>
        <v>26798.603169970647</v>
      </c>
      <c r="L23" s="139">
        <f>'2018 Wind'!J18</f>
        <v>-12645.578598172557</v>
      </c>
      <c r="M23" s="139">
        <f>'2018 Wind'!K18</f>
        <v>8176.5603514456816</v>
      </c>
      <c r="N23" s="139">
        <f>'2018 Wind'!L18</f>
        <v>-21978.399122317573</v>
      </c>
      <c r="O23" s="139">
        <f>'2018 Wind'!M18</f>
        <v>-7084.4481394601135</v>
      </c>
      <c r="P23" s="139">
        <f>SUM(D23:O23)</f>
        <v>-50261.85319307413</v>
      </c>
      <c r="Q23" s="139"/>
      <c r="R23" s="350"/>
    </row>
    <row r="24" spans="1:18" s="132" customFormat="1" ht="12.75">
      <c r="A24" s="149" t="s">
        <v>111</v>
      </c>
      <c r="B24" s="149"/>
      <c r="C24" s="149"/>
      <c r="D24" s="139">
        <f>'2018 Wind'!B19</f>
        <v>-10223.959889655176</v>
      </c>
      <c r="E24" s="139">
        <f>'2018 Wind'!C19</f>
        <v>-27444.350765517222</v>
      </c>
      <c r="F24" s="139">
        <f>'2018 Wind'!D19</f>
        <v>-9947.4456275861739</v>
      </c>
      <c r="G24" s="139">
        <f>'2018 Wind'!E19</f>
        <v>16731.491400000014</v>
      </c>
      <c r="H24" s="139">
        <f>'2018 Wind'!F19</f>
        <v>17086.955765517254</v>
      </c>
      <c r="I24" s="139">
        <f>'2018 Wind'!G19</f>
        <v>-47879.901358620678</v>
      </c>
      <c r="J24" s="139">
        <f>'2018 Wind'!H19</f>
        <v>-9268.3125241379166</v>
      </c>
      <c r="K24" s="139">
        <f>'2018 Wind'!I19</f>
        <v>64479.125731034503</v>
      </c>
      <c r="L24" s="139">
        <f>'2018 Wind'!J19</f>
        <v>-467.71037241378508</v>
      </c>
      <c r="M24" s="139">
        <f>'2018 Wind'!K19</f>
        <v>5126.0968137931195</v>
      </c>
      <c r="N24" s="139">
        <f>'2018 Wind'!L19</f>
        <v>-39153.422820689644</v>
      </c>
      <c r="O24" s="139">
        <f>'2018 Wind'!M19</f>
        <v>-1007.2113517241523</v>
      </c>
      <c r="P24" s="139">
        <f t="shared" ref="P24:P27" si="0">SUM(D24:O24)</f>
        <v>-41968.644999999859</v>
      </c>
      <c r="Q24" s="139"/>
    </row>
    <row r="25" spans="1:18" s="132" customFormat="1" ht="12.75">
      <c r="A25" s="349" t="s">
        <v>171</v>
      </c>
      <c r="B25" s="349"/>
      <c r="C25" s="349"/>
      <c r="D25" s="139">
        <f>'2018 Wind'!B20</f>
        <v>-3449.7343932129515</v>
      </c>
      <c r="E25" s="139">
        <f>'2018 Wind'!C20</f>
        <v>-18848.909324254753</v>
      </c>
      <c r="F25" s="139">
        <f>'2018 Wind'!D20</f>
        <v>-74.939119715410925</v>
      </c>
      <c r="G25" s="139">
        <f>'2018 Wind'!E20</f>
        <v>14911.961679439126</v>
      </c>
      <c r="H25" s="139">
        <f>'2018 Wind'!F20</f>
        <v>-1719.1514692811907</v>
      </c>
      <c r="I25" s="139">
        <f>'2018 Wind'!G20</f>
        <v>-21024.482875545833</v>
      </c>
      <c r="J25" s="139">
        <f>'2018 Wind'!H20</f>
        <v>-13038.653405121891</v>
      </c>
      <c r="K25" s="139">
        <f>'2018 Wind'!I20</f>
        <v>26359.532679992197</v>
      </c>
      <c r="L25" s="139">
        <f>'2018 Wind'!J20</f>
        <v>3102.939166886048</v>
      </c>
      <c r="M25" s="139">
        <f>'2018 Wind'!K20</f>
        <v>8905.9392530891928</v>
      </c>
      <c r="N25" s="139">
        <f>'2018 Wind'!L20</f>
        <v>-28695.165641883177</v>
      </c>
      <c r="O25" s="139">
        <f>'2018 Wind'!M20</f>
        <v>596.48907311877701</v>
      </c>
      <c r="P25" s="139">
        <f t="shared" si="0"/>
        <v>-32974.174376489871</v>
      </c>
      <c r="Q25" s="139"/>
    </row>
    <row r="26" spans="1:18" s="132" customFormat="1" ht="12.75">
      <c r="A26" s="349" t="s">
        <v>112</v>
      </c>
      <c r="B26" s="349"/>
      <c r="C26" s="349"/>
      <c r="D26" s="351">
        <f>'2018 Wind'!B21</f>
        <v>-1801.6514707929055</v>
      </c>
      <c r="E26" s="351">
        <f>'2018 Wind'!C21</f>
        <v>-6663.2513881220038</v>
      </c>
      <c r="F26" s="351">
        <f>'2018 Wind'!D21</f>
        <v>-7018.1876787102065</v>
      </c>
      <c r="G26" s="351">
        <f>'2018 Wind'!E21</f>
        <v>-3187.9781112745295</v>
      </c>
      <c r="H26" s="351">
        <f>'2018 Wind'!F21</f>
        <v>-2432.8444697323994</v>
      </c>
      <c r="I26" s="351">
        <f>'2018 Wind'!G21</f>
        <v>-4571.4159740158011</v>
      </c>
      <c r="J26" s="351">
        <f>'2018 Wind'!H21</f>
        <v>-4456.8982458799801</v>
      </c>
      <c r="K26" s="351">
        <f>'2018 Wind'!I21</f>
        <v>2495.3554994113128</v>
      </c>
      <c r="L26" s="351">
        <f>'2018 Wind'!J21</f>
        <v>-5890.926469110369</v>
      </c>
      <c r="M26" s="351">
        <f>'2018 Wind'!K21</f>
        <v>-2414.0472324088241</v>
      </c>
      <c r="N26" s="351">
        <f>'2018 Wind'!L21</f>
        <v>-779.20693039714388</v>
      </c>
      <c r="O26" s="351">
        <f>'2018 Wind'!M21</f>
        <v>-2316.7831284337772</v>
      </c>
      <c r="P26" s="351">
        <f t="shared" si="0"/>
        <v>-39037.83559946662</v>
      </c>
      <c r="Q26" s="352"/>
    </row>
    <row r="27" spans="1:18" s="132" customFormat="1" ht="12.75">
      <c r="A27" s="353" t="str">
        <f>A22</f>
        <v>INCREASE / (DECREASE) TO WIND GENERATION</v>
      </c>
      <c r="B27" s="353"/>
      <c r="C27" s="353"/>
      <c r="D27" s="139">
        <f t="shared" ref="D27:O27" si="1">SUM(D23:D26)</f>
        <v>-26373.745077733762</v>
      </c>
      <c r="E27" s="139">
        <f t="shared" si="1"/>
        <v>-62582.769002675996</v>
      </c>
      <c r="F27" s="139">
        <f t="shared" si="1"/>
        <v>-27146.134034005911</v>
      </c>
      <c r="G27" s="139">
        <f t="shared" si="1"/>
        <v>34447.668871356407</v>
      </c>
      <c r="H27" s="139">
        <f t="shared" si="1"/>
        <v>17163.304462916603</v>
      </c>
      <c r="I27" s="139">
        <f t="shared" si="1"/>
        <v>-96400.68488015428</v>
      </c>
      <c r="J27" s="139">
        <f t="shared" si="1"/>
        <v>-26957.890440463911</v>
      </c>
      <c r="K27" s="139">
        <f t="shared" si="1"/>
        <v>120132.61708040866</v>
      </c>
      <c r="L27" s="139">
        <f t="shared" si="1"/>
        <v>-15901.276272810663</v>
      </c>
      <c r="M27" s="139">
        <f t="shared" si="1"/>
        <v>19794.549185919168</v>
      </c>
      <c r="N27" s="139">
        <f t="shared" si="1"/>
        <v>-90606.194515287527</v>
      </c>
      <c r="O27" s="139">
        <f t="shared" si="1"/>
        <v>-9811.9535464992659</v>
      </c>
      <c r="P27" s="139">
        <f t="shared" si="0"/>
        <v>-164242.50816903048</v>
      </c>
      <c r="Q27" s="139"/>
    </row>
    <row r="28" spans="1:18" s="132" customFormat="1" ht="12.75">
      <c r="A28" s="353"/>
      <c r="B28" s="353"/>
      <c r="C28" s="353"/>
    </row>
    <row r="29" spans="1:18" s="132" customFormat="1" ht="12.75">
      <c r="A29" s="134" t="s">
        <v>117</v>
      </c>
      <c r="B29" s="134"/>
      <c r="C29" s="134"/>
    </row>
    <row r="30" spans="1:18" s="132" customFormat="1" ht="12.75"/>
    <row r="31" spans="1:18" s="132" customFormat="1" ht="12.75">
      <c r="A31" s="353"/>
      <c r="B31" s="354" t="s">
        <v>289</v>
      </c>
      <c r="C31" s="354" t="s">
        <v>290</v>
      </c>
      <c r="D31" s="133">
        <f>D21</f>
        <v>42917</v>
      </c>
      <c r="E31" s="133">
        <f t="shared" ref="E31:O31" si="2">E21</f>
        <v>42948</v>
      </c>
      <c r="F31" s="133">
        <f t="shared" si="2"/>
        <v>42979</v>
      </c>
      <c r="G31" s="133">
        <f t="shared" si="2"/>
        <v>43009</v>
      </c>
      <c r="H31" s="133">
        <f t="shared" si="2"/>
        <v>43040</v>
      </c>
      <c r="I31" s="133">
        <f t="shared" si="2"/>
        <v>43070</v>
      </c>
      <c r="J31" s="133">
        <f t="shared" si="2"/>
        <v>43101</v>
      </c>
      <c r="K31" s="133">
        <f t="shared" si="2"/>
        <v>43132</v>
      </c>
      <c r="L31" s="133">
        <f t="shared" si="2"/>
        <v>43160</v>
      </c>
      <c r="M31" s="133">
        <f t="shared" si="2"/>
        <v>43191</v>
      </c>
      <c r="N31" s="133">
        <f t="shared" si="2"/>
        <v>43221</v>
      </c>
      <c r="O31" s="133">
        <f t="shared" si="2"/>
        <v>43252</v>
      </c>
      <c r="P31" s="348" t="s">
        <v>42</v>
      </c>
      <c r="Q31" s="348"/>
    </row>
    <row r="32" spans="1:18" s="132" customFormat="1" ht="12.75">
      <c r="A32" s="355" t="s">
        <v>291</v>
      </c>
      <c r="B32" s="355" t="s">
        <v>292</v>
      </c>
      <c r="C32" s="355" t="s">
        <v>293</v>
      </c>
      <c r="Q32" s="356" t="s">
        <v>294</v>
      </c>
    </row>
    <row r="33" spans="1:18" s="132" customFormat="1" ht="12.75">
      <c r="A33" s="349" t="s">
        <v>110</v>
      </c>
      <c r="B33" s="357">
        <f>D2</f>
        <v>0.60469812480974994</v>
      </c>
      <c r="C33" s="357">
        <f>N2</f>
        <v>0.59313715746903362</v>
      </c>
      <c r="D33" s="358">
        <f t="shared" ref="D33:I33" si="3">D23*$B$33</f>
        <v>-6590.2416346946256</v>
      </c>
      <c r="E33" s="358">
        <f t="shared" si="3"/>
        <v>-5820.9798741714258</v>
      </c>
      <c r="F33" s="358">
        <f t="shared" si="3"/>
        <v>-6110.8141545034459</v>
      </c>
      <c r="G33" s="358">
        <f t="shared" si="3"/>
        <v>3623.4684167564915</v>
      </c>
      <c r="H33" s="358">
        <f t="shared" si="3"/>
        <v>2556.8720726882693</v>
      </c>
      <c r="I33" s="358">
        <f t="shared" si="3"/>
        <v>-13862.63477262123</v>
      </c>
      <c r="J33" s="358">
        <f>J23*$C$33</f>
        <v>-115.08418748868255</v>
      </c>
      <c r="K33" s="358">
        <f>K23*$C$33</f>
        <v>15895.247308377024</v>
      </c>
      <c r="L33" s="358">
        <f>L23*$C$33</f>
        <v>-7500.5625442713172</v>
      </c>
      <c r="M33" s="358">
        <f>M23*$C$33</f>
        <v>4849.8217647304937</v>
      </c>
      <c r="N33" s="358">
        <f t="shared" ref="N33:O33" si="4">N23*$C$33</f>
        <v>-13036.205181131349</v>
      </c>
      <c r="O33" s="358">
        <f t="shared" si="4"/>
        <v>-4202.0494316761551</v>
      </c>
      <c r="P33" s="358">
        <f>SUM(D33:O33)</f>
        <v>-30313.162218005949</v>
      </c>
      <c r="Q33" s="350">
        <f>(SUM(D23:I23)*B33)+(SUM(J23:O23)*C33)-P33</f>
        <v>0</v>
      </c>
    </row>
    <row r="34" spans="1:18" s="132" customFormat="1" ht="12.75">
      <c r="A34" s="149" t="s">
        <v>111</v>
      </c>
      <c r="B34" s="357">
        <f>D3</f>
        <v>0.3998473289844266</v>
      </c>
      <c r="C34" s="357">
        <f t="shared" ref="C34:C36" si="5">N3</f>
        <v>0.48457760291535018</v>
      </c>
      <c r="D34" s="358">
        <f t="shared" ref="D34:I34" si="6">D24*$B$34</f>
        <v>-4088.0230535225351</v>
      </c>
      <c r="E34" s="358">
        <f t="shared" si="6"/>
        <v>-10973.550349303765</v>
      </c>
      <c r="F34" s="358">
        <f t="shared" si="6"/>
        <v>-3977.4595644081446</v>
      </c>
      <c r="G34" s="358">
        <f t="shared" si="6"/>
        <v>6690.0421462159102</v>
      </c>
      <c r="H34" s="358">
        <f t="shared" si="6"/>
        <v>6832.1736233171223</v>
      </c>
      <c r="I34" s="358">
        <f t="shared" si="6"/>
        <v>-19144.650670282295</v>
      </c>
      <c r="J34" s="358">
        <f>J24*$C$34</f>
        <v>-4491.2166660170706</v>
      </c>
      <c r="K34" s="358">
        <f>K24*$C$34</f>
        <v>31245.140184822176</v>
      </c>
      <c r="L34" s="358">
        <f>L24*$C$34</f>
        <v>-226.64197112291771</v>
      </c>
      <c r="M34" s="358">
        <f>M24*$C$34</f>
        <v>2483.9917063398839</v>
      </c>
      <c r="N34" s="358">
        <f t="shared" ref="N34:O34" si="7">N24*$C$34</f>
        <v>-18972.871776380958</v>
      </c>
      <c r="O34" s="358">
        <f t="shared" si="7"/>
        <v>-488.07206244761937</v>
      </c>
      <c r="P34" s="358">
        <f t="shared" ref="P34:P36" si="8">SUM(D34:O34)</f>
        <v>-15111.138452790216</v>
      </c>
      <c r="Q34" s="350">
        <f>(SUM(D24:I24)*B34)+(SUM(J24:O24)*C34)-P34</f>
        <v>0</v>
      </c>
    </row>
    <row r="35" spans="1:18" s="132" customFormat="1" ht="12.75">
      <c r="A35" s="349" t="s">
        <v>171</v>
      </c>
      <c r="B35" s="357">
        <f>D4</f>
        <v>0.13732391525194113</v>
      </c>
      <c r="C35" s="357">
        <f t="shared" si="5"/>
        <v>0.34078446836082632</v>
      </c>
      <c r="D35" s="358">
        <f t="shared" ref="D35:I35" si="9">D25*$B$35</f>
        <v>-473.73103345528187</v>
      </c>
      <c r="E35" s="358">
        <f t="shared" si="9"/>
        <v>-2588.4060266354827</v>
      </c>
      <c r="F35" s="358">
        <f t="shared" si="9"/>
        <v>-10.29093332485416</v>
      </c>
      <c r="G35" s="358">
        <f t="shared" si="9"/>
        <v>2047.7689619074922</v>
      </c>
      <c r="H35" s="358">
        <f t="shared" si="9"/>
        <v>-236.08061067282028</v>
      </c>
      <c r="I35" s="358">
        <f t="shared" si="9"/>
        <v>-2887.1643046173435</v>
      </c>
      <c r="J35" s="358">
        <f>J25*$C$35</f>
        <v>-4443.3705688055416</v>
      </c>
      <c r="K35" s="358">
        <f>K25*$C$35</f>
        <v>8982.9193305909685</v>
      </c>
      <c r="L35" s="358">
        <f>L25*$C$35</f>
        <v>1057.4334743432473</v>
      </c>
      <c r="M35" s="358">
        <f>M25*$C$35</f>
        <v>3035.0057736178151</v>
      </c>
      <c r="N35" s="358">
        <f t="shared" ref="N35:O35" si="10">N25*$C$35</f>
        <v>-9778.8667677950089</v>
      </c>
      <c r="O35" s="358">
        <f t="shared" si="10"/>
        <v>203.27421166582448</v>
      </c>
      <c r="P35" s="358">
        <f t="shared" si="8"/>
        <v>-5091.5084931809861</v>
      </c>
      <c r="Q35" s="350">
        <f>(SUM(D25:I25)*B35)+(SUM(J25:O25)*C35)-P35</f>
        <v>0</v>
      </c>
    </row>
    <row r="36" spans="1:18" s="132" customFormat="1" ht="12.75">
      <c r="A36" s="349" t="s">
        <v>112</v>
      </c>
      <c r="B36" s="357">
        <f>D5</f>
        <v>0.3802742730436991</v>
      </c>
      <c r="C36" s="357">
        <f t="shared" si="5"/>
        <v>0.4458029942143299</v>
      </c>
      <c r="D36" s="359">
        <f t="shared" ref="D36:I36" si="11">D26*$B$36</f>
        <v>-685.12170333388337</v>
      </c>
      <c r="E36" s="359">
        <f t="shared" si="11"/>
        <v>-2533.8630777255139</v>
      </c>
      <c r="F36" s="359">
        <f t="shared" si="11"/>
        <v>-2668.8362176057699</v>
      </c>
      <c r="G36" s="359">
        <f t="shared" si="11"/>
        <v>-1212.3060587441466</v>
      </c>
      <c r="H36" s="359">
        <f t="shared" si="11"/>
        <v>-925.14816215587177</v>
      </c>
      <c r="I36" s="359">
        <f t="shared" si="11"/>
        <v>-1738.3918862992125</v>
      </c>
      <c r="J36" s="359">
        <f>J26*$C$36</f>
        <v>-1986.8985829218898</v>
      </c>
      <c r="K36" s="359">
        <f>K26*$C$36</f>
        <v>1112.4369532667579</v>
      </c>
      <c r="L36" s="359">
        <f>L26*$C$36</f>
        <v>-2626.1926586258528</v>
      </c>
      <c r="M36" s="359">
        <f>M26*$C$36</f>
        <v>-1076.1894843826701</v>
      </c>
      <c r="N36" s="359">
        <f t="shared" ref="N36:O36" si="12">N26*$C$36</f>
        <v>-347.3727826836037</v>
      </c>
      <c r="O36" s="359">
        <f t="shared" si="12"/>
        <v>-1032.8288556010202</v>
      </c>
      <c r="P36" s="359">
        <f t="shared" si="8"/>
        <v>-15720.712516812677</v>
      </c>
      <c r="Q36" s="350">
        <f>(SUM(D26:I26)*B36)+(SUM(J26:O26)*C36)-P36</f>
        <v>0</v>
      </c>
    </row>
    <row r="37" spans="1:18" s="132" customFormat="1" ht="12.75">
      <c r="A37" s="353" t="s">
        <v>295</v>
      </c>
      <c r="B37" s="353"/>
      <c r="C37" s="353"/>
      <c r="D37" s="358">
        <f t="shared" ref="D37:O37" si="13">SUM(D33:D36)</f>
        <v>-11837.117425006327</v>
      </c>
      <c r="E37" s="358">
        <f t="shared" si="13"/>
        <v>-21916.799327836186</v>
      </c>
      <c r="F37" s="358">
        <f t="shared" si="13"/>
        <v>-12767.400869842215</v>
      </c>
      <c r="G37" s="358">
        <f t="shared" si="13"/>
        <v>11148.973466135747</v>
      </c>
      <c r="H37" s="358">
        <f t="shared" si="13"/>
        <v>8227.8169231767006</v>
      </c>
      <c r="I37" s="358">
        <f t="shared" si="13"/>
        <v>-37632.841633820077</v>
      </c>
      <c r="J37" s="358">
        <f t="shared" si="13"/>
        <v>-11036.570005233183</v>
      </c>
      <c r="K37" s="358">
        <f t="shared" si="13"/>
        <v>57235.74377705693</v>
      </c>
      <c r="L37" s="358">
        <f t="shared" si="13"/>
        <v>-9295.9636996768404</v>
      </c>
      <c r="M37" s="358">
        <f t="shared" si="13"/>
        <v>9292.6297603055227</v>
      </c>
      <c r="N37" s="358">
        <f t="shared" si="13"/>
        <v>-42135.316507990916</v>
      </c>
      <c r="O37" s="358">
        <f t="shared" si="13"/>
        <v>-5519.6761380589696</v>
      </c>
      <c r="P37" s="358">
        <f t="shared" ref="P37" si="14">SUM(D37:O37)</f>
        <v>-66236.52168078981</v>
      </c>
    </row>
    <row r="38" spans="1:18" s="132" customFormat="1" ht="12.75">
      <c r="D38" s="360">
        <f t="shared" ref="D38:P38" si="15">D37/D27</f>
        <v>0.44882201561127189</v>
      </c>
      <c r="E38" s="360">
        <f t="shared" si="15"/>
        <v>0.3502050113330562</v>
      </c>
      <c r="F38" s="360">
        <f t="shared" si="15"/>
        <v>0.47032114605521791</v>
      </c>
      <c r="G38" s="360">
        <f t="shared" si="15"/>
        <v>0.32364957721148541</v>
      </c>
      <c r="H38" s="360">
        <f t="shared" si="15"/>
        <v>0.47938419672935911</v>
      </c>
      <c r="I38" s="360">
        <f t="shared" si="15"/>
        <v>0.390379401148502</v>
      </c>
      <c r="J38" s="360">
        <f t="shared" si="15"/>
        <v>0.40940035829610921</v>
      </c>
      <c r="K38" s="360">
        <f t="shared" si="15"/>
        <v>0.47643799967120659</v>
      </c>
      <c r="L38" s="360">
        <f t="shared" si="15"/>
        <v>0.58460487951975648</v>
      </c>
      <c r="M38" s="360">
        <f t="shared" si="15"/>
        <v>0.46945397306223197</v>
      </c>
      <c r="N38" s="360">
        <f t="shared" si="15"/>
        <v>0.46503792299633151</v>
      </c>
      <c r="O38" s="360">
        <f t="shared" si="15"/>
        <v>0.5625460935889055</v>
      </c>
      <c r="P38" s="360">
        <f t="shared" si="15"/>
        <v>0.40328488902898618</v>
      </c>
    </row>
    <row r="39" spans="1:18" s="132" customFormat="1" ht="12.75">
      <c r="A39" s="355" t="s">
        <v>296</v>
      </c>
      <c r="B39" s="355"/>
      <c r="C39" s="355"/>
    </row>
    <row r="40" spans="1:18" s="132" customFormat="1" ht="12.75">
      <c r="A40" s="349" t="s">
        <v>110</v>
      </c>
      <c r="B40" s="361" t="s">
        <v>297</v>
      </c>
      <c r="C40" s="361" t="s">
        <v>297</v>
      </c>
      <c r="D40" s="362"/>
      <c r="E40" s="362"/>
      <c r="F40" s="362"/>
      <c r="G40" s="362"/>
      <c r="H40" s="362"/>
      <c r="I40" s="362"/>
      <c r="J40" s="362"/>
      <c r="K40" s="362"/>
      <c r="L40" s="362"/>
      <c r="M40" s="362"/>
      <c r="N40" s="362"/>
      <c r="O40" s="362"/>
      <c r="P40" s="362"/>
      <c r="Q40" s="362"/>
    </row>
    <row r="41" spans="1:18" s="132" customFormat="1" ht="12.75">
      <c r="A41" s="149" t="s">
        <v>111</v>
      </c>
      <c r="B41" s="361" t="s">
        <v>297</v>
      </c>
      <c r="C41" s="361" t="s">
        <v>297</v>
      </c>
      <c r="D41" s="362"/>
      <c r="E41" s="362"/>
      <c r="F41" s="362"/>
      <c r="G41" s="362"/>
      <c r="H41" s="362"/>
      <c r="I41" s="362"/>
      <c r="J41" s="362"/>
      <c r="K41" s="362"/>
      <c r="L41" s="362"/>
      <c r="M41" s="362"/>
      <c r="N41" s="362"/>
      <c r="O41" s="362"/>
      <c r="P41" s="362"/>
      <c r="Q41" s="362"/>
    </row>
    <row r="42" spans="1:18" s="132" customFormat="1" ht="12.75">
      <c r="A42" s="349" t="s">
        <v>193</v>
      </c>
      <c r="B42" s="363">
        <f>$E$17</f>
        <v>4.2202097278097002</v>
      </c>
      <c r="C42" s="363">
        <f>E18</f>
        <v>3.7043630471005602</v>
      </c>
      <c r="D42" s="358">
        <f t="shared" ref="D42:L42" si="16">D25*$B$42</f>
        <v>-14558.602644596991</v>
      </c>
      <c r="E42" s="358">
        <f t="shared" si="16"/>
        <v>-79546.350488822878</v>
      </c>
      <c r="F42" s="358">
        <f t="shared" si="16"/>
        <v>-316.25880201647288</v>
      </c>
      <c r="G42" s="358">
        <f t="shared" si="16"/>
        <v>62931.605740294472</v>
      </c>
      <c r="H42" s="358">
        <f t="shared" si="16"/>
        <v>-7255.1797542388194</v>
      </c>
      <c r="I42" s="358">
        <f t="shared" si="16"/>
        <v>-88727.727153546977</v>
      </c>
      <c r="J42" s="358">
        <f t="shared" si="16"/>
        <v>-55025.851937834479</v>
      </c>
      <c r="K42" s="358">
        <f t="shared" si="16"/>
        <v>111242.75623662077</v>
      </c>
      <c r="L42" s="358">
        <f t="shared" si="16"/>
        <v>13095.054056894227</v>
      </c>
      <c r="M42" s="358">
        <f>M25*$C$42</f>
        <v>32990.832268865968</v>
      </c>
      <c r="N42" s="358">
        <f t="shared" ref="N42:O42" si="17">N25*$C$42</f>
        <v>-106297.31123422166</v>
      </c>
      <c r="O42" s="358">
        <f t="shared" si="17"/>
        <v>2209.6120804604616</v>
      </c>
      <c r="P42" s="358">
        <f>(SUM(D25:L25)*B42)+(SUM(M25:O25)*C42)</f>
        <v>-129257.4216321424</v>
      </c>
      <c r="Q42" s="350">
        <f>((SUM(D25:L25)*B42)+(SUM(M25:O25)*C42)-P42)</f>
        <v>0</v>
      </c>
    </row>
    <row r="43" spans="1:18" s="132" customFormat="1" ht="12.75">
      <c r="A43" s="349" t="s">
        <v>112</v>
      </c>
      <c r="B43" s="361" t="s">
        <v>298</v>
      </c>
      <c r="C43" s="361" t="s">
        <v>298</v>
      </c>
      <c r="D43" s="362"/>
      <c r="E43" s="362"/>
      <c r="F43" s="362"/>
      <c r="G43" s="362"/>
      <c r="H43" s="362"/>
      <c r="I43" s="362"/>
      <c r="J43" s="362"/>
      <c r="K43" s="362"/>
      <c r="L43" s="362"/>
      <c r="M43" s="362"/>
      <c r="N43" s="362"/>
      <c r="O43" s="362"/>
      <c r="P43" s="362"/>
      <c r="Q43" s="362"/>
      <c r="R43" s="356"/>
    </row>
    <row r="44" spans="1:18" s="132" customFormat="1" ht="12.75">
      <c r="A44" s="353" t="s">
        <v>299</v>
      </c>
      <c r="B44" s="353"/>
      <c r="C44" s="353"/>
      <c r="D44" s="358">
        <f t="shared" ref="D44:O44" si="18">SUM(D40:D43)</f>
        <v>-14558.602644596991</v>
      </c>
      <c r="E44" s="358">
        <f t="shared" si="18"/>
        <v>-79546.350488822878</v>
      </c>
      <c r="F44" s="358">
        <f t="shared" si="18"/>
        <v>-316.25880201647288</v>
      </c>
      <c r="G44" s="358">
        <f t="shared" si="18"/>
        <v>62931.605740294472</v>
      </c>
      <c r="H44" s="358">
        <f t="shared" si="18"/>
        <v>-7255.1797542388194</v>
      </c>
      <c r="I44" s="358">
        <f t="shared" si="18"/>
        <v>-88727.727153546977</v>
      </c>
      <c r="J44" s="358">
        <f t="shared" si="18"/>
        <v>-55025.851937834479</v>
      </c>
      <c r="K44" s="358">
        <f t="shared" si="18"/>
        <v>111242.75623662077</v>
      </c>
      <c r="L44" s="358">
        <f t="shared" si="18"/>
        <v>13095.054056894227</v>
      </c>
      <c r="M44" s="358">
        <f t="shared" si="18"/>
        <v>32990.832268865968</v>
      </c>
      <c r="N44" s="358">
        <f t="shared" si="18"/>
        <v>-106297.31123422166</v>
      </c>
      <c r="O44" s="358">
        <f t="shared" si="18"/>
        <v>2209.6120804604616</v>
      </c>
      <c r="P44" s="358">
        <f t="shared" ref="P44" si="19">SUM(D44:O44)</f>
        <v>-129257.4216321424</v>
      </c>
      <c r="Q44" s="358"/>
    </row>
    <row r="45" spans="1:18" s="132" customFormat="1" ht="12.75"/>
    <row r="46" spans="1:18" s="132" customFormat="1" ht="12.75">
      <c r="A46" s="355" t="s">
        <v>300</v>
      </c>
      <c r="B46" s="355"/>
      <c r="C46" s="355"/>
    </row>
    <row r="47" spans="1:18" s="132" customFormat="1" ht="12.75">
      <c r="A47" s="349" t="s">
        <v>110</v>
      </c>
      <c r="B47" s="349" t="s">
        <v>301</v>
      </c>
      <c r="C47" s="349"/>
      <c r="D47" s="364">
        <f t="shared" ref="D47:O48" si="20">D23*D$14</f>
        <v>-6417.032388388845</v>
      </c>
      <c r="E47" s="364">
        <f t="shared" si="20"/>
        <v>-6464.8802911302137</v>
      </c>
      <c r="F47" s="364">
        <f t="shared" si="20"/>
        <v>-5794.5579631674145</v>
      </c>
      <c r="G47" s="364">
        <f t="shared" si="20"/>
        <v>2985.9372514024344</v>
      </c>
      <c r="H47" s="364">
        <f t="shared" si="20"/>
        <v>2076.3888987872856</v>
      </c>
      <c r="I47" s="364">
        <f t="shared" si="20"/>
        <v>-8932.8938377912127</v>
      </c>
      <c r="J47" s="364">
        <f t="shared" si="20"/>
        <v>-96.31142799777102</v>
      </c>
      <c r="K47" s="364">
        <f t="shared" si="20"/>
        <v>15296.670322662698</v>
      </c>
      <c r="L47" s="364">
        <f t="shared" si="20"/>
        <v>-6420.2268242570999</v>
      </c>
      <c r="M47" s="364">
        <f t="shared" si="20"/>
        <v>2569.4783936852591</v>
      </c>
      <c r="N47" s="364">
        <f t="shared" si="20"/>
        <v>-5244.3402380950138</v>
      </c>
      <c r="O47" s="365">
        <f t="shared" si="20"/>
        <v>-1550.7346825188415</v>
      </c>
      <c r="P47" s="364">
        <f>SUM(D47:O47)</f>
        <v>-17992.502786808735</v>
      </c>
      <c r="Q47" s="364"/>
    </row>
    <row r="48" spans="1:18" s="132" customFormat="1" ht="12.75">
      <c r="A48" s="149" t="s">
        <v>111</v>
      </c>
      <c r="B48" s="149" t="s">
        <v>301</v>
      </c>
      <c r="C48" s="149"/>
      <c r="D48" s="364">
        <f t="shared" si="20"/>
        <v>-6019.919054038498</v>
      </c>
      <c r="E48" s="364">
        <f t="shared" si="20"/>
        <v>-18431.30021299472</v>
      </c>
      <c r="F48" s="364">
        <f t="shared" si="20"/>
        <v>-5703.8938072384544</v>
      </c>
      <c r="G48" s="364">
        <f t="shared" si="20"/>
        <v>8337.3776366229322</v>
      </c>
      <c r="H48" s="364">
        <f t="shared" si="20"/>
        <v>8390.7931628978331</v>
      </c>
      <c r="I48" s="364">
        <f t="shared" si="20"/>
        <v>-18656.847435459007</v>
      </c>
      <c r="J48" s="364">
        <f t="shared" si="20"/>
        <v>-4600.6369953994545</v>
      </c>
      <c r="K48" s="364">
        <f t="shared" si="20"/>
        <v>36804.751454597274</v>
      </c>
      <c r="L48" s="364">
        <f t="shared" si="20"/>
        <v>-237.45901823647705</v>
      </c>
      <c r="M48" s="364">
        <f t="shared" si="20"/>
        <v>1610.8723522907112</v>
      </c>
      <c r="N48" s="364">
        <f t="shared" si="20"/>
        <v>-9342.5308010348981</v>
      </c>
      <c r="O48" s="365">
        <f t="shared" si="20"/>
        <v>-220.47131194955097</v>
      </c>
      <c r="P48" s="364">
        <f t="shared" ref="P48:P51" si="21">SUM(D48:O48)</f>
        <v>-8069.2640299423083</v>
      </c>
      <c r="Q48" s="364"/>
    </row>
    <row r="49" spans="1:18" s="132" customFormat="1" ht="12.75">
      <c r="A49" s="349" t="s">
        <v>171</v>
      </c>
      <c r="B49" s="349"/>
      <c r="C49" s="349"/>
      <c r="D49" s="362"/>
      <c r="E49" s="362"/>
      <c r="F49" s="362"/>
      <c r="G49" s="362"/>
      <c r="H49" s="362"/>
      <c r="I49" s="362"/>
      <c r="J49" s="362"/>
      <c r="K49" s="362"/>
      <c r="L49" s="362"/>
      <c r="M49" s="362"/>
      <c r="N49" s="362"/>
      <c r="O49" s="362"/>
      <c r="P49" s="362"/>
      <c r="Q49" s="362"/>
    </row>
    <row r="50" spans="1:18" s="132" customFormat="1" ht="12.75">
      <c r="A50" s="349" t="s">
        <v>112</v>
      </c>
      <c r="B50" s="349"/>
      <c r="C50" s="349"/>
      <c r="D50" s="366"/>
      <c r="E50" s="366"/>
      <c r="F50" s="366"/>
      <c r="G50" s="366"/>
      <c r="H50" s="366"/>
      <c r="I50" s="366"/>
      <c r="J50" s="366"/>
      <c r="K50" s="366"/>
      <c r="L50" s="366"/>
      <c r="M50" s="366"/>
      <c r="N50" s="366"/>
      <c r="O50" s="366"/>
      <c r="P50" s="366"/>
      <c r="Q50" s="367"/>
    </row>
    <row r="51" spans="1:18" s="132" customFormat="1" ht="12.75">
      <c r="A51" s="353" t="s">
        <v>302</v>
      </c>
      <c r="B51" s="353"/>
      <c r="C51" s="353"/>
      <c r="D51" s="364">
        <f t="shared" ref="D51:O51" si="22">SUM(D47:D50)</f>
        <v>-12436.951442427344</v>
      </c>
      <c r="E51" s="364">
        <f t="shared" si="22"/>
        <v>-24896.180504124932</v>
      </c>
      <c r="F51" s="364">
        <f t="shared" si="22"/>
        <v>-11498.451770405869</v>
      </c>
      <c r="G51" s="364">
        <f t="shared" si="22"/>
        <v>11323.314888025367</v>
      </c>
      <c r="H51" s="364">
        <f t="shared" si="22"/>
        <v>10467.182061685118</v>
      </c>
      <c r="I51" s="364">
        <f t="shared" si="22"/>
        <v>-27589.74127325022</v>
      </c>
      <c r="J51" s="364">
        <f t="shared" si="22"/>
        <v>-4696.9484233972253</v>
      </c>
      <c r="K51" s="364">
        <f t="shared" si="22"/>
        <v>52101.421777259973</v>
      </c>
      <c r="L51" s="364">
        <f t="shared" si="22"/>
        <v>-6657.6858424935772</v>
      </c>
      <c r="M51" s="364">
        <f t="shared" si="22"/>
        <v>4180.3507459759703</v>
      </c>
      <c r="N51" s="364">
        <f t="shared" si="22"/>
        <v>-14586.871039129912</v>
      </c>
      <c r="O51" s="364">
        <f t="shared" si="22"/>
        <v>-1771.2059944683924</v>
      </c>
      <c r="P51" s="364">
        <f t="shared" si="21"/>
        <v>-26061.766816751042</v>
      </c>
      <c r="Q51" s="364"/>
    </row>
    <row r="52" spans="1:18" s="132" customFormat="1" ht="13.5" thickBot="1"/>
    <row r="53" spans="1:18" s="132" customFormat="1" ht="13.5" thickBot="1">
      <c r="A53" s="368" t="s">
        <v>303</v>
      </c>
      <c r="B53" s="369"/>
      <c r="C53" s="369"/>
      <c r="D53" s="370">
        <f t="shared" ref="D53:O53" si="23">D37+D44+D51</f>
        <v>-38832.671512030662</v>
      </c>
      <c r="E53" s="370">
        <f t="shared" si="23"/>
        <v>-126359.33032078399</v>
      </c>
      <c r="F53" s="370">
        <f t="shared" si="23"/>
        <v>-24582.111442264555</v>
      </c>
      <c r="G53" s="370">
        <f t="shared" si="23"/>
        <v>85403.894094455594</v>
      </c>
      <c r="H53" s="370">
        <f t="shared" si="23"/>
        <v>11439.819230622999</v>
      </c>
      <c r="I53" s="370">
        <f t="shared" si="23"/>
        <v>-153950.31006061728</v>
      </c>
      <c r="J53" s="370">
        <f t="shared" si="23"/>
        <v>-70759.370366464893</v>
      </c>
      <c r="K53" s="370">
        <f t="shared" si="23"/>
        <v>220579.92179093766</v>
      </c>
      <c r="L53" s="370">
        <f t="shared" si="23"/>
        <v>-2858.5954852761906</v>
      </c>
      <c r="M53" s="370">
        <f t="shared" si="23"/>
        <v>46463.81277514746</v>
      </c>
      <c r="N53" s="370">
        <f t="shared" si="23"/>
        <v>-163019.4987813425</v>
      </c>
      <c r="O53" s="370">
        <f t="shared" si="23"/>
        <v>-5081.2700520669005</v>
      </c>
      <c r="P53" s="371">
        <f t="shared" ref="P53" si="24">SUM(D53:O53)</f>
        <v>-221555.71012968326</v>
      </c>
      <c r="Q53" s="358">
        <f>P37+P44+P51-P53</f>
        <v>0</v>
      </c>
    </row>
    <row r="54" spans="1:18">
      <c r="B54" s="319" t="s">
        <v>304</v>
      </c>
      <c r="D54" s="372">
        <f t="shared" ref="D54:P54" si="25">D53/D27</f>
        <v>1.4723988344308161</v>
      </c>
      <c r="E54" s="372">
        <f t="shared" si="25"/>
        <v>2.0190754153971833</v>
      </c>
      <c r="F54" s="372">
        <f t="shared" si="25"/>
        <v>0.9055474128091533</v>
      </c>
      <c r="G54" s="372">
        <f t="shared" si="25"/>
        <v>2.4792358058652213</v>
      </c>
      <c r="H54" s="372">
        <f t="shared" si="25"/>
        <v>0.66652778055298811</v>
      </c>
      <c r="I54" s="372">
        <f t="shared" si="25"/>
        <v>1.5969835717662062</v>
      </c>
      <c r="J54" s="372">
        <f t="shared" si="25"/>
        <v>2.624811111341812</v>
      </c>
      <c r="K54" s="372">
        <f t="shared" si="25"/>
        <v>1.8361368223860166</v>
      </c>
      <c r="L54" s="372">
        <f t="shared" si="25"/>
        <v>0.17977144955113178</v>
      </c>
      <c r="M54" s="372">
        <f t="shared" si="25"/>
        <v>2.3473034085666091</v>
      </c>
      <c r="N54" s="372">
        <f t="shared" si="25"/>
        <v>1.7992092003581173</v>
      </c>
      <c r="O54" s="372">
        <f t="shared" si="25"/>
        <v>0.51786527810048688</v>
      </c>
      <c r="P54" s="372">
        <f t="shared" si="25"/>
        <v>1.3489547413734622</v>
      </c>
      <c r="Q54" s="372"/>
    </row>
    <row r="58" spans="1:18">
      <c r="D58" s="373"/>
      <c r="E58" s="373"/>
      <c r="F58" s="373"/>
      <c r="G58" s="373"/>
      <c r="H58" s="373"/>
      <c r="I58" s="373"/>
      <c r="J58" s="373"/>
      <c r="K58" s="373"/>
      <c r="L58" s="373"/>
      <c r="M58" s="373"/>
      <c r="N58" s="373"/>
      <c r="O58" s="373"/>
      <c r="P58" s="373"/>
      <c r="Q58" s="373"/>
      <c r="R58" s="373"/>
    </row>
    <row r="73" spans="1:1"/>
    <row r="82" spans="4:4"/>
    <row r="83" spans="4:4"/>
  </sheetData>
  <pageMargins left="0.17" right="0.17" top="0.65" bottom="0.35" header="0.3" footer="0.18"/>
  <pageSetup scale="52" orientation="landscape"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zoomScale="90" zoomScaleNormal="90" workbookViewId="0">
      <pane xSplit="1" ySplit="2" topLeftCell="B3" activePane="bottomRight" state="frozen"/>
      <selection activeCell="O10" sqref="O10"/>
      <selection pane="topRight" activeCell="O10" sqref="O10"/>
      <selection pane="bottomLeft" activeCell="O10" sqref="O10"/>
      <selection pane="bottomRight" activeCell="O10" sqref="O10"/>
    </sheetView>
  </sheetViews>
  <sheetFormatPr defaultColWidth="9.140625" defaultRowHeight="12.75" customHeight="1"/>
  <cols>
    <col min="1" max="1" width="23.140625" style="174" customWidth="1"/>
    <col min="2" max="2" width="8.85546875" style="174" customWidth="1"/>
    <col min="3" max="8" width="7.7109375" style="174" customWidth="1"/>
    <col min="9" max="13" width="7.7109375" style="174" bestFit="1" customWidth="1"/>
    <col min="14" max="14" width="9.5703125" style="174" bestFit="1" customWidth="1"/>
    <col min="15" max="15" width="10" style="174" customWidth="1"/>
    <col min="16" max="16" width="8" style="174" bestFit="1" customWidth="1"/>
    <col min="17" max="17" width="14.28515625" style="174" customWidth="1"/>
    <col min="18" max="16384" width="9.140625" style="174"/>
  </cols>
  <sheetData>
    <row r="1" spans="1:16" ht="15.75">
      <c r="A1" s="211" t="s">
        <v>194</v>
      </c>
      <c r="B1" s="170"/>
      <c r="C1" s="170"/>
      <c r="D1" s="170"/>
      <c r="E1" s="170"/>
      <c r="F1" s="170"/>
      <c r="G1" s="170"/>
      <c r="H1" s="170"/>
      <c r="I1" s="170"/>
      <c r="J1" s="170"/>
      <c r="K1" s="170"/>
      <c r="L1" s="170"/>
      <c r="M1" s="170"/>
      <c r="N1" s="170"/>
      <c r="O1" s="150" t="s">
        <v>128</v>
      </c>
    </row>
    <row r="2" spans="1:16" ht="12.75" customHeight="1">
      <c r="A2" s="171" t="s">
        <v>129</v>
      </c>
      <c r="B2" s="172">
        <v>42705</v>
      </c>
      <c r="C2" s="172">
        <v>42736</v>
      </c>
      <c r="D2" s="172">
        <v>42767</v>
      </c>
      <c r="E2" s="172">
        <v>42795</v>
      </c>
      <c r="F2" s="172">
        <v>42826</v>
      </c>
      <c r="G2" s="172">
        <v>42856</v>
      </c>
      <c r="H2" s="172">
        <v>42887</v>
      </c>
      <c r="I2" s="172">
        <v>42917</v>
      </c>
      <c r="J2" s="172">
        <v>42948</v>
      </c>
      <c r="K2" s="172">
        <v>42979</v>
      </c>
      <c r="L2" s="172">
        <v>43009</v>
      </c>
      <c r="M2" s="172">
        <v>43040</v>
      </c>
      <c r="N2" s="173" t="s">
        <v>130</v>
      </c>
      <c r="O2" s="151" t="s">
        <v>131</v>
      </c>
      <c r="P2" s="81" t="s">
        <v>132</v>
      </c>
    </row>
    <row r="3" spans="1:16" ht="12.75" customHeight="1">
      <c r="A3" s="174" t="s">
        <v>133</v>
      </c>
      <c r="B3" s="175">
        <v>3.4601250000000006</v>
      </c>
      <c r="C3" s="175">
        <v>3.3465390625000011</v>
      </c>
      <c r="D3" s="175">
        <v>3.2422421874999996</v>
      </c>
      <c r="E3" s="175">
        <v>2.9799140624999989</v>
      </c>
      <c r="F3" s="175">
        <v>2.3035874999999995</v>
      </c>
      <c r="G3" s="175">
        <v>2.2530640624999996</v>
      </c>
      <c r="H3" s="175">
        <v>2.2557203125000007</v>
      </c>
      <c r="I3" s="175">
        <v>2.4376421875000007</v>
      </c>
      <c r="J3" s="175">
        <v>2.5063921875000004</v>
      </c>
      <c r="K3" s="175">
        <v>2.5380171874999995</v>
      </c>
      <c r="L3" s="175">
        <v>2.6715796875000004</v>
      </c>
      <c r="M3" s="175">
        <v>3.1609531250000003</v>
      </c>
      <c r="N3" s="175">
        <f t="shared" ref="N3:N9" si="0">AVERAGE(B3:M3)</f>
        <v>2.7629813802083336</v>
      </c>
      <c r="O3" s="152">
        <v>2.7629813802083336</v>
      </c>
      <c r="P3" s="175">
        <f>N3-O3</f>
        <v>0</v>
      </c>
    </row>
    <row r="4" spans="1:16" ht="12.75" customHeight="1">
      <c r="A4" s="174" t="s">
        <v>134</v>
      </c>
      <c r="B4" s="175">
        <v>3.1806250000000005</v>
      </c>
      <c r="C4" s="175">
        <v>3.2441390624999999</v>
      </c>
      <c r="D4" s="175">
        <v>3.2206421875000006</v>
      </c>
      <c r="E4" s="175">
        <v>3.0204140625000009</v>
      </c>
      <c r="F4" s="175">
        <v>2.3714906250000007</v>
      </c>
      <c r="G4" s="175">
        <v>2.3756640624999985</v>
      </c>
      <c r="H4" s="175">
        <v>2.4234187500000002</v>
      </c>
      <c r="I4" s="175">
        <v>2.6109437499999997</v>
      </c>
      <c r="J4" s="175">
        <v>2.6527921875000002</v>
      </c>
      <c r="K4" s="175">
        <v>2.6207171874999995</v>
      </c>
      <c r="L4" s="175">
        <v>2.7098828125000001</v>
      </c>
      <c r="M4" s="175">
        <v>3.0298531249999998</v>
      </c>
      <c r="N4" s="175">
        <f t="shared" si="0"/>
        <v>2.7883819010416673</v>
      </c>
      <c r="O4" s="152">
        <v>2.7883819010416673</v>
      </c>
      <c r="P4" s="175">
        <f t="shared" ref="P4:P6" si="1">N4-O4</f>
        <v>0</v>
      </c>
    </row>
    <row r="5" spans="1:16" ht="12.75" customHeight="1">
      <c r="A5" s="174" t="s">
        <v>135</v>
      </c>
      <c r="B5" s="175">
        <v>2.28780625</v>
      </c>
      <c r="C5" s="175">
        <v>2.3842484374999997</v>
      </c>
      <c r="D5" s="175">
        <v>2.3815734374999997</v>
      </c>
      <c r="E5" s="175">
        <v>2.3358593749999996</v>
      </c>
      <c r="F5" s="175">
        <v>2.1121703125</v>
      </c>
      <c r="G5" s="175">
        <v>2.0762343749999999</v>
      </c>
      <c r="H5" s="175">
        <v>2.0678109374999996</v>
      </c>
      <c r="I5" s="175">
        <v>2.0625531249999995</v>
      </c>
      <c r="J5" s="175">
        <v>2.11211875</v>
      </c>
      <c r="K5" s="175">
        <v>2.1166031250000006</v>
      </c>
      <c r="L5" s="175">
        <v>2.2128937499999997</v>
      </c>
      <c r="M5" s="175">
        <v>2.3651421874999996</v>
      </c>
      <c r="N5" s="175">
        <f t="shared" si="0"/>
        <v>2.2095845052083329</v>
      </c>
      <c r="O5" s="152">
        <v>2.2095845052083329</v>
      </c>
      <c r="P5" s="175">
        <f t="shared" si="1"/>
        <v>0</v>
      </c>
    </row>
    <row r="6" spans="1:16" ht="12.75" customHeight="1">
      <c r="A6" s="176" t="s">
        <v>136</v>
      </c>
      <c r="B6" s="153">
        <v>2.3641329312814894</v>
      </c>
      <c r="C6" s="153">
        <v>2.2152084713397775</v>
      </c>
      <c r="D6" s="153">
        <v>2.2323214912620406</v>
      </c>
      <c r="E6" s="153">
        <v>2.2073852749570251</v>
      </c>
      <c r="F6" s="153">
        <v>1.6410026475426849</v>
      </c>
      <c r="G6" s="153">
        <v>1.7085190723195163</v>
      </c>
      <c r="H6" s="153">
        <v>1.7101487853627109</v>
      </c>
      <c r="I6" s="153">
        <v>1.8894007873094121</v>
      </c>
      <c r="J6" s="153">
        <v>1.9555749444567128</v>
      </c>
      <c r="K6" s="153">
        <v>1.9911762039343017</v>
      </c>
      <c r="L6" s="153">
        <v>1.9536807169344355</v>
      </c>
      <c r="M6" s="153">
        <v>2.2616701897993794</v>
      </c>
      <c r="N6" s="175">
        <f t="shared" si="0"/>
        <v>2.0108517930416236</v>
      </c>
      <c r="O6" s="152">
        <v>2.0108517930416236</v>
      </c>
      <c r="P6" s="175">
        <f t="shared" si="1"/>
        <v>0</v>
      </c>
    </row>
    <row r="7" spans="1:16" ht="12.75" customHeight="1">
      <c r="A7" s="174" t="s">
        <v>137</v>
      </c>
      <c r="B7" s="177">
        <v>29.624653714285706</v>
      </c>
      <c r="C7" s="177">
        <v>29.891845999999994</v>
      </c>
      <c r="D7" s="177">
        <v>31.40860857142858</v>
      </c>
      <c r="E7" s="177">
        <v>26.86380342857143</v>
      </c>
      <c r="F7" s="177">
        <v>22.937510857142851</v>
      </c>
      <c r="G7" s="177">
        <v>21.816257285714286</v>
      </c>
      <c r="H7" s="177">
        <v>24.391676285714279</v>
      </c>
      <c r="I7" s="177">
        <v>26.843309857142856</v>
      </c>
      <c r="J7" s="177">
        <v>28.295711000000004</v>
      </c>
      <c r="K7" s="177">
        <v>28.354376285714295</v>
      </c>
      <c r="L7" s="177">
        <v>27.058401285714282</v>
      </c>
      <c r="M7" s="177">
        <v>28.424707428571431</v>
      </c>
      <c r="N7" s="175">
        <f t="shared" si="0"/>
        <v>27.159238500000001</v>
      </c>
      <c r="O7" s="152">
        <v>27.159238500000001</v>
      </c>
      <c r="P7" s="175">
        <f>N7-O7</f>
        <v>0</v>
      </c>
    </row>
    <row r="8" spans="1:16" ht="12.75" customHeight="1">
      <c r="A8" s="174" t="s">
        <v>138</v>
      </c>
      <c r="B8" s="177">
        <v>24.372432</v>
      </c>
      <c r="C8" s="177">
        <v>24.53046342857143</v>
      </c>
      <c r="D8" s="177">
        <v>25.388743428571434</v>
      </c>
      <c r="E8" s="177">
        <v>23.054558142857136</v>
      </c>
      <c r="F8" s="177">
        <v>20.082687857142854</v>
      </c>
      <c r="G8" s="177">
        <v>18.754127142857143</v>
      </c>
      <c r="H8" s="177">
        <v>19.471879285714298</v>
      </c>
      <c r="I8" s="177">
        <v>21.626978857142856</v>
      </c>
      <c r="J8" s="177">
        <v>22.670890571428565</v>
      </c>
      <c r="K8" s="177">
        <v>22.658441999999997</v>
      </c>
      <c r="L8" s="177">
        <v>21.941343571428565</v>
      </c>
      <c r="M8" s="177">
        <v>23.555308285714286</v>
      </c>
      <c r="N8" s="175">
        <f t="shared" si="0"/>
        <v>22.342321214285715</v>
      </c>
      <c r="O8" s="152">
        <v>22.342321214285715</v>
      </c>
      <c r="P8" s="175">
        <f t="shared" ref="P8:P12" si="2">N8-O8</f>
        <v>0</v>
      </c>
    </row>
    <row r="9" spans="1:16" ht="12.75" customHeight="1">
      <c r="A9" s="174" t="s">
        <v>139</v>
      </c>
      <c r="B9" s="177">
        <v>27.422109285714289</v>
      </c>
      <c r="C9" s="177">
        <v>27.643524714285718</v>
      </c>
      <c r="D9" s="177">
        <v>28.828666428571431</v>
      </c>
      <c r="E9" s="177">
        <v>25.184458857142868</v>
      </c>
      <c r="F9" s="177">
        <v>21.732141000000002</v>
      </c>
      <c r="G9" s="177">
        <v>20.466285999999997</v>
      </c>
      <c r="H9" s="177">
        <v>22.314428714285715</v>
      </c>
      <c r="I9" s="177">
        <v>24.655816285714291</v>
      </c>
      <c r="J9" s="177">
        <v>25.815951285714295</v>
      </c>
      <c r="K9" s="177">
        <v>25.949426285714285</v>
      </c>
      <c r="L9" s="177">
        <v>24.912537999999991</v>
      </c>
      <c r="M9" s="177">
        <v>26.260529999999999</v>
      </c>
      <c r="N9" s="175">
        <f t="shared" si="0"/>
        <v>25.098823071428573</v>
      </c>
      <c r="O9" s="152">
        <v>25.098823071428573</v>
      </c>
      <c r="P9" s="175">
        <f t="shared" si="2"/>
        <v>0</v>
      </c>
    </row>
    <row r="10" spans="1:16" ht="12.75" customHeight="1">
      <c r="A10" s="174" t="s">
        <v>140</v>
      </c>
      <c r="B10" s="178">
        <f>B7/B$3</f>
        <v>8.5617293347164338</v>
      </c>
      <c r="C10" s="178">
        <f t="shared" ref="C10:N12" si="3">C7/C$3</f>
        <v>8.9321670662554791</v>
      </c>
      <c r="D10" s="178">
        <f t="shared" si="3"/>
        <v>9.6873110505192894</v>
      </c>
      <c r="E10" s="178">
        <f t="shared" si="3"/>
        <v>9.0149591112819003</v>
      </c>
      <c r="F10" s="178">
        <f t="shared" si="3"/>
        <v>9.9572995847315795</v>
      </c>
      <c r="G10" s="178">
        <f t="shared" si="3"/>
        <v>9.6829280839475871</v>
      </c>
      <c r="H10" s="178">
        <f t="shared" si="3"/>
        <v>10.813253819876781</v>
      </c>
      <c r="I10" s="178">
        <f t="shared" si="3"/>
        <v>11.011997574866736</v>
      </c>
      <c r="J10" s="178">
        <f t="shared" si="3"/>
        <v>11.289418767389131</v>
      </c>
      <c r="K10" s="178">
        <f t="shared" si="3"/>
        <v>11.171861414242018</v>
      </c>
      <c r="L10" s="178">
        <f t="shared" si="3"/>
        <v>10.128240386134571</v>
      </c>
      <c r="M10" s="178">
        <f t="shared" si="3"/>
        <v>8.9924482599125621</v>
      </c>
      <c r="N10" s="178">
        <f>N7/N$3</f>
        <v>9.8296856774156574</v>
      </c>
      <c r="O10" s="154">
        <v>9.8296856774156574</v>
      </c>
      <c r="P10" s="155">
        <f t="shared" si="2"/>
        <v>0</v>
      </c>
    </row>
    <row r="11" spans="1:16" ht="12.75" customHeight="1">
      <c r="A11" s="174" t="s">
        <v>141</v>
      </c>
      <c r="B11" s="178">
        <f>B8/B$3</f>
        <v>7.0438010187493214</v>
      </c>
      <c r="C11" s="178">
        <f t="shared" si="3"/>
        <v>7.3300992369849025</v>
      </c>
      <c r="D11" s="178">
        <f t="shared" si="3"/>
        <v>7.8306128784746862</v>
      </c>
      <c r="E11" s="178">
        <f t="shared" si="3"/>
        <v>7.7366520172449249</v>
      </c>
      <c r="F11" s="178">
        <f t="shared" si="3"/>
        <v>8.7180052232193734</v>
      </c>
      <c r="G11" s="178">
        <f t="shared" si="3"/>
        <v>8.3238321781439115</v>
      </c>
      <c r="H11" s="178">
        <f t="shared" si="3"/>
        <v>8.6322223450360909</v>
      </c>
      <c r="I11" s="178">
        <f t="shared" si="3"/>
        <v>8.8720891720876693</v>
      </c>
      <c r="J11" s="178">
        <f t="shared" si="3"/>
        <v>9.0452287094150385</v>
      </c>
      <c r="K11" s="178">
        <f t="shared" si="3"/>
        <v>8.9276156645412801</v>
      </c>
      <c r="L11" s="178">
        <f t="shared" si="3"/>
        <v>8.2128725839957042</v>
      </c>
      <c r="M11" s="178">
        <f t="shared" si="3"/>
        <v>7.451963807819606</v>
      </c>
      <c r="N11" s="178">
        <f t="shared" si="3"/>
        <v>8.0863090045873065</v>
      </c>
      <c r="O11" s="154">
        <v>8.0863090045873065</v>
      </c>
      <c r="P11" s="155">
        <f t="shared" si="2"/>
        <v>0</v>
      </c>
    </row>
    <row r="12" spans="1:16" ht="12.75" customHeight="1">
      <c r="A12" s="174" t="s">
        <v>142</v>
      </c>
      <c r="B12" s="178">
        <f>B9/B$3</f>
        <v>7.9251787972152119</v>
      </c>
      <c r="C12" s="178">
        <f t="shared" si="3"/>
        <v>8.2603323009278959</v>
      </c>
      <c r="D12" s="178">
        <f t="shared" si="3"/>
        <v>8.8915832813835518</v>
      </c>
      <c r="E12" s="178">
        <f t="shared" si="3"/>
        <v>8.4514044126542256</v>
      </c>
      <c r="F12" s="178">
        <f t="shared" si="3"/>
        <v>9.4340419020332451</v>
      </c>
      <c r="G12" s="178">
        <f t="shared" si="3"/>
        <v>9.083756800634692</v>
      </c>
      <c r="H12" s="178">
        <f t="shared" si="3"/>
        <v>9.8923738863506419</v>
      </c>
      <c r="I12" s="178">
        <f t="shared" si="3"/>
        <v>10.114616662013397</v>
      </c>
      <c r="J12" s="178">
        <f t="shared" si="3"/>
        <v>10.300044587780336</v>
      </c>
      <c r="K12" s="178">
        <f t="shared" si="3"/>
        <v>10.224290999098795</v>
      </c>
      <c r="L12" s="178">
        <f t="shared" si="3"/>
        <v>9.325021490679374</v>
      </c>
      <c r="M12" s="178">
        <f t="shared" si="3"/>
        <v>8.3077884933836206</v>
      </c>
      <c r="N12" s="178">
        <f t="shared" si="3"/>
        <v>9.0839638845253745</v>
      </c>
      <c r="O12" s="154">
        <v>9.0839638845253745</v>
      </c>
      <c r="P12" s="155">
        <f t="shared" si="2"/>
        <v>0</v>
      </c>
    </row>
    <row r="13" spans="1:16" ht="15.75">
      <c r="A13" s="169" t="s">
        <v>143</v>
      </c>
    </row>
    <row r="14" spans="1:16" ht="12.75" customHeight="1">
      <c r="F14" s="175"/>
      <c r="H14" s="175"/>
      <c r="I14" s="175"/>
    </row>
    <row r="16" spans="1:16" ht="12.75" customHeight="1">
      <c r="A16" s="211" t="s">
        <v>195</v>
      </c>
      <c r="B16" s="170"/>
      <c r="C16" s="170"/>
      <c r="D16" s="170"/>
      <c r="E16" s="170"/>
      <c r="F16" s="170"/>
      <c r="G16" s="170"/>
      <c r="H16" s="170"/>
      <c r="I16" s="170"/>
      <c r="J16" s="170"/>
      <c r="K16" s="170"/>
      <c r="L16" s="170"/>
      <c r="M16" s="170"/>
      <c r="N16" s="170"/>
      <c r="O16" s="150" t="s">
        <v>128</v>
      </c>
    </row>
    <row r="17" spans="1:16" ht="12.75" customHeight="1">
      <c r="A17" s="171" t="s">
        <v>129</v>
      </c>
      <c r="B17" s="172">
        <v>43101</v>
      </c>
      <c r="C17" s="172">
        <v>43132</v>
      </c>
      <c r="D17" s="172">
        <v>43160</v>
      </c>
      <c r="E17" s="172">
        <v>43191</v>
      </c>
      <c r="F17" s="172">
        <v>43221</v>
      </c>
      <c r="G17" s="172">
        <v>43252</v>
      </c>
      <c r="H17" s="172">
        <v>43282</v>
      </c>
      <c r="I17" s="172">
        <v>43313</v>
      </c>
      <c r="J17" s="172">
        <v>43344</v>
      </c>
      <c r="K17" s="172">
        <v>43374</v>
      </c>
      <c r="L17" s="172">
        <v>43405</v>
      </c>
      <c r="M17" s="172">
        <v>43435</v>
      </c>
      <c r="N17" s="173" t="s">
        <v>130</v>
      </c>
      <c r="O17" s="151" t="s">
        <v>131</v>
      </c>
      <c r="P17" s="81" t="s">
        <v>132</v>
      </c>
    </row>
    <row r="18" spans="1:16" ht="12.75" customHeight="1">
      <c r="A18" s="174" t="s">
        <v>133</v>
      </c>
      <c r="B18" s="175">
        <v>3.3491249999999995</v>
      </c>
      <c r="C18" s="175">
        <v>3.149445312500001</v>
      </c>
      <c r="D18" s="175">
        <v>2.8578671874999997</v>
      </c>
      <c r="E18" s="175">
        <v>1.9732218750000003</v>
      </c>
      <c r="F18" s="175">
        <v>1.93933125</v>
      </c>
      <c r="G18" s="175">
        <v>1.9329249999999996</v>
      </c>
      <c r="H18" s="175">
        <v>2.1768312499999998</v>
      </c>
      <c r="I18" s="175">
        <v>2.1711749999999999</v>
      </c>
      <c r="J18" s="175">
        <v>2.1715343750000002</v>
      </c>
      <c r="K18" s="175">
        <v>2.2027687499999993</v>
      </c>
      <c r="L18" s="175">
        <v>2.6822828125</v>
      </c>
      <c r="M18" s="175">
        <v>3.1127906250000015</v>
      </c>
      <c r="N18" s="175">
        <f t="shared" ref="N18:N24" si="4">AVERAGE(B18:M18)</f>
        <v>2.4766082031250005</v>
      </c>
      <c r="O18" s="152">
        <v>2.4766082031250005</v>
      </c>
      <c r="P18" s="175">
        <f>N18-O18</f>
        <v>0</v>
      </c>
    </row>
    <row r="19" spans="1:16" ht="12.75" customHeight="1">
      <c r="A19" s="174" t="s">
        <v>134</v>
      </c>
      <c r="B19" s="175">
        <v>3.2467249999999996</v>
      </c>
      <c r="C19" s="175">
        <v>3.1278453124999999</v>
      </c>
      <c r="D19" s="175">
        <v>2.8983671874999994</v>
      </c>
      <c r="E19" s="175">
        <v>2.0411265624999997</v>
      </c>
      <c r="F19" s="175">
        <v>2.0619328124999998</v>
      </c>
      <c r="G19" s="175">
        <v>2.1006234375000004</v>
      </c>
      <c r="H19" s="175">
        <v>2.3501343750000006</v>
      </c>
      <c r="I19" s="175">
        <v>2.3175734374999997</v>
      </c>
      <c r="J19" s="175">
        <v>2.2542359374999998</v>
      </c>
      <c r="K19" s="175">
        <v>2.2410734374999999</v>
      </c>
      <c r="L19" s="175">
        <v>2.5511843749999996</v>
      </c>
      <c r="M19" s="175">
        <v>2.8332906250000001</v>
      </c>
      <c r="N19" s="175">
        <f t="shared" si="4"/>
        <v>2.5020093749999996</v>
      </c>
      <c r="O19" s="152">
        <v>2.5020093749999996</v>
      </c>
      <c r="P19" s="175">
        <f t="shared" ref="P19:P21" si="5">N19-O19</f>
        <v>0</v>
      </c>
    </row>
    <row r="20" spans="1:16" ht="12.75" customHeight="1">
      <c r="A20" s="174" t="s">
        <v>135</v>
      </c>
      <c r="B20" s="175">
        <v>2.3787109375000002</v>
      </c>
      <c r="C20" s="175">
        <v>2.3930265624999998</v>
      </c>
      <c r="D20" s="175">
        <v>2.3234968749999996</v>
      </c>
      <c r="E20" s="175">
        <v>1.8681390625000009</v>
      </c>
      <c r="F20" s="175">
        <v>1.8216656249999998</v>
      </c>
      <c r="G20" s="175">
        <v>1.833175</v>
      </c>
      <c r="H20" s="175">
        <v>1.8480062500000001</v>
      </c>
      <c r="I20" s="175">
        <v>1.8513593749999999</v>
      </c>
      <c r="J20" s="175">
        <v>1.8438562500000002</v>
      </c>
      <c r="K20" s="175">
        <v>1.8838015625000004</v>
      </c>
      <c r="L20" s="175">
        <v>1.9850984375</v>
      </c>
      <c r="M20" s="175">
        <v>2.116154687499999</v>
      </c>
      <c r="N20" s="175">
        <f t="shared" si="4"/>
        <v>2.0122075520833338</v>
      </c>
      <c r="O20" s="152">
        <v>2.0122075520833338</v>
      </c>
      <c r="P20" s="175">
        <f t="shared" si="5"/>
        <v>0</v>
      </c>
    </row>
    <row r="21" spans="1:16" ht="12.75" customHeight="1">
      <c r="A21" s="176" t="s">
        <v>136</v>
      </c>
      <c r="B21" s="153"/>
      <c r="C21" s="153"/>
      <c r="D21" s="153"/>
      <c r="E21" s="153"/>
      <c r="F21" s="153"/>
      <c r="G21" s="153"/>
      <c r="H21" s="153"/>
      <c r="I21" s="153"/>
      <c r="J21" s="153"/>
      <c r="K21" s="153"/>
      <c r="L21" s="153"/>
      <c r="M21" s="153"/>
      <c r="N21" s="175"/>
      <c r="O21" s="152"/>
      <c r="P21" s="175">
        <f t="shared" si="5"/>
        <v>0</v>
      </c>
    </row>
    <row r="22" spans="1:16" ht="12.75" customHeight="1">
      <c r="A22" s="174" t="s">
        <v>137</v>
      </c>
      <c r="B22" s="177">
        <v>29.748191428786065</v>
      </c>
      <c r="C22" s="177">
        <v>28.417805147298175</v>
      </c>
      <c r="D22" s="177">
        <v>24.656269082754626</v>
      </c>
      <c r="E22" s="177">
        <v>17.89636913671875</v>
      </c>
      <c r="F22" s="177">
        <v>17.608958988131011</v>
      </c>
      <c r="G22" s="177">
        <v>17.655609363731973</v>
      </c>
      <c r="H22" s="177">
        <v>27.361318574218743</v>
      </c>
      <c r="I22" s="177">
        <v>28.592000043402781</v>
      </c>
      <c r="J22" s="177">
        <v>27.338868868001313</v>
      </c>
      <c r="K22" s="177">
        <v>25.189962478298607</v>
      </c>
      <c r="L22" s="177">
        <v>25.862603468750009</v>
      </c>
      <c r="M22" s="177">
        <v>27.345871578124999</v>
      </c>
      <c r="N22" s="175">
        <f t="shared" si="4"/>
        <v>24.80615234651809</v>
      </c>
      <c r="O22" s="152">
        <v>24.80615234651809</v>
      </c>
      <c r="P22" s="175">
        <f>N22-O22</f>
        <v>0</v>
      </c>
    </row>
    <row r="23" spans="1:16" ht="12.75" customHeight="1">
      <c r="A23" s="174" t="s">
        <v>138</v>
      </c>
      <c r="B23" s="177">
        <v>24.519708808117386</v>
      </c>
      <c r="C23" s="177">
        <v>23.625249213324661</v>
      </c>
      <c r="D23" s="177">
        <v>19.676135711414787</v>
      </c>
      <c r="E23" s="177">
        <v>10.370259062500001</v>
      </c>
      <c r="F23" s="177">
        <v>10.200847799161584</v>
      </c>
      <c r="G23" s="177">
        <v>9.8882681435032893</v>
      </c>
      <c r="H23" s="177">
        <v>18.662828065952034</v>
      </c>
      <c r="I23" s="177">
        <v>19.761095197315711</v>
      </c>
      <c r="J23" s="177">
        <v>19.876858007812498</v>
      </c>
      <c r="K23" s="177">
        <v>21.441863887219554</v>
      </c>
      <c r="L23" s="177">
        <v>21.389526085475079</v>
      </c>
      <c r="M23" s="177">
        <v>22.338922506359012</v>
      </c>
      <c r="N23" s="175">
        <f t="shared" si="4"/>
        <v>18.479296874012963</v>
      </c>
      <c r="O23" s="152">
        <v>18.479296874012963</v>
      </c>
      <c r="P23" s="175">
        <f t="shared" ref="P23:P27" si="6">N23-O23</f>
        <v>0</v>
      </c>
    </row>
    <row r="24" spans="1:16" ht="12.75" customHeight="1">
      <c r="A24" s="174" t="s">
        <v>139</v>
      </c>
      <c r="B24" s="177">
        <v>27.443161456233209</v>
      </c>
      <c r="C24" s="177">
        <v>26.363852604166663</v>
      </c>
      <c r="D24" s="177">
        <v>22.571717967698518</v>
      </c>
      <c r="E24" s="177">
        <v>14.551431325954864</v>
      </c>
      <c r="F24" s="177">
        <v>14.343017496219758</v>
      </c>
      <c r="G24" s="177">
        <v>14.376065292968748</v>
      </c>
      <c r="H24" s="177">
        <v>23.339435866095425</v>
      </c>
      <c r="I24" s="177">
        <v>24.888717366011424</v>
      </c>
      <c r="J24" s="177">
        <v>23.856597133246531</v>
      </c>
      <c r="K24" s="177">
        <v>23.618179198168683</v>
      </c>
      <c r="L24" s="177">
        <v>23.871122414615119</v>
      </c>
      <c r="M24" s="177">
        <v>25.030830609459009</v>
      </c>
      <c r="N24" s="175">
        <f t="shared" si="4"/>
        <v>22.021177394236499</v>
      </c>
      <c r="O24" s="152">
        <v>22.021177394236499</v>
      </c>
      <c r="P24" s="175">
        <f t="shared" si="6"/>
        <v>0</v>
      </c>
    </row>
    <row r="25" spans="1:16" ht="12.75" customHeight="1">
      <c r="A25" s="174" t="s">
        <v>140</v>
      </c>
      <c r="B25" s="178">
        <f>B22/B$3</f>
        <v>8.5974325866221761</v>
      </c>
      <c r="C25" s="178">
        <f t="shared" ref="C25:N27" si="7">C22/C$3</f>
        <v>8.4916998178018925</v>
      </c>
      <c r="D25" s="178">
        <f t="shared" si="7"/>
        <v>7.6046968908779675</v>
      </c>
      <c r="E25" s="178">
        <f t="shared" si="7"/>
        <v>6.005666190824507</v>
      </c>
      <c r="F25" s="178">
        <f t="shared" si="7"/>
        <v>7.6441459194109251</v>
      </c>
      <c r="G25" s="178">
        <f t="shared" si="7"/>
        <v>7.8362660243851705</v>
      </c>
      <c r="H25" s="178">
        <f t="shared" si="7"/>
        <v>12.129747833805851</v>
      </c>
      <c r="I25" s="178">
        <f t="shared" si="7"/>
        <v>11.729367086777485</v>
      </c>
      <c r="J25" s="178">
        <f t="shared" si="7"/>
        <v>10.907658029077426</v>
      </c>
      <c r="K25" s="178">
        <f t="shared" si="7"/>
        <v>9.9250559067770752</v>
      </c>
      <c r="L25" s="178">
        <f t="shared" si="7"/>
        <v>9.6806408544570157</v>
      </c>
      <c r="M25" s="178">
        <f t="shared" si="7"/>
        <v>8.6511474535469421</v>
      </c>
      <c r="N25" s="178">
        <f>N22/N$3</f>
        <v>8.9780381888232856</v>
      </c>
      <c r="O25" s="154">
        <v>9.8296856774156574</v>
      </c>
      <c r="P25" s="155">
        <f t="shared" si="6"/>
        <v>-0.85164748859237172</v>
      </c>
    </row>
    <row r="26" spans="1:16" ht="12.75" customHeight="1">
      <c r="A26" s="174" t="s">
        <v>141</v>
      </c>
      <c r="B26" s="178">
        <f>B23/B$3</f>
        <v>7.0863650325110745</v>
      </c>
      <c r="C26" s="178">
        <f t="shared" si="7"/>
        <v>7.059606588209264</v>
      </c>
      <c r="D26" s="178">
        <f t="shared" si="7"/>
        <v>6.0686816633480714</v>
      </c>
      <c r="E26" s="178">
        <f t="shared" si="7"/>
        <v>3.4800530636107916</v>
      </c>
      <c r="F26" s="178">
        <f t="shared" si="7"/>
        <v>4.4282441188631152</v>
      </c>
      <c r="G26" s="178">
        <f t="shared" si="7"/>
        <v>4.3888091368921254</v>
      </c>
      <c r="H26" s="178">
        <f t="shared" si="7"/>
        <v>8.2735558848021089</v>
      </c>
      <c r="I26" s="178">
        <f t="shared" si="7"/>
        <v>8.1066430908722964</v>
      </c>
      <c r="J26" s="178">
        <f t="shared" si="7"/>
        <v>7.9304659928894283</v>
      </c>
      <c r="K26" s="178">
        <f t="shared" si="7"/>
        <v>8.4482737125749114</v>
      </c>
      <c r="L26" s="178">
        <f t="shared" si="7"/>
        <v>8.0063215727960859</v>
      </c>
      <c r="M26" s="178">
        <f t="shared" si="7"/>
        <v>7.0671476681132406</v>
      </c>
      <c r="N26" s="178">
        <f t="shared" si="7"/>
        <v>6.6881727855218456</v>
      </c>
      <c r="O26" s="154">
        <v>8.0863090045873065</v>
      </c>
      <c r="P26" s="155">
        <f t="shared" si="6"/>
        <v>-1.3981362190654609</v>
      </c>
    </row>
    <row r="27" spans="1:16" ht="12.75" customHeight="1">
      <c r="A27" s="174" t="s">
        <v>142</v>
      </c>
      <c r="B27" s="178">
        <f>B24/B$3</f>
        <v>7.9312630197559928</v>
      </c>
      <c r="C27" s="178">
        <f t="shared" si="7"/>
        <v>7.8779455765479067</v>
      </c>
      <c r="D27" s="178">
        <f t="shared" si="7"/>
        <v>6.9617618494758178</v>
      </c>
      <c r="E27" s="178">
        <f t="shared" si="7"/>
        <v>4.8831714676184124</v>
      </c>
      <c r="F27" s="178">
        <f t="shared" si="7"/>
        <v>6.2263827600296331</v>
      </c>
      <c r="G27" s="178">
        <f t="shared" si="7"/>
        <v>6.3806731163325505</v>
      </c>
      <c r="H27" s="178">
        <f t="shared" si="7"/>
        <v>10.346777362761109</v>
      </c>
      <c r="I27" s="178">
        <f t="shared" si="7"/>
        <v>10.210160249784984</v>
      </c>
      <c r="J27" s="178">
        <f t="shared" si="7"/>
        <v>9.5183017455230274</v>
      </c>
      <c r="K27" s="178">
        <f t="shared" si="7"/>
        <v>9.3057601479181038</v>
      </c>
      <c r="L27" s="178">
        <f t="shared" si="7"/>
        <v>8.9352088303056156</v>
      </c>
      <c r="M27" s="178">
        <f t="shared" si="7"/>
        <v>7.9187604559808227</v>
      </c>
      <c r="N27" s="178">
        <f t="shared" si="7"/>
        <v>7.9700781018567932</v>
      </c>
      <c r="O27" s="154">
        <v>9.0839638845253745</v>
      </c>
      <c r="P27" s="155">
        <f t="shared" si="6"/>
        <v>-1.1138857826685813</v>
      </c>
    </row>
    <row r="28" spans="1:16" ht="12.75" customHeight="1">
      <c r="A28" s="169" t="s">
        <v>196</v>
      </c>
    </row>
  </sheetData>
  <pageMargins left="0.67" right="0.01" top="0.6" bottom="0.41" header="0.3" footer="0.16"/>
  <pageSetup scale="65" orientation="landscape" r:id="rId1"/>
  <headerFooter>
    <oddFooter>&amp;L&amp;F&amp;C&amp;A&amp;R
&amp;D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
  <sheetViews>
    <sheetView workbookViewId="0">
      <selection activeCell="O10" sqref="O10"/>
    </sheetView>
  </sheetViews>
  <sheetFormatPr defaultRowHeight="12.7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7"/>
  <sheetViews>
    <sheetView zoomScale="85" zoomScaleNormal="85" workbookViewId="0">
      <pane xSplit="3" ySplit="5" topLeftCell="D6" activePane="bottomRight" state="frozen"/>
      <selection activeCell="O10" sqref="O10"/>
      <selection pane="topRight" activeCell="O10" sqref="O10"/>
      <selection pane="bottomLeft" activeCell="O10" sqref="O10"/>
      <selection pane="bottomRight" activeCell="O10" sqref="O10"/>
    </sheetView>
  </sheetViews>
  <sheetFormatPr defaultColWidth="9.140625" defaultRowHeight="12.75"/>
  <cols>
    <col min="1" max="1" width="9.140625" style="187"/>
    <col min="2" max="2" width="46.5703125" style="187" customWidth="1"/>
    <col min="3" max="3" width="17.7109375" style="187" bestFit="1" customWidth="1"/>
    <col min="4" max="4" width="17.7109375" style="187" customWidth="1"/>
    <col min="5" max="5" width="16.5703125" style="187" bestFit="1" customWidth="1"/>
    <col min="6" max="6" width="14.28515625" style="187" bestFit="1" customWidth="1"/>
    <col min="7" max="7" width="13.7109375" style="187" customWidth="1"/>
    <col min="8" max="8" width="16.140625" style="187" customWidth="1"/>
    <col min="9" max="13" width="14.28515625" style="187" bestFit="1" customWidth="1"/>
    <col min="14" max="14" width="14" style="187" bestFit="1" customWidth="1"/>
    <col min="15" max="15" width="15.7109375" style="187" bestFit="1" customWidth="1"/>
    <col min="16" max="16" width="15.5703125" style="187" bestFit="1" customWidth="1"/>
    <col min="17" max="17" width="15.28515625" style="187" customWidth="1"/>
    <col min="18" max="21" width="15.5703125" style="187" customWidth="1"/>
    <col min="22" max="22" width="16.28515625" style="187" bestFit="1" customWidth="1"/>
    <col min="23" max="16384" width="9.140625" style="187"/>
  </cols>
  <sheetData>
    <row r="1" spans="1:23" ht="18">
      <c r="A1" s="185"/>
      <c r="B1" s="186" t="s">
        <v>316</v>
      </c>
      <c r="C1" s="158"/>
      <c r="D1" s="158"/>
      <c r="E1" s="158"/>
      <c r="F1" s="158"/>
      <c r="G1" s="158"/>
      <c r="H1" s="158"/>
      <c r="I1" s="158"/>
      <c r="J1" s="158"/>
      <c r="O1" s="185"/>
    </row>
    <row r="2" spans="1:23" ht="16.5" thickBot="1">
      <c r="A2" s="185"/>
      <c r="B2" s="188" t="s">
        <v>43</v>
      </c>
      <c r="C2" s="158"/>
      <c r="D2" s="189"/>
      <c r="E2" s="189"/>
      <c r="F2" s="189"/>
      <c r="G2" s="190"/>
      <c r="H2" s="190"/>
      <c r="I2" s="190"/>
      <c r="J2" s="158"/>
      <c r="O2" s="185"/>
    </row>
    <row r="3" spans="1:23" ht="15.75">
      <c r="A3" s="191"/>
      <c r="B3" s="188" t="s">
        <v>2</v>
      </c>
      <c r="C3" s="158"/>
      <c r="D3" s="579" t="s">
        <v>322</v>
      </c>
      <c r="E3" s="579"/>
      <c r="F3" s="579"/>
      <c r="G3" s="580"/>
      <c r="H3" s="580"/>
      <c r="I3" s="580"/>
      <c r="J3" s="3" t="s">
        <v>317</v>
      </c>
      <c r="K3" s="2"/>
      <c r="L3" s="2"/>
      <c r="M3" s="2"/>
      <c r="N3" s="2"/>
      <c r="O3" s="2"/>
      <c r="P3" s="2"/>
      <c r="Q3" s="2"/>
      <c r="R3" s="2"/>
      <c r="S3" s="2"/>
      <c r="T3" s="2"/>
      <c r="U3" s="1"/>
    </row>
    <row r="4" spans="1:23" ht="15.75">
      <c r="A4" s="191"/>
      <c r="B4" s="188"/>
      <c r="C4" s="158"/>
      <c r="D4" s="13"/>
      <c r="E4" s="13"/>
      <c r="F4" s="13"/>
      <c r="G4" s="13"/>
      <c r="H4" s="13"/>
      <c r="I4" s="13"/>
      <c r="J4" s="9"/>
      <c r="K4" s="12"/>
      <c r="L4" s="12"/>
      <c r="M4" s="12"/>
      <c r="N4" s="12"/>
      <c r="O4" s="11"/>
      <c r="P4" s="15" t="s">
        <v>315</v>
      </c>
      <c r="Q4" s="14"/>
      <c r="R4" s="14"/>
      <c r="S4" s="14"/>
      <c r="T4" s="14"/>
      <c r="U4" s="8"/>
    </row>
    <row r="5" spans="1:23" ht="15.75" thickBot="1">
      <c r="A5" s="185" t="s">
        <v>4</v>
      </c>
      <c r="B5" s="158"/>
      <c r="C5" s="158"/>
      <c r="D5" s="10">
        <v>42736</v>
      </c>
      <c r="E5" s="10">
        <v>42767</v>
      </c>
      <c r="F5" s="10">
        <v>42795</v>
      </c>
      <c r="G5" s="10">
        <v>42826</v>
      </c>
      <c r="H5" s="10">
        <v>42856</v>
      </c>
      <c r="I5" s="10">
        <v>42887</v>
      </c>
      <c r="J5" s="7">
        <v>42917</v>
      </c>
      <c r="K5" s="6">
        <v>42948</v>
      </c>
      <c r="L5" s="6">
        <v>42979</v>
      </c>
      <c r="M5" s="6">
        <v>43009</v>
      </c>
      <c r="N5" s="6">
        <v>43040</v>
      </c>
      <c r="O5" s="6">
        <v>43070</v>
      </c>
      <c r="P5" s="5">
        <v>43101</v>
      </c>
      <c r="Q5" s="5">
        <v>43132</v>
      </c>
      <c r="R5" s="5">
        <v>43160</v>
      </c>
      <c r="S5" s="5">
        <v>43191</v>
      </c>
      <c r="T5" s="5">
        <v>43221</v>
      </c>
      <c r="U5" s="4">
        <v>43252</v>
      </c>
      <c r="V5" s="182" t="s">
        <v>318</v>
      </c>
      <c r="W5" s="182"/>
    </row>
    <row r="6" spans="1:23" ht="15">
      <c r="A6" s="185">
        <f>ROW()</f>
        <v>6</v>
      </c>
      <c r="B6" s="158" t="s">
        <v>6</v>
      </c>
      <c r="C6" s="183" t="s">
        <v>7</v>
      </c>
      <c r="D6" s="183"/>
      <c r="E6" s="183"/>
      <c r="F6" s="183"/>
      <c r="G6" s="183"/>
      <c r="H6" s="183"/>
      <c r="I6" s="183"/>
      <c r="J6" s="61"/>
      <c r="K6" s="61"/>
      <c r="L6" s="61"/>
      <c r="M6" s="61"/>
      <c r="N6" s="61"/>
      <c r="O6" s="61"/>
    </row>
    <row r="7" spans="1:23">
      <c r="A7" s="185">
        <f>ROW()</f>
        <v>7</v>
      </c>
      <c r="B7" s="193" t="s">
        <v>8</v>
      </c>
      <c r="C7" s="184">
        <v>501</v>
      </c>
      <c r="D7" s="51">
        <f>+'Sched B 2017'!F8</f>
        <v>7911467</v>
      </c>
      <c r="E7" s="51">
        <f>+'Sched B 2017'!G8</f>
        <v>7240089</v>
      </c>
      <c r="F7" s="51">
        <f>+'Sched B 2017'!H8</f>
        <v>5364312</v>
      </c>
      <c r="G7" s="51">
        <f>+'Sched B 2017'!I8</f>
        <v>4239901</v>
      </c>
      <c r="H7" s="51">
        <f>+'Sched B 2017'!J8</f>
        <v>6396967</v>
      </c>
      <c r="I7" s="51">
        <f>+'Sched B 2017'!K8</f>
        <v>5832721</v>
      </c>
      <c r="J7" s="51">
        <f>+'Sched B 2017'!L8</f>
        <v>9065382</v>
      </c>
      <c r="K7" s="51">
        <f>+'Sched B 2017'!M8</f>
        <v>8828999</v>
      </c>
      <c r="L7" s="51">
        <f>+'Sched B 2017'!N8</f>
        <v>6269930</v>
      </c>
      <c r="M7" s="51">
        <f>+'Sched B 2017'!O8</f>
        <v>6087693</v>
      </c>
      <c r="N7" s="51">
        <f>+'Sched B 2017'!P8</f>
        <v>7848539</v>
      </c>
      <c r="O7" s="51">
        <f>+'Sched B 2017'!Q8</f>
        <v>7028039</v>
      </c>
      <c r="P7" s="51">
        <f>+'Sched B 2018'!E8</f>
        <v>7465493</v>
      </c>
      <c r="Q7" s="51">
        <f>+'Sched B 2018'!F8</f>
        <v>5629480</v>
      </c>
      <c r="R7" s="51">
        <f>+'Sched B 2018'!G8</f>
        <v>7578249</v>
      </c>
      <c r="S7" s="51">
        <f>+'Sched B 2018'!H8</f>
        <v>3572343</v>
      </c>
      <c r="T7" s="51">
        <f>+'Sched B 2018'!I8</f>
        <v>3095994</v>
      </c>
      <c r="U7" s="51">
        <f>+'Sched B 2018'!J8</f>
        <v>4644305</v>
      </c>
      <c r="V7" s="221">
        <f>SUM(J7:U7)</f>
        <v>77114446</v>
      </c>
    </row>
    <row r="8" spans="1:23">
      <c r="A8" s="185">
        <f>ROW()</f>
        <v>8</v>
      </c>
      <c r="B8" s="193" t="s">
        <v>11</v>
      </c>
      <c r="C8" s="184">
        <v>547</v>
      </c>
      <c r="D8" s="56">
        <f>+'Sched B 2017'!F9</f>
        <v>15009143</v>
      </c>
      <c r="E8" s="56">
        <f>+'Sched B 2017'!G9</f>
        <v>9243498</v>
      </c>
      <c r="F8" s="56">
        <f>+'Sched B 2017'!H9</f>
        <v>6280316</v>
      </c>
      <c r="G8" s="56">
        <f>+'Sched B 2017'!I9</f>
        <v>7093724</v>
      </c>
      <c r="H8" s="56">
        <f>+'Sched B 2017'!J9</f>
        <v>5145459</v>
      </c>
      <c r="I8" s="56">
        <f>+'Sched B 2017'!K9</f>
        <v>5195767</v>
      </c>
      <c r="J8" s="56">
        <f>+'Sched B 2017'!L9</f>
        <v>13154603</v>
      </c>
      <c r="K8" s="56">
        <f>+'Sched B 2017'!M9</f>
        <v>16627002</v>
      </c>
      <c r="L8" s="56">
        <f>+'Sched B 2017'!N9</f>
        <v>12372696</v>
      </c>
      <c r="M8" s="56">
        <f>+'Sched B 2017'!O9</f>
        <v>10721732</v>
      </c>
      <c r="N8" s="56">
        <f>+'Sched B 2017'!P9</f>
        <v>8596688</v>
      </c>
      <c r="O8" s="56">
        <f>+'Sched B 2017'!Q9</f>
        <v>12646582.780000001</v>
      </c>
      <c r="P8" s="56">
        <f>+'Sched B 2018'!E9</f>
        <v>6089754</v>
      </c>
      <c r="Q8" s="56">
        <f>+'Sched B 2018'!F9</f>
        <v>7894662</v>
      </c>
      <c r="R8" s="56">
        <f>+'Sched B 2018'!G9</f>
        <v>8829096</v>
      </c>
      <c r="S8" s="56">
        <f>+'Sched B 2018'!H9</f>
        <v>5571062</v>
      </c>
      <c r="T8" s="56">
        <f>+'Sched B 2018'!I9</f>
        <v>5554508</v>
      </c>
      <c r="U8" s="56">
        <f>+'Sched B 2018'!J9</f>
        <v>5529510</v>
      </c>
      <c r="V8" s="221">
        <f t="shared" ref="V8:V14" si="0">SUM(J8:U8)</f>
        <v>113587895.78</v>
      </c>
    </row>
    <row r="9" spans="1:23">
      <c r="A9" s="185">
        <f>ROW()</f>
        <v>9</v>
      </c>
      <c r="B9" s="193" t="s">
        <v>12</v>
      </c>
      <c r="C9" s="184">
        <v>555</v>
      </c>
      <c r="D9" s="56">
        <f>+'Sched B 2017'!F10</f>
        <v>60118988</v>
      </c>
      <c r="E9" s="56">
        <f>+'Sched B 2017'!G10</f>
        <v>43002138</v>
      </c>
      <c r="F9" s="56">
        <f>+'Sched B 2017'!H10</f>
        <v>44097192</v>
      </c>
      <c r="G9" s="56">
        <f>+'Sched B 2017'!I10</f>
        <v>33874059</v>
      </c>
      <c r="H9" s="56">
        <f>+'Sched B 2017'!J10</f>
        <v>33953695</v>
      </c>
      <c r="I9" s="56">
        <f>+'Sched B 2017'!K10</f>
        <v>30233211</v>
      </c>
      <c r="J9" s="56">
        <f>+'Sched B 2017'!L10</f>
        <v>24180999</v>
      </c>
      <c r="K9" s="56">
        <f>+'Sched B 2017'!M10</f>
        <v>31541397</v>
      </c>
      <c r="L9" s="56">
        <f>+'Sched B 2017'!N10</f>
        <v>26945300</v>
      </c>
      <c r="M9" s="56">
        <f>+'Sched B 2017'!O10</f>
        <v>34466965</v>
      </c>
      <c r="N9" s="56">
        <f>+'Sched B 2017'!P10</f>
        <v>45177246</v>
      </c>
      <c r="O9" s="56">
        <f>+'Sched B 2017'!Q10</f>
        <v>50541096</v>
      </c>
      <c r="P9" s="56">
        <f>+'Sched B 2018'!E10</f>
        <v>46629363</v>
      </c>
      <c r="Q9" s="56">
        <f>+'Sched B 2018'!F10</f>
        <v>39231268</v>
      </c>
      <c r="R9" s="56">
        <f>+'Sched B 2018'!G10</f>
        <v>36276926</v>
      </c>
      <c r="S9" s="56">
        <f>+'Sched B 2018'!H10</f>
        <v>35252533</v>
      </c>
      <c r="T9" s="56">
        <f>+'Sched B 2018'!I10</f>
        <v>32176337</v>
      </c>
      <c r="U9" s="56">
        <f>+'Sched B 2018'!J10</f>
        <v>29816192</v>
      </c>
      <c r="V9" s="221">
        <f t="shared" si="0"/>
        <v>432235622</v>
      </c>
    </row>
    <row r="10" spans="1:23">
      <c r="A10" s="185">
        <f>ROW()</f>
        <v>10</v>
      </c>
      <c r="B10" s="193" t="s">
        <v>13</v>
      </c>
      <c r="C10" s="184" t="s">
        <v>14</v>
      </c>
      <c r="D10" s="56">
        <f>+'Sched B 2017'!F11</f>
        <v>-2923199</v>
      </c>
      <c r="E10" s="56">
        <f>+'Sched B 2017'!G11</f>
        <v>-596051</v>
      </c>
      <c r="F10" s="56">
        <f>+'Sched B 2017'!H11</f>
        <v>108615</v>
      </c>
      <c r="G10" s="56">
        <f>+'Sched B 2017'!I11</f>
        <v>-31638</v>
      </c>
      <c r="H10" s="56">
        <f>+'Sched B 2017'!J11</f>
        <v>-438665</v>
      </c>
      <c r="I10" s="56">
        <f>+'Sched B 2017'!K11</f>
        <v>-1174733</v>
      </c>
      <c r="J10" s="56">
        <f>+'Sched B 2017'!L11</f>
        <v>235496</v>
      </c>
      <c r="K10" s="56">
        <f>+'Sched B 2017'!M11</f>
        <v>-70081</v>
      </c>
      <c r="L10" s="56">
        <f>+'Sched B 2017'!N11</f>
        <v>76673</v>
      </c>
      <c r="M10" s="56">
        <f>+'Sched B 2017'!O11</f>
        <v>-720035</v>
      </c>
      <c r="N10" s="56">
        <f>+'Sched B 2017'!P11</f>
        <v>-1582093</v>
      </c>
      <c r="O10" s="56">
        <f>+'Sched B 2017'!Q11</f>
        <v>-1693931</v>
      </c>
      <c r="P10" s="56">
        <f>+'Sched B 2018'!E11</f>
        <v>-1743799</v>
      </c>
      <c r="Q10" s="56">
        <f>+'Sched B 2018'!F11</f>
        <v>473555</v>
      </c>
      <c r="R10" s="56">
        <f>+'Sched B 2018'!G11</f>
        <v>601940</v>
      </c>
      <c r="S10" s="56">
        <f>+'Sched B 2018'!H11</f>
        <v>-1057440</v>
      </c>
      <c r="T10" s="56">
        <f>+'Sched B 2018'!I11</f>
        <v>-1853559</v>
      </c>
      <c r="U10" s="56">
        <f>+'Sched B 2018'!J11</f>
        <v>-1801241</v>
      </c>
      <c r="V10" s="221">
        <f t="shared" si="0"/>
        <v>-9134515</v>
      </c>
    </row>
    <row r="11" spans="1:23">
      <c r="A11" s="185">
        <f>ROW()</f>
        <v>11</v>
      </c>
      <c r="B11" s="193" t="s">
        <v>15</v>
      </c>
      <c r="C11" s="184">
        <v>447</v>
      </c>
      <c r="D11" s="56">
        <f>+'Sched B 2017'!F12</f>
        <v>-3117224</v>
      </c>
      <c r="E11" s="56">
        <f>+'Sched B 2017'!G12</f>
        <v>-3726695</v>
      </c>
      <c r="F11" s="56">
        <f>+'Sched B 2017'!H12</f>
        <v>-1864428</v>
      </c>
      <c r="G11" s="56">
        <f>+'Sched B 2017'!I12</f>
        <v>-2127584</v>
      </c>
      <c r="H11" s="56">
        <f>+'Sched B 2017'!J12</f>
        <v>-1783473</v>
      </c>
      <c r="I11" s="56">
        <f>+'Sched B 2017'!K12</f>
        <v>-2067740</v>
      </c>
      <c r="J11" s="56">
        <f>+'Sched B 2017'!L12</f>
        <v>-7834535</v>
      </c>
      <c r="K11" s="56">
        <f>+'Sched B 2017'!M12</f>
        <v>-9986550</v>
      </c>
      <c r="L11" s="56">
        <f>+'Sched B 2017'!N12</f>
        <v>-5895402</v>
      </c>
      <c r="M11" s="56">
        <f>+'Sched B 2017'!O12</f>
        <v>-4809492</v>
      </c>
      <c r="N11" s="56">
        <f>+'Sched B 2017'!P12</f>
        <v>-5611699</v>
      </c>
      <c r="O11" s="56">
        <f>+'Sched B 2017'!Q12</f>
        <v>-4963988</v>
      </c>
      <c r="P11" s="56">
        <f>+'Sched B 2018'!E13</f>
        <v>-2689153</v>
      </c>
      <c r="Q11" s="56">
        <f>+'Sched B 2018'!F13</f>
        <v>-3954384</v>
      </c>
      <c r="R11" s="56">
        <f>+'Sched B 2018'!G13</f>
        <v>-4383362</v>
      </c>
      <c r="S11" s="56">
        <f>+'Sched B 2018'!H13</f>
        <v>-2826175</v>
      </c>
      <c r="T11" s="56">
        <f>+'Sched B 2018'!I13</f>
        <v>-1650704</v>
      </c>
      <c r="U11" s="56">
        <f>+'Sched B 2018'!J13</f>
        <v>-2922238</v>
      </c>
      <c r="V11" s="221">
        <f t="shared" si="0"/>
        <v>-57527682</v>
      </c>
    </row>
    <row r="12" spans="1:23">
      <c r="A12" s="185">
        <f>ROW()</f>
        <v>12</v>
      </c>
      <c r="B12" s="193" t="s">
        <v>16</v>
      </c>
      <c r="C12" s="184">
        <v>565</v>
      </c>
      <c r="D12" s="56">
        <f>+'Sched B 2017'!F13</f>
        <v>9838891</v>
      </c>
      <c r="E12" s="56">
        <f>+'Sched B 2017'!G13</f>
        <v>9797947</v>
      </c>
      <c r="F12" s="56">
        <f>+'Sched B 2017'!H13</f>
        <v>9595421</v>
      </c>
      <c r="G12" s="56">
        <f>+'Sched B 2017'!I13</f>
        <v>9593603</v>
      </c>
      <c r="H12" s="56">
        <f>+'Sched B 2017'!J13</f>
        <v>9523702</v>
      </c>
      <c r="I12" s="56">
        <f>+'Sched B 2017'!K13</f>
        <v>9674595</v>
      </c>
      <c r="J12" s="56">
        <f>+'Sched B 2017'!L13</f>
        <v>9675278</v>
      </c>
      <c r="K12" s="56">
        <f>+'Sched B 2017'!M13</f>
        <v>9830034</v>
      </c>
      <c r="L12" s="56">
        <f>+'Sched B 2017'!N13</f>
        <v>10518856</v>
      </c>
      <c r="M12" s="56">
        <f>+'Sched B 2017'!O13</f>
        <v>9801242</v>
      </c>
      <c r="N12" s="56">
        <f>+'Sched B 2017'!P13</f>
        <v>9870283</v>
      </c>
      <c r="O12" s="56">
        <f>+'Sched B 2017'!Q13</f>
        <v>9879042</v>
      </c>
      <c r="P12" s="56">
        <f>+'Sched B 2018'!E14</f>
        <v>9742317</v>
      </c>
      <c r="Q12" s="56">
        <f>+'Sched B 2018'!F14</f>
        <v>9668270</v>
      </c>
      <c r="R12" s="56">
        <f>+'Sched B 2018'!G14</f>
        <v>9531005</v>
      </c>
      <c r="S12" s="56">
        <f>+'Sched B 2018'!H14</f>
        <v>9472832</v>
      </c>
      <c r="T12" s="56">
        <f>+'Sched B 2018'!I14</f>
        <v>9156560</v>
      </c>
      <c r="U12" s="56">
        <f>+'Sched B 2018'!J14</f>
        <v>9392381</v>
      </c>
      <c r="V12" s="221">
        <f t="shared" si="0"/>
        <v>116538100</v>
      </c>
    </row>
    <row r="13" spans="1:23">
      <c r="A13" s="185">
        <f>ROW()</f>
        <v>13</v>
      </c>
      <c r="B13" s="193" t="s">
        <v>17</v>
      </c>
      <c r="C13" s="184">
        <v>55700003</v>
      </c>
      <c r="D13" s="56">
        <f>+'Sched B 2017'!F14</f>
        <v>40291</v>
      </c>
      <c r="E13" s="56">
        <f>+'Sched B 2017'!G14</f>
        <v>22274</v>
      </c>
      <c r="F13" s="56">
        <f>+'Sched B 2017'!H14</f>
        <v>51254</v>
      </c>
      <c r="G13" s="56">
        <f>+'Sched B 2017'!I14</f>
        <v>23467</v>
      </c>
      <c r="H13" s="56">
        <f>+'Sched B 2017'!J14</f>
        <v>27074</v>
      </c>
      <c r="I13" s="56">
        <f>+'Sched B 2017'!K14</f>
        <v>24650</v>
      </c>
      <c r="J13" s="56">
        <f>+'Sched B 2017'!L14</f>
        <v>25264</v>
      </c>
      <c r="K13" s="56">
        <f>+'Sched B 2017'!M14</f>
        <v>27410</v>
      </c>
      <c r="L13" s="56">
        <f>+'Sched B 2017'!N14</f>
        <v>38110</v>
      </c>
      <c r="M13" s="56">
        <f>+'Sched B 2017'!O14</f>
        <v>31595</v>
      </c>
      <c r="N13" s="56">
        <f>+'Sched B 2017'!P14</f>
        <v>34775</v>
      </c>
      <c r="O13" s="56">
        <f>+'Sched B 2017'!Q14</f>
        <v>17880</v>
      </c>
      <c r="P13" s="56">
        <f>+'Sched B 2018'!E12</f>
        <v>31295</v>
      </c>
      <c r="Q13" s="56">
        <f>+'Sched B 2018'!F12</f>
        <v>61045</v>
      </c>
      <c r="R13" s="56">
        <f>+'Sched B 2018'!G12</f>
        <v>24569</v>
      </c>
      <c r="S13" s="56">
        <f>+'Sched B 2018'!H12</f>
        <v>33508</v>
      </c>
      <c r="T13" s="56">
        <f>+'Sched B 2018'!I12</f>
        <v>38958</v>
      </c>
      <c r="U13" s="56">
        <f>+'Sched B 2018'!J12</f>
        <v>33720</v>
      </c>
      <c r="V13" s="221">
        <f t="shared" si="0"/>
        <v>398129</v>
      </c>
    </row>
    <row r="14" spans="1:23">
      <c r="A14" s="185">
        <f>ROW()</f>
        <v>14</v>
      </c>
      <c r="B14" s="194" t="s">
        <v>18</v>
      </c>
      <c r="C14" s="184">
        <v>40810005</v>
      </c>
      <c r="D14" s="56">
        <f>+'Sched B 2017'!F15</f>
        <v>129270</v>
      </c>
      <c r="E14" s="56">
        <f>+'Sched B 2017'!G15</f>
        <v>129270</v>
      </c>
      <c r="F14" s="56">
        <f>+'Sched B 2017'!H15</f>
        <v>129270</v>
      </c>
      <c r="G14" s="56">
        <f>+'Sched B 2017'!I15</f>
        <v>129270</v>
      </c>
      <c r="H14" s="56">
        <f>+'Sched B 2017'!J15</f>
        <v>129270</v>
      </c>
      <c r="I14" s="56">
        <f>+'Sched B 2017'!K15</f>
        <v>129270</v>
      </c>
      <c r="J14" s="56">
        <f>+'Sched B 2017'!L15</f>
        <v>129270</v>
      </c>
      <c r="K14" s="56">
        <f>+'Sched B 2017'!M15</f>
        <v>129270</v>
      </c>
      <c r="L14" s="56">
        <f>+'Sched B 2017'!N15</f>
        <v>129270</v>
      </c>
      <c r="M14" s="56">
        <f>+'Sched B 2017'!O15</f>
        <v>129270</v>
      </c>
      <c r="N14" s="56">
        <f>+'Sched B 2017'!P15</f>
        <v>129270</v>
      </c>
      <c r="O14" s="56">
        <f>+'Sched B 2017'!Q15</f>
        <v>129270</v>
      </c>
      <c r="P14" s="56">
        <f>+'Sched B 2018'!E15</f>
        <v>111694</v>
      </c>
      <c r="Q14" s="56">
        <f>+'Sched B 2018'!F15</f>
        <v>127402</v>
      </c>
      <c r="R14" s="56">
        <f>+'Sched B 2018'!G15</f>
        <v>127402</v>
      </c>
      <c r="S14" s="56">
        <f>+'Sched B 2018'!H15</f>
        <v>178554</v>
      </c>
      <c r="T14" s="56">
        <f>+'Sched B 2018'!I15</f>
        <v>127402</v>
      </c>
      <c r="U14" s="56">
        <f>+'Sched B 2018'!J15</f>
        <v>127402</v>
      </c>
      <c r="V14" s="221">
        <f t="shared" si="0"/>
        <v>1575476</v>
      </c>
    </row>
    <row r="15" spans="1:23">
      <c r="A15" s="185">
        <f>ROW()</f>
        <v>15</v>
      </c>
      <c r="B15" s="193" t="s">
        <v>19</v>
      </c>
      <c r="C15" s="184"/>
      <c r="D15" s="60">
        <f t="shared" ref="D15" si="1">SUM(D7:D14)</f>
        <v>87007627</v>
      </c>
      <c r="E15" s="60">
        <f t="shared" ref="E15:V15" si="2">SUM(E7:E14)</f>
        <v>65112470</v>
      </c>
      <c r="F15" s="60">
        <f t="shared" si="2"/>
        <v>63761952</v>
      </c>
      <c r="G15" s="60">
        <f t="shared" si="2"/>
        <v>52794802</v>
      </c>
      <c r="H15" s="60">
        <f t="shared" si="2"/>
        <v>52954029</v>
      </c>
      <c r="I15" s="60">
        <f t="shared" si="2"/>
        <v>47847741</v>
      </c>
      <c r="J15" s="60">
        <f t="shared" si="2"/>
        <v>48631757</v>
      </c>
      <c r="K15" s="60">
        <f t="shared" si="2"/>
        <v>56927481</v>
      </c>
      <c r="L15" s="60">
        <f t="shared" si="2"/>
        <v>50455433</v>
      </c>
      <c r="M15" s="60">
        <f t="shared" si="2"/>
        <v>55708970</v>
      </c>
      <c r="N15" s="60">
        <f t="shared" si="2"/>
        <v>64463009</v>
      </c>
      <c r="O15" s="60">
        <f t="shared" si="2"/>
        <v>73583990.780000001</v>
      </c>
      <c r="P15" s="60">
        <f t="shared" si="2"/>
        <v>65636964</v>
      </c>
      <c r="Q15" s="60">
        <f t="shared" si="2"/>
        <v>59131298</v>
      </c>
      <c r="R15" s="60">
        <f t="shared" si="2"/>
        <v>58585825</v>
      </c>
      <c r="S15" s="60">
        <f t="shared" si="2"/>
        <v>50197217</v>
      </c>
      <c r="T15" s="60">
        <f t="shared" si="2"/>
        <v>46645496</v>
      </c>
      <c r="U15" s="60">
        <f t="shared" si="2"/>
        <v>44820031</v>
      </c>
      <c r="V15" s="60">
        <f t="shared" si="2"/>
        <v>674787471.77999997</v>
      </c>
    </row>
    <row r="16" spans="1:23">
      <c r="A16" s="185">
        <f>ROW()</f>
        <v>16</v>
      </c>
      <c r="B16" s="193"/>
      <c r="C16" s="184"/>
      <c r="D16" s="184"/>
      <c r="E16" s="184"/>
      <c r="F16" s="184"/>
      <c r="G16" s="184"/>
      <c r="H16" s="184"/>
      <c r="I16" s="184"/>
    </row>
    <row r="17" spans="1:23">
      <c r="A17" s="185">
        <f>ROW()</f>
        <v>17</v>
      </c>
      <c r="B17" s="195" t="s">
        <v>20</v>
      </c>
      <c r="C17" s="184"/>
    </row>
    <row r="18" spans="1:23">
      <c r="A18" s="185">
        <f>ROW()</f>
        <v>18</v>
      </c>
      <c r="B18" s="158" t="s">
        <v>21</v>
      </c>
      <c r="C18" s="159"/>
      <c r="D18" s="196">
        <f>+'Sched B 2017'!F19</f>
        <v>421253</v>
      </c>
      <c r="E18" s="196">
        <f>+'Sched B 2017'!G19</f>
        <v>380486</v>
      </c>
      <c r="F18" s="196">
        <f>+'Sched B 2017'!H19</f>
        <v>420687</v>
      </c>
      <c r="G18" s="196">
        <f>+'Sched B 2017'!I19</f>
        <v>407664</v>
      </c>
      <c r="H18" s="196">
        <f>+'Sched B 2017'!J19</f>
        <v>421253</v>
      </c>
      <c r="I18" s="196">
        <f>+'Sched B 2017'!K19</f>
        <v>407664</v>
      </c>
      <c r="J18" s="196">
        <f>+'Sched B 2017'!L19</f>
        <v>421253</v>
      </c>
      <c r="K18" s="196">
        <f>+'Sched B 2017'!M19</f>
        <v>421253</v>
      </c>
      <c r="L18" s="196">
        <f>+'Sched B 2017'!N19</f>
        <v>407664</v>
      </c>
      <c r="M18" s="196">
        <f>+'Sched B 2017'!O19</f>
        <v>412253</v>
      </c>
      <c r="N18" s="196">
        <f>+'Sched B 2017'!P19</f>
        <v>408230</v>
      </c>
      <c r="O18" s="196">
        <f>+'Sched B 2017'!Q19</f>
        <v>430253</v>
      </c>
      <c r="P18" s="196">
        <f>+'Sched B 2018'!E19</f>
        <v>421253</v>
      </c>
      <c r="Q18" s="196">
        <f>+'Sched B 2018'!F19</f>
        <v>380486</v>
      </c>
      <c r="R18" s="196">
        <f>+'Sched B 2018'!G19</f>
        <v>420687</v>
      </c>
      <c r="S18" s="196">
        <f>+'Sched B 2018'!H19</f>
        <v>407664</v>
      </c>
      <c r="T18" s="196">
        <f>+'Sched B 2018'!I19</f>
        <v>421253</v>
      </c>
      <c r="U18" s="196">
        <f>+'Sched B 2018'!J19</f>
        <v>407664</v>
      </c>
      <c r="V18" s="221">
        <f t="shared" ref="V18:V19" si="3">SUM(J18:U18)</f>
        <v>4959913</v>
      </c>
    </row>
    <row r="19" spans="1:23">
      <c r="A19" s="185">
        <f>ROW()</f>
        <v>19</v>
      </c>
      <c r="B19" s="197" t="s">
        <v>186</v>
      </c>
      <c r="C19" s="159"/>
      <c r="O19" s="196">
        <f>+'Sched B 2017'!Q20</f>
        <v>295619.58064516127</v>
      </c>
      <c r="P19" s="196">
        <f>+'Sched B 2018'!E20</f>
        <v>0</v>
      </c>
      <c r="Q19" s="196">
        <f>+'Sched B 2018'!F20</f>
        <v>1409878</v>
      </c>
      <c r="R19" s="196">
        <f>+'Sched B 2018'!G20</f>
        <v>704939</v>
      </c>
      <c r="S19" s="196">
        <f>+'Sched B 2018'!H20</f>
        <v>704939</v>
      </c>
      <c r="T19" s="196">
        <f>+'Sched B 2018'!I20</f>
        <v>704939</v>
      </c>
      <c r="U19" s="196">
        <f>+'Sched B 2018'!J20</f>
        <v>176267</v>
      </c>
      <c r="V19" s="221">
        <f t="shared" si="3"/>
        <v>3996581.5806451612</v>
      </c>
    </row>
    <row r="20" spans="1:23" ht="13.5" thickBot="1">
      <c r="A20" s="185">
        <f>ROW()</f>
        <v>20</v>
      </c>
      <c r="B20" s="195" t="s">
        <v>23</v>
      </c>
      <c r="C20" s="159"/>
      <c r="D20" s="160">
        <f>SUM(D15:D19)</f>
        <v>87428880</v>
      </c>
      <c r="E20" s="160">
        <f t="shared" ref="E20:V20" si="4">SUM(E15:E19)</f>
        <v>65492956</v>
      </c>
      <c r="F20" s="160">
        <f t="shared" si="4"/>
        <v>64182639</v>
      </c>
      <c r="G20" s="160">
        <f t="shared" si="4"/>
        <v>53202466</v>
      </c>
      <c r="H20" s="160">
        <f t="shared" si="4"/>
        <v>53375282</v>
      </c>
      <c r="I20" s="160">
        <f t="shared" si="4"/>
        <v>48255405</v>
      </c>
      <c r="J20" s="160">
        <f t="shared" si="4"/>
        <v>49053010</v>
      </c>
      <c r="K20" s="160">
        <f t="shared" si="4"/>
        <v>57348734</v>
      </c>
      <c r="L20" s="160">
        <f t="shared" si="4"/>
        <v>50863097</v>
      </c>
      <c r="M20" s="160">
        <f t="shared" si="4"/>
        <v>56121223</v>
      </c>
      <c r="N20" s="160">
        <f t="shared" si="4"/>
        <v>64871239</v>
      </c>
      <c r="O20" s="160">
        <f t="shared" si="4"/>
        <v>74309863.36064516</v>
      </c>
      <c r="P20" s="160">
        <f t="shared" si="4"/>
        <v>66058217</v>
      </c>
      <c r="Q20" s="160">
        <f t="shared" si="4"/>
        <v>60921662</v>
      </c>
      <c r="R20" s="160">
        <f t="shared" si="4"/>
        <v>59711451</v>
      </c>
      <c r="S20" s="160">
        <f t="shared" si="4"/>
        <v>51309820</v>
      </c>
      <c r="T20" s="160">
        <f t="shared" si="4"/>
        <v>47771688</v>
      </c>
      <c r="U20" s="160">
        <f t="shared" si="4"/>
        <v>45403962</v>
      </c>
      <c r="V20" s="160">
        <f t="shared" si="4"/>
        <v>683743966.36064517</v>
      </c>
    </row>
    <row r="21" spans="1:23">
      <c r="A21" s="185"/>
      <c r="B21" s="195"/>
      <c r="C21" s="159"/>
      <c r="D21" s="225">
        <f>+'Sched B 2017'!F21</f>
        <v>87428880</v>
      </c>
      <c r="E21" s="51">
        <f>+'Sched B 2017'!G21</f>
        <v>65492956</v>
      </c>
      <c r="F21" s="51">
        <f>+'Sched B 2017'!H21</f>
        <v>64182639</v>
      </c>
      <c r="G21" s="51">
        <f>+'Sched B 2017'!I21</f>
        <v>53202466</v>
      </c>
      <c r="H21" s="51">
        <f>+'Sched B 2017'!J21</f>
        <v>53375282</v>
      </c>
      <c r="I21" s="51">
        <f>+'Sched B 2017'!K21</f>
        <v>48255405</v>
      </c>
      <c r="J21" s="51">
        <f>+'Sched B 2017'!L21</f>
        <v>49053010</v>
      </c>
      <c r="K21" s="51">
        <f>+'Sched B 2017'!M21</f>
        <v>57348734</v>
      </c>
      <c r="L21" s="51">
        <f>+'Sched B 2017'!N21</f>
        <v>50863097</v>
      </c>
      <c r="M21" s="51">
        <f>+'Sched B 2017'!O21</f>
        <v>56121223</v>
      </c>
      <c r="N21" s="51">
        <f>+'Sched B 2017'!P21</f>
        <v>64871239</v>
      </c>
      <c r="O21" s="51">
        <f>+'Sched B 2017'!Q21</f>
        <v>74309863.36064516</v>
      </c>
      <c r="P21" s="51">
        <f>+'Sched B 2018'!E21</f>
        <v>66058217</v>
      </c>
      <c r="Q21" s="51">
        <f>+'Sched B 2018'!F21</f>
        <v>60921662</v>
      </c>
      <c r="R21" s="51">
        <f>+'Sched B 2018'!G21</f>
        <v>59711451</v>
      </c>
      <c r="S21" s="51">
        <f>+'Sched B 2018'!H21</f>
        <v>51309820</v>
      </c>
      <c r="T21" s="51">
        <f>+'Sched B 2018'!I21</f>
        <v>47771688</v>
      </c>
      <c r="U21" s="51">
        <f>+'Sched B 2018'!J21</f>
        <v>45403962</v>
      </c>
      <c r="V21" s="51"/>
      <c r="W21" s="165"/>
    </row>
    <row r="22" spans="1:23">
      <c r="A22" s="185">
        <f>ROW()</f>
        <v>22</v>
      </c>
      <c r="C22" s="159"/>
    </row>
    <row r="23" spans="1:23" ht="15">
      <c r="A23" s="185">
        <f>ROW()</f>
        <v>23</v>
      </c>
      <c r="B23" s="275" t="s">
        <v>25</v>
      </c>
      <c r="C23" s="159"/>
      <c r="D23" s="62">
        <f>+'Sched B 2017'!F24+'Sched B 2017'!F25</f>
        <v>2311111402</v>
      </c>
      <c r="E23" s="62">
        <f>+'Sched B 2017'!G24</f>
        <v>1939919961</v>
      </c>
      <c r="F23" s="62">
        <f>+'Sched B 2017'!H24</f>
        <v>1940551765</v>
      </c>
      <c r="G23" s="62">
        <f>+'Sched B 2017'!I24</f>
        <v>1647518890</v>
      </c>
      <c r="H23" s="62">
        <f>+'Sched B 2017'!J24</f>
        <v>1543718724</v>
      </c>
      <c r="I23" s="62">
        <f>+'Sched B 2017'!K24</f>
        <v>1476133475</v>
      </c>
      <c r="J23" s="62">
        <f>+'Sched B 2017'!L24</f>
        <v>1555636675</v>
      </c>
      <c r="K23" s="62">
        <f>+'Sched B 2017'!M24</f>
        <v>1648038900</v>
      </c>
      <c r="L23" s="62">
        <f>+'Sched B 2017'!N24</f>
        <v>1485662265</v>
      </c>
      <c r="M23" s="62">
        <f>+'Sched B 2017'!O24</f>
        <v>1686782928</v>
      </c>
      <c r="N23" s="62">
        <f>+'Sched B 2017'!P24</f>
        <v>1867373203</v>
      </c>
      <c r="O23" s="62">
        <f>+'Sched B 2017'!Q24</f>
        <v>1250770431</v>
      </c>
      <c r="P23" s="62"/>
      <c r="Q23" s="62"/>
      <c r="R23" s="62"/>
      <c r="S23" s="62"/>
      <c r="T23" s="62"/>
      <c r="U23" s="62"/>
      <c r="V23" s="221">
        <f t="shared" ref="V23:V24" si="5">SUM(J23:U23)</f>
        <v>9494264402</v>
      </c>
    </row>
    <row r="24" spans="1:23" ht="15">
      <c r="A24" s="185">
        <f>ROW()</f>
        <v>24</v>
      </c>
      <c r="B24" s="275" t="s">
        <v>185</v>
      </c>
      <c r="C24" s="159"/>
      <c r="D24" s="106"/>
      <c r="E24" s="62">
        <f>+'Sched B 2017'!G25</f>
        <v>0</v>
      </c>
      <c r="F24" s="62">
        <f>+'Sched B 2017'!H25</f>
        <v>0</v>
      </c>
      <c r="G24" s="62">
        <f>+'Sched B 2017'!I25</f>
        <v>0</v>
      </c>
      <c r="H24" s="62">
        <f>+'Sched B 2017'!J25</f>
        <v>0</v>
      </c>
      <c r="I24" s="62">
        <f>+'Sched B 2017'!K25</f>
        <v>0</v>
      </c>
      <c r="J24" s="62">
        <f>+'Sched B 2017'!L25</f>
        <v>0</v>
      </c>
      <c r="K24" s="62">
        <f>+'Sched B 2017'!M25</f>
        <v>0</v>
      </c>
      <c r="L24" s="62">
        <f>+'Sched B 2017'!N25</f>
        <v>0</v>
      </c>
      <c r="M24" s="62">
        <f>+'Sched B 2017'!O25</f>
        <v>0</v>
      </c>
      <c r="N24" s="62">
        <f>+'Sched B 2017'!P25</f>
        <v>0</v>
      </c>
      <c r="O24" s="62">
        <f>+'Sched B 2017'!Q25</f>
        <v>970670870</v>
      </c>
      <c r="P24" s="62">
        <f>+'Sched B 2018'!E24</f>
        <v>2043401774</v>
      </c>
      <c r="Q24" s="62">
        <f>+'Sched B 2018'!F24</f>
        <v>1989158579</v>
      </c>
      <c r="R24" s="62">
        <f>+'Sched B 2018'!G24</f>
        <v>1870558174</v>
      </c>
      <c r="S24" s="62">
        <f>+'Sched B 2018'!H24</f>
        <v>1653902980</v>
      </c>
      <c r="T24" s="62">
        <f>+'Sched B 2018'!I24</f>
        <v>1504372645</v>
      </c>
      <c r="U24" s="62">
        <f>+'Sched B 2018'!J24</f>
        <v>1471897731</v>
      </c>
      <c r="V24" s="221">
        <f t="shared" si="5"/>
        <v>11503962753</v>
      </c>
    </row>
    <row r="26" spans="1:23">
      <c r="B26" s="276" t="s">
        <v>27</v>
      </c>
      <c r="C26" s="277"/>
    </row>
    <row r="27" spans="1:23" ht="15">
      <c r="B27" s="278" t="s">
        <v>28</v>
      </c>
      <c r="C27" s="277">
        <v>3.3452999999999997E-2</v>
      </c>
      <c r="D27" s="280">
        <f>+$C$27*D23</f>
        <v>77313609.731105998</v>
      </c>
      <c r="E27" s="280">
        <f t="shared" ref="E27:N27" si="6">+$C$27*E23</f>
        <v>64896142.455332994</v>
      </c>
      <c r="F27" s="280">
        <f t="shared" si="6"/>
        <v>64917278.194544993</v>
      </c>
      <c r="G27" s="280">
        <f t="shared" si="6"/>
        <v>55114449.427169994</v>
      </c>
      <c r="H27" s="280">
        <f t="shared" si="6"/>
        <v>51642022.473971993</v>
      </c>
      <c r="I27" s="280">
        <f t="shared" si="6"/>
        <v>49381093.139174998</v>
      </c>
      <c r="J27" s="280">
        <f t="shared" si="6"/>
        <v>52040713.688774996</v>
      </c>
      <c r="K27" s="280">
        <f t="shared" si="6"/>
        <v>55131845.321699992</v>
      </c>
      <c r="L27" s="280">
        <f t="shared" si="6"/>
        <v>49699859.751044996</v>
      </c>
      <c r="M27" s="280">
        <f t="shared" si="6"/>
        <v>56427949.290383995</v>
      </c>
      <c r="N27" s="280">
        <f t="shared" si="6"/>
        <v>62469235.759958997</v>
      </c>
      <c r="O27" s="280">
        <f>+O23*C27</f>
        <v>41842023.228242993</v>
      </c>
    </row>
    <row r="28" spans="1:23">
      <c r="B28" s="226" t="s">
        <v>183</v>
      </c>
      <c r="C28" s="279">
        <v>3.2895000000000001E-2</v>
      </c>
      <c r="O28" s="280">
        <f>+O24*C28</f>
        <v>31930218.268649999</v>
      </c>
      <c r="P28" s="280">
        <f>+P24*$C$28</f>
        <v>67217701.355729997</v>
      </c>
      <c r="Q28" s="280">
        <f t="shared" ref="Q28:U28" si="7">+Q24*$C$28</f>
        <v>65433371.456205003</v>
      </c>
      <c r="R28" s="280">
        <f t="shared" si="7"/>
        <v>61532011.133730002</v>
      </c>
      <c r="S28" s="280">
        <f t="shared" si="7"/>
        <v>54405138.527100004</v>
      </c>
      <c r="T28" s="280">
        <f t="shared" si="7"/>
        <v>49486338.157274999</v>
      </c>
      <c r="U28" s="280">
        <f t="shared" si="7"/>
        <v>48418075.861244999</v>
      </c>
    </row>
    <row r="29" spans="1:23">
      <c r="B29" s="187" t="s">
        <v>252</v>
      </c>
      <c r="D29" s="281">
        <f>SUM(D27:D28)</f>
        <v>77313609.731105998</v>
      </c>
      <c r="E29" s="281">
        <f t="shared" ref="E29:V29" si="8">SUM(E27:E28)</f>
        <v>64896142.455332994</v>
      </c>
      <c r="F29" s="281">
        <f t="shared" si="8"/>
        <v>64917278.194544993</v>
      </c>
      <c r="G29" s="281">
        <f t="shared" si="8"/>
        <v>55114449.427169994</v>
      </c>
      <c r="H29" s="281">
        <f t="shared" si="8"/>
        <v>51642022.473971993</v>
      </c>
      <c r="I29" s="281">
        <f t="shared" si="8"/>
        <v>49381093.139174998</v>
      </c>
      <c r="J29" s="281">
        <f t="shared" si="8"/>
        <v>52040713.688774996</v>
      </c>
      <c r="K29" s="281">
        <f t="shared" si="8"/>
        <v>55131845.321699992</v>
      </c>
      <c r="L29" s="281">
        <f t="shared" si="8"/>
        <v>49699859.751044996</v>
      </c>
      <c r="M29" s="281">
        <f t="shared" si="8"/>
        <v>56427949.290383995</v>
      </c>
      <c r="N29" s="281">
        <f t="shared" si="8"/>
        <v>62469235.759958997</v>
      </c>
      <c r="O29" s="281">
        <f t="shared" si="8"/>
        <v>73772241.496892989</v>
      </c>
      <c r="P29" s="281">
        <f t="shared" si="8"/>
        <v>67217701.355729997</v>
      </c>
      <c r="Q29" s="281">
        <f t="shared" si="8"/>
        <v>65433371.456205003</v>
      </c>
      <c r="R29" s="281">
        <f t="shared" si="8"/>
        <v>61532011.133730002</v>
      </c>
      <c r="S29" s="281">
        <f t="shared" si="8"/>
        <v>54405138.527100004</v>
      </c>
      <c r="T29" s="281">
        <f t="shared" si="8"/>
        <v>49486338.157274999</v>
      </c>
      <c r="U29" s="281">
        <f t="shared" si="8"/>
        <v>48418075.861244999</v>
      </c>
      <c r="V29" s="281">
        <f t="shared" si="8"/>
        <v>0</v>
      </c>
    </row>
    <row r="30" spans="1:23">
      <c r="B30" s="187" t="s">
        <v>251</v>
      </c>
      <c r="D30" s="282">
        <f>+D20-D29</f>
        <v>10115270.268894002</v>
      </c>
      <c r="E30" s="282">
        <f t="shared" ref="E30:V30" si="9">+E20-E29</f>
        <v>596813.54466700554</v>
      </c>
      <c r="F30" s="282">
        <f t="shared" si="9"/>
        <v>-734639.19454499334</v>
      </c>
      <c r="G30" s="282">
        <f t="shared" si="9"/>
        <v>-1911983.4271699935</v>
      </c>
      <c r="H30" s="282">
        <f t="shared" si="9"/>
        <v>1733259.5260280073</v>
      </c>
      <c r="I30" s="282">
        <f t="shared" si="9"/>
        <v>-1125688.1391749978</v>
      </c>
      <c r="J30" s="282">
        <f t="shared" si="9"/>
        <v>-2987703.6887749955</v>
      </c>
      <c r="K30" s="282">
        <f t="shared" si="9"/>
        <v>2216888.6783000082</v>
      </c>
      <c r="L30" s="282">
        <f t="shared" si="9"/>
        <v>1163237.2489550039</v>
      </c>
      <c r="M30" s="282">
        <f t="shared" si="9"/>
        <v>-306726.29038399458</v>
      </c>
      <c r="N30" s="282">
        <f t="shared" si="9"/>
        <v>2402003.2400410026</v>
      </c>
      <c r="O30" s="282">
        <f t="shared" si="9"/>
        <v>537621.8637521714</v>
      </c>
      <c r="P30" s="282">
        <f t="shared" si="9"/>
        <v>-1159484.3557299972</v>
      </c>
      <c r="Q30" s="282">
        <f t="shared" si="9"/>
        <v>-4511709.456205003</v>
      </c>
      <c r="R30" s="282">
        <f>+R20-R29</f>
        <v>-1820560.1337300017</v>
      </c>
      <c r="S30" s="282">
        <f t="shared" ref="S30:U30" si="10">+S20-S29</f>
        <v>-3095318.5271000043</v>
      </c>
      <c r="T30" s="282">
        <f t="shared" si="10"/>
        <v>-1714650.1572749987</v>
      </c>
      <c r="U30" s="282">
        <f t="shared" si="10"/>
        <v>-3014113.8612449989</v>
      </c>
      <c r="V30" s="282">
        <f t="shared" si="9"/>
        <v>683743966.36064517</v>
      </c>
    </row>
    <row r="31" spans="1:23" ht="15">
      <c r="B31" s="228"/>
      <c r="C31" s="228"/>
    </row>
    <row r="32" spans="1:23">
      <c r="B32" s="230"/>
      <c r="C32" s="283" t="s">
        <v>33</v>
      </c>
      <c r="D32" s="225"/>
      <c r="E32" s="225"/>
      <c r="F32" s="225"/>
      <c r="G32" s="225"/>
      <c r="H32" s="225"/>
      <c r="I32" s="225"/>
      <c r="J32" s="225"/>
      <c r="K32" s="225"/>
      <c r="L32" s="225"/>
      <c r="M32" s="225"/>
      <c r="N32" s="225"/>
      <c r="O32" s="225"/>
      <c r="P32"/>
      <c r="Q32"/>
      <c r="R32"/>
      <c r="S32"/>
      <c r="T32"/>
      <c r="U32"/>
    </row>
    <row r="33" spans="1:21">
      <c r="B33" s="223" t="s">
        <v>34</v>
      </c>
      <c r="C33" s="224">
        <v>3.4860000000000002E-4</v>
      </c>
      <c r="D33" s="225">
        <f>D30*(1-$C$33)</f>
        <v>10111744.085678264</v>
      </c>
      <c r="E33" s="225">
        <f t="shared" ref="E33:N33" si="11">E30*(1-$C$33)</f>
        <v>596605.49546533462</v>
      </c>
      <c r="F33" s="225">
        <f t="shared" si="11"/>
        <v>-734383.09932177491</v>
      </c>
      <c r="G33" s="225">
        <f t="shared" si="11"/>
        <v>-1911316.909747282</v>
      </c>
      <c r="H33" s="225">
        <f t="shared" si="11"/>
        <v>1732655.3117572339</v>
      </c>
      <c r="I33" s="225">
        <f t="shared" si="11"/>
        <v>-1125295.7242896813</v>
      </c>
      <c r="J33" s="225">
        <f t="shared" si="11"/>
        <v>-2986662.1752690882</v>
      </c>
      <c r="K33" s="225">
        <f t="shared" si="11"/>
        <v>2216115.8709067525</v>
      </c>
      <c r="L33" s="225">
        <f t="shared" si="11"/>
        <v>1162831.7444500183</v>
      </c>
      <c r="M33" s="225">
        <f t="shared" si="11"/>
        <v>-306619.36559916672</v>
      </c>
      <c r="N33" s="225">
        <f t="shared" si="11"/>
        <v>2401165.9017115245</v>
      </c>
      <c r="O33" s="225">
        <f>O30*(1-$C$33)*18/31+O30*(1-$C$34)*13/31</f>
        <v>537437.65022195282</v>
      </c>
      <c r="P33" s="225">
        <f>P30*(1-$C$34)</f>
        <v>-1159096.6241614411</v>
      </c>
      <c r="Q33" s="225">
        <f t="shared" ref="Q33:U33" si="12">Q30*(1-$C$34)</f>
        <v>-4510200.7405628478</v>
      </c>
      <c r="R33" s="225">
        <f t="shared" si="12"/>
        <v>-1819951.3384212826</v>
      </c>
      <c r="S33" s="225">
        <f t="shared" si="12"/>
        <v>-3094283.4525845423</v>
      </c>
      <c r="T33" s="225">
        <f t="shared" si="12"/>
        <v>-1714076.7782624061</v>
      </c>
      <c r="U33" s="225">
        <f t="shared" si="12"/>
        <v>-3013105.9415697986</v>
      </c>
    </row>
    <row r="34" spans="1:21">
      <c r="B34" s="226" t="s">
        <v>181</v>
      </c>
      <c r="C34" s="227">
        <v>3.344E-4</v>
      </c>
    </row>
    <row r="35" spans="1:21" ht="15">
      <c r="B35" s="223" t="s">
        <v>36</v>
      </c>
      <c r="C35" s="228"/>
      <c r="D35" s="225">
        <f t="shared" ref="D35:O35" si="13">+D33</f>
        <v>10111744.085678264</v>
      </c>
      <c r="E35" s="225">
        <f t="shared" si="13"/>
        <v>596605.49546533462</v>
      </c>
      <c r="F35" s="225">
        <f t="shared" si="13"/>
        <v>-734383.09932177491</v>
      </c>
      <c r="G35" s="225">
        <f t="shared" si="13"/>
        <v>-1911316.909747282</v>
      </c>
      <c r="H35" s="225">
        <f t="shared" si="13"/>
        <v>1732655.3117572339</v>
      </c>
      <c r="I35" s="225">
        <f t="shared" si="13"/>
        <v>-1125295.7242896813</v>
      </c>
      <c r="J35" s="225">
        <f t="shared" si="13"/>
        <v>-2986662.1752690882</v>
      </c>
      <c r="K35" s="225">
        <f t="shared" si="13"/>
        <v>2216115.8709067525</v>
      </c>
      <c r="L35" s="225">
        <f t="shared" si="13"/>
        <v>1162831.7444500183</v>
      </c>
      <c r="M35" s="225">
        <f t="shared" si="13"/>
        <v>-306619.36559916672</v>
      </c>
      <c r="N35" s="225">
        <f t="shared" si="13"/>
        <v>2401165.9017115245</v>
      </c>
      <c r="O35" s="225">
        <f t="shared" si="13"/>
        <v>537437.65022195282</v>
      </c>
      <c r="P35" s="225">
        <f t="shared" ref="P35:R35" si="14">+P33</f>
        <v>-1159096.6241614411</v>
      </c>
      <c r="Q35" s="225">
        <f t="shared" si="14"/>
        <v>-4510200.7405628478</v>
      </c>
      <c r="R35" s="225">
        <f t="shared" si="14"/>
        <v>-1819951.3384212826</v>
      </c>
      <c r="S35" s="225">
        <f t="shared" ref="S35:U35" si="15">+S33</f>
        <v>-3094283.4525845423</v>
      </c>
      <c r="T35" s="225">
        <f t="shared" si="15"/>
        <v>-1714076.7782624061</v>
      </c>
      <c r="U35" s="225">
        <f t="shared" si="15"/>
        <v>-3013105.9415697986</v>
      </c>
    </row>
    <row r="36" spans="1:21" ht="15">
      <c r="B36" s="223" t="s">
        <v>37</v>
      </c>
      <c r="C36" s="228"/>
      <c r="D36" s="225">
        <f t="shared" ref="D36:O36" si="16">-D35</f>
        <v>-10111744.085678264</v>
      </c>
      <c r="E36" s="225">
        <f t="shared" si="16"/>
        <v>-596605.49546533462</v>
      </c>
      <c r="F36" s="225">
        <f t="shared" si="16"/>
        <v>734383.09932177491</v>
      </c>
      <c r="G36" s="225">
        <f t="shared" si="16"/>
        <v>1911316.909747282</v>
      </c>
      <c r="H36" s="225">
        <f t="shared" si="16"/>
        <v>-1732655.3117572339</v>
      </c>
      <c r="I36" s="225">
        <f t="shared" si="16"/>
        <v>1125295.7242896813</v>
      </c>
      <c r="J36" s="225">
        <f t="shared" si="16"/>
        <v>2986662.1752690882</v>
      </c>
      <c r="K36" s="225">
        <f t="shared" si="16"/>
        <v>-2216115.8709067525</v>
      </c>
      <c r="L36" s="225">
        <f t="shared" si="16"/>
        <v>-1162831.7444500183</v>
      </c>
      <c r="M36" s="225">
        <f t="shared" si="16"/>
        <v>306619.36559916672</v>
      </c>
      <c r="N36" s="225">
        <f t="shared" si="16"/>
        <v>-2401165.9017115245</v>
      </c>
      <c r="O36" s="225">
        <f t="shared" si="16"/>
        <v>-537437.65022195282</v>
      </c>
      <c r="P36" s="225">
        <f t="shared" ref="P36:R36" si="17">-P35</f>
        <v>1159096.6241614411</v>
      </c>
      <c r="Q36" s="225">
        <f t="shared" si="17"/>
        <v>4510200.7405628478</v>
      </c>
      <c r="R36" s="225">
        <f t="shared" si="17"/>
        <v>1819951.3384212826</v>
      </c>
      <c r="S36" s="225">
        <f t="shared" ref="S36:U36" si="18">-S35</f>
        <v>3094283.4525845423</v>
      </c>
      <c r="T36" s="225">
        <f t="shared" si="18"/>
        <v>1714076.7782624061</v>
      </c>
      <c r="U36" s="225">
        <f t="shared" si="18"/>
        <v>3013105.9415697986</v>
      </c>
    </row>
    <row r="37" spans="1:21" ht="15.75" thickBot="1">
      <c r="B37" s="223"/>
      <c r="C37" s="228"/>
      <c r="D37" s="225"/>
      <c r="E37" s="225"/>
      <c r="F37" s="225"/>
      <c r="G37" s="225"/>
      <c r="H37" s="225"/>
      <c r="I37" s="225"/>
      <c r="J37" s="225"/>
      <c r="K37" s="225"/>
      <c r="L37" s="225"/>
      <c r="M37" s="225"/>
      <c r="N37" s="225"/>
      <c r="O37" s="225"/>
    </row>
    <row r="38" spans="1:21" ht="15.75" thickBot="1">
      <c r="B38" s="223" t="s">
        <v>38</v>
      </c>
      <c r="C38" s="228"/>
      <c r="D38" s="225">
        <f>+D35</f>
        <v>10111744.085678264</v>
      </c>
      <c r="E38" s="225">
        <f t="shared" ref="E38:E39" si="19">+D38+E35</f>
        <v>10708349.581143599</v>
      </c>
      <c r="F38" s="225">
        <f t="shared" ref="F38:F39" si="20">+E38+F35</f>
        <v>9973966.4818218239</v>
      </c>
      <c r="G38" s="225">
        <f t="shared" ref="G38:G39" si="21">+F38+G35</f>
        <v>8062649.5720745418</v>
      </c>
      <c r="H38" s="225">
        <f t="shared" ref="H38:H39" si="22">+G38+H35</f>
        <v>9795304.8838317767</v>
      </c>
      <c r="I38" s="225">
        <f t="shared" ref="I38:I39" si="23">+H38+I35</f>
        <v>8670009.1595420949</v>
      </c>
      <c r="J38" s="225">
        <f t="shared" ref="J38:J39" si="24">+I38+J35</f>
        <v>5683346.9842730071</v>
      </c>
      <c r="K38" s="225">
        <f t="shared" ref="K38:K39" si="25">+J38+K35</f>
        <v>7899462.8551797597</v>
      </c>
      <c r="L38" s="225">
        <f t="shared" ref="L38:L39" si="26">+K38+L35</f>
        <v>9062294.5996297784</v>
      </c>
      <c r="M38" s="225">
        <f t="shared" ref="M38:M39" si="27">+L38+M35</f>
        <v>8755675.2340306118</v>
      </c>
      <c r="N38" s="225">
        <f t="shared" ref="N38:N39" si="28">+M38+N35</f>
        <v>11156841.135742135</v>
      </c>
      <c r="O38" s="225">
        <f t="shared" ref="O38:O39" si="29">+N38+O35</f>
        <v>11694278.785964089</v>
      </c>
      <c r="P38" s="419">
        <f>+P35</f>
        <v>-1159096.6241614411</v>
      </c>
      <c r="Q38" s="225">
        <f t="shared" ref="Q38:Q39" si="30">+P38+Q35</f>
        <v>-5669297.3647242887</v>
      </c>
      <c r="R38" s="225">
        <f t="shared" ref="R38:R39" si="31">+Q38+R35</f>
        <v>-7489248.7031455711</v>
      </c>
      <c r="S38" s="225">
        <f t="shared" ref="S38:S39" si="32">+R38+S35</f>
        <v>-10583532.155730113</v>
      </c>
      <c r="T38" s="225">
        <f t="shared" ref="T38:T39" si="33">+S38+T35</f>
        <v>-12297608.93399252</v>
      </c>
      <c r="U38" s="225">
        <f t="shared" ref="U38:U39" si="34">+T38+U35</f>
        <v>-15310714.875562318</v>
      </c>
    </row>
    <row r="39" spans="1:21" ht="15">
      <c r="B39" s="223" t="s">
        <v>40</v>
      </c>
      <c r="C39" s="228"/>
      <c r="D39" s="225">
        <f>+D36</f>
        <v>-10111744.085678264</v>
      </c>
      <c r="E39" s="225">
        <f t="shared" si="19"/>
        <v>-10708349.581143599</v>
      </c>
      <c r="F39" s="225">
        <f t="shared" si="20"/>
        <v>-9973966.4818218239</v>
      </c>
      <c r="G39" s="225">
        <f t="shared" si="21"/>
        <v>-8062649.5720745418</v>
      </c>
      <c r="H39" s="225">
        <f t="shared" si="22"/>
        <v>-9795304.8838317767</v>
      </c>
      <c r="I39" s="225">
        <f t="shared" si="23"/>
        <v>-8670009.1595420949</v>
      </c>
      <c r="J39" s="225">
        <f t="shared" si="24"/>
        <v>-5683346.9842730071</v>
      </c>
      <c r="K39" s="225">
        <f t="shared" si="25"/>
        <v>-7899462.8551797597</v>
      </c>
      <c r="L39" s="225">
        <f t="shared" si="26"/>
        <v>-9062294.5996297784</v>
      </c>
      <c r="M39" s="225">
        <f t="shared" si="27"/>
        <v>-8755675.2340306118</v>
      </c>
      <c r="N39" s="225">
        <f t="shared" si="28"/>
        <v>-11156841.135742135</v>
      </c>
      <c r="O39" s="225">
        <f t="shared" si="29"/>
        <v>-11694278.785964089</v>
      </c>
      <c r="P39" s="225">
        <f>+P36</f>
        <v>1159096.6241614411</v>
      </c>
      <c r="Q39" s="225">
        <f t="shared" si="30"/>
        <v>5669297.3647242887</v>
      </c>
      <c r="R39" s="225">
        <f t="shared" si="31"/>
        <v>7489248.7031455711</v>
      </c>
      <c r="S39" s="225">
        <f t="shared" si="32"/>
        <v>10583532.155730113</v>
      </c>
      <c r="T39" s="225">
        <f t="shared" si="33"/>
        <v>12297608.93399252</v>
      </c>
      <c r="U39" s="225">
        <f t="shared" si="34"/>
        <v>15310714.875562318</v>
      </c>
    </row>
    <row r="40" spans="1:21" ht="15">
      <c r="B40" s="223"/>
      <c r="C40" s="284" t="s">
        <v>321</v>
      </c>
      <c r="D40" s="285">
        <f>+'Sched B 2017'!F42</f>
        <v>-10111744.085678264</v>
      </c>
      <c r="E40" s="285">
        <f>+'Sched B 2017'!G42</f>
        <v>-10708349.581143599</v>
      </c>
      <c r="F40" s="285">
        <f>+'Sched B 2017'!H42</f>
        <v>-9973966.4818218239</v>
      </c>
      <c r="G40" s="285">
        <f>+'Sched B 2017'!I42</f>
        <v>-8062649.5720745418</v>
      </c>
      <c r="H40" s="285">
        <f>+'Sched B 2017'!J42</f>
        <v>-9795304.8838317767</v>
      </c>
      <c r="I40" s="285">
        <f>+'Sched B 2017'!K42</f>
        <v>-8670009.1595420949</v>
      </c>
      <c r="J40" s="285">
        <f>+'Sched B 2017'!L42</f>
        <v>-5683346.9842730071</v>
      </c>
      <c r="K40" s="285">
        <f>+'Sched B 2017'!M42</f>
        <v>-7899462.8551797597</v>
      </c>
      <c r="L40" s="285">
        <f>+'Sched B 2017'!N42</f>
        <v>-9062294.5996297784</v>
      </c>
      <c r="M40" s="285">
        <f>+'Sched B 2017'!O42</f>
        <v>-8755675.2340306118</v>
      </c>
      <c r="N40" s="285">
        <f>+'Sched B 2017'!P42</f>
        <v>-11156841.135742135</v>
      </c>
      <c r="O40" s="285">
        <f>+'Sched B 2017'!Q42</f>
        <v>-11694278.785964085</v>
      </c>
      <c r="P40" s="285">
        <f>+'Sched B 2018'!E40</f>
        <v>1159096.6241614411</v>
      </c>
      <c r="Q40" s="285">
        <f>+'Sched B 2018'!F40</f>
        <v>5669297.3647242887</v>
      </c>
      <c r="R40" s="285">
        <f>+'Sched B 2018'!G40</f>
        <v>7489248.7031455711</v>
      </c>
      <c r="S40" s="285">
        <f>+'Sched B 2018'!H40</f>
        <v>10583532.155730113</v>
      </c>
      <c r="T40" s="285">
        <f>+'Sched B 2018'!I40</f>
        <v>12297608.93399252</v>
      </c>
      <c r="U40" s="285">
        <f>+'Sched B 2018'!J40</f>
        <v>15310714.875562318</v>
      </c>
    </row>
    <row r="41" spans="1:21">
      <c r="B41" s="229"/>
      <c r="C41" s="229"/>
      <c r="D41" s="285">
        <f>+D39-D40</f>
        <v>0</v>
      </c>
      <c r="E41" s="285">
        <f t="shared" ref="E41:P41" si="35">+E39-E40</f>
        <v>0</v>
      </c>
      <c r="F41" s="285">
        <f t="shared" si="35"/>
        <v>0</v>
      </c>
      <c r="G41" s="285">
        <f t="shared" si="35"/>
        <v>0</v>
      </c>
      <c r="H41" s="285">
        <f t="shared" si="35"/>
        <v>0</v>
      </c>
      <c r="I41" s="285">
        <f t="shared" si="35"/>
        <v>0</v>
      </c>
      <c r="J41" s="285">
        <f t="shared" si="35"/>
        <v>0</v>
      </c>
      <c r="K41" s="285">
        <f t="shared" si="35"/>
        <v>0</v>
      </c>
      <c r="L41" s="285">
        <f t="shared" si="35"/>
        <v>0</v>
      </c>
      <c r="M41" s="285">
        <f t="shared" si="35"/>
        <v>0</v>
      </c>
      <c r="N41" s="285">
        <f t="shared" si="35"/>
        <v>0</v>
      </c>
      <c r="O41" s="285">
        <f t="shared" si="35"/>
        <v>0</v>
      </c>
      <c r="P41" s="285">
        <f t="shared" si="35"/>
        <v>0</v>
      </c>
      <c r="Q41" s="285">
        <f t="shared" ref="Q41:U41" si="36">+Q39-Q40</f>
        <v>0</v>
      </c>
      <c r="R41" s="285">
        <f t="shared" si="36"/>
        <v>0</v>
      </c>
      <c r="S41" s="285">
        <f t="shared" si="36"/>
        <v>0</v>
      </c>
      <c r="T41" s="285">
        <f t="shared" si="36"/>
        <v>0</v>
      </c>
      <c r="U41" s="285">
        <f t="shared" si="36"/>
        <v>0</v>
      </c>
    </row>
    <row r="42" spans="1:21" ht="15">
      <c r="A42" s="286"/>
      <c r="B42" s="230" t="s">
        <v>41</v>
      </c>
      <c r="C42" s="230"/>
    </row>
    <row r="43" spans="1:21" ht="15">
      <c r="A43" s="581" t="s">
        <v>253</v>
      </c>
      <c r="B43" s="582"/>
      <c r="C43" s="582"/>
      <c r="D43" s="583"/>
      <c r="E43" s="583"/>
      <c r="F43" s="583"/>
      <c r="G43" s="583"/>
      <c r="H43" s="583"/>
      <c r="I43" s="583"/>
      <c r="J43" s="583"/>
      <c r="K43" s="583"/>
      <c r="L43" s="583"/>
      <c r="M43" s="583"/>
      <c r="N43" s="583"/>
      <c r="O43" s="583"/>
      <c r="P43" s="583"/>
      <c r="Q43" s="583"/>
      <c r="R43" s="583"/>
      <c r="S43" s="583"/>
      <c r="T43" s="583"/>
      <c r="U43" s="583"/>
    </row>
    <row r="44" spans="1:21" ht="15">
      <c r="A44" s="584" t="s">
        <v>480</v>
      </c>
      <c r="B44" s="585"/>
      <c r="C44" s="585"/>
      <c r="D44" s="583"/>
      <c r="E44" s="583"/>
      <c r="F44" s="583"/>
      <c r="G44" s="583"/>
      <c r="H44" s="583"/>
      <c r="I44" s="583"/>
      <c r="J44" s="583"/>
      <c r="K44" s="583"/>
      <c r="L44" s="583"/>
      <c r="M44" s="583"/>
      <c r="N44" s="583"/>
      <c r="O44" s="583"/>
      <c r="P44" s="583"/>
      <c r="Q44" s="583"/>
      <c r="R44" s="583"/>
      <c r="S44" s="583"/>
      <c r="T44" s="583"/>
      <c r="U44" s="583"/>
    </row>
    <row r="45" spans="1:21" ht="15">
      <c r="B45" s="228" t="s">
        <v>222</v>
      </c>
      <c r="C45" s="228"/>
      <c r="D45" s="288">
        <f t="shared" ref="D45:I45" si="37">+D30</f>
        <v>10115270.268894002</v>
      </c>
      <c r="E45" s="288">
        <f t="shared" si="37"/>
        <v>596813.54466700554</v>
      </c>
      <c r="F45" s="288">
        <f t="shared" si="37"/>
        <v>-734639.19454499334</v>
      </c>
      <c r="G45" s="288">
        <f t="shared" si="37"/>
        <v>-1911983.4271699935</v>
      </c>
      <c r="H45" s="288">
        <f t="shared" si="37"/>
        <v>1733259.5260280073</v>
      </c>
      <c r="I45" s="288">
        <f t="shared" si="37"/>
        <v>-1125688.1391749978</v>
      </c>
      <c r="J45" s="225">
        <f t="shared" ref="J45:U45" si="38">+J30</f>
        <v>-2987703.6887749955</v>
      </c>
      <c r="K45" s="225">
        <f t="shared" si="38"/>
        <v>2216888.6783000082</v>
      </c>
      <c r="L45" s="225">
        <f t="shared" si="38"/>
        <v>1163237.2489550039</v>
      </c>
      <c r="M45" s="225">
        <f t="shared" si="38"/>
        <v>-306726.29038399458</v>
      </c>
      <c r="N45" s="225">
        <f t="shared" si="38"/>
        <v>2402003.2400410026</v>
      </c>
      <c r="O45" s="225">
        <f t="shared" si="38"/>
        <v>537621.8637521714</v>
      </c>
      <c r="P45" s="225">
        <f t="shared" si="38"/>
        <v>-1159484.3557299972</v>
      </c>
      <c r="Q45" s="225">
        <f t="shared" si="38"/>
        <v>-4511709.456205003</v>
      </c>
      <c r="R45" s="225">
        <f t="shared" si="38"/>
        <v>-1820560.1337300017</v>
      </c>
      <c r="S45" s="225">
        <f t="shared" si="38"/>
        <v>-3095318.5271000043</v>
      </c>
      <c r="T45" s="225">
        <f t="shared" si="38"/>
        <v>-1714650.1572749987</v>
      </c>
      <c r="U45" s="225">
        <f t="shared" si="38"/>
        <v>-3014113.8612449989</v>
      </c>
    </row>
    <row r="46" spans="1:21" ht="15">
      <c r="B46" s="578"/>
      <c r="C46" s="577" t="s">
        <v>478</v>
      </c>
      <c r="D46" s="289">
        <f>+'Summary Normalization'!B8</f>
        <v>-6209725.3334086295</v>
      </c>
      <c r="E46" s="289">
        <f>+'Summary Normalization'!C8</f>
        <v>202990.56017261566</v>
      </c>
      <c r="F46" s="289">
        <f>+'Summary Normalization'!D8</f>
        <v>879095.29666018719</v>
      </c>
      <c r="G46" s="289">
        <f>+'Summary Normalization'!E8</f>
        <v>1830903.1329756016</v>
      </c>
      <c r="H46" s="289">
        <f>+'Summary Normalization'!F8</f>
        <v>-2442130.0168907642</v>
      </c>
      <c r="I46" s="289">
        <f>+'Summary Normalization'!G8</f>
        <v>-2020024.467442496</v>
      </c>
      <c r="J46" s="221">
        <f>+'Summary Normalization'!H8</f>
        <v>-2148175.6854560291</v>
      </c>
      <c r="K46" s="221">
        <f>+'Summary Normalization'!I8</f>
        <v>-4540700.8222424807</v>
      </c>
      <c r="L46" s="221">
        <f>+'Summary Normalization'!J8</f>
        <v>-580210.81600147276</v>
      </c>
      <c r="M46" s="221">
        <f>+'Summary Normalization'!K8</f>
        <v>174215.08537901251</v>
      </c>
      <c r="N46" s="221">
        <f>+'Summary Normalization'!L8</f>
        <v>-247107.05114262865</v>
      </c>
      <c r="O46" s="221">
        <f>+'Summary Normalization'!M8</f>
        <v>-3937194.6363543049</v>
      </c>
      <c r="P46" s="221">
        <f>+'Summary Normalization'!N8</f>
        <v>4223462.5265702698</v>
      </c>
      <c r="Q46" s="221">
        <f>+'Summary Normalization'!O8</f>
        <v>4477185.3552806322</v>
      </c>
      <c r="R46" s="221">
        <f>+'Summary Normalization'!P8</f>
        <v>988360.71872582613</v>
      </c>
      <c r="S46" s="221">
        <f>+'Summary Normalization'!Q8</f>
        <v>1335601.2289852134</v>
      </c>
      <c r="T46" s="221">
        <f>+'Summary Normalization'!R8</f>
        <v>-938479.10925760563</v>
      </c>
      <c r="U46" s="221">
        <f>+'Summary Normalization'!S8</f>
        <v>-208742.21423155366</v>
      </c>
    </row>
    <row r="47" spans="1:21" ht="15">
      <c r="B47" s="578"/>
      <c r="C47" s="577" t="s">
        <v>479</v>
      </c>
      <c r="D47" s="289">
        <f>-'Load Impact to Cost &amp; Rev'!B15</f>
        <v>3543335.0333436788</v>
      </c>
      <c r="E47" s="289">
        <f>-'Load Impact to Cost &amp; Rev'!C15</f>
        <v>1758230.4248018381</v>
      </c>
      <c r="F47" s="289">
        <f>-'Load Impact to Cost &amp; Rev'!D15</f>
        <v>281928.88148193777</v>
      </c>
      <c r="G47" s="289">
        <f>-'Load Impact to Cost &amp; Rev'!E15</f>
        <v>-348989.20234922657</v>
      </c>
      <c r="H47" s="289">
        <f>-'Load Impact to Cost &amp; Rev'!F15</f>
        <v>157405.05608040656</v>
      </c>
      <c r="I47" s="289">
        <f>-'Load Impact to Cost &amp; Rev'!G15</f>
        <v>249252.84201297181</v>
      </c>
      <c r="J47" s="221">
        <f>-'Load Impact to Cost &amp; Rev'!H15</f>
        <v>308407.70504540659</v>
      </c>
      <c r="K47" s="221">
        <f>-'Load Impact to Cost &amp; Rev'!I15</f>
        <v>1746600.907656831</v>
      </c>
      <c r="L47" s="221">
        <f>-'Load Impact to Cost &amp; Rev'!J15</f>
        <v>500258.4655133271</v>
      </c>
      <c r="M47" s="221">
        <f>-'Load Impact to Cost &amp; Rev'!K15</f>
        <v>37896.98513600861</v>
      </c>
      <c r="N47" s="221">
        <f>-'Load Impact to Cost &amp; Rev'!L15</f>
        <v>-680924.18705050496</v>
      </c>
      <c r="O47" s="221">
        <f>-'Load Impact to Cost &amp; Rev'!M15</f>
        <v>783518.59937196714</v>
      </c>
      <c r="P47" s="221">
        <f>-'Load Impact to Cost &amp; Rev'!N15</f>
        <v>-2760065.752512163</v>
      </c>
      <c r="Q47" s="221">
        <f>-'Load Impact to Cost &amp; Rev'!O15</f>
        <v>1739039.8577516899</v>
      </c>
      <c r="R47" s="221">
        <f>-'Load Impact to Cost &amp; Rev'!P15</f>
        <v>-187001.13057280713</v>
      </c>
      <c r="S47" s="221">
        <f>-'Load Impact to Cost &amp; Rev'!Q15</f>
        <v>-346134.31351110159</v>
      </c>
      <c r="T47" s="221">
        <f>-'Load Impact to Cost &amp; Rev'!R15</f>
        <v>-564083.80266834481</v>
      </c>
      <c r="U47" s="221">
        <f>-'Load Impact to Cost &amp; Rev'!S15</f>
        <v>183315.7873105602</v>
      </c>
    </row>
    <row r="48" spans="1:21" ht="15">
      <c r="B48" s="228"/>
      <c r="C48" s="228"/>
      <c r="D48" s="282">
        <f>SUM(D45:D47)</f>
        <v>7448879.9688290507</v>
      </c>
      <c r="E48" s="282">
        <f t="shared" ref="E48:U48" si="39">SUM(E45:E47)</f>
        <v>2558034.5296414592</v>
      </c>
      <c r="F48" s="282">
        <f t="shared" si="39"/>
        <v>426384.98359713162</v>
      </c>
      <c r="G48" s="282">
        <f t="shared" si="39"/>
        <v>-430069.4965436185</v>
      </c>
      <c r="H48" s="282">
        <f t="shared" si="39"/>
        <v>-551465.43478235044</v>
      </c>
      <c r="I48" s="282">
        <f t="shared" si="39"/>
        <v>-2896459.7646045219</v>
      </c>
      <c r="J48" s="282">
        <f t="shared" si="39"/>
        <v>-4827471.6691856179</v>
      </c>
      <c r="K48" s="282">
        <f t="shared" si="39"/>
        <v>-577211.23628564156</v>
      </c>
      <c r="L48" s="282">
        <f t="shared" si="39"/>
        <v>1083284.8984668583</v>
      </c>
      <c r="M48" s="282">
        <f t="shared" si="39"/>
        <v>-94614.219868973451</v>
      </c>
      <c r="N48" s="282">
        <f t="shared" si="39"/>
        <v>1473972.0018478688</v>
      </c>
      <c r="O48" s="282">
        <f t="shared" si="39"/>
        <v>-2616054.1732301665</v>
      </c>
      <c r="P48" s="282">
        <f t="shared" si="39"/>
        <v>303912.41832810966</v>
      </c>
      <c r="Q48" s="282">
        <f t="shared" si="39"/>
        <v>1704515.756827319</v>
      </c>
      <c r="R48" s="282">
        <f t="shared" si="39"/>
        <v>-1019200.5455769828</v>
      </c>
      <c r="S48" s="282">
        <f t="shared" si="39"/>
        <v>-2105851.6116258926</v>
      </c>
      <c r="T48" s="282">
        <f t="shared" si="39"/>
        <v>-3217213.0692009493</v>
      </c>
      <c r="U48" s="282">
        <f t="shared" si="39"/>
        <v>-3039540.2881659921</v>
      </c>
    </row>
    <row r="49" spans="2:21" ht="15">
      <c r="B49" s="223" t="s">
        <v>34</v>
      </c>
      <c r="C49" s="228"/>
      <c r="D49" s="418">
        <f>1-$C$33</f>
        <v>0.99965139999999997</v>
      </c>
      <c r="E49" s="418">
        <f t="shared" ref="E49:N49" si="40">1-$C$33</f>
        <v>0.99965139999999997</v>
      </c>
      <c r="F49" s="418">
        <f t="shared" si="40"/>
        <v>0.99965139999999997</v>
      </c>
      <c r="G49" s="418">
        <f t="shared" si="40"/>
        <v>0.99965139999999997</v>
      </c>
      <c r="H49" s="418">
        <f t="shared" si="40"/>
        <v>0.99965139999999997</v>
      </c>
      <c r="I49" s="418">
        <f t="shared" si="40"/>
        <v>0.99965139999999997</v>
      </c>
      <c r="J49" s="418">
        <f t="shared" si="40"/>
        <v>0.99965139999999997</v>
      </c>
      <c r="K49" s="418">
        <f t="shared" si="40"/>
        <v>0.99965139999999997</v>
      </c>
      <c r="L49" s="418">
        <f t="shared" si="40"/>
        <v>0.99965139999999997</v>
      </c>
      <c r="M49" s="418">
        <f t="shared" si="40"/>
        <v>0.99965139999999997</v>
      </c>
      <c r="N49" s="418">
        <f t="shared" si="40"/>
        <v>0.99965139999999997</v>
      </c>
      <c r="O49" s="418">
        <f>1-$C$34</f>
        <v>0.99966560000000004</v>
      </c>
      <c r="P49" s="418">
        <f t="shared" ref="P49:U49" si="41">1-$C$34</f>
        <v>0.99966560000000004</v>
      </c>
      <c r="Q49" s="418">
        <f t="shared" si="41"/>
        <v>0.99966560000000004</v>
      </c>
      <c r="R49" s="418">
        <f t="shared" si="41"/>
        <v>0.99966560000000004</v>
      </c>
      <c r="S49" s="418">
        <f t="shared" si="41"/>
        <v>0.99966560000000004</v>
      </c>
      <c r="T49" s="418">
        <f t="shared" si="41"/>
        <v>0.99966560000000004</v>
      </c>
      <c r="U49" s="418">
        <f t="shared" si="41"/>
        <v>0.99966560000000004</v>
      </c>
    </row>
    <row r="50" spans="2:21" ht="15.75" thickBot="1">
      <c r="B50" s="228" t="s">
        <v>223</v>
      </c>
      <c r="C50" s="228"/>
      <c r="D50" s="231">
        <f>+D48*D49</f>
        <v>7446283.2892719163</v>
      </c>
      <c r="E50" s="231">
        <f t="shared" ref="E50:U50" si="42">+E48*E49</f>
        <v>2557142.7988044261</v>
      </c>
      <c r="F50" s="231">
        <f t="shared" si="42"/>
        <v>426236.34579184966</v>
      </c>
      <c r="G50" s="231">
        <f t="shared" si="42"/>
        <v>-429919.57431712339</v>
      </c>
      <c r="H50" s="231">
        <f t="shared" si="42"/>
        <v>-551273.1939317853</v>
      </c>
      <c r="I50" s="231">
        <f t="shared" si="42"/>
        <v>-2895450.0587305808</v>
      </c>
      <c r="J50" s="231">
        <f t="shared" si="42"/>
        <v>-4825788.8125617392</v>
      </c>
      <c r="K50" s="231">
        <f t="shared" si="42"/>
        <v>-577010.02044867235</v>
      </c>
      <c r="L50" s="231">
        <f t="shared" si="42"/>
        <v>1082907.2653512526</v>
      </c>
      <c r="M50" s="231">
        <f t="shared" si="42"/>
        <v>-94581.23735192712</v>
      </c>
      <c r="N50" s="231">
        <f t="shared" si="42"/>
        <v>1473458.1752080247</v>
      </c>
      <c r="O50" s="231">
        <f t="shared" si="42"/>
        <v>-2615179.3647146383</v>
      </c>
      <c r="P50" s="231">
        <f t="shared" si="42"/>
        <v>303810.79001542076</v>
      </c>
      <c r="Q50" s="231">
        <f t="shared" si="42"/>
        <v>1703945.7667582361</v>
      </c>
      <c r="R50" s="231">
        <f t="shared" si="42"/>
        <v>-1018859.7249145419</v>
      </c>
      <c r="S50" s="231">
        <f t="shared" si="42"/>
        <v>-2105147.4148469651</v>
      </c>
      <c r="T50" s="231">
        <f t="shared" si="42"/>
        <v>-3216137.2331506088</v>
      </c>
      <c r="U50" s="231">
        <f t="shared" si="42"/>
        <v>-3038523.8658936294</v>
      </c>
    </row>
    <row r="51" spans="2:21" ht="15.75" thickTop="1">
      <c r="B51" s="228"/>
      <c r="C51" s="228"/>
    </row>
    <row r="52" spans="2:21" ht="15.75" thickBot="1">
      <c r="B52" s="232" t="s">
        <v>224</v>
      </c>
      <c r="C52" s="228"/>
      <c r="O52" s="192" t="s">
        <v>320</v>
      </c>
      <c r="P52" s="192" t="s">
        <v>319</v>
      </c>
    </row>
    <row r="53" spans="2:21" ht="15.75" thickBot="1">
      <c r="B53" s="233" t="s">
        <v>225</v>
      </c>
      <c r="C53" s="228"/>
      <c r="D53" s="234">
        <f>+D50</f>
        <v>7446283.2892719163</v>
      </c>
      <c r="E53" s="234">
        <f>+D53+E50</f>
        <v>10003426.088076342</v>
      </c>
      <c r="F53" s="234">
        <f t="shared" ref="F53:O53" si="43">+E53+F50</f>
        <v>10429662.433868192</v>
      </c>
      <c r="G53" s="234">
        <f t="shared" si="43"/>
        <v>9999742.8595510684</v>
      </c>
      <c r="H53" s="234">
        <f t="shared" si="43"/>
        <v>9448469.6656192839</v>
      </c>
      <c r="I53" s="234">
        <f t="shared" si="43"/>
        <v>6553019.6068887031</v>
      </c>
      <c r="J53" s="234">
        <f t="shared" si="43"/>
        <v>1727230.7943269638</v>
      </c>
      <c r="K53" s="234">
        <f t="shared" si="43"/>
        <v>1150220.7738782915</v>
      </c>
      <c r="L53" s="234">
        <f t="shared" si="43"/>
        <v>2233128.0392295439</v>
      </c>
      <c r="M53" s="234">
        <f t="shared" si="43"/>
        <v>2138546.8018776169</v>
      </c>
      <c r="N53" s="234">
        <f t="shared" si="43"/>
        <v>3612004.9770856416</v>
      </c>
      <c r="O53" s="235">
        <f t="shared" si="43"/>
        <v>996825.61237100326</v>
      </c>
      <c r="P53" s="234">
        <f>+P50</f>
        <v>303810.79001542076</v>
      </c>
      <c r="Q53" s="234">
        <f>+P53+Q50</f>
        <v>2007756.556773657</v>
      </c>
      <c r="R53" s="234">
        <f t="shared" ref="R53:U53" si="44">+Q53+R50</f>
        <v>988896.83185911505</v>
      </c>
      <c r="S53" s="234">
        <f t="shared" si="44"/>
        <v>-1116250.5829878501</v>
      </c>
      <c r="T53" s="234">
        <f t="shared" si="44"/>
        <v>-4332387.8161384594</v>
      </c>
      <c r="U53" s="234">
        <f t="shared" si="44"/>
        <v>-7370911.6820320887</v>
      </c>
    </row>
    <row r="54" spans="2:21" ht="15">
      <c r="B54" s="233"/>
      <c r="C54" s="228"/>
    </row>
    <row r="55" spans="2:21" ht="15">
      <c r="B55" s="232" t="s">
        <v>226</v>
      </c>
      <c r="C55" s="228"/>
    </row>
    <row r="56" spans="2:21" ht="15">
      <c r="B56" s="233" t="s">
        <v>227</v>
      </c>
      <c r="C56" s="228"/>
      <c r="D56" s="236">
        <f>IF(ABS(D53)&gt;+$D71,IF(D53&lt;0,-$D71,+$D71),+D53)</f>
        <v>7446283.2892719163</v>
      </c>
      <c r="E56" s="236">
        <f>IF(ABS(E53)&gt;+$D71,IF(E53&lt;0,-$D71,+$D71),+E53)</f>
        <v>10003426.088076342</v>
      </c>
      <c r="F56" s="236">
        <f t="shared" ref="F56:O56" si="45">IF(ABS(F53)&gt;+$D71,IF(F53&lt;0,-$D71,+$D71),+F53)</f>
        <v>10429662.433868192</v>
      </c>
      <c r="G56" s="236">
        <f t="shared" si="45"/>
        <v>9999742.8595510684</v>
      </c>
      <c r="H56" s="236">
        <f t="shared" si="45"/>
        <v>9448469.6656192839</v>
      </c>
      <c r="I56" s="236">
        <f t="shared" si="45"/>
        <v>6553019.6068887031</v>
      </c>
      <c r="J56" s="236">
        <f t="shared" si="45"/>
        <v>1727230.7943269638</v>
      </c>
      <c r="K56" s="236">
        <f t="shared" si="45"/>
        <v>1150220.7738782915</v>
      </c>
      <c r="L56" s="236">
        <f t="shared" si="45"/>
        <v>2233128.0392295439</v>
      </c>
      <c r="M56" s="236">
        <f t="shared" si="45"/>
        <v>2138546.8018776169</v>
      </c>
      <c r="N56" s="236">
        <f t="shared" si="45"/>
        <v>3612004.9770856416</v>
      </c>
      <c r="O56" s="236">
        <f t="shared" si="45"/>
        <v>996825.61237100326</v>
      </c>
      <c r="P56" s="236">
        <f>IF(ABS(P53)&gt;+$D71,IF(P53&lt;0,-$D71,+$D71),+P53)</f>
        <v>303810.79001542076</v>
      </c>
      <c r="Q56" s="236">
        <f t="shared" ref="Q56:U56" si="46">IF(ABS(Q53)&gt;+$D71,IF(Q53&lt;0,-$D71,+$D71),+Q53)</f>
        <v>2007756.556773657</v>
      </c>
      <c r="R56" s="236">
        <f t="shared" si="46"/>
        <v>988896.83185911505</v>
      </c>
      <c r="S56" s="236">
        <f t="shared" si="46"/>
        <v>-1116250.5829878501</v>
      </c>
      <c r="T56" s="236">
        <f t="shared" si="46"/>
        <v>-4332387.8161384594</v>
      </c>
      <c r="U56" s="236">
        <f t="shared" si="46"/>
        <v>-7370911.6820320887</v>
      </c>
    </row>
    <row r="57" spans="2:21" ht="15">
      <c r="B57" s="233" t="s">
        <v>228</v>
      </c>
      <c r="C57" s="228"/>
      <c r="D57" s="236">
        <f>IF(ABS(D53)-ABS(D56)&gt;=$D$72,IF(D53&lt;=0,-$D$72,+$D$72),+D53-D56)</f>
        <v>0</v>
      </c>
      <c r="E57" s="236">
        <f t="shared" ref="E57:O57" si="47">IF(ABS(E53)-ABS(E56)&gt;=$D$72,IF(E53&lt;=0,-$D$72,+$D$72),+E53-E56)</f>
        <v>0</v>
      </c>
      <c r="F57" s="236">
        <f t="shared" si="47"/>
        <v>0</v>
      </c>
      <c r="G57" s="236">
        <f t="shared" si="47"/>
        <v>0</v>
      </c>
      <c r="H57" s="236">
        <f t="shared" si="47"/>
        <v>0</v>
      </c>
      <c r="I57" s="236">
        <f t="shared" si="47"/>
        <v>0</v>
      </c>
      <c r="J57" s="236">
        <f t="shared" si="47"/>
        <v>0</v>
      </c>
      <c r="K57" s="236">
        <f t="shared" si="47"/>
        <v>0</v>
      </c>
      <c r="L57" s="236">
        <f t="shared" si="47"/>
        <v>0</v>
      </c>
      <c r="M57" s="236">
        <f t="shared" si="47"/>
        <v>0</v>
      </c>
      <c r="N57" s="236">
        <f t="shared" si="47"/>
        <v>0</v>
      </c>
      <c r="O57" s="236">
        <f t="shared" si="47"/>
        <v>0</v>
      </c>
      <c r="P57" s="236">
        <f t="shared" ref="P57:U57" si="48">IF(ABS(P53)-ABS(P56)&gt;=$D$72,IF(P53&lt;=0,-$D$72,+$D$72),+P53-P56)</f>
        <v>0</v>
      </c>
      <c r="Q57" s="236">
        <f t="shared" si="48"/>
        <v>0</v>
      </c>
      <c r="R57" s="236">
        <f t="shared" si="48"/>
        <v>0</v>
      </c>
      <c r="S57" s="236">
        <f t="shared" si="48"/>
        <v>0</v>
      </c>
      <c r="T57" s="236">
        <f t="shared" si="48"/>
        <v>0</v>
      </c>
      <c r="U57" s="236">
        <f t="shared" si="48"/>
        <v>0</v>
      </c>
    </row>
    <row r="58" spans="2:21" ht="15">
      <c r="B58" s="233" t="s">
        <v>229</v>
      </c>
      <c r="C58" s="228"/>
      <c r="D58" s="236">
        <f>IF(ABS(D53)-ABS(SUM(D56:D57))&gt;=$D74,IF(D53&lt;=0,D53-SUM(D56:D57),D53-SUM(D56:D57)),+D53-SUM(D56:D57))</f>
        <v>0</v>
      </c>
      <c r="E58" s="236">
        <f t="shared" ref="E58:O58" si="49">IF(ABS(E53)-ABS(SUM(E56:E57))&gt;=$D74,IF(E53&lt;=0,E53-SUM(E56:E57),E53-SUM(E56:E57)),+E53-SUM(E56:E57))</f>
        <v>0</v>
      </c>
      <c r="F58" s="236">
        <f t="shared" si="49"/>
        <v>0</v>
      </c>
      <c r="G58" s="236">
        <f t="shared" si="49"/>
        <v>0</v>
      </c>
      <c r="H58" s="236">
        <f t="shared" si="49"/>
        <v>0</v>
      </c>
      <c r="I58" s="236">
        <f t="shared" si="49"/>
        <v>0</v>
      </c>
      <c r="J58" s="236">
        <f t="shared" si="49"/>
        <v>0</v>
      </c>
      <c r="K58" s="236">
        <f t="shared" si="49"/>
        <v>0</v>
      </c>
      <c r="L58" s="236">
        <f t="shared" si="49"/>
        <v>0</v>
      </c>
      <c r="M58" s="236">
        <f t="shared" si="49"/>
        <v>0</v>
      </c>
      <c r="N58" s="236">
        <f t="shared" si="49"/>
        <v>0</v>
      </c>
      <c r="O58" s="236">
        <f t="shared" si="49"/>
        <v>0</v>
      </c>
      <c r="P58" s="236">
        <f t="shared" ref="P58:U58" si="50">IF(ABS(P53)-ABS(SUM(P56:P57))&gt;=$D74,IF(P53&lt;=0,P53-SUM(P56:P57),P53-SUM(P56:P57)),+P53-SUM(P56:P57))</f>
        <v>0</v>
      </c>
      <c r="Q58" s="236">
        <f t="shared" si="50"/>
        <v>0</v>
      </c>
      <c r="R58" s="236">
        <f t="shared" si="50"/>
        <v>0</v>
      </c>
      <c r="S58" s="236">
        <f t="shared" si="50"/>
        <v>0</v>
      </c>
      <c r="T58" s="236">
        <f t="shared" si="50"/>
        <v>0</v>
      </c>
      <c r="U58" s="236">
        <f t="shared" si="50"/>
        <v>0</v>
      </c>
    </row>
    <row r="59" spans="2:21" ht="15">
      <c r="B59" s="237" t="s">
        <v>230</v>
      </c>
      <c r="C59" s="228"/>
      <c r="D59" s="238">
        <f t="shared" ref="D59:O59" si="51">SUM(D56:D58)-D53</f>
        <v>0</v>
      </c>
      <c r="E59" s="238">
        <f t="shared" si="51"/>
        <v>0</v>
      </c>
      <c r="F59" s="238">
        <f t="shared" si="51"/>
        <v>0</v>
      </c>
      <c r="G59" s="238">
        <f t="shared" si="51"/>
        <v>0</v>
      </c>
      <c r="H59" s="238">
        <f t="shared" si="51"/>
        <v>0</v>
      </c>
      <c r="I59" s="238">
        <f t="shared" si="51"/>
        <v>0</v>
      </c>
      <c r="J59" s="238">
        <f t="shared" si="51"/>
        <v>0</v>
      </c>
      <c r="K59" s="238">
        <f t="shared" si="51"/>
        <v>0</v>
      </c>
      <c r="L59" s="238">
        <f t="shared" si="51"/>
        <v>0</v>
      </c>
      <c r="M59" s="238">
        <f t="shared" si="51"/>
        <v>0</v>
      </c>
      <c r="N59" s="238">
        <f t="shared" si="51"/>
        <v>0</v>
      </c>
      <c r="O59" s="238">
        <f t="shared" si="51"/>
        <v>0</v>
      </c>
      <c r="P59" s="238">
        <f t="shared" ref="P59:U59" si="52">SUM(P56:P58)-P53</f>
        <v>0</v>
      </c>
      <c r="Q59" s="238">
        <f t="shared" si="52"/>
        <v>0</v>
      </c>
      <c r="R59" s="238">
        <f t="shared" si="52"/>
        <v>0</v>
      </c>
      <c r="S59" s="238">
        <f t="shared" si="52"/>
        <v>0</v>
      </c>
      <c r="T59" s="238">
        <f t="shared" si="52"/>
        <v>0</v>
      </c>
      <c r="U59" s="238">
        <f t="shared" si="52"/>
        <v>0</v>
      </c>
    </row>
    <row r="60" spans="2:21" ht="15">
      <c r="B60" s="232" t="s">
        <v>231</v>
      </c>
      <c r="C60" s="228"/>
    </row>
    <row r="61" spans="2:21" ht="15">
      <c r="B61" s="239" t="s">
        <v>232</v>
      </c>
      <c r="C61" s="240"/>
      <c r="D61" s="291">
        <f>IF(D57&lt;0, D57*$E73, D57*$E72)</f>
        <v>0</v>
      </c>
      <c r="E61" s="291">
        <f t="shared" ref="E61:O61" si="53">IF(E57&lt;0, E57*$E73, E57*$E72)</f>
        <v>0</v>
      </c>
      <c r="F61" s="291">
        <f t="shared" si="53"/>
        <v>0</v>
      </c>
      <c r="G61" s="291">
        <f t="shared" si="53"/>
        <v>0</v>
      </c>
      <c r="H61" s="291">
        <f t="shared" si="53"/>
        <v>0</v>
      </c>
      <c r="I61" s="291">
        <f t="shared" si="53"/>
        <v>0</v>
      </c>
      <c r="J61" s="291">
        <f t="shared" si="53"/>
        <v>0</v>
      </c>
      <c r="K61" s="291">
        <f t="shared" si="53"/>
        <v>0</v>
      </c>
      <c r="L61" s="291">
        <f t="shared" si="53"/>
        <v>0</v>
      </c>
      <c r="M61" s="291">
        <f t="shared" si="53"/>
        <v>0</v>
      </c>
      <c r="N61" s="291">
        <f t="shared" si="53"/>
        <v>0</v>
      </c>
      <c r="O61" s="291">
        <f t="shared" si="53"/>
        <v>0</v>
      </c>
      <c r="P61" s="291">
        <f t="shared" ref="P61:U61" si="54">IF(P57&lt;0, P57*$E73, P57*$E72)</f>
        <v>0</v>
      </c>
      <c r="Q61" s="291">
        <f t="shared" si="54"/>
        <v>0</v>
      </c>
      <c r="R61" s="291">
        <f t="shared" si="54"/>
        <v>0</v>
      </c>
      <c r="S61" s="291">
        <f t="shared" si="54"/>
        <v>0</v>
      </c>
      <c r="T61" s="291">
        <f t="shared" si="54"/>
        <v>0</v>
      </c>
      <c r="U61" s="291">
        <f t="shared" si="54"/>
        <v>0</v>
      </c>
    </row>
    <row r="62" spans="2:21" ht="15">
      <c r="B62" s="242" t="s">
        <v>233</v>
      </c>
      <c r="C62" s="243"/>
      <c r="D62" s="244">
        <f>+D58*$E74</f>
        <v>0</v>
      </c>
      <c r="E62" s="244">
        <f t="shared" ref="E62:O62" si="55">+E58*$E74</f>
        <v>0</v>
      </c>
      <c r="F62" s="244">
        <f t="shared" si="55"/>
        <v>0</v>
      </c>
      <c r="G62" s="244">
        <f t="shared" si="55"/>
        <v>0</v>
      </c>
      <c r="H62" s="244">
        <f t="shared" si="55"/>
        <v>0</v>
      </c>
      <c r="I62" s="244">
        <f t="shared" si="55"/>
        <v>0</v>
      </c>
      <c r="J62" s="244">
        <f t="shared" si="55"/>
        <v>0</v>
      </c>
      <c r="K62" s="244">
        <f t="shared" si="55"/>
        <v>0</v>
      </c>
      <c r="L62" s="244">
        <f t="shared" si="55"/>
        <v>0</v>
      </c>
      <c r="M62" s="244">
        <f t="shared" si="55"/>
        <v>0</v>
      </c>
      <c r="N62" s="244">
        <f t="shared" si="55"/>
        <v>0</v>
      </c>
      <c r="O62" s="244">
        <f t="shared" si="55"/>
        <v>0</v>
      </c>
      <c r="P62" s="244">
        <f t="shared" ref="P62:U62" si="56">+P58*$E74</f>
        <v>0</v>
      </c>
      <c r="Q62" s="244">
        <f t="shared" si="56"/>
        <v>0</v>
      </c>
      <c r="R62" s="244">
        <f t="shared" si="56"/>
        <v>0</v>
      </c>
      <c r="S62" s="244">
        <f t="shared" si="56"/>
        <v>0</v>
      </c>
      <c r="T62" s="244">
        <f t="shared" si="56"/>
        <v>0</v>
      </c>
      <c r="U62" s="244">
        <f t="shared" si="56"/>
        <v>0</v>
      </c>
    </row>
    <row r="63" spans="2:21" ht="15">
      <c r="B63" s="239" t="s">
        <v>234</v>
      </c>
      <c r="C63" s="240"/>
      <c r="D63" s="241">
        <f t="shared" ref="D63:O63" si="57">+D56</f>
        <v>7446283.2892719163</v>
      </c>
      <c r="E63" s="241">
        <f t="shared" si="57"/>
        <v>10003426.088076342</v>
      </c>
      <c r="F63" s="241">
        <f t="shared" si="57"/>
        <v>10429662.433868192</v>
      </c>
      <c r="G63" s="241">
        <f t="shared" si="57"/>
        <v>9999742.8595510684</v>
      </c>
      <c r="H63" s="241">
        <f t="shared" si="57"/>
        <v>9448469.6656192839</v>
      </c>
      <c r="I63" s="241">
        <f t="shared" si="57"/>
        <v>6553019.6068887031</v>
      </c>
      <c r="J63" s="241">
        <f t="shared" si="57"/>
        <v>1727230.7943269638</v>
      </c>
      <c r="K63" s="241">
        <f t="shared" si="57"/>
        <v>1150220.7738782915</v>
      </c>
      <c r="L63" s="241">
        <f t="shared" si="57"/>
        <v>2233128.0392295439</v>
      </c>
      <c r="M63" s="241">
        <f t="shared" si="57"/>
        <v>2138546.8018776169</v>
      </c>
      <c r="N63" s="241">
        <f t="shared" si="57"/>
        <v>3612004.9770856416</v>
      </c>
      <c r="O63" s="241">
        <f t="shared" si="57"/>
        <v>996825.61237100326</v>
      </c>
      <c r="P63" s="241">
        <f t="shared" ref="P63:U63" si="58">+P56</f>
        <v>303810.79001542076</v>
      </c>
      <c r="Q63" s="241">
        <f t="shared" si="58"/>
        <v>2007756.556773657</v>
      </c>
      <c r="R63" s="241">
        <f t="shared" si="58"/>
        <v>988896.83185911505</v>
      </c>
      <c r="S63" s="241">
        <f t="shared" si="58"/>
        <v>-1116250.5829878501</v>
      </c>
      <c r="T63" s="241">
        <f t="shared" si="58"/>
        <v>-4332387.8161384594</v>
      </c>
      <c r="U63" s="241">
        <f t="shared" si="58"/>
        <v>-7370911.6820320887</v>
      </c>
    </row>
    <row r="64" spans="2:21" ht="15">
      <c r="B64" s="245" t="s">
        <v>235</v>
      </c>
      <c r="C64" s="246"/>
      <c r="D64" s="247">
        <f>IF(D57&lt;0, D57*$F73, D57*$F72)</f>
        <v>0</v>
      </c>
      <c r="E64" s="247">
        <f t="shared" ref="E64:O64" si="59">IF(E57&lt;0, E57*$F73, E57*$F72)</f>
        <v>0</v>
      </c>
      <c r="F64" s="247">
        <f t="shared" si="59"/>
        <v>0</v>
      </c>
      <c r="G64" s="247">
        <f t="shared" si="59"/>
        <v>0</v>
      </c>
      <c r="H64" s="247">
        <f t="shared" si="59"/>
        <v>0</v>
      </c>
      <c r="I64" s="247">
        <f t="shared" si="59"/>
        <v>0</v>
      </c>
      <c r="J64" s="247">
        <f t="shared" si="59"/>
        <v>0</v>
      </c>
      <c r="K64" s="247">
        <f t="shared" si="59"/>
        <v>0</v>
      </c>
      <c r="L64" s="247">
        <f t="shared" si="59"/>
        <v>0</v>
      </c>
      <c r="M64" s="247">
        <f t="shared" si="59"/>
        <v>0</v>
      </c>
      <c r="N64" s="247">
        <f t="shared" si="59"/>
        <v>0</v>
      </c>
      <c r="O64" s="247">
        <f t="shared" si="59"/>
        <v>0</v>
      </c>
      <c r="P64" s="247">
        <f t="shared" ref="P64:U64" si="60">IF(P57&lt;0, P57*$F73, P57*$F72)</f>
        <v>0</v>
      </c>
      <c r="Q64" s="247">
        <f t="shared" si="60"/>
        <v>0</v>
      </c>
      <c r="R64" s="247">
        <f t="shared" si="60"/>
        <v>0</v>
      </c>
      <c r="S64" s="247">
        <f t="shared" si="60"/>
        <v>0</v>
      </c>
      <c r="T64" s="247">
        <f t="shared" si="60"/>
        <v>0</v>
      </c>
      <c r="U64" s="247">
        <f t="shared" si="60"/>
        <v>0</v>
      </c>
    </row>
    <row r="65" spans="2:21" ht="15">
      <c r="B65" s="242" t="s">
        <v>236</v>
      </c>
      <c r="C65" s="243"/>
      <c r="D65" s="244">
        <f>+D58*$F74</f>
        <v>0</v>
      </c>
      <c r="E65" s="244">
        <f t="shared" ref="E65:O65" si="61">+E58*$F74</f>
        <v>0</v>
      </c>
      <c r="F65" s="244">
        <f t="shared" si="61"/>
        <v>0</v>
      </c>
      <c r="G65" s="244">
        <f t="shared" si="61"/>
        <v>0</v>
      </c>
      <c r="H65" s="244">
        <f t="shared" si="61"/>
        <v>0</v>
      </c>
      <c r="I65" s="244">
        <f t="shared" si="61"/>
        <v>0</v>
      </c>
      <c r="J65" s="244">
        <f t="shared" si="61"/>
        <v>0</v>
      </c>
      <c r="K65" s="244">
        <f t="shared" si="61"/>
        <v>0</v>
      </c>
      <c r="L65" s="244">
        <f t="shared" si="61"/>
        <v>0</v>
      </c>
      <c r="M65" s="244">
        <f t="shared" si="61"/>
        <v>0</v>
      </c>
      <c r="N65" s="244">
        <f t="shared" si="61"/>
        <v>0</v>
      </c>
      <c r="O65" s="244">
        <f t="shared" si="61"/>
        <v>0</v>
      </c>
      <c r="P65" s="244">
        <f t="shared" ref="P65:U65" si="62">+P58*$F74</f>
        <v>0</v>
      </c>
      <c r="Q65" s="244">
        <f t="shared" si="62"/>
        <v>0</v>
      </c>
      <c r="R65" s="244">
        <f t="shared" si="62"/>
        <v>0</v>
      </c>
      <c r="S65" s="244">
        <f t="shared" si="62"/>
        <v>0</v>
      </c>
      <c r="T65" s="244">
        <f t="shared" si="62"/>
        <v>0</v>
      </c>
      <c r="U65" s="244">
        <f t="shared" si="62"/>
        <v>0</v>
      </c>
    </row>
    <row r="66" spans="2:21" ht="15">
      <c r="B66" s="237" t="s">
        <v>230</v>
      </c>
      <c r="C66" s="228"/>
    </row>
    <row r="67" spans="2:21" ht="13.5" thickBot="1">
      <c r="B67"/>
      <c r="C67" s="290"/>
    </row>
    <row r="68" spans="2:21" ht="15">
      <c r="B68" s="248"/>
      <c r="C68" s="249"/>
      <c r="D68" s="249"/>
      <c r="E68" s="250"/>
      <c r="F68" s="250"/>
      <c r="G68" s="250"/>
      <c r="H68" s="250"/>
      <c r="I68" s="250"/>
      <c r="J68" s="251"/>
      <c r="K68"/>
    </row>
    <row r="69" spans="2:21" ht="15">
      <c r="B69" s="252"/>
      <c r="C69" s="246"/>
      <c r="D69" s="253" t="s">
        <v>237</v>
      </c>
      <c r="E69" s="254" t="s">
        <v>238</v>
      </c>
      <c r="F69" s="255"/>
      <c r="G69" s="256"/>
      <c r="H69" s="247"/>
      <c r="I69" s="247"/>
      <c r="J69" s="257"/>
      <c r="K69"/>
    </row>
    <row r="70" spans="2:21" ht="15">
      <c r="B70" s="258" t="s">
        <v>239</v>
      </c>
      <c r="C70" s="246"/>
      <c r="D70" s="259" t="s">
        <v>240</v>
      </c>
      <c r="E70" s="260" t="s">
        <v>241</v>
      </c>
      <c r="F70" s="261" t="s">
        <v>242</v>
      </c>
      <c r="G70" s="256"/>
      <c r="H70" s="247"/>
      <c r="I70" s="247"/>
      <c r="J70" s="257"/>
      <c r="K70"/>
    </row>
    <row r="71" spans="2:21" ht="15">
      <c r="B71" s="252" t="s">
        <v>243</v>
      </c>
      <c r="C71" s="246"/>
      <c r="D71" s="262">
        <v>17000000</v>
      </c>
      <c r="E71" s="263">
        <v>0</v>
      </c>
      <c r="F71" s="264">
        <f>1-E71%</f>
        <v>1</v>
      </c>
      <c r="G71" s="256" t="s">
        <v>244</v>
      </c>
      <c r="H71" s="247"/>
      <c r="I71" s="247"/>
      <c r="J71" s="257"/>
      <c r="K71"/>
    </row>
    <row r="72" spans="2:21" ht="15">
      <c r="B72" s="252" t="s">
        <v>245</v>
      </c>
      <c r="C72" s="246"/>
      <c r="D72" s="265">
        <v>23000000</v>
      </c>
      <c r="E72" s="266">
        <v>0.5</v>
      </c>
      <c r="F72" s="267">
        <f>100%-E72</f>
        <v>0.5</v>
      </c>
      <c r="G72" s="256" t="s">
        <v>246</v>
      </c>
      <c r="H72" s="247"/>
      <c r="I72" s="247"/>
      <c r="J72" s="257"/>
      <c r="K72"/>
    </row>
    <row r="73" spans="2:21" ht="15">
      <c r="B73" s="252" t="s">
        <v>247</v>
      </c>
      <c r="C73" s="246"/>
      <c r="D73" s="265">
        <f>-D72</f>
        <v>-23000000</v>
      </c>
      <c r="E73" s="266">
        <v>0.65</v>
      </c>
      <c r="F73" s="267">
        <f>100%-E73</f>
        <v>0.35</v>
      </c>
      <c r="G73" s="256" t="s">
        <v>248</v>
      </c>
      <c r="H73" s="247"/>
      <c r="I73" s="247"/>
      <c r="J73" s="257"/>
      <c r="K73"/>
    </row>
    <row r="74" spans="2:21" ht="15">
      <c r="B74" s="252" t="s">
        <v>249</v>
      </c>
      <c r="C74" s="246"/>
      <c r="D74" s="268">
        <v>40000000</v>
      </c>
      <c r="E74" s="269">
        <v>0.9</v>
      </c>
      <c r="F74" s="270">
        <f>100%-E74</f>
        <v>9.9999999999999978E-2</v>
      </c>
      <c r="G74" s="256" t="s">
        <v>250</v>
      </c>
      <c r="H74" s="247"/>
      <c r="I74" s="247"/>
      <c r="J74" s="257"/>
      <c r="K74"/>
    </row>
    <row r="75" spans="2:21" ht="15">
      <c r="B75" s="252"/>
      <c r="C75" s="246"/>
      <c r="D75" s="246"/>
      <c r="E75" s="247"/>
      <c r="F75" s="247"/>
      <c r="G75" s="247"/>
      <c r="H75" s="247"/>
      <c r="I75" s="247"/>
      <c r="J75" s="257"/>
      <c r="K75"/>
    </row>
    <row r="76" spans="2:21" ht="15.75" thickBot="1">
      <c r="B76" s="271"/>
      <c r="C76" s="272"/>
      <c r="D76" s="272"/>
      <c r="E76" s="273"/>
      <c r="F76" s="273"/>
      <c r="G76" s="273"/>
      <c r="H76" s="273"/>
      <c r="I76" s="273"/>
      <c r="J76" s="274"/>
      <c r="K76"/>
    </row>
    <row r="77" spans="2:21" ht="15">
      <c r="B77" s="228"/>
      <c r="C77" s="228"/>
      <c r="K77"/>
    </row>
    <row r="78" spans="2:21">
      <c r="C78"/>
      <c r="D78"/>
      <c r="E78"/>
      <c r="F78"/>
      <c r="G78"/>
      <c r="H78" s="221"/>
      <c r="I78" s="221"/>
      <c r="J78" s="221"/>
      <c r="K78" s="221"/>
      <c r="L78" s="221"/>
      <c r="M78" s="221"/>
      <c r="N78" s="221"/>
    </row>
    <row r="79" spans="2:21">
      <c r="C79"/>
      <c r="D79"/>
      <c r="E79"/>
      <c r="F79"/>
      <c r="G79"/>
      <c r="H79" s="221"/>
      <c r="I79" s="221"/>
      <c r="J79" s="221"/>
      <c r="K79" s="221"/>
      <c r="L79" s="221"/>
      <c r="M79" s="221"/>
      <c r="N79" s="221"/>
    </row>
    <row r="80" spans="2:21">
      <c r="C80"/>
      <c r="D80"/>
      <c r="E80"/>
      <c r="F80"/>
      <c r="G80"/>
      <c r="H80" s="221"/>
      <c r="I80" s="221"/>
      <c r="J80" s="221"/>
      <c r="K80" s="221"/>
      <c r="L80" s="221"/>
      <c r="M80" s="221"/>
      <c r="N80" s="221"/>
    </row>
    <row r="81" spans="3:14">
      <c r="C81"/>
      <c r="D81"/>
      <c r="E81"/>
      <c r="F81"/>
      <c r="G81"/>
      <c r="H81" s="221"/>
      <c r="I81" s="221"/>
      <c r="J81" s="221"/>
      <c r="K81" s="221"/>
      <c r="L81" s="221"/>
      <c r="M81" s="221"/>
      <c r="N81" s="221"/>
    </row>
    <row r="82" spans="3:14">
      <c r="C82"/>
      <c r="D82"/>
      <c r="E82"/>
      <c r="F82"/>
      <c r="G82"/>
      <c r="H82" s="221"/>
      <c r="I82" s="221"/>
      <c r="J82" s="221"/>
      <c r="K82" s="221"/>
      <c r="L82" s="221"/>
      <c r="M82" s="221"/>
      <c r="N82" s="221"/>
    </row>
    <row r="83" spans="3:14">
      <c r="C83"/>
      <c r="D83"/>
      <c r="E83"/>
      <c r="F83"/>
      <c r="G83"/>
      <c r="H83" s="221"/>
      <c r="I83" s="221"/>
      <c r="J83" s="221"/>
      <c r="K83" s="221"/>
      <c r="L83" s="221"/>
      <c r="M83" s="221"/>
      <c r="N83" s="221"/>
    </row>
    <row r="84" spans="3:14">
      <c r="C84"/>
      <c r="D84"/>
      <c r="E84"/>
      <c r="F84"/>
      <c r="G84"/>
      <c r="H84" s="221"/>
      <c r="I84" s="221"/>
      <c r="J84" s="221"/>
      <c r="K84" s="221"/>
      <c r="L84" s="221"/>
      <c r="M84" s="221"/>
      <c r="N84" s="221"/>
    </row>
    <row r="85" spans="3:14">
      <c r="C85"/>
      <c r="D85"/>
      <c r="E85"/>
      <c r="F85"/>
      <c r="G85"/>
      <c r="H85" s="221"/>
      <c r="I85" s="221"/>
      <c r="J85" s="221"/>
      <c r="K85" s="221"/>
      <c r="L85" s="221"/>
      <c r="M85" s="221"/>
      <c r="N85" s="221"/>
    </row>
    <row r="86" spans="3:14">
      <c r="C86"/>
      <c r="D86"/>
      <c r="E86"/>
      <c r="F86"/>
      <c r="G86"/>
      <c r="H86" s="221"/>
      <c r="I86" s="221"/>
      <c r="J86" s="221"/>
      <c r="K86" s="221"/>
      <c r="L86" s="221"/>
      <c r="M86" s="221"/>
      <c r="N86" s="221"/>
    </row>
    <row r="87" spans="3:14">
      <c r="C87"/>
      <c r="D87"/>
      <c r="E87"/>
      <c r="F87"/>
      <c r="G87"/>
      <c r="H87" s="221"/>
      <c r="I87" s="221"/>
      <c r="J87" s="221"/>
      <c r="K87" s="221"/>
      <c r="L87" s="221"/>
      <c r="M87" s="221"/>
      <c r="N87" s="221"/>
    </row>
    <row r="88" spans="3:14">
      <c r="C88"/>
      <c r="D88"/>
      <c r="E88"/>
      <c r="F88"/>
      <c r="G88"/>
      <c r="H88" s="221"/>
      <c r="I88" s="221"/>
      <c r="J88" s="221"/>
      <c r="K88" s="221"/>
      <c r="L88" s="221"/>
      <c r="M88" s="221"/>
      <c r="N88" s="221"/>
    </row>
    <row r="89" spans="3:14">
      <c r="C89"/>
      <c r="D89"/>
      <c r="E89"/>
      <c r="F89"/>
      <c r="G89"/>
      <c r="H89" s="221"/>
      <c r="I89" s="221"/>
      <c r="J89" s="221"/>
      <c r="K89" s="221"/>
      <c r="L89" s="221"/>
      <c r="M89" s="221"/>
      <c r="N89" s="221"/>
    </row>
    <row r="90" spans="3:14">
      <c r="C90"/>
      <c r="D90"/>
      <c r="E90"/>
      <c r="F90"/>
      <c r="G90"/>
      <c r="H90" s="221"/>
      <c r="I90" s="221"/>
      <c r="J90" s="221"/>
      <c r="K90" s="221"/>
      <c r="L90" s="221"/>
      <c r="M90" s="221"/>
      <c r="N90" s="221"/>
    </row>
    <row r="91" spans="3:14">
      <c r="C91"/>
      <c r="D91"/>
      <c r="E91"/>
      <c r="F91"/>
      <c r="G91"/>
      <c r="H91" s="221"/>
      <c r="I91" s="221"/>
      <c r="J91" s="221"/>
      <c r="K91" s="221"/>
      <c r="L91" s="221"/>
      <c r="M91" s="221"/>
      <c r="N91" s="221"/>
    </row>
    <row r="92" spans="3:14">
      <c r="C92"/>
      <c r="D92"/>
      <c r="E92"/>
      <c r="F92"/>
      <c r="G92"/>
      <c r="H92" s="221"/>
      <c r="I92" s="221"/>
      <c r="J92" s="221"/>
      <c r="K92" s="221"/>
      <c r="L92" s="221"/>
      <c r="M92" s="221"/>
      <c r="N92" s="221"/>
    </row>
    <row r="93" spans="3:14">
      <c r="C93"/>
      <c r="D93"/>
      <c r="E93"/>
      <c r="F93"/>
      <c r="G93"/>
      <c r="H93" s="221"/>
      <c r="I93" s="221"/>
      <c r="J93" s="221"/>
      <c r="K93" s="221"/>
      <c r="L93" s="221"/>
      <c r="M93" s="221"/>
      <c r="N93" s="221"/>
    </row>
    <row r="94" spans="3:14">
      <c r="C94"/>
      <c r="D94"/>
      <c r="E94"/>
      <c r="F94"/>
      <c r="G94"/>
      <c r="H94" s="221"/>
      <c r="I94" s="221"/>
      <c r="J94" s="221"/>
      <c r="K94" s="221"/>
      <c r="L94" s="221"/>
      <c r="M94" s="221"/>
      <c r="N94" s="221"/>
    </row>
    <row r="95" spans="3:14">
      <c r="C95"/>
      <c r="D95"/>
      <c r="E95"/>
      <c r="F95"/>
      <c r="G95"/>
      <c r="H95" s="221"/>
      <c r="I95" s="221"/>
      <c r="J95" s="221"/>
      <c r="K95" s="221"/>
      <c r="L95" s="221"/>
      <c r="M95" s="221"/>
      <c r="N95" s="221"/>
    </row>
    <row r="96" spans="3:14">
      <c r="E96" s="221"/>
      <c r="F96" s="221"/>
      <c r="G96" s="221"/>
      <c r="H96" s="221"/>
      <c r="I96" s="221"/>
      <c r="J96" s="221"/>
      <c r="K96" s="221"/>
      <c r="L96" s="221"/>
      <c r="M96" s="221"/>
      <c r="N96" s="221"/>
    </row>
    <row r="97" spans="5:14">
      <c r="E97" s="221"/>
      <c r="F97" s="221"/>
      <c r="G97" s="221"/>
      <c r="H97" s="221"/>
      <c r="I97" s="221"/>
      <c r="J97" s="221"/>
      <c r="K97" s="221"/>
      <c r="L97" s="221"/>
      <c r="M97" s="221"/>
      <c r="N97" s="221"/>
    </row>
  </sheetData>
  <pageMargins left="0.7" right="0.7" top="0.75" bottom="0.75" header="0.3" footer="0.3"/>
  <pageSetup scale="34"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48"/>
  <sheetViews>
    <sheetView zoomScale="80" zoomScaleNormal="80" workbookViewId="0">
      <pane xSplit="3" ySplit="5" topLeftCell="D6" activePane="bottomRight" state="frozen"/>
      <selection activeCell="O10" sqref="O10"/>
      <selection pane="topRight" activeCell="O10" sqref="O10"/>
      <selection pane="bottomLeft" activeCell="O10" sqref="O10"/>
      <selection pane="bottomRight" activeCell="O10" sqref="O10"/>
    </sheetView>
  </sheetViews>
  <sheetFormatPr defaultColWidth="9.140625" defaultRowHeight="12.75"/>
  <cols>
    <col min="1" max="1" width="5.140625" style="19" customWidth="1"/>
    <col min="2" max="2" width="34" style="21" customWidth="1"/>
    <col min="3" max="3" width="12.5703125" style="21" customWidth="1"/>
    <col min="4" max="4" width="3.85546875" style="21" customWidth="1"/>
    <col min="5" max="5" width="2.28515625" style="21" customWidth="1"/>
    <col min="6" max="6" width="15.5703125" style="21" customWidth="1"/>
    <col min="7" max="7" width="15.42578125" style="21" customWidth="1"/>
    <col min="8" max="8" width="16.140625" style="21" customWidth="1"/>
    <col min="9" max="9" width="14.85546875" style="21" customWidth="1"/>
    <col min="10" max="10" width="15.42578125" style="21" customWidth="1"/>
    <col min="11" max="11" width="14.85546875" style="21" customWidth="1"/>
    <col min="12" max="12" width="16" style="21" customWidth="1"/>
    <col min="13" max="13" width="15.7109375" style="21" customWidth="1"/>
    <col min="14" max="14" width="15.42578125" style="21" customWidth="1"/>
    <col min="15" max="15" width="16" style="21" customWidth="1"/>
    <col min="16" max="17" width="14.85546875" style="21" customWidth="1"/>
    <col min="18" max="18" width="17.42578125" style="21" customWidth="1"/>
    <col min="19" max="19" width="97.28515625" style="21" customWidth="1"/>
    <col min="20" max="20" width="6" style="21" customWidth="1"/>
    <col min="21" max="21" width="10.7109375" style="21" bestFit="1" customWidth="1"/>
    <col min="22" max="22" width="44" style="21" bestFit="1" customWidth="1"/>
    <col min="23" max="23" width="14" style="21" bestFit="1" customWidth="1"/>
    <col min="24" max="24" width="4.85546875" style="21" bestFit="1" customWidth="1"/>
    <col min="25" max="16384" width="9.140625" style="21"/>
  </cols>
  <sheetData>
    <row r="1" spans="1:23" ht="18">
      <c r="B1" s="20" t="s">
        <v>0</v>
      </c>
      <c r="G1" s="22"/>
    </row>
    <row r="2" spans="1:23" ht="18">
      <c r="B2" s="23" t="s">
        <v>1</v>
      </c>
      <c r="G2" s="174"/>
      <c r="H2" s="24"/>
    </row>
    <row r="3" spans="1:23" ht="15.75">
      <c r="A3" s="25"/>
      <c r="B3" s="23" t="s">
        <v>2</v>
      </c>
      <c r="D3" s="19"/>
      <c r="E3" s="19"/>
      <c r="F3" s="26"/>
      <c r="G3" s="26"/>
      <c r="H3" s="26"/>
      <c r="I3" s="26"/>
      <c r="J3" s="26"/>
      <c r="K3" s="26"/>
      <c r="L3" s="26"/>
      <c r="M3" s="26"/>
      <c r="N3" s="26"/>
      <c r="O3" s="26"/>
      <c r="P3" s="26"/>
      <c r="Q3" s="26"/>
      <c r="R3" s="26"/>
      <c r="S3" s="27"/>
    </row>
    <row r="4" spans="1:23" ht="15.75">
      <c r="A4" s="25"/>
      <c r="B4" s="570" t="s">
        <v>600</v>
      </c>
      <c r="D4" s="19"/>
      <c r="E4" s="19"/>
      <c r="F4" s="26"/>
      <c r="G4" s="28"/>
      <c r="H4" s="28"/>
      <c r="I4" s="28"/>
      <c r="J4" s="28"/>
      <c r="K4" s="28"/>
      <c r="L4" s="28"/>
      <c r="M4" s="28"/>
      <c r="N4" s="28"/>
      <c r="O4" s="28"/>
      <c r="P4" s="28"/>
      <c r="Q4" s="28"/>
      <c r="R4" s="28" t="s">
        <v>3</v>
      </c>
      <c r="S4"/>
    </row>
    <row r="5" spans="1:23">
      <c r="A5" s="19" t="s">
        <v>4</v>
      </c>
      <c r="B5" s="29"/>
      <c r="D5" s="30"/>
      <c r="E5" s="30"/>
      <c r="F5" s="162">
        <v>42736</v>
      </c>
      <c r="G5" s="163">
        <v>42767</v>
      </c>
      <c r="H5" s="162">
        <v>42795</v>
      </c>
      <c r="I5" s="163">
        <v>42826</v>
      </c>
      <c r="J5" s="162">
        <v>42856</v>
      </c>
      <c r="K5" s="163">
        <v>42887</v>
      </c>
      <c r="L5" s="162">
        <v>42917</v>
      </c>
      <c r="M5" s="163">
        <v>42948</v>
      </c>
      <c r="N5" s="162">
        <v>42979</v>
      </c>
      <c r="O5" s="163">
        <v>43009</v>
      </c>
      <c r="P5" s="162">
        <v>43040</v>
      </c>
      <c r="Q5" s="163">
        <v>43070</v>
      </c>
      <c r="R5" s="163" t="s">
        <v>5</v>
      </c>
      <c r="S5"/>
    </row>
    <row r="6" spans="1:23">
      <c r="S6"/>
    </row>
    <row r="7" spans="1:23" ht="15">
      <c r="A7" s="19">
        <f>ROW()</f>
        <v>7</v>
      </c>
      <c r="B7" s="21" t="s">
        <v>6</v>
      </c>
      <c r="C7" s="52" t="s">
        <v>7</v>
      </c>
      <c r="D7" s="155"/>
      <c r="E7" s="155"/>
      <c r="F7" s="53"/>
      <c r="G7" s="53"/>
      <c r="H7" s="53"/>
      <c r="I7" s="53"/>
      <c r="J7" s="53"/>
      <c r="K7" s="53"/>
      <c r="L7" s="53"/>
      <c r="M7" s="53"/>
      <c r="N7" s="53"/>
      <c r="O7" s="53"/>
      <c r="P7" s="53"/>
      <c r="Q7" s="53"/>
      <c r="R7" s="53"/>
      <c r="S7"/>
      <c r="T7" s="27"/>
      <c r="W7" s="155"/>
    </row>
    <row r="8" spans="1:23">
      <c r="A8" s="19">
        <f>ROW()</f>
        <v>8</v>
      </c>
      <c r="B8" s="31" t="s">
        <v>8</v>
      </c>
      <c r="C8" s="54">
        <v>501</v>
      </c>
      <c r="D8" s="155"/>
      <c r="E8" s="155"/>
      <c r="F8" s="51">
        <v>7911467</v>
      </c>
      <c r="G8" s="51">
        <v>7240089</v>
      </c>
      <c r="H8" s="51">
        <v>5364312</v>
      </c>
      <c r="I8" s="51">
        <v>4239901</v>
      </c>
      <c r="J8" s="51">
        <v>6396967</v>
      </c>
      <c r="K8" s="51">
        <v>5832721</v>
      </c>
      <c r="L8" s="51">
        <v>9065382</v>
      </c>
      <c r="M8" s="51">
        <v>8828999</v>
      </c>
      <c r="N8" s="51">
        <v>6269930</v>
      </c>
      <c r="O8" s="51">
        <v>6087693</v>
      </c>
      <c r="P8" s="51">
        <v>7848539</v>
      </c>
      <c r="Q8" s="51">
        <v>7028039</v>
      </c>
      <c r="R8" s="51">
        <f t="shared" ref="R8:R15" si="0">SUM(F8:Q8)</f>
        <v>82114039</v>
      </c>
      <c r="S8"/>
      <c r="T8" s="27" t="s">
        <v>9</v>
      </c>
      <c r="U8" s="126" t="s">
        <v>10</v>
      </c>
      <c r="W8" s="155"/>
    </row>
    <row r="9" spans="1:23">
      <c r="A9" s="19">
        <f>ROW()</f>
        <v>9</v>
      </c>
      <c r="B9" s="31" t="s">
        <v>11</v>
      </c>
      <c r="C9" s="54">
        <v>547</v>
      </c>
      <c r="D9" s="155"/>
      <c r="E9" s="55"/>
      <c r="F9" s="56">
        <v>15009143</v>
      </c>
      <c r="G9" s="56">
        <v>9243498</v>
      </c>
      <c r="H9" s="56">
        <v>6280316</v>
      </c>
      <c r="I9" s="56">
        <v>7093724</v>
      </c>
      <c r="J9" s="56">
        <v>5145459</v>
      </c>
      <c r="K9" s="56">
        <v>5195767</v>
      </c>
      <c r="L9" s="56">
        <v>13154603</v>
      </c>
      <c r="M9" s="56">
        <v>16627002</v>
      </c>
      <c r="N9" s="56">
        <v>12372696</v>
      </c>
      <c r="O9" s="56">
        <v>10721732</v>
      </c>
      <c r="P9" s="56">
        <v>8596688</v>
      </c>
      <c r="Q9" s="56">
        <v>12646582.780000001</v>
      </c>
      <c r="R9" s="56">
        <f t="shared" si="0"/>
        <v>122087210.78</v>
      </c>
      <c r="S9"/>
      <c r="T9" s="27"/>
      <c r="W9" s="155"/>
    </row>
    <row r="10" spans="1:23" s="34" customFormat="1">
      <c r="A10" s="19">
        <f>ROW()</f>
        <v>10</v>
      </c>
      <c r="B10" s="32" t="s">
        <v>12</v>
      </c>
      <c r="C10" s="57">
        <v>555</v>
      </c>
      <c r="D10" s="58"/>
      <c r="E10" s="59"/>
      <c r="F10" s="56">
        <v>60118988</v>
      </c>
      <c r="G10" s="56">
        <v>43002138</v>
      </c>
      <c r="H10" s="56">
        <v>44097192</v>
      </c>
      <c r="I10" s="56">
        <v>33874059</v>
      </c>
      <c r="J10" s="56">
        <v>33953695</v>
      </c>
      <c r="K10" s="56">
        <v>30233211</v>
      </c>
      <c r="L10" s="56">
        <v>24180999</v>
      </c>
      <c r="M10" s="56">
        <v>31541397</v>
      </c>
      <c r="N10" s="56">
        <v>26945300</v>
      </c>
      <c r="O10" s="56">
        <v>34466965</v>
      </c>
      <c r="P10" s="56">
        <v>45177246</v>
      </c>
      <c r="Q10" s="56">
        <v>50541096</v>
      </c>
      <c r="R10" s="56">
        <f t="shared" si="0"/>
        <v>458132286</v>
      </c>
      <c r="S10"/>
      <c r="T10" s="33"/>
      <c r="W10" s="58"/>
    </row>
    <row r="11" spans="1:23">
      <c r="A11" s="19">
        <f>ROW()</f>
        <v>11</v>
      </c>
      <c r="B11" s="31" t="s">
        <v>13</v>
      </c>
      <c r="C11" s="57" t="s">
        <v>14</v>
      </c>
      <c r="D11" s="155"/>
      <c r="E11" s="155"/>
      <c r="F11" s="56">
        <v>-2923199</v>
      </c>
      <c r="G11" s="56">
        <v>-596051</v>
      </c>
      <c r="H11" s="56">
        <v>108615</v>
      </c>
      <c r="I11" s="56">
        <v>-31638</v>
      </c>
      <c r="J11" s="56">
        <v>-438665</v>
      </c>
      <c r="K11" s="56">
        <v>-1174733</v>
      </c>
      <c r="L11" s="56">
        <v>235496</v>
      </c>
      <c r="M11" s="56">
        <v>-70081</v>
      </c>
      <c r="N11" s="56">
        <v>76673</v>
      </c>
      <c r="O11" s="56">
        <v>-720035</v>
      </c>
      <c r="P11" s="56">
        <v>-1582093</v>
      </c>
      <c r="Q11" s="56">
        <v>-1693931</v>
      </c>
      <c r="R11" s="56">
        <f t="shared" si="0"/>
        <v>-8809642</v>
      </c>
      <c r="S11"/>
      <c r="T11" s="27"/>
      <c r="W11" s="155"/>
    </row>
    <row r="12" spans="1:23">
      <c r="A12" s="19">
        <f>ROW()</f>
        <v>12</v>
      </c>
      <c r="B12" s="31" t="s">
        <v>15</v>
      </c>
      <c r="C12" s="57">
        <v>447</v>
      </c>
      <c r="D12" s="155"/>
      <c r="E12" s="155"/>
      <c r="F12" s="56">
        <v>-3117224</v>
      </c>
      <c r="G12" s="56">
        <v>-3726695</v>
      </c>
      <c r="H12" s="56">
        <v>-1864428</v>
      </c>
      <c r="I12" s="56">
        <v>-2127584</v>
      </c>
      <c r="J12" s="56">
        <v>-1783473</v>
      </c>
      <c r="K12" s="56">
        <v>-2067740</v>
      </c>
      <c r="L12" s="56">
        <v>-7834535</v>
      </c>
      <c r="M12" s="56">
        <v>-9986550</v>
      </c>
      <c r="N12" s="56">
        <v>-5895402</v>
      </c>
      <c r="O12" s="56">
        <v>-4809492</v>
      </c>
      <c r="P12" s="56">
        <v>-5611699</v>
      </c>
      <c r="Q12" s="56">
        <v>-4963988</v>
      </c>
      <c r="R12" s="56">
        <f t="shared" si="0"/>
        <v>-53788810</v>
      </c>
      <c r="S12"/>
      <c r="T12" s="27"/>
      <c r="W12" s="155"/>
    </row>
    <row r="13" spans="1:23">
      <c r="A13" s="19">
        <f>ROW()</f>
        <v>13</v>
      </c>
      <c r="B13" s="31" t="s">
        <v>16</v>
      </c>
      <c r="C13" s="57">
        <v>565</v>
      </c>
      <c r="D13" s="155"/>
      <c r="E13" s="155"/>
      <c r="F13" s="56">
        <v>9838891</v>
      </c>
      <c r="G13" s="56">
        <v>9797947</v>
      </c>
      <c r="H13" s="56">
        <v>9595421</v>
      </c>
      <c r="I13" s="56">
        <v>9593603</v>
      </c>
      <c r="J13" s="56">
        <v>9523702</v>
      </c>
      <c r="K13" s="56">
        <v>9674595</v>
      </c>
      <c r="L13" s="56">
        <v>9675278</v>
      </c>
      <c r="M13" s="56">
        <v>9830034</v>
      </c>
      <c r="N13" s="56">
        <v>10518856</v>
      </c>
      <c r="O13" s="56">
        <v>9801242</v>
      </c>
      <c r="P13" s="56">
        <v>9870283</v>
      </c>
      <c r="Q13" s="56">
        <v>9879042</v>
      </c>
      <c r="R13" s="56">
        <f t="shared" si="0"/>
        <v>117598894</v>
      </c>
      <c r="S13"/>
      <c r="T13" s="27"/>
      <c r="W13" s="155"/>
    </row>
    <row r="14" spans="1:23">
      <c r="A14" s="19">
        <f>ROW()</f>
        <v>14</v>
      </c>
      <c r="B14" s="31" t="s">
        <v>17</v>
      </c>
      <c r="C14" s="57">
        <v>55700003</v>
      </c>
      <c r="D14" s="155"/>
      <c r="E14" s="155"/>
      <c r="F14" s="56">
        <v>40291</v>
      </c>
      <c r="G14" s="56">
        <v>22274</v>
      </c>
      <c r="H14" s="56">
        <v>51254</v>
      </c>
      <c r="I14" s="56">
        <v>23467</v>
      </c>
      <c r="J14" s="56">
        <v>27074</v>
      </c>
      <c r="K14" s="56">
        <v>24650</v>
      </c>
      <c r="L14" s="56">
        <v>25264</v>
      </c>
      <c r="M14" s="56">
        <v>27410</v>
      </c>
      <c r="N14" s="56">
        <v>38110</v>
      </c>
      <c r="O14" s="56">
        <v>31595</v>
      </c>
      <c r="P14" s="56">
        <v>34775</v>
      </c>
      <c r="Q14" s="56">
        <v>17880</v>
      </c>
      <c r="R14" s="56">
        <f t="shared" si="0"/>
        <v>364044</v>
      </c>
      <c r="S14"/>
      <c r="T14" s="27"/>
      <c r="W14" s="155"/>
    </row>
    <row r="15" spans="1:23" s="34" customFormat="1">
      <c r="A15" s="19">
        <f>ROW()</f>
        <v>15</v>
      </c>
      <c r="B15" s="149" t="s">
        <v>18</v>
      </c>
      <c r="C15" s="57">
        <v>40810005</v>
      </c>
      <c r="D15" s="58"/>
      <c r="E15" s="58"/>
      <c r="F15" s="56">
        <v>129270</v>
      </c>
      <c r="G15" s="56">
        <v>129270</v>
      </c>
      <c r="H15" s="56">
        <v>129270</v>
      </c>
      <c r="I15" s="56">
        <v>129270</v>
      </c>
      <c r="J15" s="56">
        <v>129270</v>
      </c>
      <c r="K15" s="56">
        <v>129270</v>
      </c>
      <c r="L15" s="56">
        <v>129270</v>
      </c>
      <c r="M15" s="56">
        <v>129270</v>
      </c>
      <c r="N15" s="56">
        <v>129270</v>
      </c>
      <c r="O15" s="56">
        <v>129270</v>
      </c>
      <c r="P15" s="56">
        <v>129270</v>
      </c>
      <c r="Q15" s="56">
        <v>129270</v>
      </c>
      <c r="R15" s="56">
        <f t="shared" si="0"/>
        <v>1551240</v>
      </c>
      <c r="S15"/>
      <c r="T15" s="33"/>
      <c r="W15" s="58"/>
    </row>
    <row r="16" spans="1:23">
      <c r="A16" s="19">
        <f>ROW()</f>
        <v>16</v>
      </c>
      <c r="B16" s="31" t="s">
        <v>19</v>
      </c>
      <c r="C16" s="54"/>
      <c r="D16" s="155"/>
      <c r="E16" s="155"/>
      <c r="F16" s="60">
        <f t="shared" ref="F16:R16" si="1">SUM(F8:F15)</f>
        <v>87007627</v>
      </c>
      <c r="G16" s="60">
        <f t="shared" si="1"/>
        <v>65112470</v>
      </c>
      <c r="H16" s="60">
        <f t="shared" si="1"/>
        <v>63761952</v>
      </c>
      <c r="I16" s="60">
        <f t="shared" si="1"/>
        <v>52794802</v>
      </c>
      <c r="J16" s="60">
        <f t="shared" si="1"/>
        <v>52954029</v>
      </c>
      <c r="K16" s="60">
        <f t="shared" si="1"/>
        <v>47847741</v>
      </c>
      <c r="L16" s="60">
        <f t="shared" si="1"/>
        <v>48631757</v>
      </c>
      <c r="M16" s="60">
        <f t="shared" si="1"/>
        <v>56927481</v>
      </c>
      <c r="N16" s="60">
        <f t="shared" si="1"/>
        <v>50455433</v>
      </c>
      <c r="O16" s="60">
        <f t="shared" si="1"/>
        <v>55708970</v>
      </c>
      <c r="P16" s="60">
        <f t="shared" si="1"/>
        <v>64463009</v>
      </c>
      <c r="Q16" s="60">
        <f t="shared" si="1"/>
        <v>73583990.780000001</v>
      </c>
      <c r="R16" s="60">
        <f t="shared" si="1"/>
        <v>719249261.77999997</v>
      </c>
      <c r="S16"/>
      <c r="T16" s="27"/>
    </row>
    <row r="17" spans="1:20">
      <c r="A17" s="19">
        <f>ROW()</f>
        <v>17</v>
      </c>
      <c r="B17" s="31"/>
      <c r="C17" s="54"/>
      <c r="D17" s="155"/>
      <c r="E17" s="155"/>
      <c r="F17" s="61"/>
      <c r="G17" s="61"/>
      <c r="H17" s="61"/>
      <c r="I17" s="61"/>
      <c r="J17" s="61"/>
      <c r="K17" s="61"/>
      <c r="L17" s="61"/>
      <c r="M17" s="61"/>
      <c r="N17" s="61"/>
      <c r="O17" s="61"/>
      <c r="P17" s="61"/>
      <c r="Q17" s="61"/>
      <c r="R17" s="56"/>
      <c r="S17"/>
      <c r="T17" s="27"/>
    </row>
    <row r="18" spans="1:20">
      <c r="A18" s="19">
        <f>ROW()</f>
        <v>18</v>
      </c>
      <c r="B18" s="114" t="s">
        <v>20</v>
      </c>
      <c r="C18" s="155"/>
      <c r="D18" s="155"/>
      <c r="E18" s="155"/>
      <c r="F18" s="105"/>
      <c r="G18" s="105"/>
      <c r="H18" s="105"/>
      <c r="I18" s="105"/>
      <c r="J18" s="105"/>
      <c r="K18" s="105"/>
      <c r="L18" s="105"/>
      <c r="M18" s="105"/>
      <c r="N18" s="105"/>
      <c r="O18" s="109"/>
      <c r="P18" s="109"/>
      <c r="Q18" s="109"/>
      <c r="R18" s="109"/>
      <c r="S18"/>
      <c r="T18" s="27"/>
    </row>
    <row r="19" spans="1:20">
      <c r="A19" s="19">
        <f>ROW()</f>
        <v>19</v>
      </c>
      <c r="B19" s="21" t="s">
        <v>21</v>
      </c>
      <c r="C19" s="63"/>
      <c r="D19" s="63"/>
      <c r="E19" s="155"/>
      <c r="F19" s="62">
        <v>421253</v>
      </c>
      <c r="G19" s="62">
        <v>380486</v>
      </c>
      <c r="H19" s="62">
        <v>420687</v>
      </c>
      <c r="I19" s="62">
        <v>407664</v>
      </c>
      <c r="J19" s="62">
        <v>421253</v>
      </c>
      <c r="K19" s="62">
        <v>407664</v>
      </c>
      <c r="L19" s="62">
        <v>421253</v>
      </c>
      <c r="M19" s="62">
        <v>421253</v>
      </c>
      <c r="N19" s="62">
        <v>407664</v>
      </c>
      <c r="O19" s="62">
        <v>412253</v>
      </c>
      <c r="P19" s="62">
        <v>408230</v>
      </c>
      <c r="Q19" s="62">
        <f>421253+9000</f>
        <v>430253</v>
      </c>
      <c r="R19" s="65">
        <f>SUM(F19:Q19)</f>
        <v>4959913</v>
      </c>
      <c r="S19"/>
      <c r="T19" s="27" t="s">
        <v>22</v>
      </c>
    </row>
    <row r="20" spans="1:20">
      <c r="A20" s="19">
        <v>20</v>
      </c>
      <c r="B20" s="174" t="s">
        <v>186</v>
      </c>
      <c r="C20" s="63"/>
      <c r="D20" s="63"/>
      <c r="E20" s="155"/>
      <c r="F20" s="62"/>
      <c r="G20" s="62"/>
      <c r="H20" s="62"/>
      <c r="I20" s="62"/>
      <c r="J20" s="62"/>
      <c r="K20" s="62"/>
      <c r="L20" s="62"/>
      <c r="M20" s="62"/>
      <c r="N20" s="62"/>
      <c r="O20" s="62"/>
      <c r="P20" s="62"/>
      <c r="Q20" s="62">
        <f>704939*13/31</f>
        <v>295619.58064516127</v>
      </c>
      <c r="R20" s="65">
        <f>SUM(F20:Q20)</f>
        <v>295619.58064516127</v>
      </c>
      <c r="S20"/>
      <c r="T20" s="27"/>
    </row>
    <row r="21" spans="1:20" ht="18" customHeight="1" thickBot="1">
      <c r="A21" s="19">
        <f>ROW()</f>
        <v>21</v>
      </c>
      <c r="B21" s="114" t="s">
        <v>23</v>
      </c>
      <c r="C21" s="67"/>
      <c r="D21" s="63"/>
      <c r="E21" s="63"/>
      <c r="F21" s="68">
        <f t="shared" ref="F21:P21" si="2">F16+F19</f>
        <v>87428880</v>
      </c>
      <c r="G21" s="68">
        <f t="shared" si="2"/>
        <v>65492956</v>
      </c>
      <c r="H21" s="68">
        <f t="shared" si="2"/>
        <v>64182639</v>
      </c>
      <c r="I21" s="68">
        <f t="shared" si="2"/>
        <v>53202466</v>
      </c>
      <c r="J21" s="68">
        <f t="shared" si="2"/>
        <v>53375282</v>
      </c>
      <c r="K21" s="68">
        <f t="shared" si="2"/>
        <v>48255405</v>
      </c>
      <c r="L21" s="68">
        <f t="shared" si="2"/>
        <v>49053010</v>
      </c>
      <c r="M21" s="68">
        <f t="shared" si="2"/>
        <v>57348734</v>
      </c>
      <c r="N21" s="68">
        <f t="shared" si="2"/>
        <v>50863097</v>
      </c>
      <c r="O21" s="68">
        <f t="shared" si="2"/>
        <v>56121223</v>
      </c>
      <c r="P21" s="68">
        <f t="shared" si="2"/>
        <v>64871239</v>
      </c>
      <c r="Q21" s="68">
        <f>Q16+Q19+Q20</f>
        <v>74309863.36064516</v>
      </c>
      <c r="R21" s="68">
        <f>SUM(F21:Q21)</f>
        <v>724504794.36064517</v>
      </c>
      <c r="S21"/>
      <c r="T21" s="35" t="s">
        <v>24</v>
      </c>
    </row>
    <row r="22" spans="1:20">
      <c r="A22" s="19">
        <f>ROW()</f>
        <v>22</v>
      </c>
      <c r="B22" s="174"/>
      <c r="P22" s="36"/>
      <c r="S22"/>
      <c r="T22" s="27"/>
    </row>
    <row r="23" spans="1:20">
      <c r="A23" s="19">
        <f>ROW()</f>
        <v>23</v>
      </c>
      <c r="B23" s="37"/>
      <c r="C23" s="63"/>
      <c r="D23" s="63"/>
      <c r="E23" s="63"/>
      <c r="F23" s="123"/>
      <c r="G23" s="123"/>
      <c r="H23" s="123"/>
      <c r="I23" s="123"/>
      <c r="J23" s="123"/>
      <c r="K23" s="123"/>
      <c r="L23" s="123"/>
      <c r="M23" s="123"/>
      <c r="N23" s="123"/>
      <c r="O23" s="123"/>
      <c r="P23" s="123"/>
      <c r="Q23" s="123"/>
      <c r="R23" s="123"/>
      <c r="S23"/>
      <c r="T23" s="27"/>
    </row>
    <row r="24" spans="1:20">
      <c r="A24" s="19">
        <f>ROW()</f>
        <v>24</v>
      </c>
      <c r="B24" s="38" t="s">
        <v>25</v>
      </c>
      <c r="C24" s="63"/>
      <c r="D24" s="63"/>
      <c r="E24" s="155"/>
      <c r="F24" s="69">
        <v>2311111402</v>
      </c>
      <c r="G24" s="70">
        <v>1939919961</v>
      </c>
      <c r="H24" s="70">
        <v>1940551765</v>
      </c>
      <c r="I24" s="70">
        <v>1647518890</v>
      </c>
      <c r="J24" s="70">
        <v>1543718724</v>
      </c>
      <c r="K24" s="70">
        <v>1476133475</v>
      </c>
      <c r="L24" s="70">
        <v>1555636675</v>
      </c>
      <c r="M24" s="70">
        <v>1648038900</v>
      </c>
      <c r="N24" s="70">
        <v>1485662265</v>
      </c>
      <c r="O24" s="70">
        <v>1686782928</v>
      </c>
      <c r="P24" s="70">
        <v>1867373203</v>
      </c>
      <c r="Q24" s="70">
        <v>1250770431</v>
      </c>
      <c r="R24" s="71">
        <f>SUM(F24:Q24)</f>
        <v>20353218619</v>
      </c>
      <c r="S24"/>
      <c r="T24" s="27" t="s">
        <v>26</v>
      </c>
    </row>
    <row r="25" spans="1:20">
      <c r="A25" s="19">
        <f>ROW()</f>
        <v>25</v>
      </c>
      <c r="B25" s="38" t="s">
        <v>185</v>
      </c>
      <c r="C25" s="63"/>
      <c r="D25" s="63"/>
      <c r="E25" s="155"/>
      <c r="F25" s="69"/>
      <c r="G25" s="70"/>
      <c r="H25" s="70"/>
      <c r="I25" s="70"/>
      <c r="J25" s="70"/>
      <c r="K25" s="70"/>
      <c r="L25" s="70"/>
      <c r="M25" s="70"/>
      <c r="N25" s="70"/>
      <c r="O25" s="70"/>
      <c r="P25" s="70"/>
      <c r="Q25" s="70">
        <v>970670870</v>
      </c>
      <c r="R25" s="71">
        <f>SUM(F25:Q25)</f>
        <v>970670870</v>
      </c>
      <c r="S25"/>
      <c r="T25" s="27"/>
    </row>
    <row r="26" spans="1:20" s="34" customFormat="1">
      <c r="A26" s="19">
        <f>ROW()</f>
        <v>26</v>
      </c>
      <c r="B26" s="39"/>
      <c r="C26" s="40"/>
      <c r="D26" s="40"/>
      <c r="E26" s="58"/>
      <c r="F26" s="70"/>
      <c r="G26" s="70"/>
      <c r="H26" s="70"/>
      <c r="I26" s="70"/>
      <c r="J26" s="70"/>
      <c r="K26" s="41"/>
      <c r="L26" s="41"/>
      <c r="M26" s="70"/>
      <c r="N26" s="70"/>
      <c r="O26" s="70"/>
      <c r="P26" s="70"/>
      <c r="Q26" s="70"/>
      <c r="R26" s="62"/>
      <c r="S26"/>
      <c r="T26" s="33"/>
    </row>
    <row r="27" spans="1:20">
      <c r="A27" s="19">
        <f>ROW()</f>
        <v>27</v>
      </c>
      <c r="B27" s="114" t="s">
        <v>27</v>
      </c>
      <c r="C27" s="72"/>
      <c r="D27" s="63"/>
      <c r="E27" s="63"/>
      <c r="N27" s="66"/>
      <c r="Q27" s="108"/>
      <c r="R27" s="66"/>
      <c r="S27"/>
      <c r="T27" s="27"/>
    </row>
    <row r="28" spans="1:20" ht="15">
      <c r="A28" s="19">
        <f>ROW()</f>
        <v>28</v>
      </c>
      <c r="B28" s="119" t="s">
        <v>184</v>
      </c>
      <c r="C28" s="72">
        <v>3.3452999999999997E-2</v>
      </c>
      <c r="D28" s="155"/>
      <c r="E28" s="155"/>
      <c r="F28" s="66">
        <f t="shared" ref="F28:Q28" si="3">F24*$C$28</f>
        <v>77313609.731105998</v>
      </c>
      <c r="G28" s="66">
        <f t="shared" si="3"/>
        <v>64896142.455332994</v>
      </c>
      <c r="H28" s="66">
        <f t="shared" si="3"/>
        <v>64917278.194544993</v>
      </c>
      <c r="I28" s="66">
        <f t="shared" si="3"/>
        <v>55114449.427169994</v>
      </c>
      <c r="J28" s="66">
        <f t="shared" si="3"/>
        <v>51642022.473971993</v>
      </c>
      <c r="K28" s="66">
        <f t="shared" si="3"/>
        <v>49381093.139174998</v>
      </c>
      <c r="L28" s="66">
        <f t="shared" si="3"/>
        <v>52040713.688774996</v>
      </c>
      <c r="M28" s="66">
        <f t="shared" si="3"/>
        <v>55131845.321699992</v>
      </c>
      <c r="N28" s="66">
        <f t="shared" si="3"/>
        <v>49699859.751044996</v>
      </c>
      <c r="O28" s="66">
        <f t="shared" si="3"/>
        <v>56427949.290383995</v>
      </c>
      <c r="P28" s="66">
        <f t="shared" si="3"/>
        <v>62469235.759958997</v>
      </c>
      <c r="Q28" s="66">
        <f t="shared" si="3"/>
        <v>41842023.228242993</v>
      </c>
      <c r="R28" s="71">
        <f>SUM(F28:Q28)</f>
        <v>680876222.46140683</v>
      </c>
      <c r="S28"/>
      <c r="T28" s="35" t="s">
        <v>29</v>
      </c>
    </row>
    <row r="29" spans="1:20" ht="15">
      <c r="A29" s="19">
        <f>ROW()</f>
        <v>29</v>
      </c>
      <c r="B29" s="119" t="s">
        <v>183</v>
      </c>
      <c r="C29" s="72">
        <v>3.2895000000000001E-2</v>
      </c>
      <c r="D29" s="155"/>
      <c r="E29" s="155"/>
      <c r="F29" s="66"/>
      <c r="G29" s="66"/>
      <c r="H29" s="66"/>
      <c r="I29" s="66"/>
      <c r="J29" s="66"/>
      <c r="K29" s="66"/>
      <c r="L29" s="66"/>
      <c r="M29" s="66"/>
      <c r="N29" s="66"/>
      <c r="O29" s="66"/>
      <c r="P29" s="66"/>
      <c r="Q29" s="66">
        <f>Q25*C29</f>
        <v>31930218.268649999</v>
      </c>
      <c r="R29" s="71">
        <f>SUM(F29:Q29)</f>
        <v>31930218.268649999</v>
      </c>
      <c r="S29"/>
      <c r="T29" s="35"/>
    </row>
    <row r="30" spans="1:20">
      <c r="A30" s="19">
        <f>ROW()</f>
        <v>30</v>
      </c>
      <c r="B30" s="42"/>
      <c r="C30" s="72"/>
      <c r="D30" s="155"/>
      <c r="E30" s="155"/>
      <c r="F30" s="66"/>
      <c r="G30" s="66"/>
      <c r="H30" s="66"/>
      <c r="I30" s="66"/>
      <c r="J30" s="66"/>
      <c r="K30" s="66"/>
      <c r="L30" s="66"/>
      <c r="M30" s="66"/>
      <c r="N30" s="66"/>
      <c r="O30" s="66"/>
      <c r="P30" s="66"/>
      <c r="Q30" s="66"/>
      <c r="R30" s="71">
        <f>SUM(F30:Q30)</f>
        <v>0</v>
      </c>
      <c r="S30"/>
      <c r="T30" s="27"/>
    </row>
    <row r="31" spans="1:20" ht="17.25" customHeight="1" thickBot="1">
      <c r="A31" s="19">
        <f>ROW()</f>
        <v>31</v>
      </c>
      <c r="B31" s="37" t="s">
        <v>30</v>
      </c>
      <c r="D31" s="155"/>
      <c r="E31" s="155"/>
      <c r="F31" s="68">
        <f t="shared" ref="F31:P31" si="4">F21-F28</f>
        <v>10115270.268894002</v>
      </c>
      <c r="G31" s="68">
        <f t="shared" si="4"/>
        <v>596813.54466700554</v>
      </c>
      <c r="H31" s="68">
        <f t="shared" si="4"/>
        <v>-734639.19454499334</v>
      </c>
      <c r="I31" s="68">
        <f t="shared" si="4"/>
        <v>-1911983.4271699935</v>
      </c>
      <c r="J31" s="68">
        <f t="shared" si="4"/>
        <v>1733259.5260280073</v>
      </c>
      <c r="K31" s="68">
        <f t="shared" si="4"/>
        <v>-1125688.1391749978</v>
      </c>
      <c r="L31" s="68">
        <f t="shared" si="4"/>
        <v>-2987703.6887749955</v>
      </c>
      <c r="M31" s="68">
        <f t="shared" si="4"/>
        <v>2216888.6783000082</v>
      </c>
      <c r="N31" s="68">
        <f t="shared" si="4"/>
        <v>1163237.2489550039</v>
      </c>
      <c r="O31" s="68">
        <f t="shared" si="4"/>
        <v>-306726.29038399458</v>
      </c>
      <c r="P31" s="68">
        <f t="shared" si="4"/>
        <v>2402003.2400410026</v>
      </c>
      <c r="Q31" s="68">
        <f>Q21-Q28-Q29</f>
        <v>537621.86375216767</v>
      </c>
      <c r="R31" s="68">
        <f>R21-R28-R29</f>
        <v>11698353.630588349</v>
      </c>
      <c r="S31"/>
      <c r="T31" s="27"/>
    </row>
    <row r="32" spans="1:20" ht="15.75" customHeight="1">
      <c r="A32" s="19">
        <f>ROW()</f>
        <v>32</v>
      </c>
      <c r="B32" s="43" t="s">
        <v>31</v>
      </c>
      <c r="F32" s="44">
        <f t="shared" ref="F32:R32" si="5">+F31</f>
        <v>10115270.268894002</v>
      </c>
      <c r="G32" s="44">
        <f t="shared" si="5"/>
        <v>596813.54466700554</v>
      </c>
      <c r="H32" s="44">
        <f t="shared" si="5"/>
        <v>-734639.19454499334</v>
      </c>
      <c r="I32" s="44">
        <f t="shared" si="5"/>
        <v>-1911983.4271699935</v>
      </c>
      <c r="J32" s="44">
        <f t="shared" si="5"/>
        <v>1733259.5260280073</v>
      </c>
      <c r="K32" s="44">
        <f t="shared" si="5"/>
        <v>-1125688.1391749978</v>
      </c>
      <c r="L32" s="44">
        <f t="shared" si="5"/>
        <v>-2987703.6887749955</v>
      </c>
      <c r="M32" s="44">
        <f t="shared" si="5"/>
        <v>2216888.6783000082</v>
      </c>
      <c r="N32" s="44">
        <f t="shared" si="5"/>
        <v>1163237.2489550039</v>
      </c>
      <c r="O32" s="44">
        <f t="shared" si="5"/>
        <v>-306726.29038399458</v>
      </c>
      <c r="P32" s="44">
        <f t="shared" si="5"/>
        <v>2402003.2400410026</v>
      </c>
      <c r="Q32" s="44">
        <f t="shared" si="5"/>
        <v>537621.86375216767</v>
      </c>
      <c r="R32" s="44">
        <f t="shared" si="5"/>
        <v>11698353.630588349</v>
      </c>
      <c r="S32"/>
      <c r="T32" s="35" t="s">
        <v>32</v>
      </c>
    </row>
    <row r="33" spans="1:20">
      <c r="A33" s="19">
        <f>ROW()</f>
        <v>33</v>
      </c>
      <c r="N33" s="155"/>
      <c r="O33" s="155"/>
      <c r="P33" s="155"/>
      <c r="S33"/>
      <c r="T33" s="27"/>
    </row>
    <row r="34" spans="1:20" ht="15">
      <c r="A34" s="19">
        <f>ROW()</f>
        <v>34</v>
      </c>
      <c r="B34" s="33" t="s">
        <v>34</v>
      </c>
      <c r="C34" s="45"/>
      <c r="E34" s="63"/>
      <c r="F34" s="51"/>
      <c r="G34" s="66"/>
      <c r="H34" s="51"/>
      <c r="I34" s="66"/>
      <c r="J34" s="66"/>
      <c r="K34" s="66"/>
      <c r="L34" s="66"/>
      <c r="M34" s="66"/>
      <c r="N34" s="66"/>
      <c r="O34" s="66"/>
      <c r="P34" s="66"/>
      <c r="Q34" s="66"/>
      <c r="R34" s="64"/>
      <c r="S34"/>
      <c r="T34" s="35"/>
    </row>
    <row r="35" spans="1:20" s="34" customFormat="1" ht="15">
      <c r="A35" s="19">
        <f>ROW()</f>
        <v>35</v>
      </c>
      <c r="B35" s="116" t="s">
        <v>182</v>
      </c>
      <c r="C35" s="164">
        <v>3.4860000000000002E-4</v>
      </c>
      <c r="D35" s="164"/>
      <c r="E35" s="58"/>
      <c r="F35" s="51">
        <f t="shared" ref="F35:P35" si="6">F32*(1-$C$35)</f>
        <v>10111744.085678264</v>
      </c>
      <c r="G35" s="51">
        <f t="shared" si="6"/>
        <v>596605.49546533462</v>
      </c>
      <c r="H35" s="51">
        <f t="shared" si="6"/>
        <v>-734383.09932177491</v>
      </c>
      <c r="I35" s="51">
        <f t="shared" si="6"/>
        <v>-1911316.909747282</v>
      </c>
      <c r="J35" s="51">
        <f t="shared" si="6"/>
        <v>1732655.3117572339</v>
      </c>
      <c r="K35" s="51">
        <f t="shared" si="6"/>
        <v>-1125295.7242896813</v>
      </c>
      <c r="L35" s="51">
        <f t="shared" si="6"/>
        <v>-2986662.1752690882</v>
      </c>
      <c r="M35" s="51">
        <f t="shared" si="6"/>
        <v>2216115.8709067525</v>
      </c>
      <c r="N35" s="51">
        <f t="shared" si="6"/>
        <v>1162831.7444500183</v>
      </c>
      <c r="O35" s="51">
        <f t="shared" si="6"/>
        <v>-306619.36559916672</v>
      </c>
      <c r="P35" s="51">
        <f t="shared" si="6"/>
        <v>2401165.9017115245</v>
      </c>
      <c r="Q35" s="51">
        <f>Q32*(1-$C$35)*18/31+Q32*(1-$C$36)*13/31</f>
        <v>537437.65022194909</v>
      </c>
      <c r="R35" s="51">
        <f>SUM(F35:Q35)</f>
        <v>11694278.785964085</v>
      </c>
      <c r="S35" s="46"/>
      <c r="T35" s="35" t="s">
        <v>35</v>
      </c>
    </row>
    <row r="36" spans="1:20" s="34" customFormat="1" ht="15">
      <c r="A36" s="19">
        <f>ROW()</f>
        <v>36</v>
      </c>
      <c r="B36" s="116" t="s">
        <v>181</v>
      </c>
      <c r="C36" s="164">
        <v>3.344E-4</v>
      </c>
      <c r="D36" s="164"/>
      <c r="E36" s="58"/>
      <c r="F36" s="51"/>
      <c r="G36" s="51"/>
      <c r="H36" s="51"/>
      <c r="I36" s="51"/>
      <c r="J36" s="51"/>
      <c r="K36" s="51"/>
      <c r="L36" s="51"/>
      <c r="M36" s="51"/>
      <c r="N36" s="51"/>
      <c r="O36" s="51"/>
      <c r="P36" s="51"/>
      <c r="Q36" s="51"/>
      <c r="R36" s="51"/>
      <c r="S36" s="46"/>
      <c r="T36" s="35"/>
    </row>
    <row r="37" spans="1:20" s="34" customFormat="1" ht="15">
      <c r="A37" s="19">
        <f>ROW()</f>
        <v>37</v>
      </c>
      <c r="B37" s="108"/>
      <c r="C37" s="164"/>
      <c r="D37" s="164"/>
      <c r="E37" s="58"/>
      <c r="F37" s="51"/>
      <c r="G37" s="51"/>
      <c r="H37" s="51"/>
      <c r="I37" s="51"/>
      <c r="J37" s="51"/>
      <c r="K37" s="51"/>
      <c r="L37" s="51"/>
      <c r="M37" s="51"/>
      <c r="N37" s="51"/>
      <c r="O37" s="51"/>
      <c r="P37" s="51"/>
      <c r="Q37" s="51"/>
      <c r="R37" s="51"/>
      <c r="S37" s="46"/>
      <c r="T37" s="35"/>
    </row>
    <row r="38" spans="1:20">
      <c r="A38" s="19">
        <f>ROW()</f>
        <v>38</v>
      </c>
      <c r="B38" s="27" t="s">
        <v>36</v>
      </c>
      <c r="C38" s="34"/>
      <c r="D38" s="155"/>
      <c r="E38" s="155"/>
      <c r="F38" s="51">
        <f t="shared" ref="F38:R38" si="7">+F35</f>
        <v>10111744.085678264</v>
      </c>
      <c r="G38" s="51">
        <f t="shared" si="7"/>
        <v>596605.49546533462</v>
      </c>
      <c r="H38" s="51">
        <f t="shared" si="7"/>
        <v>-734383.09932177491</v>
      </c>
      <c r="I38" s="66">
        <f t="shared" si="7"/>
        <v>-1911316.909747282</v>
      </c>
      <c r="J38" s="66">
        <f t="shared" si="7"/>
        <v>1732655.3117572339</v>
      </c>
      <c r="K38" s="66">
        <f t="shared" si="7"/>
        <v>-1125295.7242896813</v>
      </c>
      <c r="L38" s="66">
        <f t="shared" si="7"/>
        <v>-2986662.1752690882</v>
      </c>
      <c r="M38" s="66">
        <f t="shared" si="7"/>
        <v>2216115.8709067525</v>
      </c>
      <c r="N38" s="66">
        <f t="shared" si="7"/>
        <v>1162831.7444500183</v>
      </c>
      <c r="O38" s="66">
        <f t="shared" si="7"/>
        <v>-306619.36559916672</v>
      </c>
      <c r="P38" s="66">
        <f t="shared" si="7"/>
        <v>2401165.9017115245</v>
      </c>
      <c r="Q38" s="66">
        <f t="shared" si="7"/>
        <v>537437.65022194909</v>
      </c>
      <c r="R38" s="66">
        <f t="shared" si="7"/>
        <v>11694278.785964085</v>
      </c>
      <c r="S38" s="47"/>
      <c r="T38" s="27"/>
    </row>
    <row r="39" spans="1:20">
      <c r="A39" s="19">
        <f>ROW()</f>
        <v>39</v>
      </c>
      <c r="B39" s="27" t="s">
        <v>37</v>
      </c>
      <c r="D39" s="155"/>
      <c r="E39" s="155"/>
      <c r="F39" s="51">
        <f t="shared" ref="F39:R39" si="8">-F38</f>
        <v>-10111744.085678264</v>
      </c>
      <c r="G39" s="51">
        <f t="shared" si="8"/>
        <v>-596605.49546533462</v>
      </c>
      <c r="H39" s="51">
        <f t="shared" si="8"/>
        <v>734383.09932177491</v>
      </c>
      <c r="I39" s="66">
        <f t="shared" si="8"/>
        <v>1911316.909747282</v>
      </c>
      <c r="J39" s="66">
        <f t="shared" si="8"/>
        <v>-1732655.3117572339</v>
      </c>
      <c r="K39" s="66">
        <f t="shared" si="8"/>
        <v>1125295.7242896813</v>
      </c>
      <c r="L39" s="66">
        <f t="shared" si="8"/>
        <v>2986662.1752690882</v>
      </c>
      <c r="M39" s="66">
        <f t="shared" si="8"/>
        <v>-2216115.8709067525</v>
      </c>
      <c r="N39" s="66">
        <f t="shared" si="8"/>
        <v>-1162831.7444500183</v>
      </c>
      <c r="O39" s="66">
        <f t="shared" si="8"/>
        <v>306619.36559916672</v>
      </c>
      <c r="P39" s="66">
        <f t="shared" si="8"/>
        <v>-2401165.9017115245</v>
      </c>
      <c r="Q39" s="66">
        <f t="shared" si="8"/>
        <v>-537437.65022194909</v>
      </c>
      <c r="R39" s="66">
        <f t="shared" si="8"/>
        <v>-11694278.785964085</v>
      </c>
      <c r="S39" s="47"/>
      <c r="T39" s="27"/>
    </row>
    <row r="40" spans="1:20">
      <c r="A40" s="19">
        <f>ROW()</f>
        <v>40</v>
      </c>
      <c r="B40" s="27"/>
      <c r="D40" s="155"/>
      <c r="E40" s="155"/>
      <c r="F40" s="51"/>
      <c r="G40" s="51"/>
      <c r="H40" s="51"/>
      <c r="I40" s="66"/>
      <c r="J40" s="66"/>
      <c r="K40" s="66"/>
      <c r="L40" s="66"/>
      <c r="M40" s="66"/>
      <c r="N40" s="66"/>
      <c r="O40" s="66"/>
      <c r="P40" s="66"/>
      <c r="Q40" s="66"/>
      <c r="R40" s="66"/>
      <c r="S40" s="47"/>
      <c r="T40" s="27"/>
    </row>
    <row r="41" spans="1:20" ht="15">
      <c r="A41" s="19">
        <f>ROW()</f>
        <v>41</v>
      </c>
      <c r="B41" s="27" t="s">
        <v>38</v>
      </c>
      <c r="D41" s="155"/>
      <c r="E41" s="155"/>
      <c r="F41" s="51">
        <f>+F38</f>
        <v>10111744.085678264</v>
      </c>
      <c r="G41" s="51">
        <f t="shared" ref="G41:Q41" si="9">+F41+G38</f>
        <v>10708349.581143599</v>
      </c>
      <c r="H41" s="51">
        <f t="shared" si="9"/>
        <v>9973966.4818218239</v>
      </c>
      <c r="I41" s="66">
        <f t="shared" si="9"/>
        <v>8062649.5720745418</v>
      </c>
      <c r="J41" s="66">
        <f t="shared" si="9"/>
        <v>9795304.8838317767</v>
      </c>
      <c r="K41" s="66">
        <f t="shared" si="9"/>
        <v>8670009.1595420949</v>
      </c>
      <c r="L41" s="66">
        <f t="shared" si="9"/>
        <v>5683346.9842730071</v>
      </c>
      <c r="M41" s="66">
        <f t="shared" si="9"/>
        <v>7899462.8551797597</v>
      </c>
      <c r="N41" s="66">
        <f t="shared" si="9"/>
        <v>9062294.5996297784</v>
      </c>
      <c r="O41" s="66">
        <f t="shared" si="9"/>
        <v>8755675.2340306118</v>
      </c>
      <c r="P41" s="66">
        <f t="shared" si="9"/>
        <v>11156841.135742135</v>
      </c>
      <c r="Q41" s="66">
        <f t="shared" si="9"/>
        <v>11694278.785964085</v>
      </c>
      <c r="R41" s="66">
        <f>+R38</f>
        <v>11694278.785964085</v>
      </c>
      <c r="S41" s="47"/>
      <c r="T41" s="35" t="s">
        <v>39</v>
      </c>
    </row>
    <row r="42" spans="1:20">
      <c r="A42" s="19">
        <f>ROW()</f>
        <v>42</v>
      </c>
      <c r="B42" s="27" t="s">
        <v>40</v>
      </c>
      <c r="D42" s="155"/>
      <c r="E42" s="155"/>
      <c r="F42" s="51">
        <f>+F39</f>
        <v>-10111744.085678264</v>
      </c>
      <c r="G42" s="51">
        <f t="shared" ref="G42:Q42" si="10">+F42+G39</f>
        <v>-10708349.581143599</v>
      </c>
      <c r="H42" s="66">
        <f t="shared" si="10"/>
        <v>-9973966.4818218239</v>
      </c>
      <c r="I42" s="66">
        <f t="shared" si="10"/>
        <v>-8062649.5720745418</v>
      </c>
      <c r="J42" s="66">
        <f t="shared" si="10"/>
        <v>-9795304.8838317767</v>
      </c>
      <c r="K42" s="66">
        <f t="shared" si="10"/>
        <v>-8670009.1595420949</v>
      </c>
      <c r="L42" s="66">
        <f t="shared" si="10"/>
        <v>-5683346.9842730071</v>
      </c>
      <c r="M42" s="66">
        <f t="shared" si="10"/>
        <v>-7899462.8551797597</v>
      </c>
      <c r="N42" s="66">
        <f t="shared" si="10"/>
        <v>-9062294.5996297784</v>
      </c>
      <c r="O42" s="66">
        <f t="shared" si="10"/>
        <v>-8755675.2340306118</v>
      </c>
      <c r="P42" s="66">
        <f t="shared" si="10"/>
        <v>-11156841.135742135</v>
      </c>
      <c r="Q42" s="66">
        <f t="shared" si="10"/>
        <v>-11694278.785964085</v>
      </c>
      <c r="R42" s="66">
        <f>+R39</f>
        <v>-11694278.785964085</v>
      </c>
      <c r="S42" s="47"/>
    </row>
    <row r="43" spans="1:20">
      <c r="A43" s="19">
        <f>ROW()</f>
        <v>43</v>
      </c>
      <c r="B43" s="27"/>
      <c r="D43" s="155"/>
      <c r="E43" s="155"/>
      <c r="F43" s="66"/>
      <c r="G43" s="66"/>
      <c r="H43" s="66"/>
      <c r="I43" s="66"/>
      <c r="J43" s="66"/>
      <c r="K43" s="66"/>
      <c r="L43" s="66"/>
      <c r="M43" s="66"/>
      <c r="N43" s="66"/>
      <c r="O43" s="66"/>
      <c r="P43" s="66"/>
      <c r="Q43" s="66"/>
      <c r="R43" s="66"/>
      <c r="S43" s="48"/>
    </row>
    <row r="44" spans="1:20" ht="12" customHeight="1">
      <c r="A44" s="19">
        <f>ROW()</f>
        <v>44</v>
      </c>
      <c r="B44" s="49"/>
      <c r="C44" s="49"/>
      <c r="D44" s="49"/>
      <c r="E44" s="49"/>
      <c r="F44" s="49"/>
      <c r="G44" s="49"/>
      <c r="H44" s="49"/>
      <c r="I44" s="49"/>
      <c r="J44" s="66"/>
      <c r="K44" s="66"/>
      <c r="L44" s="66"/>
      <c r="M44" s="66"/>
      <c r="N44" s="66"/>
      <c r="O44" s="66"/>
      <c r="P44" s="66"/>
      <c r="Q44" s="66"/>
      <c r="R44" s="66"/>
      <c r="S44" s="48"/>
    </row>
    <row r="45" spans="1:20" s="174" customFormat="1">
      <c r="A45" s="19">
        <f>ROW()</f>
        <v>45</v>
      </c>
      <c r="B45" s="174" t="s">
        <v>41</v>
      </c>
      <c r="D45" s="63"/>
      <c r="E45" s="63"/>
      <c r="F45" s="66"/>
      <c r="G45" s="66"/>
      <c r="H45" s="66"/>
      <c r="I45" s="66"/>
      <c r="J45" s="66"/>
      <c r="K45" s="66"/>
      <c r="L45" s="66"/>
      <c r="M45" s="66"/>
      <c r="N45" s="66"/>
      <c r="O45" s="66"/>
      <c r="P45" s="66"/>
      <c r="Q45" s="66"/>
      <c r="R45" s="66"/>
    </row>
    <row r="46" spans="1:20" s="174" customFormat="1">
      <c r="A46" s="19"/>
      <c r="D46" s="63"/>
      <c r="E46" s="63"/>
      <c r="F46" s="66"/>
      <c r="G46" s="66"/>
      <c r="H46" s="66"/>
      <c r="I46" s="66"/>
      <c r="J46" s="66"/>
      <c r="K46" s="66"/>
      <c r="L46" s="66"/>
      <c r="M46" s="66"/>
      <c r="N46" s="66"/>
      <c r="O46" s="66"/>
      <c r="P46" s="66"/>
      <c r="Q46" s="66"/>
      <c r="R46" s="66"/>
    </row>
    <row r="47" spans="1:20">
      <c r="B47" s="702" t="s">
        <v>180</v>
      </c>
      <c r="C47" s="702"/>
      <c r="D47" s="702"/>
      <c r="E47" s="702"/>
      <c r="F47" s="702"/>
      <c r="G47" s="702"/>
      <c r="H47" s="702"/>
      <c r="I47" s="702"/>
      <c r="J47" s="702"/>
      <c r="K47" s="702"/>
      <c r="L47" s="702"/>
      <c r="M47" s="702"/>
      <c r="N47" s="702"/>
      <c r="Q47" s="180"/>
    </row>
    <row r="48" spans="1:20" ht="18">
      <c r="F48" s="24"/>
      <c r="Q48" s="44"/>
    </row>
    <row r="49" spans="1:17">
      <c r="A49" s="21"/>
      <c r="Q49" s="16"/>
    </row>
    <row r="50" spans="1:17">
      <c r="A50" s="21"/>
      <c r="Q50" s="44"/>
    </row>
    <row r="51" spans="1:17">
      <c r="A51" s="21"/>
      <c r="Q51" s="17"/>
    </row>
    <row r="52" spans="1:17">
      <c r="A52" s="21"/>
    </row>
    <row r="53" spans="1:17">
      <c r="A53" s="21"/>
    </row>
    <row r="54" spans="1:17">
      <c r="A54" s="21"/>
    </row>
    <row r="55" spans="1:17">
      <c r="A55" s="21"/>
    </row>
    <row r="56" spans="1:17">
      <c r="A56" s="21"/>
    </row>
    <row r="57" spans="1:17">
      <c r="A57" s="21"/>
    </row>
    <row r="58" spans="1:17">
      <c r="A58" s="21"/>
    </row>
    <row r="59" spans="1:17">
      <c r="A59" s="21"/>
    </row>
    <row r="60" spans="1:17">
      <c r="A60" s="21"/>
    </row>
    <row r="61" spans="1:17">
      <c r="A61" s="21"/>
    </row>
    <row r="62" spans="1:17">
      <c r="A62" s="21"/>
    </row>
    <row r="63" spans="1:17">
      <c r="A63" s="21"/>
    </row>
    <row r="64" spans="1:17">
      <c r="A64" s="21"/>
    </row>
    <row r="65" spans="1:1">
      <c r="A65" s="21"/>
    </row>
    <row r="66" spans="1:1">
      <c r="A66" s="21"/>
    </row>
    <row r="67" spans="1:1">
      <c r="A67" s="21"/>
    </row>
    <row r="68" spans="1:1">
      <c r="A68" s="21"/>
    </row>
    <row r="69" spans="1:1">
      <c r="A69" s="21"/>
    </row>
    <row r="70" spans="1:1">
      <c r="A70" s="50"/>
    </row>
    <row r="71" spans="1:1">
      <c r="A71" s="50"/>
    </row>
    <row r="72" spans="1:1">
      <c r="A72" s="50"/>
    </row>
    <row r="73" spans="1:1">
      <c r="A73" s="50"/>
    </row>
    <row r="74" spans="1:1">
      <c r="A74" s="50"/>
    </row>
    <row r="75" spans="1:1">
      <c r="A75" s="50"/>
    </row>
    <row r="76" spans="1:1">
      <c r="A76" s="50"/>
    </row>
    <row r="77" spans="1:1">
      <c r="A77" s="50"/>
    </row>
    <row r="78" spans="1:1">
      <c r="A78" s="50"/>
    </row>
    <row r="79" spans="1:1">
      <c r="A79" s="50"/>
    </row>
    <row r="80" spans="1:1">
      <c r="A80" s="50"/>
    </row>
    <row r="81" spans="1:1">
      <c r="A81" s="50"/>
    </row>
    <row r="82" spans="1:1">
      <c r="A82" s="50"/>
    </row>
    <row r="83" spans="1:1">
      <c r="A83" s="50"/>
    </row>
    <row r="84" spans="1:1">
      <c r="A84" s="50"/>
    </row>
    <row r="85" spans="1:1">
      <c r="A85" s="50"/>
    </row>
    <row r="86" spans="1:1">
      <c r="A86" s="50"/>
    </row>
    <row r="87" spans="1:1">
      <c r="A87" s="50"/>
    </row>
    <row r="88" spans="1:1">
      <c r="A88" s="50"/>
    </row>
    <row r="89" spans="1:1">
      <c r="A89" s="50"/>
    </row>
    <row r="90" spans="1:1">
      <c r="A90" s="50"/>
    </row>
    <row r="91" spans="1:1">
      <c r="A91" s="50"/>
    </row>
    <row r="92" spans="1:1">
      <c r="A92" s="50"/>
    </row>
    <row r="93" spans="1:1">
      <c r="A93" s="50"/>
    </row>
    <row r="94" spans="1:1">
      <c r="A94" s="50"/>
    </row>
    <row r="95" spans="1:1">
      <c r="A95" s="50"/>
    </row>
    <row r="96" spans="1:1">
      <c r="A96" s="50"/>
    </row>
    <row r="97" spans="1:1">
      <c r="A97" s="50"/>
    </row>
    <row r="98" spans="1:1">
      <c r="A98" s="50"/>
    </row>
    <row r="99" spans="1:1">
      <c r="A99" s="50"/>
    </row>
    <row r="100" spans="1:1">
      <c r="A100" s="50"/>
    </row>
    <row r="101" spans="1:1">
      <c r="A101" s="50"/>
    </row>
    <row r="102" spans="1:1">
      <c r="A102" s="50"/>
    </row>
    <row r="103" spans="1:1">
      <c r="A103" s="50"/>
    </row>
    <row r="104" spans="1:1">
      <c r="A104" s="50"/>
    </row>
    <row r="105" spans="1:1">
      <c r="A105" s="50"/>
    </row>
    <row r="106" spans="1:1">
      <c r="A106" s="50"/>
    </row>
    <row r="107" spans="1:1">
      <c r="A107" s="50"/>
    </row>
    <row r="108" spans="1:1">
      <c r="A108" s="50"/>
    </row>
    <row r="109" spans="1:1">
      <c r="A109" s="50"/>
    </row>
    <row r="110" spans="1:1">
      <c r="A110" s="50"/>
    </row>
    <row r="111" spans="1:1">
      <c r="A111" s="50"/>
    </row>
    <row r="112" spans="1:1">
      <c r="A112" s="50"/>
    </row>
    <row r="113" spans="1:1">
      <c r="A113" s="50"/>
    </row>
    <row r="114" spans="1:1">
      <c r="A114" s="50"/>
    </row>
    <row r="115" spans="1:1">
      <c r="A115" s="50"/>
    </row>
    <row r="116" spans="1:1">
      <c r="A116" s="50"/>
    </row>
    <row r="117" spans="1:1">
      <c r="A117" s="50"/>
    </row>
    <row r="118" spans="1:1">
      <c r="A118" s="50"/>
    </row>
    <row r="119" spans="1:1">
      <c r="A119" s="50"/>
    </row>
    <row r="120" spans="1:1">
      <c r="A120" s="50"/>
    </row>
    <row r="121" spans="1:1">
      <c r="A121" s="50"/>
    </row>
    <row r="122" spans="1:1">
      <c r="A122" s="50"/>
    </row>
    <row r="123" spans="1:1">
      <c r="A123" s="50"/>
    </row>
    <row r="124" spans="1:1">
      <c r="A124" s="50"/>
    </row>
    <row r="125" spans="1:1">
      <c r="A125" s="50"/>
    </row>
    <row r="126" spans="1:1">
      <c r="A126" s="50"/>
    </row>
    <row r="127" spans="1:1">
      <c r="A127" s="50"/>
    </row>
    <row r="128" spans="1:1">
      <c r="A128" s="50"/>
    </row>
    <row r="129" spans="1:1">
      <c r="A129" s="50"/>
    </row>
    <row r="130" spans="1:1">
      <c r="A130" s="50"/>
    </row>
    <row r="131" spans="1:1">
      <c r="A131" s="50"/>
    </row>
    <row r="132" spans="1:1">
      <c r="A132" s="50"/>
    </row>
    <row r="133" spans="1:1">
      <c r="A133" s="50"/>
    </row>
    <row r="134" spans="1:1">
      <c r="A134" s="50"/>
    </row>
    <row r="135" spans="1:1">
      <c r="A135" s="50"/>
    </row>
    <row r="136" spans="1:1">
      <c r="A136" s="50"/>
    </row>
    <row r="137" spans="1:1">
      <c r="A137" s="50"/>
    </row>
    <row r="138" spans="1:1">
      <c r="A138" s="50"/>
    </row>
    <row r="139" spans="1:1">
      <c r="A139" s="50"/>
    </row>
    <row r="140" spans="1:1">
      <c r="A140" s="50"/>
    </row>
    <row r="141" spans="1:1">
      <c r="A141" s="50"/>
    </row>
    <row r="142" spans="1:1">
      <c r="A142" s="50"/>
    </row>
    <row r="143" spans="1:1">
      <c r="A143" s="50"/>
    </row>
    <row r="144" spans="1:1">
      <c r="A144" s="50"/>
    </row>
    <row r="145" spans="1:1">
      <c r="A145" s="50"/>
    </row>
    <row r="146" spans="1:1">
      <c r="A146" s="50"/>
    </row>
    <row r="147" spans="1:1">
      <c r="A147" s="50"/>
    </row>
    <row r="148" spans="1:1">
      <c r="A148" s="50"/>
    </row>
    <row r="149" spans="1:1">
      <c r="A149" s="50"/>
    </row>
    <row r="150" spans="1:1">
      <c r="A150" s="50"/>
    </row>
    <row r="151" spans="1:1">
      <c r="A151" s="50"/>
    </row>
    <row r="152" spans="1:1">
      <c r="A152" s="50"/>
    </row>
    <row r="153" spans="1:1">
      <c r="A153" s="50"/>
    </row>
    <row r="154" spans="1:1">
      <c r="A154" s="50"/>
    </row>
    <row r="155" spans="1:1">
      <c r="A155" s="50"/>
    </row>
    <row r="156" spans="1:1">
      <c r="A156" s="50"/>
    </row>
    <row r="157" spans="1:1">
      <c r="A157" s="50"/>
    </row>
    <row r="158" spans="1:1">
      <c r="A158" s="50"/>
    </row>
    <row r="159" spans="1:1">
      <c r="A159" s="50"/>
    </row>
    <row r="160" spans="1:1">
      <c r="A160" s="50"/>
    </row>
    <row r="161" spans="1:1">
      <c r="A161" s="50"/>
    </row>
    <row r="162" spans="1:1">
      <c r="A162" s="50"/>
    </row>
    <row r="163" spans="1:1">
      <c r="A163" s="50"/>
    </row>
    <row r="164" spans="1:1">
      <c r="A164" s="50"/>
    </row>
    <row r="165" spans="1:1">
      <c r="A165" s="50"/>
    </row>
    <row r="166" spans="1:1">
      <c r="A166" s="50"/>
    </row>
    <row r="167" spans="1:1">
      <c r="A167" s="50"/>
    </row>
    <row r="168" spans="1:1">
      <c r="A168" s="50"/>
    </row>
    <row r="169" spans="1:1">
      <c r="A169" s="50"/>
    </row>
    <row r="170" spans="1:1">
      <c r="A170" s="50"/>
    </row>
    <row r="171" spans="1:1">
      <c r="A171" s="50"/>
    </row>
    <row r="172" spans="1:1">
      <c r="A172" s="50"/>
    </row>
    <row r="173" spans="1:1">
      <c r="A173" s="50"/>
    </row>
    <row r="174" spans="1:1">
      <c r="A174" s="50"/>
    </row>
    <row r="175" spans="1:1">
      <c r="A175" s="50"/>
    </row>
    <row r="176" spans="1:1">
      <c r="A176" s="50"/>
    </row>
    <row r="177" spans="1:1">
      <c r="A177" s="50"/>
    </row>
    <row r="178" spans="1:1">
      <c r="A178" s="50"/>
    </row>
    <row r="179" spans="1:1">
      <c r="A179" s="50"/>
    </row>
    <row r="180" spans="1:1">
      <c r="A180" s="50"/>
    </row>
    <row r="181" spans="1:1">
      <c r="A181" s="50"/>
    </row>
    <row r="182" spans="1:1">
      <c r="A182" s="50"/>
    </row>
    <row r="183" spans="1:1">
      <c r="A183" s="50"/>
    </row>
    <row r="184" spans="1:1">
      <c r="A184" s="50"/>
    </row>
    <row r="185" spans="1:1">
      <c r="A185" s="50"/>
    </row>
    <row r="186" spans="1:1">
      <c r="A186" s="50"/>
    </row>
    <row r="187" spans="1:1">
      <c r="A187" s="50"/>
    </row>
    <row r="188" spans="1:1">
      <c r="A188" s="50"/>
    </row>
    <row r="189" spans="1:1">
      <c r="A189" s="50"/>
    </row>
    <row r="190" spans="1:1">
      <c r="A190" s="50"/>
    </row>
    <row r="191" spans="1:1">
      <c r="A191" s="50"/>
    </row>
    <row r="192" spans="1:1">
      <c r="A192" s="50"/>
    </row>
    <row r="193" spans="1:1">
      <c r="A193" s="50"/>
    </row>
    <row r="194" spans="1:1">
      <c r="A194" s="50"/>
    </row>
    <row r="195" spans="1:1">
      <c r="A195" s="50"/>
    </row>
    <row r="196" spans="1:1">
      <c r="A196" s="50"/>
    </row>
    <row r="197" spans="1:1">
      <c r="A197" s="50"/>
    </row>
    <row r="198" spans="1:1">
      <c r="A198" s="50"/>
    </row>
    <row r="199" spans="1:1">
      <c r="A199" s="50"/>
    </row>
    <row r="200" spans="1:1">
      <c r="A200" s="50"/>
    </row>
    <row r="201" spans="1:1">
      <c r="A201" s="50"/>
    </row>
    <row r="202" spans="1:1">
      <c r="A202" s="50"/>
    </row>
    <row r="203" spans="1:1">
      <c r="A203" s="50"/>
    </row>
    <row r="204" spans="1:1">
      <c r="A204" s="50"/>
    </row>
    <row r="205" spans="1:1">
      <c r="A205" s="50"/>
    </row>
    <row r="206" spans="1:1">
      <c r="A206" s="50"/>
    </row>
    <row r="207" spans="1:1">
      <c r="A207" s="50"/>
    </row>
    <row r="208" spans="1:1">
      <c r="A208" s="50"/>
    </row>
    <row r="209" spans="1:1">
      <c r="A209" s="50"/>
    </row>
    <row r="210" spans="1:1">
      <c r="A210" s="50"/>
    </row>
    <row r="211" spans="1:1">
      <c r="A211" s="50"/>
    </row>
    <row r="212" spans="1:1">
      <c r="A212" s="50"/>
    </row>
    <row r="213" spans="1:1">
      <c r="A213" s="50"/>
    </row>
    <row r="214" spans="1:1">
      <c r="A214" s="50"/>
    </row>
    <row r="215" spans="1:1">
      <c r="A215" s="50"/>
    </row>
    <row r="216" spans="1:1">
      <c r="A216" s="50"/>
    </row>
    <row r="217" spans="1:1">
      <c r="A217" s="50"/>
    </row>
    <row r="218" spans="1:1">
      <c r="A218" s="50"/>
    </row>
    <row r="219" spans="1:1">
      <c r="A219" s="50"/>
    </row>
    <row r="220" spans="1:1">
      <c r="A220" s="50"/>
    </row>
    <row r="221" spans="1:1">
      <c r="A221" s="50"/>
    </row>
    <row r="222" spans="1:1">
      <c r="A222" s="50"/>
    </row>
    <row r="223" spans="1:1">
      <c r="A223" s="50"/>
    </row>
    <row r="224" spans="1:1">
      <c r="A224" s="50"/>
    </row>
    <row r="225" spans="1:1">
      <c r="A225" s="50"/>
    </row>
    <row r="226" spans="1:1">
      <c r="A226" s="50"/>
    </row>
    <row r="227" spans="1:1">
      <c r="A227" s="50"/>
    </row>
    <row r="228" spans="1:1">
      <c r="A228" s="50"/>
    </row>
    <row r="229" spans="1:1">
      <c r="A229" s="50"/>
    </row>
    <row r="230" spans="1:1">
      <c r="A230" s="50"/>
    </row>
    <row r="231" spans="1:1">
      <c r="A231" s="50"/>
    </row>
    <row r="232" spans="1:1">
      <c r="A232" s="50"/>
    </row>
    <row r="233" spans="1:1">
      <c r="A233" s="50"/>
    </row>
    <row r="234" spans="1:1">
      <c r="A234" s="50"/>
    </row>
    <row r="235" spans="1:1">
      <c r="A235" s="50"/>
    </row>
    <row r="236" spans="1:1">
      <c r="A236" s="50"/>
    </row>
    <row r="237" spans="1:1">
      <c r="A237" s="50"/>
    </row>
    <row r="238" spans="1:1">
      <c r="A238" s="50"/>
    </row>
    <row r="239" spans="1:1">
      <c r="A239" s="50"/>
    </row>
    <row r="240" spans="1:1">
      <c r="A240" s="50"/>
    </row>
    <row r="241" spans="1:1">
      <c r="A241" s="50"/>
    </row>
    <row r="242" spans="1:1">
      <c r="A242" s="50"/>
    </row>
    <row r="243" spans="1:1">
      <c r="A243" s="50"/>
    </row>
    <row r="244" spans="1:1">
      <c r="A244" s="50"/>
    </row>
    <row r="245" spans="1:1">
      <c r="A245" s="50"/>
    </row>
    <row r="246" spans="1:1">
      <c r="A246" s="50"/>
    </row>
    <row r="247" spans="1:1">
      <c r="A247" s="50"/>
    </row>
    <row r="248" spans="1:1">
      <c r="A248" s="50"/>
    </row>
    <row r="249" spans="1:1">
      <c r="A249" s="50"/>
    </row>
    <row r="250" spans="1:1">
      <c r="A250" s="50"/>
    </row>
    <row r="251" spans="1:1">
      <c r="A251" s="50"/>
    </row>
    <row r="252" spans="1:1">
      <c r="A252" s="50"/>
    </row>
    <row r="253" spans="1:1">
      <c r="A253" s="50"/>
    </row>
    <row r="254" spans="1:1">
      <c r="A254" s="50"/>
    </row>
    <row r="255" spans="1:1">
      <c r="A255" s="50"/>
    </row>
    <row r="256" spans="1:1">
      <c r="A256" s="50"/>
    </row>
    <row r="257" spans="1:1">
      <c r="A257" s="50"/>
    </row>
    <row r="258" spans="1:1">
      <c r="A258" s="50"/>
    </row>
    <row r="259" spans="1:1">
      <c r="A259" s="50"/>
    </row>
    <row r="260" spans="1:1">
      <c r="A260" s="50"/>
    </row>
    <row r="261" spans="1:1">
      <c r="A261" s="50"/>
    </row>
    <row r="262" spans="1:1">
      <c r="A262" s="50"/>
    </row>
    <row r="263" spans="1:1">
      <c r="A263" s="50"/>
    </row>
    <row r="264" spans="1:1">
      <c r="A264" s="50"/>
    </row>
    <row r="265" spans="1:1">
      <c r="A265" s="50"/>
    </row>
    <row r="266" spans="1:1">
      <c r="A266" s="50"/>
    </row>
    <row r="267" spans="1:1">
      <c r="A267" s="50"/>
    </row>
    <row r="268" spans="1:1">
      <c r="A268" s="50"/>
    </row>
    <row r="269" spans="1:1">
      <c r="A269" s="50"/>
    </row>
    <row r="270" spans="1:1">
      <c r="A270" s="50"/>
    </row>
    <row r="271" spans="1:1">
      <c r="A271" s="50"/>
    </row>
    <row r="272" spans="1:1">
      <c r="A272" s="50"/>
    </row>
    <row r="273" spans="1:1">
      <c r="A273" s="50"/>
    </row>
    <row r="274" spans="1:1">
      <c r="A274" s="50"/>
    </row>
    <row r="275" spans="1:1">
      <c r="A275" s="50"/>
    </row>
    <row r="276" spans="1:1">
      <c r="A276" s="50"/>
    </row>
    <row r="277" spans="1:1">
      <c r="A277" s="50"/>
    </row>
    <row r="278" spans="1:1">
      <c r="A278" s="50"/>
    </row>
    <row r="279" spans="1:1">
      <c r="A279" s="50"/>
    </row>
    <row r="280" spans="1:1">
      <c r="A280" s="50"/>
    </row>
    <row r="281" spans="1:1">
      <c r="A281" s="50"/>
    </row>
    <row r="282" spans="1:1">
      <c r="A282" s="50"/>
    </row>
    <row r="283" spans="1:1">
      <c r="A283" s="50"/>
    </row>
    <row r="284" spans="1:1">
      <c r="A284" s="50"/>
    </row>
    <row r="285" spans="1:1">
      <c r="A285" s="50"/>
    </row>
    <row r="286" spans="1:1">
      <c r="A286" s="50"/>
    </row>
    <row r="287" spans="1:1">
      <c r="A287" s="50"/>
    </row>
    <row r="288" spans="1:1">
      <c r="A288" s="50"/>
    </row>
    <row r="289" spans="1:1">
      <c r="A289" s="50"/>
    </row>
    <row r="290" spans="1:1">
      <c r="A290" s="50"/>
    </row>
    <row r="291" spans="1:1">
      <c r="A291" s="50"/>
    </row>
    <row r="292" spans="1:1">
      <c r="A292" s="50"/>
    </row>
    <row r="293" spans="1:1">
      <c r="A293" s="50"/>
    </row>
    <row r="294" spans="1:1">
      <c r="A294" s="50"/>
    </row>
    <row r="295" spans="1:1">
      <c r="A295" s="50"/>
    </row>
    <row r="296" spans="1:1">
      <c r="A296" s="50"/>
    </row>
    <row r="297" spans="1:1">
      <c r="A297" s="50"/>
    </row>
    <row r="298" spans="1:1">
      <c r="A298" s="50"/>
    </row>
    <row r="299" spans="1:1">
      <c r="A299" s="50"/>
    </row>
    <row r="300" spans="1:1">
      <c r="A300" s="50"/>
    </row>
    <row r="301" spans="1:1">
      <c r="A301" s="50"/>
    </row>
    <row r="302" spans="1:1">
      <c r="A302" s="50"/>
    </row>
    <row r="303" spans="1:1">
      <c r="A303" s="50"/>
    </row>
    <row r="304" spans="1:1">
      <c r="A304" s="50"/>
    </row>
    <row r="305" spans="1:1">
      <c r="A305" s="50"/>
    </row>
    <row r="306" spans="1:1">
      <c r="A306" s="50"/>
    </row>
    <row r="307" spans="1:1">
      <c r="A307" s="50"/>
    </row>
    <row r="308" spans="1:1">
      <c r="A308" s="50"/>
    </row>
    <row r="309" spans="1:1">
      <c r="A309" s="50"/>
    </row>
    <row r="310" spans="1:1">
      <c r="A310" s="50"/>
    </row>
    <row r="311" spans="1:1">
      <c r="A311" s="50"/>
    </row>
    <row r="312" spans="1:1">
      <c r="A312" s="50"/>
    </row>
    <row r="313" spans="1:1">
      <c r="A313" s="50"/>
    </row>
    <row r="314" spans="1:1">
      <c r="A314" s="50"/>
    </row>
    <row r="315" spans="1:1">
      <c r="A315" s="50"/>
    </row>
    <row r="316" spans="1:1">
      <c r="A316" s="50"/>
    </row>
    <row r="317" spans="1:1">
      <c r="A317" s="50"/>
    </row>
    <row r="318" spans="1:1">
      <c r="A318" s="50"/>
    </row>
    <row r="319" spans="1:1">
      <c r="A319" s="50"/>
    </row>
    <row r="320" spans="1:1">
      <c r="A320" s="50"/>
    </row>
    <row r="321" spans="1:1">
      <c r="A321" s="50"/>
    </row>
    <row r="322" spans="1:1">
      <c r="A322" s="50"/>
    </row>
    <row r="323" spans="1:1">
      <c r="A323" s="50"/>
    </row>
    <row r="324" spans="1:1">
      <c r="A324" s="50"/>
    </row>
    <row r="325" spans="1:1">
      <c r="A325" s="50"/>
    </row>
    <row r="326" spans="1:1">
      <c r="A326" s="50"/>
    </row>
    <row r="327" spans="1:1">
      <c r="A327" s="50"/>
    </row>
    <row r="328" spans="1:1">
      <c r="A328" s="50"/>
    </row>
    <row r="329" spans="1:1">
      <c r="A329" s="50"/>
    </row>
    <row r="330" spans="1:1">
      <c r="A330" s="50"/>
    </row>
    <row r="331" spans="1:1">
      <c r="A331" s="50"/>
    </row>
    <row r="332" spans="1:1">
      <c r="A332" s="50"/>
    </row>
    <row r="333" spans="1:1">
      <c r="A333" s="50"/>
    </row>
    <row r="334" spans="1:1">
      <c r="A334" s="50"/>
    </row>
    <row r="335" spans="1:1">
      <c r="A335" s="50"/>
    </row>
    <row r="336" spans="1:1">
      <c r="A336" s="50"/>
    </row>
    <row r="337" spans="1:1">
      <c r="A337" s="50"/>
    </row>
    <row r="338" spans="1:1">
      <c r="A338" s="50"/>
    </row>
    <row r="339" spans="1:1">
      <c r="A339" s="50"/>
    </row>
    <row r="340" spans="1:1">
      <c r="A340" s="50"/>
    </row>
    <row r="341" spans="1:1">
      <c r="A341" s="50"/>
    </row>
    <row r="342" spans="1:1">
      <c r="A342" s="50"/>
    </row>
    <row r="343" spans="1:1">
      <c r="A343" s="50"/>
    </row>
    <row r="344" spans="1:1">
      <c r="A344" s="50"/>
    </row>
    <row r="345" spans="1:1">
      <c r="A345" s="50"/>
    </row>
    <row r="346" spans="1:1">
      <c r="A346" s="50"/>
    </row>
    <row r="347" spans="1:1">
      <c r="A347" s="50"/>
    </row>
    <row r="348" spans="1:1">
      <c r="A348" s="50"/>
    </row>
    <row r="349" spans="1:1">
      <c r="A349" s="50"/>
    </row>
    <row r="350" spans="1:1">
      <c r="A350" s="50"/>
    </row>
    <row r="351" spans="1:1">
      <c r="A351" s="50"/>
    </row>
    <row r="352" spans="1:1">
      <c r="A352" s="50"/>
    </row>
    <row r="353" spans="1:1">
      <c r="A353" s="50"/>
    </row>
    <row r="354" spans="1:1">
      <c r="A354" s="50"/>
    </row>
    <row r="355" spans="1:1">
      <c r="A355" s="50"/>
    </row>
    <row r="356" spans="1:1">
      <c r="A356" s="50"/>
    </row>
    <row r="357" spans="1:1">
      <c r="A357" s="50"/>
    </row>
    <row r="358" spans="1:1">
      <c r="A358" s="50"/>
    </row>
    <row r="359" spans="1:1">
      <c r="A359" s="50"/>
    </row>
    <row r="360" spans="1:1">
      <c r="A360" s="50"/>
    </row>
    <row r="361" spans="1:1">
      <c r="A361" s="50"/>
    </row>
    <row r="362" spans="1:1">
      <c r="A362" s="50"/>
    </row>
    <row r="363" spans="1:1">
      <c r="A363" s="50"/>
    </row>
    <row r="364" spans="1:1">
      <c r="A364" s="50"/>
    </row>
    <row r="365" spans="1:1">
      <c r="A365" s="50"/>
    </row>
    <row r="366" spans="1:1">
      <c r="A366" s="50"/>
    </row>
    <row r="367" spans="1:1">
      <c r="A367" s="50"/>
    </row>
    <row r="368" spans="1:1">
      <c r="A368" s="50"/>
    </row>
    <row r="369" spans="1:1">
      <c r="A369" s="50"/>
    </row>
    <row r="370" spans="1:1">
      <c r="A370" s="50"/>
    </row>
    <row r="371" spans="1:1">
      <c r="A371" s="50"/>
    </row>
    <row r="372" spans="1:1">
      <c r="A372" s="50"/>
    </row>
    <row r="373" spans="1:1">
      <c r="A373" s="50"/>
    </row>
    <row r="374" spans="1:1">
      <c r="A374" s="50"/>
    </row>
    <row r="375" spans="1:1">
      <c r="A375" s="50"/>
    </row>
    <row r="376" spans="1:1">
      <c r="A376" s="50"/>
    </row>
    <row r="377" spans="1:1">
      <c r="A377" s="50"/>
    </row>
    <row r="378" spans="1:1">
      <c r="A378" s="50"/>
    </row>
    <row r="379" spans="1:1">
      <c r="A379" s="50"/>
    </row>
    <row r="380" spans="1:1">
      <c r="A380" s="50"/>
    </row>
    <row r="381" spans="1:1">
      <c r="A381" s="50"/>
    </row>
    <row r="382" spans="1:1">
      <c r="A382" s="50"/>
    </row>
    <row r="383" spans="1:1">
      <c r="A383" s="50"/>
    </row>
    <row r="384" spans="1:1">
      <c r="A384" s="50"/>
    </row>
    <row r="385" spans="1:1">
      <c r="A385" s="50"/>
    </row>
    <row r="386" spans="1:1">
      <c r="A386" s="50"/>
    </row>
    <row r="387" spans="1:1">
      <c r="A387" s="50"/>
    </row>
    <row r="388" spans="1:1">
      <c r="A388" s="50"/>
    </row>
    <row r="389" spans="1:1">
      <c r="A389" s="50"/>
    </row>
    <row r="390" spans="1:1">
      <c r="A390" s="50"/>
    </row>
    <row r="391" spans="1:1">
      <c r="A391" s="50"/>
    </row>
    <row r="392" spans="1:1">
      <c r="A392" s="50"/>
    </row>
    <row r="393" spans="1:1">
      <c r="A393" s="50"/>
    </row>
    <row r="394" spans="1:1">
      <c r="A394" s="50"/>
    </row>
    <row r="395" spans="1:1">
      <c r="A395" s="50"/>
    </row>
    <row r="396" spans="1:1">
      <c r="A396" s="50"/>
    </row>
    <row r="397" spans="1:1">
      <c r="A397" s="50"/>
    </row>
    <row r="398" spans="1:1">
      <c r="A398" s="50"/>
    </row>
    <row r="399" spans="1:1">
      <c r="A399" s="50"/>
    </row>
    <row r="400" spans="1:1">
      <c r="A400" s="50"/>
    </row>
    <row r="401" spans="1:1">
      <c r="A401" s="50"/>
    </row>
    <row r="402" spans="1:1">
      <c r="A402" s="50"/>
    </row>
    <row r="403" spans="1:1">
      <c r="A403" s="50"/>
    </row>
    <row r="404" spans="1:1">
      <c r="A404" s="50"/>
    </row>
    <row r="405" spans="1:1">
      <c r="A405" s="50"/>
    </row>
    <row r="406" spans="1:1">
      <c r="A406" s="50"/>
    </row>
    <row r="407" spans="1:1">
      <c r="A407" s="50"/>
    </row>
    <row r="408" spans="1:1">
      <c r="A408" s="50"/>
    </row>
    <row r="409" spans="1:1">
      <c r="A409" s="50"/>
    </row>
    <row r="410" spans="1:1">
      <c r="A410" s="50"/>
    </row>
    <row r="411" spans="1:1">
      <c r="A411" s="50"/>
    </row>
    <row r="412" spans="1:1">
      <c r="A412" s="50"/>
    </row>
    <row r="413" spans="1:1">
      <c r="A413" s="50"/>
    </row>
    <row r="414" spans="1:1">
      <c r="A414" s="50"/>
    </row>
    <row r="415" spans="1:1">
      <c r="A415" s="50"/>
    </row>
    <row r="416" spans="1:1">
      <c r="A416" s="50"/>
    </row>
    <row r="417" spans="1:1">
      <c r="A417" s="50"/>
    </row>
    <row r="418" spans="1:1">
      <c r="A418" s="50"/>
    </row>
    <row r="419" spans="1:1">
      <c r="A419" s="50"/>
    </row>
    <row r="420" spans="1:1">
      <c r="A420" s="50"/>
    </row>
    <row r="421" spans="1:1">
      <c r="A421" s="50"/>
    </row>
    <row r="422" spans="1:1">
      <c r="A422" s="50"/>
    </row>
    <row r="423" spans="1:1">
      <c r="A423" s="50"/>
    </row>
    <row r="424" spans="1:1">
      <c r="A424" s="50"/>
    </row>
    <row r="425" spans="1:1">
      <c r="A425" s="50"/>
    </row>
    <row r="426" spans="1:1">
      <c r="A426" s="50"/>
    </row>
    <row r="427" spans="1:1">
      <c r="A427" s="50"/>
    </row>
    <row r="428" spans="1:1">
      <c r="A428" s="50"/>
    </row>
    <row r="429" spans="1:1">
      <c r="A429" s="50"/>
    </row>
    <row r="430" spans="1:1">
      <c r="A430" s="50"/>
    </row>
    <row r="431" spans="1:1">
      <c r="A431" s="50"/>
    </row>
    <row r="432" spans="1:1">
      <c r="A432" s="50"/>
    </row>
    <row r="433" spans="1:1">
      <c r="A433" s="50"/>
    </row>
    <row r="434" spans="1:1">
      <c r="A434" s="50"/>
    </row>
    <row r="435" spans="1:1">
      <c r="A435" s="50"/>
    </row>
    <row r="436" spans="1:1">
      <c r="A436" s="50"/>
    </row>
    <row r="437" spans="1:1">
      <c r="A437" s="50"/>
    </row>
    <row r="438" spans="1:1">
      <c r="A438" s="50"/>
    </row>
    <row r="439" spans="1:1">
      <c r="A439" s="50"/>
    </row>
    <row r="440" spans="1:1">
      <c r="A440" s="50"/>
    </row>
    <row r="441" spans="1:1">
      <c r="A441" s="50"/>
    </row>
    <row r="442" spans="1:1">
      <c r="A442" s="50"/>
    </row>
    <row r="443" spans="1:1">
      <c r="A443" s="50"/>
    </row>
    <row r="444" spans="1:1">
      <c r="A444" s="50"/>
    </row>
    <row r="445" spans="1:1">
      <c r="A445" s="50"/>
    </row>
    <row r="446" spans="1:1">
      <c r="A446" s="50"/>
    </row>
    <row r="447" spans="1:1">
      <c r="A447" s="50"/>
    </row>
    <row r="448" spans="1:1">
      <c r="A448" s="50"/>
    </row>
    <row r="449" spans="1:1">
      <c r="A449" s="50"/>
    </row>
    <row r="450" spans="1:1">
      <c r="A450" s="50"/>
    </row>
    <row r="451" spans="1:1">
      <c r="A451" s="50"/>
    </row>
    <row r="452" spans="1:1">
      <c r="A452" s="50"/>
    </row>
    <row r="453" spans="1:1">
      <c r="A453" s="50"/>
    </row>
    <row r="454" spans="1:1">
      <c r="A454" s="50"/>
    </row>
    <row r="455" spans="1:1">
      <c r="A455" s="50"/>
    </row>
    <row r="456" spans="1:1">
      <c r="A456" s="50"/>
    </row>
    <row r="457" spans="1:1">
      <c r="A457" s="50"/>
    </row>
    <row r="458" spans="1:1">
      <c r="A458" s="50"/>
    </row>
    <row r="459" spans="1:1">
      <c r="A459" s="50"/>
    </row>
    <row r="460" spans="1:1">
      <c r="A460" s="50"/>
    </row>
    <row r="461" spans="1:1">
      <c r="A461" s="50"/>
    </row>
    <row r="462" spans="1:1">
      <c r="A462" s="50"/>
    </row>
    <row r="463" spans="1:1">
      <c r="A463" s="50"/>
    </row>
    <row r="464" spans="1:1">
      <c r="A464" s="50"/>
    </row>
    <row r="465" spans="1:1">
      <c r="A465" s="50"/>
    </row>
    <row r="466" spans="1:1">
      <c r="A466" s="50"/>
    </row>
    <row r="467" spans="1:1">
      <c r="A467" s="50"/>
    </row>
    <row r="468" spans="1:1">
      <c r="A468" s="50"/>
    </row>
    <row r="469" spans="1:1">
      <c r="A469" s="50"/>
    </row>
    <row r="470" spans="1:1">
      <c r="A470" s="50"/>
    </row>
    <row r="471" spans="1:1">
      <c r="A471" s="50"/>
    </row>
    <row r="472" spans="1:1">
      <c r="A472" s="50"/>
    </row>
    <row r="473" spans="1:1">
      <c r="A473" s="50"/>
    </row>
    <row r="474" spans="1:1">
      <c r="A474" s="50"/>
    </row>
    <row r="475" spans="1:1">
      <c r="A475" s="50"/>
    </row>
    <row r="476" spans="1:1">
      <c r="A476" s="50"/>
    </row>
    <row r="477" spans="1:1">
      <c r="A477" s="50"/>
    </row>
    <row r="478" spans="1:1">
      <c r="A478" s="50"/>
    </row>
    <row r="479" spans="1:1">
      <c r="A479" s="50"/>
    </row>
    <row r="480" spans="1:1">
      <c r="A480" s="50"/>
    </row>
    <row r="481" spans="1:1">
      <c r="A481" s="50"/>
    </row>
    <row r="482" spans="1:1">
      <c r="A482" s="50"/>
    </row>
    <row r="483" spans="1:1">
      <c r="A483" s="50"/>
    </row>
    <row r="484" spans="1:1">
      <c r="A484" s="50"/>
    </row>
    <row r="485" spans="1:1">
      <c r="A485" s="50"/>
    </row>
    <row r="486" spans="1:1">
      <c r="A486" s="50"/>
    </row>
    <row r="487" spans="1:1">
      <c r="A487" s="50"/>
    </row>
    <row r="488" spans="1:1">
      <c r="A488" s="50"/>
    </row>
    <row r="489" spans="1:1">
      <c r="A489" s="50"/>
    </row>
    <row r="490" spans="1:1">
      <c r="A490" s="50"/>
    </row>
    <row r="491" spans="1:1">
      <c r="A491" s="50"/>
    </row>
    <row r="492" spans="1:1">
      <c r="A492" s="50"/>
    </row>
    <row r="493" spans="1:1">
      <c r="A493" s="50"/>
    </row>
    <row r="494" spans="1:1">
      <c r="A494" s="50"/>
    </row>
    <row r="495" spans="1:1">
      <c r="A495" s="50"/>
    </row>
    <row r="496" spans="1:1">
      <c r="A496" s="50"/>
    </row>
    <row r="497" spans="1:1">
      <c r="A497" s="50"/>
    </row>
    <row r="498" spans="1:1">
      <c r="A498" s="50"/>
    </row>
    <row r="499" spans="1:1">
      <c r="A499" s="50"/>
    </row>
    <row r="500" spans="1:1">
      <c r="A500" s="50"/>
    </row>
    <row r="501" spans="1:1">
      <c r="A501" s="50"/>
    </row>
    <row r="502" spans="1:1">
      <c r="A502" s="50"/>
    </row>
    <row r="503" spans="1:1">
      <c r="A503" s="50"/>
    </row>
    <row r="504" spans="1:1">
      <c r="A504" s="50"/>
    </row>
    <row r="505" spans="1:1">
      <c r="A505" s="50"/>
    </row>
    <row r="506" spans="1:1">
      <c r="A506" s="50"/>
    </row>
    <row r="507" spans="1:1">
      <c r="A507" s="50"/>
    </row>
    <row r="508" spans="1:1">
      <c r="A508" s="50"/>
    </row>
    <row r="509" spans="1:1">
      <c r="A509" s="50"/>
    </row>
    <row r="510" spans="1:1">
      <c r="A510" s="50"/>
    </row>
    <row r="511" spans="1:1">
      <c r="A511" s="50"/>
    </row>
    <row r="512" spans="1:1">
      <c r="A512" s="50"/>
    </row>
    <row r="513" spans="1:1">
      <c r="A513" s="50"/>
    </row>
    <row r="514" spans="1:1">
      <c r="A514" s="50"/>
    </row>
    <row r="515" spans="1:1">
      <c r="A515" s="50"/>
    </row>
    <row r="516" spans="1:1">
      <c r="A516" s="50"/>
    </row>
    <row r="517" spans="1:1">
      <c r="A517" s="50"/>
    </row>
    <row r="518" spans="1:1">
      <c r="A518" s="50"/>
    </row>
    <row r="519" spans="1:1">
      <c r="A519" s="50"/>
    </row>
    <row r="520" spans="1:1">
      <c r="A520" s="50"/>
    </row>
    <row r="521" spans="1:1">
      <c r="A521" s="50"/>
    </row>
    <row r="522" spans="1:1">
      <c r="A522" s="50"/>
    </row>
    <row r="523" spans="1:1">
      <c r="A523" s="50"/>
    </row>
    <row r="524" spans="1:1">
      <c r="A524" s="50"/>
    </row>
    <row r="525" spans="1:1">
      <c r="A525" s="50"/>
    </row>
    <row r="526" spans="1:1">
      <c r="A526" s="50"/>
    </row>
    <row r="527" spans="1:1">
      <c r="A527" s="50"/>
    </row>
    <row r="528" spans="1:1">
      <c r="A528" s="50"/>
    </row>
    <row r="529" spans="1:1">
      <c r="A529" s="50"/>
    </row>
    <row r="530" spans="1:1">
      <c r="A530" s="50"/>
    </row>
    <row r="531" spans="1:1">
      <c r="A531" s="50"/>
    </row>
    <row r="532" spans="1:1">
      <c r="A532" s="50"/>
    </row>
    <row r="533" spans="1:1">
      <c r="A533" s="50"/>
    </row>
    <row r="534" spans="1:1">
      <c r="A534" s="50"/>
    </row>
    <row r="535" spans="1:1">
      <c r="A535" s="50"/>
    </row>
    <row r="536" spans="1:1">
      <c r="A536" s="50"/>
    </row>
    <row r="537" spans="1:1">
      <c r="A537" s="50"/>
    </row>
    <row r="538" spans="1:1">
      <c r="A538" s="50"/>
    </row>
    <row r="539" spans="1:1">
      <c r="A539" s="50"/>
    </row>
    <row r="540" spans="1:1">
      <c r="A540" s="50"/>
    </row>
    <row r="541" spans="1:1">
      <c r="A541" s="50"/>
    </row>
    <row r="542" spans="1:1">
      <c r="A542" s="50"/>
    </row>
    <row r="543" spans="1:1">
      <c r="A543" s="50"/>
    </row>
    <row r="544" spans="1:1">
      <c r="A544" s="50"/>
    </row>
    <row r="545" spans="1:1">
      <c r="A545" s="50"/>
    </row>
    <row r="546" spans="1:1">
      <c r="A546" s="50"/>
    </row>
    <row r="547" spans="1:1">
      <c r="A547" s="50"/>
    </row>
    <row r="548" spans="1:1">
      <c r="A548" s="50"/>
    </row>
    <row r="549" spans="1:1">
      <c r="A549" s="50"/>
    </row>
    <row r="550" spans="1:1">
      <c r="A550" s="50"/>
    </row>
    <row r="551" spans="1:1">
      <c r="A551" s="50"/>
    </row>
    <row r="552" spans="1:1">
      <c r="A552" s="50"/>
    </row>
    <row r="553" spans="1:1">
      <c r="A553" s="50"/>
    </row>
    <row r="554" spans="1:1">
      <c r="A554" s="50"/>
    </row>
    <row r="555" spans="1:1">
      <c r="A555" s="50"/>
    </row>
    <row r="556" spans="1:1">
      <c r="A556" s="50"/>
    </row>
    <row r="557" spans="1:1">
      <c r="A557" s="50"/>
    </row>
    <row r="558" spans="1:1">
      <c r="A558" s="50"/>
    </row>
    <row r="559" spans="1:1">
      <c r="A559" s="50"/>
    </row>
    <row r="560" spans="1:1">
      <c r="A560" s="50"/>
    </row>
    <row r="561" spans="1:1">
      <c r="A561" s="50"/>
    </row>
    <row r="562" spans="1:1">
      <c r="A562" s="50"/>
    </row>
    <row r="563" spans="1:1">
      <c r="A563" s="50"/>
    </row>
    <row r="564" spans="1:1">
      <c r="A564" s="50"/>
    </row>
    <row r="565" spans="1:1">
      <c r="A565" s="50"/>
    </row>
    <row r="566" spans="1:1">
      <c r="A566" s="50"/>
    </row>
    <row r="567" spans="1:1">
      <c r="A567" s="50"/>
    </row>
    <row r="568" spans="1:1">
      <c r="A568" s="50"/>
    </row>
    <row r="569" spans="1:1">
      <c r="A569" s="50"/>
    </row>
    <row r="570" spans="1:1">
      <c r="A570" s="50"/>
    </row>
    <row r="571" spans="1:1">
      <c r="A571" s="50"/>
    </row>
    <row r="572" spans="1:1">
      <c r="A572" s="50"/>
    </row>
    <row r="573" spans="1:1">
      <c r="A573" s="50"/>
    </row>
    <row r="574" spans="1:1">
      <c r="A574" s="50"/>
    </row>
    <row r="575" spans="1:1">
      <c r="A575" s="50"/>
    </row>
    <row r="576" spans="1:1">
      <c r="A576" s="50"/>
    </row>
    <row r="577" spans="1:1">
      <c r="A577" s="50"/>
    </row>
    <row r="578" spans="1:1">
      <c r="A578" s="50"/>
    </row>
    <row r="579" spans="1:1">
      <c r="A579" s="50"/>
    </row>
    <row r="580" spans="1:1">
      <c r="A580" s="50"/>
    </row>
    <row r="581" spans="1:1">
      <c r="A581" s="50"/>
    </row>
    <row r="582" spans="1:1">
      <c r="A582" s="50"/>
    </row>
    <row r="583" spans="1:1">
      <c r="A583" s="50"/>
    </row>
    <row r="584" spans="1:1">
      <c r="A584" s="50"/>
    </row>
    <row r="585" spans="1:1">
      <c r="A585" s="50"/>
    </row>
    <row r="586" spans="1:1">
      <c r="A586" s="50"/>
    </row>
    <row r="587" spans="1:1">
      <c r="A587" s="50"/>
    </row>
    <row r="588" spans="1:1">
      <c r="A588" s="50"/>
    </row>
    <row r="589" spans="1:1">
      <c r="A589" s="50"/>
    </row>
    <row r="590" spans="1:1">
      <c r="A590" s="50"/>
    </row>
    <row r="591" spans="1:1">
      <c r="A591" s="50"/>
    </row>
    <row r="592" spans="1:1">
      <c r="A592" s="50"/>
    </row>
    <row r="593" spans="1:1">
      <c r="A593" s="50"/>
    </row>
    <row r="594" spans="1:1">
      <c r="A594" s="50"/>
    </row>
    <row r="595" spans="1:1">
      <c r="A595" s="50"/>
    </row>
    <row r="596" spans="1:1">
      <c r="A596" s="50"/>
    </row>
    <row r="597" spans="1:1">
      <c r="A597" s="50"/>
    </row>
    <row r="598" spans="1:1">
      <c r="A598" s="50"/>
    </row>
    <row r="599" spans="1:1">
      <c r="A599" s="50"/>
    </row>
    <row r="600" spans="1:1">
      <c r="A600" s="50"/>
    </row>
    <row r="601" spans="1:1">
      <c r="A601" s="50"/>
    </row>
    <row r="602" spans="1:1">
      <c r="A602" s="50"/>
    </row>
    <row r="603" spans="1:1">
      <c r="A603" s="50"/>
    </row>
    <row r="604" spans="1:1">
      <c r="A604" s="50"/>
    </row>
    <row r="605" spans="1:1">
      <c r="A605" s="50"/>
    </row>
    <row r="606" spans="1:1">
      <c r="A606" s="50"/>
    </row>
    <row r="607" spans="1:1">
      <c r="A607" s="50"/>
    </row>
    <row r="608" spans="1:1">
      <c r="A608" s="50"/>
    </row>
    <row r="609" spans="1:1">
      <c r="A609" s="50"/>
    </row>
    <row r="610" spans="1:1">
      <c r="A610" s="50"/>
    </row>
    <row r="611" spans="1:1">
      <c r="A611" s="50"/>
    </row>
    <row r="612" spans="1:1">
      <c r="A612" s="50"/>
    </row>
    <row r="613" spans="1:1">
      <c r="A613" s="50"/>
    </row>
    <row r="614" spans="1:1">
      <c r="A614" s="50"/>
    </row>
    <row r="615" spans="1:1">
      <c r="A615" s="50"/>
    </row>
    <row r="616" spans="1:1">
      <c r="A616" s="50"/>
    </row>
    <row r="617" spans="1:1">
      <c r="A617" s="50"/>
    </row>
    <row r="618" spans="1:1">
      <c r="A618" s="50"/>
    </row>
    <row r="619" spans="1:1">
      <c r="A619" s="50"/>
    </row>
    <row r="620" spans="1:1">
      <c r="A620" s="50"/>
    </row>
    <row r="621" spans="1:1">
      <c r="A621" s="50"/>
    </row>
    <row r="622" spans="1:1">
      <c r="A622" s="50"/>
    </row>
    <row r="623" spans="1:1">
      <c r="A623" s="50"/>
    </row>
    <row r="624" spans="1:1">
      <c r="A624" s="50"/>
    </row>
    <row r="625" spans="1:1">
      <c r="A625" s="50"/>
    </row>
    <row r="626" spans="1:1">
      <c r="A626" s="50"/>
    </row>
    <row r="627" spans="1:1">
      <c r="A627" s="50"/>
    </row>
    <row r="628" spans="1:1">
      <c r="A628" s="50"/>
    </row>
    <row r="629" spans="1:1">
      <c r="A629" s="50"/>
    </row>
    <row r="630" spans="1:1">
      <c r="A630" s="50"/>
    </row>
    <row r="631" spans="1:1">
      <c r="A631" s="50"/>
    </row>
    <row r="632" spans="1:1">
      <c r="A632" s="50"/>
    </row>
    <row r="633" spans="1:1">
      <c r="A633" s="50"/>
    </row>
    <row r="634" spans="1:1">
      <c r="A634" s="50"/>
    </row>
    <row r="635" spans="1:1">
      <c r="A635" s="50"/>
    </row>
    <row r="636" spans="1:1">
      <c r="A636" s="50"/>
    </row>
    <row r="637" spans="1:1">
      <c r="A637" s="50"/>
    </row>
    <row r="638" spans="1:1">
      <c r="A638" s="50"/>
    </row>
    <row r="639" spans="1:1">
      <c r="A639" s="50"/>
    </row>
    <row r="640" spans="1:1">
      <c r="A640" s="50"/>
    </row>
    <row r="641" spans="1:1">
      <c r="A641" s="50"/>
    </row>
    <row r="642" spans="1:1">
      <c r="A642" s="50"/>
    </row>
    <row r="643" spans="1:1">
      <c r="A643" s="50"/>
    </row>
    <row r="644" spans="1:1">
      <c r="A644" s="50"/>
    </row>
    <row r="645" spans="1:1">
      <c r="A645" s="50"/>
    </row>
    <row r="646" spans="1:1">
      <c r="A646" s="50"/>
    </row>
    <row r="647" spans="1:1">
      <c r="A647" s="50"/>
    </row>
    <row r="648" spans="1:1">
      <c r="A648" s="50"/>
    </row>
    <row r="649" spans="1:1">
      <c r="A649" s="50"/>
    </row>
    <row r="650" spans="1:1">
      <c r="A650" s="50"/>
    </row>
    <row r="651" spans="1:1">
      <c r="A651" s="50"/>
    </row>
    <row r="652" spans="1:1">
      <c r="A652" s="50"/>
    </row>
    <row r="653" spans="1:1">
      <c r="A653" s="50"/>
    </row>
    <row r="654" spans="1:1">
      <c r="A654" s="50"/>
    </row>
    <row r="655" spans="1:1">
      <c r="A655" s="50"/>
    </row>
    <row r="656" spans="1:1">
      <c r="A656" s="50"/>
    </row>
    <row r="657" spans="1:1">
      <c r="A657" s="50"/>
    </row>
    <row r="658" spans="1:1">
      <c r="A658" s="50"/>
    </row>
    <row r="659" spans="1:1">
      <c r="A659" s="50"/>
    </row>
    <row r="660" spans="1:1">
      <c r="A660" s="50"/>
    </row>
    <row r="661" spans="1:1">
      <c r="A661" s="50"/>
    </row>
    <row r="662" spans="1:1">
      <c r="A662" s="50"/>
    </row>
    <row r="663" spans="1:1">
      <c r="A663" s="50"/>
    </row>
    <row r="664" spans="1:1">
      <c r="A664" s="50"/>
    </row>
    <row r="665" spans="1:1">
      <c r="A665" s="50"/>
    </row>
    <row r="666" spans="1:1">
      <c r="A666" s="50"/>
    </row>
    <row r="667" spans="1:1">
      <c r="A667" s="50"/>
    </row>
    <row r="668" spans="1:1">
      <c r="A668" s="50"/>
    </row>
    <row r="669" spans="1:1">
      <c r="A669" s="50"/>
    </row>
    <row r="670" spans="1:1">
      <c r="A670" s="50"/>
    </row>
    <row r="671" spans="1:1">
      <c r="A671" s="50"/>
    </row>
    <row r="672" spans="1:1">
      <c r="A672" s="50"/>
    </row>
    <row r="673" spans="1:1">
      <c r="A673" s="50"/>
    </row>
    <row r="674" spans="1:1">
      <c r="A674" s="50"/>
    </row>
    <row r="675" spans="1:1">
      <c r="A675" s="50"/>
    </row>
    <row r="676" spans="1:1">
      <c r="A676" s="50"/>
    </row>
    <row r="677" spans="1:1">
      <c r="A677" s="50"/>
    </row>
    <row r="678" spans="1:1">
      <c r="A678" s="50"/>
    </row>
    <row r="679" spans="1:1">
      <c r="A679" s="50"/>
    </row>
    <row r="680" spans="1:1">
      <c r="A680" s="50"/>
    </row>
    <row r="681" spans="1:1">
      <c r="A681" s="50"/>
    </row>
    <row r="682" spans="1:1">
      <c r="A682" s="50"/>
    </row>
    <row r="683" spans="1:1">
      <c r="A683" s="50"/>
    </row>
    <row r="684" spans="1:1">
      <c r="A684" s="50"/>
    </row>
    <row r="685" spans="1:1">
      <c r="A685" s="50"/>
    </row>
    <row r="686" spans="1:1">
      <c r="A686" s="50"/>
    </row>
    <row r="687" spans="1:1">
      <c r="A687" s="50"/>
    </row>
    <row r="688" spans="1:1">
      <c r="A688" s="50"/>
    </row>
    <row r="689" spans="1:1">
      <c r="A689" s="50"/>
    </row>
    <row r="690" spans="1:1">
      <c r="A690" s="50"/>
    </row>
    <row r="691" spans="1:1">
      <c r="A691" s="50"/>
    </row>
    <row r="692" spans="1:1">
      <c r="A692" s="50"/>
    </row>
    <row r="693" spans="1:1">
      <c r="A693" s="50"/>
    </row>
    <row r="694" spans="1:1">
      <c r="A694" s="50"/>
    </row>
    <row r="695" spans="1:1">
      <c r="A695" s="50"/>
    </row>
    <row r="696" spans="1:1">
      <c r="A696" s="50"/>
    </row>
    <row r="697" spans="1:1">
      <c r="A697" s="50"/>
    </row>
    <row r="698" spans="1:1">
      <c r="A698" s="50"/>
    </row>
    <row r="699" spans="1:1">
      <c r="A699" s="50"/>
    </row>
    <row r="700" spans="1:1">
      <c r="A700" s="50"/>
    </row>
    <row r="701" spans="1:1">
      <c r="A701" s="50"/>
    </row>
    <row r="702" spans="1:1">
      <c r="A702" s="50"/>
    </row>
    <row r="703" spans="1:1">
      <c r="A703" s="50"/>
    </row>
    <row r="704" spans="1:1">
      <c r="A704" s="50"/>
    </row>
    <row r="705" spans="1:1">
      <c r="A705" s="50"/>
    </row>
    <row r="706" spans="1:1">
      <c r="A706" s="50"/>
    </row>
    <row r="707" spans="1:1">
      <c r="A707" s="50"/>
    </row>
    <row r="708" spans="1:1">
      <c r="A708" s="50"/>
    </row>
    <row r="709" spans="1:1">
      <c r="A709" s="50"/>
    </row>
    <row r="710" spans="1:1">
      <c r="A710" s="50"/>
    </row>
    <row r="711" spans="1:1">
      <c r="A711" s="50"/>
    </row>
    <row r="712" spans="1:1">
      <c r="A712" s="50"/>
    </row>
    <row r="713" spans="1:1">
      <c r="A713" s="50"/>
    </row>
    <row r="714" spans="1:1">
      <c r="A714" s="50"/>
    </row>
    <row r="715" spans="1:1">
      <c r="A715" s="50"/>
    </row>
    <row r="716" spans="1:1">
      <c r="A716" s="50"/>
    </row>
    <row r="717" spans="1:1">
      <c r="A717" s="50"/>
    </row>
    <row r="718" spans="1:1">
      <c r="A718" s="50"/>
    </row>
    <row r="719" spans="1:1">
      <c r="A719" s="50"/>
    </row>
    <row r="720" spans="1:1">
      <c r="A720" s="50"/>
    </row>
    <row r="721" spans="1:1">
      <c r="A721" s="50"/>
    </row>
    <row r="722" spans="1:1">
      <c r="A722" s="50"/>
    </row>
    <row r="723" spans="1:1">
      <c r="A723" s="50"/>
    </row>
    <row r="724" spans="1:1">
      <c r="A724" s="50"/>
    </row>
    <row r="725" spans="1:1">
      <c r="A725" s="50"/>
    </row>
    <row r="726" spans="1:1">
      <c r="A726" s="50"/>
    </row>
    <row r="727" spans="1:1">
      <c r="A727" s="50"/>
    </row>
    <row r="728" spans="1:1">
      <c r="A728" s="50"/>
    </row>
    <row r="729" spans="1:1">
      <c r="A729" s="50"/>
    </row>
    <row r="730" spans="1:1">
      <c r="A730" s="50"/>
    </row>
    <row r="731" spans="1:1">
      <c r="A731" s="50"/>
    </row>
    <row r="732" spans="1:1">
      <c r="A732" s="50"/>
    </row>
    <row r="733" spans="1:1">
      <c r="A733" s="50"/>
    </row>
    <row r="734" spans="1:1">
      <c r="A734" s="50"/>
    </row>
    <row r="735" spans="1:1">
      <c r="A735" s="50"/>
    </row>
    <row r="736" spans="1:1">
      <c r="A736" s="50"/>
    </row>
    <row r="737" spans="1:1">
      <c r="A737" s="50"/>
    </row>
    <row r="738" spans="1:1">
      <c r="A738" s="50"/>
    </row>
    <row r="739" spans="1:1">
      <c r="A739" s="50"/>
    </row>
    <row r="740" spans="1:1">
      <c r="A740" s="50"/>
    </row>
    <row r="741" spans="1:1">
      <c r="A741" s="50"/>
    </row>
    <row r="742" spans="1:1">
      <c r="A742" s="50"/>
    </row>
    <row r="743" spans="1:1">
      <c r="A743" s="50"/>
    </row>
    <row r="744" spans="1:1">
      <c r="A744" s="50"/>
    </row>
    <row r="745" spans="1:1">
      <c r="A745" s="50"/>
    </row>
    <row r="746" spans="1:1">
      <c r="A746" s="50"/>
    </row>
    <row r="747" spans="1:1">
      <c r="A747" s="50"/>
    </row>
    <row r="748" spans="1:1">
      <c r="A748" s="50"/>
    </row>
    <row r="749" spans="1:1">
      <c r="A749" s="50"/>
    </row>
    <row r="750" spans="1:1">
      <c r="A750" s="50"/>
    </row>
    <row r="751" spans="1:1">
      <c r="A751" s="50"/>
    </row>
    <row r="752" spans="1:1">
      <c r="A752" s="50"/>
    </row>
    <row r="753" spans="1:1">
      <c r="A753" s="50"/>
    </row>
    <row r="754" spans="1:1">
      <c r="A754" s="50"/>
    </row>
    <row r="755" spans="1:1">
      <c r="A755" s="50"/>
    </row>
    <row r="756" spans="1:1">
      <c r="A756" s="50"/>
    </row>
    <row r="757" spans="1:1">
      <c r="A757" s="50"/>
    </row>
    <row r="758" spans="1:1">
      <c r="A758" s="50"/>
    </row>
    <row r="759" spans="1:1">
      <c r="A759" s="50"/>
    </row>
    <row r="760" spans="1:1">
      <c r="A760" s="50"/>
    </row>
    <row r="761" spans="1:1">
      <c r="A761" s="50"/>
    </row>
    <row r="762" spans="1:1">
      <c r="A762" s="50"/>
    </row>
    <row r="763" spans="1:1">
      <c r="A763" s="50"/>
    </row>
    <row r="764" spans="1:1">
      <c r="A764" s="50"/>
    </row>
    <row r="765" spans="1:1">
      <c r="A765" s="50"/>
    </row>
    <row r="766" spans="1:1">
      <c r="A766" s="50"/>
    </row>
    <row r="767" spans="1:1">
      <c r="A767" s="50"/>
    </row>
    <row r="768" spans="1:1">
      <c r="A768" s="50"/>
    </row>
    <row r="769" spans="1:1">
      <c r="A769" s="50"/>
    </row>
    <row r="770" spans="1:1">
      <c r="A770" s="50"/>
    </row>
    <row r="771" spans="1:1">
      <c r="A771" s="50"/>
    </row>
    <row r="772" spans="1:1">
      <c r="A772" s="50"/>
    </row>
    <row r="773" spans="1:1">
      <c r="A773" s="50"/>
    </row>
    <row r="774" spans="1:1">
      <c r="A774" s="50"/>
    </row>
    <row r="775" spans="1:1">
      <c r="A775" s="50"/>
    </row>
    <row r="776" spans="1:1">
      <c r="A776" s="50"/>
    </row>
    <row r="777" spans="1:1">
      <c r="A777" s="50"/>
    </row>
    <row r="778" spans="1:1">
      <c r="A778" s="50"/>
    </row>
    <row r="779" spans="1:1">
      <c r="A779" s="50"/>
    </row>
    <row r="780" spans="1:1">
      <c r="A780" s="50"/>
    </row>
    <row r="781" spans="1:1">
      <c r="A781" s="50"/>
    </row>
    <row r="782" spans="1:1">
      <c r="A782" s="50"/>
    </row>
    <row r="783" spans="1:1">
      <c r="A783" s="50"/>
    </row>
    <row r="784" spans="1:1">
      <c r="A784" s="50"/>
    </row>
    <row r="785" spans="1:1">
      <c r="A785" s="50"/>
    </row>
    <row r="786" spans="1:1">
      <c r="A786" s="50"/>
    </row>
    <row r="787" spans="1:1">
      <c r="A787" s="50"/>
    </row>
    <row r="788" spans="1:1">
      <c r="A788" s="50"/>
    </row>
    <row r="789" spans="1:1">
      <c r="A789" s="50"/>
    </row>
    <row r="790" spans="1:1">
      <c r="A790" s="50"/>
    </row>
    <row r="791" spans="1:1">
      <c r="A791" s="50"/>
    </row>
    <row r="792" spans="1:1">
      <c r="A792" s="50"/>
    </row>
    <row r="793" spans="1:1">
      <c r="A793" s="50"/>
    </row>
    <row r="794" spans="1:1">
      <c r="A794" s="50"/>
    </row>
    <row r="795" spans="1:1">
      <c r="A795" s="50"/>
    </row>
    <row r="796" spans="1:1">
      <c r="A796" s="50"/>
    </row>
    <row r="797" spans="1:1">
      <c r="A797" s="50"/>
    </row>
    <row r="798" spans="1:1">
      <c r="A798" s="50"/>
    </row>
    <row r="799" spans="1:1">
      <c r="A799" s="50"/>
    </row>
    <row r="800" spans="1:1">
      <c r="A800" s="50"/>
    </row>
    <row r="801" spans="1:1">
      <c r="A801" s="50"/>
    </row>
    <row r="802" spans="1:1">
      <c r="A802" s="50"/>
    </row>
    <row r="803" spans="1:1">
      <c r="A803" s="50"/>
    </row>
    <row r="804" spans="1:1">
      <c r="A804" s="50"/>
    </row>
    <row r="805" spans="1:1">
      <c r="A805" s="50"/>
    </row>
    <row r="806" spans="1:1">
      <c r="A806" s="50"/>
    </row>
    <row r="807" spans="1:1">
      <c r="A807" s="50"/>
    </row>
    <row r="808" spans="1:1">
      <c r="A808" s="50"/>
    </row>
    <row r="809" spans="1:1">
      <c r="A809" s="50"/>
    </row>
    <row r="810" spans="1:1">
      <c r="A810" s="50"/>
    </row>
    <row r="811" spans="1:1">
      <c r="A811" s="50"/>
    </row>
    <row r="812" spans="1:1">
      <c r="A812" s="50"/>
    </row>
    <row r="813" spans="1:1">
      <c r="A813" s="50"/>
    </row>
    <row r="814" spans="1:1">
      <c r="A814" s="50"/>
    </row>
    <row r="815" spans="1:1">
      <c r="A815" s="50"/>
    </row>
    <row r="816" spans="1:1">
      <c r="A816" s="50"/>
    </row>
    <row r="817" spans="1:1">
      <c r="A817" s="50"/>
    </row>
    <row r="818" spans="1:1">
      <c r="A818" s="50"/>
    </row>
    <row r="819" spans="1:1">
      <c r="A819" s="50"/>
    </row>
    <row r="820" spans="1:1">
      <c r="A820" s="50"/>
    </row>
    <row r="821" spans="1:1">
      <c r="A821" s="50"/>
    </row>
    <row r="822" spans="1:1">
      <c r="A822" s="50"/>
    </row>
    <row r="823" spans="1:1">
      <c r="A823" s="50"/>
    </row>
    <row r="824" spans="1:1">
      <c r="A824" s="50"/>
    </row>
    <row r="825" spans="1:1">
      <c r="A825" s="50"/>
    </row>
    <row r="826" spans="1:1">
      <c r="A826" s="50"/>
    </row>
    <row r="827" spans="1:1">
      <c r="A827" s="50"/>
    </row>
    <row r="828" spans="1:1">
      <c r="A828" s="50"/>
    </row>
    <row r="829" spans="1:1">
      <c r="A829" s="50"/>
    </row>
    <row r="830" spans="1:1">
      <c r="A830" s="50"/>
    </row>
    <row r="831" spans="1:1">
      <c r="A831" s="50"/>
    </row>
    <row r="832" spans="1:1">
      <c r="A832" s="50"/>
    </row>
    <row r="833" spans="1:1">
      <c r="A833" s="50"/>
    </row>
    <row r="834" spans="1:1">
      <c r="A834" s="50"/>
    </row>
    <row r="835" spans="1:1">
      <c r="A835" s="50"/>
    </row>
    <row r="836" spans="1:1">
      <c r="A836" s="50"/>
    </row>
    <row r="837" spans="1:1">
      <c r="A837" s="50"/>
    </row>
    <row r="838" spans="1:1">
      <c r="A838" s="50"/>
    </row>
    <row r="839" spans="1:1">
      <c r="A839" s="50"/>
    </row>
    <row r="840" spans="1:1">
      <c r="A840" s="50"/>
    </row>
    <row r="841" spans="1:1">
      <c r="A841" s="50"/>
    </row>
    <row r="842" spans="1:1">
      <c r="A842" s="50"/>
    </row>
    <row r="843" spans="1:1">
      <c r="A843" s="50"/>
    </row>
    <row r="844" spans="1:1">
      <c r="A844" s="50"/>
    </row>
    <row r="845" spans="1:1">
      <c r="A845" s="50"/>
    </row>
    <row r="846" spans="1:1">
      <c r="A846" s="50"/>
    </row>
    <row r="847" spans="1:1">
      <c r="A847" s="50"/>
    </row>
    <row r="848" spans="1:1">
      <c r="A848" s="50"/>
    </row>
    <row r="849" spans="1:1">
      <c r="A849" s="50"/>
    </row>
    <row r="850" spans="1:1">
      <c r="A850" s="50"/>
    </row>
    <row r="851" spans="1:1">
      <c r="A851" s="50"/>
    </row>
    <row r="852" spans="1:1">
      <c r="A852" s="50"/>
    </row>
    <row r="853" spans="1:1">
      <c r="A853" s="50"/>
    </row>
    <row r="854" spans="1:1">
      <c r="A854" s="50"/>
    </row>
    <row r="855" spans="1:1">
      <c r="A855" s="50"/>
    </row>
    <row r="856" spans="1:1">
      <c r="A856" s="50"/>
    </row>
    <row r="857" spans="1:1">
      <c r="A857" s="50"/>
    </row>
    <row r="858" spans="1:1">
      <c r="A858" s="50"/>
    </row>
    <row r="859" spans="1:1">
      <c r="A859" s="50"/>
    </row>
    <row r="860" spans="1:1">
      <c r="A860" s="50"/>
    </row>
    <row r="861" spans="1:1">
      <c r="A861" s="50"/>
    </row>
    <row r="862" spans="1:1">
      <c r="A862" s="50"/>
    </row>
    <row r="863" spans="1:1">
      <c r="A863" s="50"/>
    </row>
    <row r="864" spans="1:1">
      <c r="A864" s="50"/>
    </row>
    <row r="865" spans="1:1">
      <c r="A865" s="50"/>
    </row>
    <row r="866" spans="1:1">
      <c r="A866" s="50"/>
    </row>
    <row r="867" spans="1:1">
      <c r="A867" s="50"/>
    </row>
    <row r="868" spans="1:1">
      <c r="A868" s="50"/>
    </row>
    <row r="869" spans="1:1">
      <c r="A869" s="50"/>
    </row>
    <row r="870" spans="1:1">
      <c r="A870" s="50"/>
    </row>
    <row r="871" spans="1:1">
      <c r="A871" s="50"/>
    </row>
    <row r="872" spans="1:1">
      <c r="A872" s="50"/>
    </row>
    <row r="873" spans="1:1">
      <c r="A873" s="50"/>
    </row>
    <row r="874" spans="1:1">
      <c r="A874" s="50"/>
    </row>
    <row r="875" spans="1:1">
      <c r="A875" s="50"/>
    </row>
    <row r="876" spans="1:1">
      <c r="A876" s="50"/>
    </row>
    <row r="877" spans="1:1">
      <c r="A877" s="50"/>
    </row>
    <row r="878" spans="1:1">
      <c r="A878" s="50"/>
    </row>
    <row r="879" spans="1:1">
      <c r="A879" s="50"/>
    </row>
    <row r="880" spans="1:1">
      <c r="A880" s="50"/>
    </row>
    <row r="881" spans="1:1">
      <c r="A881" s="50"/>
    </row>
    <row r="882" spans="1:1">
      <c r="A882" s="50"/>
    </row>
    <row r="883" spans="1:1">
      <c r="A883" s="50"/>
    </row>
    <row r="884" spans="1:1">
      <c r="A884" s="50"/>
    </row>
    <row r="885" spans="1:1">
      <c r="A885" s="50"/>
    </row>
    <row r="886" spans="1:1">
      <c r="A886" s="50"/>
    </row>
    <row r="887" spans="1:1">
      <c r="A887" s="50"/>
    </row>
    <row r="888" spans="1:1">
      <c r="A888" s="50"/>
    </row>
    <row r="889" spans="1:1">
      <c r="A889" s="50"/>
    </row>
    <row r="890" spans="1:1">
      <c r="A890" s="50"/>
    </row>
    <row r="891" spans="1:1">
      <c r="A891" s="50"/>
    </row>
    <row r="892" spans="1:1">
      <c r="A892" s="50"/>
    </row>
    <row r="893" spans="1:1">
      <c r="A893" s="50"/>
    </row>
    <row r="894" spans="1:1">
      <c r="A894" s="50"/>
    </row>
    <row r="895" spans="1:1">
      <c r="A895" s="50"/>
    </row>
    <row r="896" spans="1:1">
      <c r="A896" s="50"/>
    </row>
    <row r="897" spans="1:1">
      <c r="A897" s="50"/>
    </row>
    <row r="898" spans="1:1">
      <c r="A898" s="50"/>
    </row>
    <row r="899" spans="1:1">
      <c r="A899" s="50"/>
    </row>
    <row r="900" spans="1:1">
      <c r="A900" s="50"/>
    </row>
    <row r="901" spans="1:1">
      <c r="A901" s="50"/>
    </row>
    <row r="902" spans="1:1">
      <c r="A902" s="50"/>
    </row>
    <row r="903" spans="1:1">
      <c r="A903" s="50"/>
    </row>
    <row r="904" spans="1:1">
      <c r="A904" s="50"/>
    </row>
    <row r="905" spans="1:1">
      <c r="A905" s="50"/>
    </row>
    <row r="906" spans="1:1">
      <c r="A906" s="50"/>
    </row>
    <row r="907" spans="1:1">
      <c r="A907" s="50"/>
    </row>
    <row r="908" spans="1:1">
      <c r="A908" s="50"/>
    </row>
    <row r="909" spans="1:1">
      <c r="A909" s="50"/>
    </row>
    <row r="910" spans="1:1">
      <c r="A910" s="50"/>
    </row>
    <row r="911" spans="1:1">
      <c r="A911" s="50"/>
    </row>
    <row r="912" spans="1:1">
      <c r="A912" s="50"/>
    </row>
    <row r="913" spans="1:1">
      <c r="A913" s="50"/>
    </row>
    <row r="914" spans="1:1">
      <c r="A914" s="50"/>
    </row>
    <row r="915" spans="1:1">
      <c r="A915" s="50"/>
    </row>
    <row r="916" spans="1:1">
      <c r="A916" s="50"/>
    </row>
    <row r="917" spans="1:1">
      <c r="A917" s="50"/>
    </row>
    <row r="918" spans="1:1">
      <c r="A918" s="50"/>
    </row>
    <row r="919" spans="1:1">
      <c r="A919" s="50"/>
    </row>
    <row r="920" spans="1:1">
      <c r="A920" s="50"/>
    </row>
    <row r="921" spans="1:1">
      <c r="A921" s="50"/>
    </row>
    <row r="922" spans="1:1">
      <c r="A922" s="50"/>
    </row>
    <row r="923" spans="1:1">
      <c r="A923" s="50"/>
    </row>
    <row r="924" spans="1:1">
      <c r="A924" s="50"/>
    </row>
    <row r="925" spans="1:1">
      <c r="A925" s="50"/>
    </row>
    <row r="926" spans="1:1">
      <c r="A926" s="50"/>
    </row>
    <row r="927" spans="1:1">
      <c r="A927" s="50"/>
    </row>
    <row r="928" spans="1:1">
      <c r="A928" s="50"/>
    </row>
    <row r="929" spans="1:1">
      <c r="A929" s="50"/>
    </row>
    <row r="930" spans="1:1">
      <c r="A930" s="50"/>
    </row>
    <row r="931" spans="1:1">
      <c r="A931" s="50"/>
    </row>
    <row r="932" spans="1:1">
      <c r="A932" s="50"/>
    </row>
    <row r="933" spans="1:1">
      <c r="A933" s="50"/>
    </row>
    <row r="934" spans="1:1">
      <c r="A934" s="50"/>
    </row>
    <row r="935" spans="1:1">
      <c r="A935" s="50"/>
    </row>
    <row r="936" spans="1:1">
      <c r="A936" s="50"/>
    </row>
    <row r="937" spans="1:1">
      <c r="A937" s="50"/>
    </row>
    <row r="938" spans="1:1">
      <c r="A938" s="50"/>
    </row>
    <row r="939" spans="1:1">
      <c r="A939" s="50"/>
    </row>
    <row r="940" spans="1:1">
      <c r="A940" s="50"/>
    </row>
    <row r="941" spans="1:1">
      <c r="A941" s="50"/>
    </row>
    <row r="942" spans="1:1">
      <c r="A942" s="50"/>
    </row>
    <row r="943" spans="1:1">
      <c r="A943" s="50"/>
    </row>
    <row r="944" spans="1:1">
      <c r="A944" s="50"/>
    </row>
    <row r="945" spans="1:1">
      <c r="A945" s="50"/>
    </row>
    <row r="946" spans="1:1">
      <c r="A946" s="50"/>
    </row>
    <row r="947" spans="1:1">
      <c r="A947" s="50"/>
    </row>
    <row r="948" spans="1:1">
      <c r="A948" s="50"/>
    </row>
    <row r="949" spans="1:1">
      <c r="A949" s="50"/>
    </row>
    <row r="950" spans="1:1">
      <c r="A950" s="50"/>
    </row>
    <row r="951" spans="1:1">
      <c r="A951" s="50"/>
    </row>
    <row r="952" spans="1:1">
      <c r="A952" s="50"/>
    </row>
    <row r="953" spans="1:1">
      <c r="A953" s="50"/>
    </row>
    <row r="954" spans="1:1">
      <c r="A954" s="50"/>
    </row>
    <row r="955" spans="1:1">
      <c r="A955" s="50"/>
    </row>
    <row r="956" spans="1:1">
      <c r="A956" s="50"/>
    </row>
    <row r="957" spans="1:1">
      <c r="A957" s="50"/>
    </row>
    <row r="958" spans="1:1">
      <c r="A958" s="50"/>
    </row>
    <row r="959" spans="1:1">
      <c r="A959" s="50"/>
    </row>
    <row r="960" spans="1:1">
      <c r="A960" s="50"/>
    </row>
    <row r="961" spans="1:1">
      <c r="A961" s="50"/>
    </row>
    <row r="962" spans="1:1">
      <c r="A962" s="50"/>
    </row>
    <row r="963" spans="1:1">
      <c r="A963" s="50"/>
    </row>
    <row r="964" spans="1:1">
      <c r="A964" s="50"/>
    </row>
    <row r="965" spans="1:1">
      <c r="A965" s="50"/>
    </row>
    <row r="966" spans="1:1">
      <c r="A966" s="50"/>
    </row>
    <row r="967" spans="1:1">
      <c r="A967" s="50"/>
    </row>
    <row r="968" spans="1:1">
      <c r="A968" s="50"/>
    </row>
    <row r="969" spans="1:1">
      <c r="A969" s="50"/>
    </row>
    <row r="970" spans="1:1">
      <c r="A970" s="50"/>
    </row>
    <row r="971" spans="1:1">
      <c r="A971" s="50"/>
    </row>
    <row r="972" spans="1:1">
      <c r="A972" s="50"/>
    </row>
    <row r="973" spans="1:1">
      <c r="A973" s="50"/>
    </row>
    <row r="974" spans="1:1">
      <c r="A974" s="50"/>
    </row>
    <row r="975" spans="1:1">
      <c r="A975" s="50"/>
    </row>
    <row r="976" spans="1:1">
      <c r="A976" s="50"/>
    </row>
    <row r="977" spans="1:1">
      <c r="A977" s="50"/>
    </row>
    <row r="978" spans="1:1">
      <c r="A978" s="50"/>
    </row>
    <row r="979" spans="1:1">
      <c r="A979" s="50"/>
    </row>
    <row r="980" spans="1:1">
      <c r="A980" s="50"/>
    </row>
    <row r="981" spans="1:1">
      <c r="A981" s="50"/>
    </row>
    <row r="982" spans="1:1">
      <c r="A982" s="50"/>
    </row>
    <row r="983" spans="1:1">
      <c r="A983" s="50"/>
    </row>
    <row r="984" spans="1:1">
      <c r="A984" s="50"/>
    </row>
    <row r="985" spans="1:1">
      <c r="A985" s="50"/>
    </row>
    <row r="986" spans="1:1">
      <c r="A986" s="50"/>
    </row>
    <row r="987" spans="1:1">
      <c r="A987" s="50"/>
    </row>
    <row r="988" spans="1:1">
      <c r="A988" s="50"/>
    </row>
    <row r="989" spans="1:1">
      <c r="A989" s="50"/>
    </row>
    <row r="990" spans="1:1">
      <c r="A990" s="50"/>
    </row>
    <row r="991" spans="1:1">
      <c r="A991" s="50"/>
    </row>
    <row r="992" spans="1:1">
      <c r="A992" s="50"/>
    </row>
    <row r="993" spans="1:1">
      <c r="A993" s="50"/>
    </row>
    <row r="994" spans="1:1">
      <c r="A994" s="50"/>
    </row>
    <row r="995" spans="1:1">
      <c r="A995" s="50"/>
    </row>
    <row r="996" spans="1:1">
      <c r="A996" s="50"/>
    </row>
    <row r="997" spans="1:1">
      <c r="A997" s="50"/>
    </row>
    <row r="998" spans="1:1">
      <c r="A998" s="50"/>
    </row>
    <row r="999" spans="1:1">
      <c r="A999" s="50"/>
    </row>
    <row r="1000" spans="1:1">
      <c r="A1000" s="50"/>
    </row>
    <row r="1001" spans="1:1">
      <c r="A1001" s="50"/>
    </row>
    <row r="1002" spans="1:1">
      <c r="A1002" s="50"/>
    </row>
    <row r="1003" spans="1:1">
      <c r="A1003" s="50"/>
    </row>
    <row r="1004" spans="1:1">
      <c r="A1004" s="50"/>
    </row>
    <row r="1005" spans="1:1">
      <c r="A1005" s="50"/>
    </row>
    <row r="1006" spans="1:1">
      <c r="A1006" s="50"/>
    </row>
    <row r="1007" spans="1:1">
      <c r="A1007" s="50"/>
    </row>
    <row r="1008" spans="1:1">
      <c r="A1008" s="50"/>
    </row>
    <row r="1009" spans="1:1">
      <c r="A1009" s="50"/>
    </row>
    <row r="1010" spans="1:1">
      <c r="A1010" s="50"/>
    </row>
    <row r="1011" spans="1:1">
      <c r="A1011" s="50"/>
    </row>
    <row r="1012" spans="1:1">
      <c r="A1012" s="50"/>
    </row>
    <row r="1013" spans="1:1">
      <c r="A1013" s="50"/>
    </row>
    <row r="1014" spans="1:1">
      <c r="A1014" s="50"/>
    </row>
    <row r="1015" spans="1:1">
      <c r="A1015" s="50"/>
    </row>
    <row r="1016" spans="1:1">
      <c r="A1016" s="50"/>
    </row>
    <row r="1017" spans="1:1">
      <c r="A1017" s="50"/>
    </row>
    <row r="1018" spans="1:1">
      <c r="A1018" s="50"/>
    </row>
    <row r="1019" spans="1:1">
      <c r="A1019" s="50"/>
    </row>
    <row r="1020" spans="1:1">
      <c r="A1020" s="50"/>
    </row>
    <row r="1021" spans="1:1">
      <c r="A1021" s="50"/>
    </row>
    <row r="1022" spans="1:1">
      <c r="A1022" s="50"/>
    </row>
    <row r="1023" spans="1:1">
      <c r="A1023" s="50"/>
    </row>
    <row r="1024" spans="1:1">
      <c r="A1024" s="50"/>
    </row>
    <row r="1025" spans="1:1">
      <c r="A1025" s="50"/>
    </row>
    <row r="1026" spans="1:1">
      <c r="A1026" s="50"/>
    </row>
    <row r="1027" spans="1:1">
      <c r="A1027" s="50"/>
    </row>
    <row r="1028" spans="1:1">
      <c r="A1028" s="50"/>
    </row>
    <row r="1029" spans="1:1">
      <c r="A1029" s="50"/>
    </row>
    <row r="1030" spans="1:1">
      <c r="A1030" s="50"/>
    </row>
    <row r="1031" spans="1:1">
      <c r="A1031" s="50"/>
    </row>
    <row r="1032" spans="1:1">
      <c r="A1032" s="50"/>
    </row>
    <row r="1033" spans="1:1">
      <c r="A1033" s="50"/>
    </row>
    <row r="1034" spans="1:1">
      <c r="A1034" s="50"/>
    </row>
    <row r="1035" spans="1:1">
      <c r="A1035" s="50"/>
    </row>
    <row r="1036" spans="1:1">
      <c r="A1036" s="50"/>
    </row>
    <row r="1037" spans="1:1">
      <c r="A1037" s="50"/>
    </row>
    <row r="1038" spans="1:1">
      <c r="A1038" s="50"/>
    </row>
    <row r="1039" spans="1:1">
      <c r="A1039" s="50"/>
    </row>
    <row r="1040" spans="1:1">
      <c r="A1040" s="50"/>
    </row>
    <row r="1041" spans="1:1">
      <c r="A1041" s="50"/>
    </row>
    <row r="1042" spans="1:1">
      <c r="A1042" s="50"/>
    </row>
    <row r="1043" spans="1:1">
      <c r="A1043" s="50"/>
    </row>
    <row r="1044" spans="1:1">
      <c r="A1044" s="50"/>
    </row>
    <row r="1045" spans="1:1">
      <c r="A1045" s="50"/>
    </row>
    <row r="1046" spans="1:1">
      <c r="A1046" s="50"/>
    </row>
    <row r="1047" spans="1:1">
      <c r="A1047" s="50"/>
    </row>
    <row r="1048" spans="1:1">
      <c r="A1048" s="50"/>
    </row>
    <row r="1049" spans="1:1">
      <c r="A1049" s="50"/>
    </row>
    <row r="1050" spans="1:1">
      <c r="A1050" s="50"/>
    </row>
    <row r="1051" spans="1:1">
      <c r="A1051" s="50"/>
    </row>
    <row r="1052" spans="1:1">
      <c r="A1052" s="50"/>
    </row>
    <row r="1053" spans="1:1">
      <c r="A1053" s="50"/>
    </row>
    <row r="1054" spans="1:1">
      <c r="A1054" s="50"/>
    </row>
    <row r="1055" spans="1:1">
      <c r="A1055" s="50"/>
    </row>
    <row r="1056" spans="1:1">
      <c r="A1056" s="50"/>
    </row>
    <row r="1057" spans="1:1">
      <c r="A1057" s="50"/>
    </row>
    <row r="1058" spans="1:1">
      <c r="A1058" s="50"/>
    </row>
    <row r="1059" spans="1:1">
      <c r="A1059" s="50"/>
    </row>
    <row r="1060" spans="1:1">
      <c r="A1060" s="50"/>
    </row>
    <row r="1061" spans="1:1">
      <c r="A1061" s="50"/>
    </row>
    <row r="1062" spans="1:1">
      <c r="A1062" s="50"/>
    </row>
    <row r="1063" spans="1:1">
      <c r="A1063" s="50"/>
    </row>
    <row r="1064" spans="1:1">
      <c r="A1064" s="50"/>
    </row>
    <row r="1065" spans="1:1">
      <c r="A1065" s="50"/>
    </row>
    <row r="1066" spans="1:1">
      <c r="A1066" s="50"/>
    </row>
    <row r="1067" spans="1:1">
      <c r="A1067" s="50"/>
    </row>
    <row r="1068" spans="1:1">
      <c r="A1068" s="50"/>
    </row>
    <row r="1069" spans="1:1">
      <c r="A1069" s="50"/>
    </row>
    <row r="1070" spans="1:1">
      <c r="A1070" s="50"/>
    </row>
    <row r="1071" spans="1:1">
      <c r="A1071" s="50"/>
    </row>
    <row r="1072" spans="1:1">
      <c r="A1072" s="50"/>
    </row>
    <row r="1073" spans="1:1">
      <c r="A1073" s="50"/>
    </row>
    <row r="1074" spans="1:1">
      <c r="A1074" s="50"/>
    </row>
    <row r="1075" spans="1:1">
      <c r="A1075" s="50"/>
    </row>
    <row r="1076" spans="1:1">
      <c r="A1076" s="50"/>
    </row>
    <row r="1077" spans="1:1">
      <c r="A1077" s="50"/>
    </row>
    <row r="1078" spans="1:1">
      <c r="A1078" s="50"/>
    </row>
    <row r="1079" spans="1:1">
      <c r="A1079" s="50"/>
    </row>
    <row r="1080" spans="1:1">
      <c r="A1080" s="50"/>
    </row>
    <row r="1081" spans="1:1">
      <c r="A1081" s="50"/>
    </row>
    <row r="1082" spans="1:1">
      <c r="A1082" s="50"/>
    </row>
    <row r="1083" spans="1:1">
      <c r="A1083" s="50"/>
    </row>
    <row r="1084" spans="1:1">
      <c r="A1084" s="50"/>
    </row>
    <row r="1085" spans="1:1">
      <c r="A1085" s="50"/>
    </row>
    <row r="1086" spans="1:1">
      <c r="A1086" s="50"/>
    </row>
    <row r="1087" spans="1:1">
      <c r="A1087" s="50"/>
    </row>
    <row r="1088" spans="1:1">
      <c r="A1088" s="50"/>
    </row>
    <row r="1089" spans="1:1">
      <c r="A1089" s="50"/>
    </row>
    <row r="1090" spans="1:1">
      <c r="A1090" s="50"/>
    </row>
    <row r="1091" spans="1:1">
      <c r="A1091" s="50"/>
    </row>
    <row r="1092" spans="1:1">
      <c r="A1092" s="50"/>
    </row>
    <row r="1093" spans="1:1">
      <c r="A1093" s="50"/>
    </row>
    <row r="1094" spans="1:1">
      <c r="A1094" s="50"/>
    </row>
    <row r="1095" spans="1:1">
      <c r="A1095" s="50"/>
    </row>
    <row r="1096" spans="1:1">
      <c r="A1096" s="50"/>
    </row>
    <row r="1097" spans="1:1">
      <c r="A1097" s="50"/>
    </row>
    <row r="1098" spans="1:1">
      <c r="A1098" s="50"/>
    </row>
    <row r="1099" spans="1:1">
      <c r="A1099" s="50"/>
    </row>
    <row r="1100" spans="1:1">
      <c r="A1100" s="50"/>
    </row>
    <row r="1101" spans="1:1">
      <c r="A1101" s="50"/>
    </row>
    <row r="1102" spans="1:1">
      <c r="A1102" s="50"/>
    </row>
    <row r="1103" spans="1:1">
      <c r="A1103" s="50"/>
    </row>
    <row r="1104" spans="1:1">
      <c r="A1104" s="50"/>
    </row>
    <row r="1105" spans="1:1">
      <c r="A1105" s="50"/>
    </row>
    <row r="1106" spans="1:1">
      <c r="A1106" s="50"/>
    </row>
    <row r="1107" spans="1:1">
      <c r="A1107" s="50"/>
    </row>
    <row r="1108" spans="1:1">
      <c r="A1108" s="50"/>
    </row>
    <row r="1109" spans="1:1">
      <c r="A1109" s="50"/>
    </row>
    <row r="1110" spans="1:1">
      <c r="A1110" s="50"/>
    </row>
    <row r="1111" spans="1:1">
      <c r="A1111" s="50"/>
    </row>
    <row r="1112" spans="1:1">
      <c r="A1112" s="50"/>
    </row>
    <row r="1113" spans="1:1">
      <c r="A1113" s="50"/>
    </row>
    <row r="1114" spans="1:1">
      <c r="A1114" s="50"/>
    </row>
    <row r="1115" spans="1:1">
      <c r="A1115" s="50"/>
    </row>
    <row r="1116" spans="1:1">
      <c r="A1116" s="50"/>
    </row>
    <row r="1117" spans="1:1">
      <c r="A1117" s="50"/>
    </row>
    <row r="1118" spans="1:1">
      <c r="A1118" s="50"/>
    </row>
    <row r="1119" spans="1:1">
      <c r="A1119" s="50"/>
    </row>
    <row r="1120" spans="1:1">
      <c r="A1120" s="50"/>
    </row>
    <row r="1121" spans="1:1">
      <c r="A1121" s="50"/>
    </row>
    <row r="1122" spans="1:1">
      <c r="A1122" s="50"/>
    </row>
    <row r="1123" spans="1:1">
      <c r="A1123" s="50"/>
    </row>
    <row r="1124" spans="1:1">
      <c r="A1124" s="50"/>
    </row>
    <row r="1125" spans="1:1">
      <c r="A1125" s="50"/>
    </row>
    <row r="1126" spans="1:1">
      <c r="A1126" s="50"/>
    </row>
    <row r="1127" spans="1:1">
      <c r="A1127" s="50"/>
    </row>
    <row r="1128" spans="1:1">
      <c r="A1128" s="50"/>
    </row>
    <row r="1129" spans="1:1">
      <c r="A1129" s="50"/>
    </row>
    <row r="1130" spans="1:1">
      <c r="A1130" s="50"/>
    </row>
    <row r="1131" spans="1:1">
      <c r="A1131" s="50"/>
    </row>
    <row r="1132" spans="1:1">
      <c r="A1132" s="50"/>
    </row>
    <row r="1133" spans="1:1">
      <c r="A1133" s="50"/>
    </row>
    <row r="1134" spans="1:1">
      <c r="A1134" s="50"/>
    </row>
    <row r="1135" spans="1:1">
      <c r="A1135" s="50"/>
    </row>
    <row r="1136" spans="1:1">
      <c r="A1136" s="50"/>
    </row>
    <row r="1137" spans="1:1">
      <c r="A1137" s="50"/>
    </row>
    <row r="1138" spans="1:1">
      <c r="A1138" s="50"/>
    </row>
    <row r="1139" spans="1:1">
      <c r="A1139" s="50"/>
    </row>
    <row r="1140" spans="1:1">
      <c r="A1140" s="50"/>
    </row>
    <row r="1141" spans="1:1">
      <c r="A1141" s="50"/>
    </row>
    <row r="1142" spans="1:1">
      <c r="A1142" s="50"/>
    </row>
    <row r="1143" spans="1:1">
      <c r="A1143" s="50"/>
    </row>
    <row r="1144" spans="1:1">
      <c r="A1144" s="50"/>
    </row>
    <row r="1145" spans="1:1">
      <c r="A1145" s="50"/>
    </row>
    <row r="1146" spans="1:1">
      <c r="A1146" s="50"/>
    </row>
    <row r="1147" spans="1:1">
      <c r="A1147" s="50"/>
    </row>
    <row r="1148" spans="1:1">
      <c r="A1148" s="50"/>
    </row>
    <row r="1149" spans="1:1">
      <c r="A1149" s="50"/>
    </row>
    <row r="1150" spans="1:1">
      <c r="A1150" s="50"/>
    </row>
    <row r="1151" spans="1:1">
      <c r="A1151" s="50"/>
    </row>
    <row r="1152" spans="1:1">
      <c r="A1152" s="50"/>
    </row>
    <row r="1153" spans="1:1">
      <c r="A1153" s="50"/>
    </row>
    <row r="1154" spans="1:1">
      <c r="A1154" s="50"/>
    </row>
    <row r="1155" spans="1:1">
      <c r="A1155" s="50"/>
    </row>
    <row r="1156" spans="1:1">
      <c r="A1156" s="50"/>
    </row>
    <row r="1157" spans="1:1">
      <c r="A1157" s="50"/>
    </row>
    <row r="1158" spans="1:1">
      <c r="A1158" s="50"/>
    </row>
    <row r="1159" spans="1:1">
      <c r="A1159" s="50"/>
    </row>
    <row r="1160" spans="1:1">
      <c r="A1160" s="50"/>
    </row>
    <row r="1161" spans="1:1">
      <c r="A1161" s="50"/>
    </row>
    <row r="1162" spans="1:1">
      <c r="A1162" s="50"/>
    </row>
    <row r="1163" spans="1:1">
      <c r="A1163" s="50"/>
    </row>
    <row r="1164" spans="1:1">
      <c r="A1164" s="50"/>
    </row>
    <row r="1165" spans="1:1">
      <c r="A1165" s="50"/>
    </row>
    <row r="1166" spans="1:1">
      <c r="A1166" s="50"/>
    </row>
    <row r="1167" spans="1:1">
      <c r="A1167" s="50"/>
    </row>
    <row r="1168" spans="1:1">
      <c r="A1168" s="50"/>
    </row>
    <row r="1169" spans="1:1">
      <c r="A1169" s="50"/>
    </row>
    <row r="1170" spans="1:1">
      <c r="A1170" s="50"/>
    </row>
    <row r="1171" spans="1:1">
      <c r="A1171" s="50"/>
    </row>
    <row r="1172" spans="1:1">
      <c r="A1172" s="50"/>
    </row>
    <row r="1173" spans="1:1">
      <c r="A1173" s="50"/>
    </row>
    <row r="1174" spans="1:1">
      <c r="A1174" s="50"/>
    </row>
    <row r="1175" spans="1:1">
      <c r="A1175" s="50"/>
    </row>
    <row r="1176" spans="1:1">
      <c r="A1176" s="50"/>
    </row>
    <row r="1177" spans="1:1">
      <c r="A1177" s="50"/>
    </row>
    <row r="1178" spans="1:1">
      <c r="A1178" s="50"/>
    </row>
    <row r="1179" spans="1:1">
      <c r="A1179" s="50"/>
    </row>
    <row r="1180" spans="1:1">
      <c r="A1180" s="50"/>
    </row>
    <row r="1181" spans="1:1">
      <c r="A1181" s="50"/>
    </row>
    <row r="1182" spans="1:1">
      <c r="A1182" s="50"/>
    </row>
    <row r="1183" spans="1:1">
      <c r="A1183" s="50"/>
    </row>
    <row r="1184" spans="1:1">
      <c r="A1184" s="50"/>
    </row>
    <row r="1185" spans="1:1">
      <c r="A1185" s="50"/>
    </row>
    <row r="1186" spans="1:1">
      <c r="A1186" s="50"/>
    </row>
    <row r="1187" spans="1:1">
      <c r="A1187" s="50"/>
    </row>
    <row r="1188" spans="1:1">
      <c r="A1188" s="50"/>
    </row>
    <row r="1189" spans="1:1">
      <c r="A1189" s="50"/>
    </row>
    <row r="1190" spans="1:1">
      <c r="A1190" s="50"/>
    </row>
    <row r="1191" spans="1:1">
      <c r="A1191" s="50"/>
    </row>
    <row r="1192" spans="1:1">
      <c r="A1192" s="50"/>
    </row>
    <row r="1193" spans="1:1">
      <c r="A1193" s="50"/>
    </row>
    <row r="1194" spans="1:1">
      <c r="A1194" s="50"/>
    </row>
    <row r="1195" spans="1:1">
      <c r="A1195" s="50"/>
    </row>
    <row r="1196" spans="1:1">
      <c r="A1196" s="50"/>
    </row>
    <row r="1197" spans="1:1">
      <c r="A1197" s="50"/>
    </row>
    <row r="1198" spans="1:1">
      <c r="A1198" s="50"/>
    </row>
    <row r="1199" spans="1:1">
      <c r="A1199" s="50"/>
    </row>
    <row r="1200" spans="1:1">
      <c r="A1200" s="50"/>
    </row>
    <row r="1201" spans="1:1">
      <c r="A1201" s="50"/>
    </row>
    <row r="1202" spans="1:1">
      <c r="A1202" s="50"/>
    </row>
    <row r="1203" spans="1:1">
      <c r="A1203" s="50"/>
    </row>
    <row r="1204" spans="1:1">
      <c r="A1204" s="50"/>
    </row>
    <row r="1205" spans="1:1">
      <c r="A1205" s="50"/>
    </row>
    <row r="1206" spans="1:1">
      <c r="A1206" s="50"/>
    </row>
    <row r="1207" spans="1:1">
      <c r="A1207" s="50"/>
    </row>
    <row r="1208" spans="1:1">
      <c r="A1208" s="50"/>
    </row>
    <row r="1209" spans="1:1">
      <c r="A1209" s="50"/>
    </row>
    <row r="1210" spans="1:1">
      <c r="A1210" s="50"/>
    </row>
    <row r="1211" spans="1:1">
      <c r="A1211" s="50"/>
    </row>
    <row r="1212" spans="1:1">
      <c r="A1212" s="50"/>
    </row>
    <row r="1213" spans="1:1">
      <c r="A1213" s="50"/>
    </row>
    <row r="1214" spans="1:1">
      <c r="A1214" s="50"/>
    </row>
    <row r="1215" spans="1:1">
      <c r="A1215" s="50"/>
    </row>
    <row r="1216" spans="1:1">
      <c r="A1216" s="50"/>
    </row>
    <row r="1217" spans="1:1">
      <c r="A1217" s="50"/>
    </row>
    <row r="1218" spans="1:1">
      <c r="A1218" s="50"/>
    </row>
    <row r="1219" spans="1:1">
      <c r="A1219" s="50"/>
    </row>
    <row r="1220" spans="1:1">
      <c r="A1220" s="50"/>
    </row>
    <row r="1221" spans="1:1">
      <c r="A1221" s="50"/>
    </row>
    <row r="1222" spans="1:1">
      <c r="A1222" s="50"/>
    </row>
    <row r="1223" spans="1:1">
      <c r="A1223" s="50"/>
    </row>
    <row r="1224" spans="1:1">
      <c r="A1224" s="50"/>
    </row>
    <row r="1225" spans="1:1">
      <c r="A1225" s="50"/>
    </row>
    <row r="1226" spans="1:1">
      <c r="A1226" s="50"/>
    </row>
    <row r="1227" spans="1:1">
      <c r="A1227" s="50"/>
    </row>
    <row r="1228" spans="1:1">
      <c r="A1228" s="50"/>
    </row>
    <row r="1229" spans="1:1">
      <c r="A1229" s="50"/>
    </row>
    <row r="1230" spans="1:1">
      <c r="A1230" s="50"/>
    </row>
    <row r="1231" spans="1:1">
      <c r="A1231" s="50"/>
    </row>
    <row r="1232" spans="1:1">
      <c r="A1232" s="50"/>
    </row>
    <row r="1233" spans="1:1">
      <c r="A1233" s="50"/>
    </row>
    <row r="1234" spans="1:1">
      <c r="A1234" s="50"/>
    </row>
    <row r="1235" spans="1:1">
      <c r="A1235" s="50"/>
    </row>
    <row r="1236" spans="1:1">
      <c r="A1236" s="50"/>
    </row>
    <row r="1237" spans="1:1">
      <c r="A1237" s="50"/>
    </row>
    <row r="1238" spans="1:1">
      <c r="A1238" s="50"/>
    </row>
    <row r="1239" spans="1:1">
      <c r="A1239" s="50"/>
    </row>
    <row r="1240" spans="1:1">
      <c r="A1240" s="50"/>
    </row>
    <row r="1241" spans="1:1">
      <c r="A1241" s="50"/>
    </row>
    <row r="1242" spans="1:1">
      <c r="A1242" s="50"/>
    </row>
    <row r="1243" spans="1:1">
      <c r="A1243" s="50"/>
    </row>
    <row r="1244" spans="1:1">
      <c r="A1244" s="50"/>
    </row>
    <row r="1245" spans="1:1">
      <c r="A1245" s="50"/>
    </row>
    <row r="1246" spans="1:1">
      <c r="A1246" s="50"/>
    </row>
    <row r="1247" spans="1:1">
      <c r="A1247" s="50"/>
    </row>
    <row r="1248" spans="1:1">
      <c r="A1248" s="50"/>
    </row>
    <row r="1249" spans="1:1">
      <c r="A1249" s="50"/>
    </row>
    <row r="1250" spans="1:1">
      <c r="A1250" s="50"/>
    </row>
    <row r="1251" spans="1:1">
      <c r="A1251" s="50"/>
    </row>
    <row r="1252" spans="1:1">
      <c r="A1252" s="50"/>
    </row>
    <row r="1253" spans="1:1">
      <c r="A1253" s="50"/>
    </row>
    <row r="1254" spans="1:1">
      <c r="A1254" s="50"/>
    </row>
    <row r="1255" spans="1:1">
      <c r="A1255" s="50"/>
    </row>
    <row r="1256" spans="1:1">
      <c r="A1256" s="50"/>
    </row>
    <row r="1257" spans="1:1">
      <c r="A1257" s="50"/>
    </row>
    <row r="1258" spans="1:1">
      <c r="A1258" s="50"/>
    </row>
    <row r="1259" spans="1:1">
      <c r="A1259" s="50"/>
    </row>
    <row r="1260" spans="1:1">
      <c r="A1260" s="50"/>
    </row>
    <row r="1261" spans="1:1">
      <c r="A1261" s="50"/>
    </row>
    <row r="1262" spans="1:1">
      <c r="A1262" s="50"/>
    </row>
    <row r="1263" spans="1:1">
      <c r="A1263" s="50"/>
    </row>
    <row r="1264" spans="1:1">
      <c r="A1264" s="50"/>
    </row>
    <row r="1265" spans="1:1">
      <c r="A1265" s="50"/>
    </row>
    <row r="1266" spans="1:1">
      <c r="A1266" s="50"/>
    </row>
    <row r="1267" spans="1:1">
      <c r="A1267" s="50"/>
    </row>
    <row r="1268" spans="1:1">
      <c r="A1268" s="50"/>
    </row>
    <row r="1269" spans="1:1">
      <c r="A1269" s="50"/>
    </row>
    <row r="1270" spans="1:1">
      <c r="A1270" s="50"/>
    </row>
    <row r="1271" spans="1:1">
      <c r="A1271" s="50"/>
    </row>
    <row r="1272" spans="1:1">
      <c r="A1272" s="50"/>
    </row>
    <row r="1273" spans="1:1">
      <c r="A1273" s="50"/>
    </row>
    <row r="1274" spans="1:1">
      <c r="A1274" s="50"/>
    </row>
    <row r="1275" spans="1:1">
      <c r="A1275" s="50"/>
    </row>
    <row r="1276" spans="1:1">
      <c r="A1276" s="50"/>
    </row>
    <row r="1277" spans="1:1">
      <c r="A1277" s="50"/>
    </row>
    <row r="1278" spans="1:1">
      <c r="A1278" s="50"/>
    </row>
    <row r="1279" spans="1:1">
      <c r="A1279" s="50"/>
    </row>
    <row r="1280" spans="1:1">
      <c r="A1280" s="50"/>
    </row>
    <row r="1281" spans="1:1">
      <c r="A1281" s="50"/>
    </row>
    <row r="1282" spans="1:1">
      <c r="A1282" s="50"/>
    </row>
    <row r="1283" spans="1:1">
      <c r="A1283" s="50"/>
    </row>
    <row r="1284" spans="1:1">
      <c r="A1284" s="50"/>
    </row>
    <row r="1285" spans="1:1">
      <c r="A1285" s="50"/>
    </row>
    <row r="1286" spans="1:1">
      <c r="A1286" s="50"/>
    </row>
    <row r="1287" spans="1:1">
      <c r="A1287" s="50"/>
    </row>
    <row r="1288" spans="1:1">
      <c r="A1288" s="50"/>
    </row>
    <row r="1289" spans="1:1">
      <c r="A1289" s="50"/>
    </row>
    <row r="1290" spans="1:1">
      <c r="A1290" s="50"/>
    </row>
    <row r="1291" spans="1:1">
      <c r="A1291" s="50"/>
    </row>
    <row r="1292" spans="1:1">
      <c r="A1292" s="50"/>
    </row>
    <row r="1293" spans="1:1">
      <c r="A1293" s="50"/>
    </row>
    <row r="1294" spans="1:1">
      <c r="A1294" s="50"/>
    </row>
    <row r="1295" spans="1:1">
      <c r="A1295" s="50"/>
    </row>
    <row r="1296" spans="1:1">
      <c r="A1296" s="50"/>
    </row>
    <row r="1297" spans="1:1">
      <c r="A1297" s="50"/>
    </row>
    <row r="1298" spans="1:1">
      <c r="A1298" s="50"/>
    </row>
    <row r="1299" spans="1:1">
      <c r="A1299" s="50"/>
    </row>
    <row r="1300" spans="1:1">
      <c r="A1300" s="50"/>
    </row>
    <row r="1301" spans="1:1">
      <c r="A1301" s="50"/>
    </row>
    <row r="1302" spans="1:1">
      <c r="A1302" s="50"/>
    </row>
    <row r="1303" spans="1:1">
      <c r="A1303" s="50"/>
    </row>
    <row r="1304" spans="1:1">
      <c r="A1304" s="50"/>
    </row>
    <row r="1305" spans="1:1">
      <c r="A1305" s="50"/>
    </row>
    <row r="1306" spans="1:1">
      <c r="A1306" s="50"/>
    </row>
    <row r="1307" spans="1:1">
      <c r="A1307" s="50"/>
    </row>
    <row r="1308" spans="1:1">
      <c r="A1308" s="50"/>
    </row>
    <row r="1309" spans="1:1">
      <c r="A1309" s="50"/>
    </row>
    <row r="1310" spans="1:1">
      <c r="A1310" s="50"/>
    </row>
    <row r="1311" spans="1:1">
      <c r="A1311" s="50"/>
    </row>
    <row r="1312" spans="1:1">
      <c r="A1312" s="50"/>
    </row>
    <row r="1313" spans="1:1">
      <c r="A1313" s="50"/>
    </row>
    <row r="1314" spans="1:1">
      <c r="A1314" s="50"/>
    </row>
    <row r="1315" spans="1:1">
      <c r="A1315" s="50"/>
    </row>
    <row r="1316" spans="1:1">
      <c r="A1316" s="50"/>
    </row>
    <row r="1317" spans="1:1">
      <c r="A1317" s="50"/>
    </row>
    <row r="1318" spans="1:1">
      <c r="A1318" s="50"/>
    </row>
    <row r="1319" spans="1:1">
      <c r="A1319" s="50"/>
    </row>
    <row r="1320" spans="1:1">
      <c r="A1320" s="50"/>
    </row>
    <row r="1321" spans="1:1">
      <c r="A1321" s="50"/>
    </row>
    <row r="1322" spans="1:1">
      <c r="A1322" s="50"/>
    </row>
    <row r="1323" spans="1:1">
      <c r="A1323" s="50"/>
    </row>
    <row r="1324" spans="1:1">
      <c r="A1324" s="50"/>
    </row>
    <row r="1325" spans="1:1">
      <c r="A1325" s="50"/>
    </row>
    <row r="1326" spans="1:1">
      <c r="A1326" s="50"/>
    </row>
    <row r="1327" spans="1:1">
      <c r="A1327" s="50"/>
    </row>
    <row r="1328" spans="1:1">
      <c r="A1328" s="50"/>
    </row>
    <row r="1329" spans="1:1">
      <c r="A1329" s="50"/>
    </row>
    <row r="1330" spans="1:1">
      <c r="A1330" s="50"/>
    </row>
    <row r="1331" spans="1:1">
      <c r="A1331" s="50"/>
    </row>
    <row r="1332" spans="1:1">
      <c r="A1332" s="50"/>
    </row>
    <row r="1333" spans="1:1">
      <c r="A1333" s="50"/>
    </row>
    <row r="1334" spans="1:1">
      <c r="A1334" s="50"/>
    </row>
    <row r="1335" spans="1:1">
      <c r="A1335" s="50"/>
    </row>
    <row r="1336" spans="1:1">
      <c r="A1336" s="50"/>
    </row>
    <row r="1337" spans="1:1">
      <c r="A1337" s="50"/>
    </row>
    <row r="1338" spans="1:1">
      <c r="A1338" s="50"/>
    </row>
    <row r="1339" spans="1:1">
      <c r="A1339" s="50"/>
    </row>
    <row r="1340" spans="1:1">
      <c r="A1340" s="50"/>
    </row>
    <row r="1341" spans="1:1">
      <c r="A1341" s="50"/>
    </row>
    <row r="1342" spans="1:1">
      <c r="A1342" s="50"/>
    </row>
    <row r="1343" spans="1:1">
      <c r="A1343" s="50"/>
    </row>
    <row r="1344" spans="1:1">
      <c r="A1344" s="50"/>
    </row>
    <row r="1345" spans="1:1">
      <c r="A1345" s="50"/>
    </row>
    <row r="1346" spans="1:1">
      <c r="A1346" s="50"/>
    </row>
    <row r="1347" spans="1:1">
      <c r="A1347" s="50"/>
    </row>
    <row r="1348" spans="1:1">
      <c r="A1348" s="50"/>
    </row>
    <row r="1349" spans="1:1">
      <c r="A1349" s="50"/>
    </row>
    <row r="1350" spans="1:1">
      <c r="A1350" s="50"/>
    </row>
    <row r="1351" spans="1:1">
      <c r="A1351" s="50"/>
    </row>
    <row r="1352" spans="1:1">
      <c r="A1352" s="50"/>
    </row>
    <row r="1353" spans="1:1">
      <c r="A1353" s="50"/>
    </row>
    <row r="1354" spans="1:1">
      <c r="A1354" s="50"/>
    </row>
    <row r="1355" spans="1:1">
      <c r="A1355" s="50"/>
    </row>
    <row r="1356" spans="1:1">
      <c r="A1356" s="50"/>
    </row>
    <row r="1357" spans="1:1">
      <c r="A1357" s="50"/>
    </row>
    <row r="1358" spans="1:1">
      <c r="A1358" s="50"/>
    </row>
    <row r="1359" spans="1:1">
      <c r="A1359" s="50"/>
    </row>
    <row r="1360" spans="1:1">
      <c r="A1360" s="50"/>
    </row>
    <row r="1361" spans="1:1">
      <c r="A1361" s="50"/>
    </row>
    <row r="1362" spans="1:1">
      <c r="A1362" s="50"/>
    </row>
    <row r="1363" spans="1:1">
      <c r="A1363" s="50"/>
    </row>
    <row r="1364" spans="1:1">
      <c r="A1364" s="50"/>
    </row>
    <row r="1365" spans="1:1">
      <c r="A1365" s="50"/>
    </row>
    <row r="1366" spans="1:1">
      <c r="A1366" s="50"/>
    </row>
    <row r="1367" spans="1:1">
      <c r="A1367" s="50"/>
    </row>
    <row r="1368" spans="1:1">
      <c r="A1368" s="50"/>
    </row>
    <row r="1369" spans="1:1">
      <c r="A1369" s="50"/>
    </row>
    <row r="1370" spans="1:1">
      <c r="A1370" s="50"/>
    </row>
    <row r="1371" spans="1:1">
      <c r="A1371" s="50"/>
    </row>
    <row r="1372" spans="1:1">
      <c r="A1372" s="50"/>
    </row>
    <row r="1373" spans="1:1">
      <c r="A1373" s="50"/>
    </row>
    <row r="1374" spans="1:1">
      <c r="A1374" s="50"/>
    </row>
    <row r="1375" spans="1:1">
      <c r="A1375" s="50"/>
    </row>
    <row r="1376" spans="1:1">
      <c r="A1376" s="50"/>
    </row>
    <row r="1377" spans="1:1">
      <c r="A1377" s="50"/>
    </row>
    <row r="1378" spans="1:1">
      <c r="A1378" s="50"/>
    </row>
    <row r="1379" spans="1:1">
      <c r="A1379" s="50"/>
    </row>
    <row r="1380" spans="1:1">
      <c r="A1380" s="50"/>
    </row>
    <row r="1381" spans="1:1">
      <c r="A1381" s="50"/>
    </row>
    <row r="1382" spans="1:1">
      <c r="A1382" s="50"/>
    </row>
    <row r="1383" spans="1:1">
      <c r="A1383" s="50"/>
    </row>
    <row r="1384" spans="1:1">
      <c r="A1384" s="50"/>
    </row>
    <row r="1385" spans="1:1">
      <c r="A1385" s="50"/>
    </row>
    <row r="1386" spans="1:1">
      <c r="A1386" s="50"/>
    </row>
    <row r="1387" spans="1:1">
      <c r="A1387" s="50"/>
    </row>
    <row r="1388" spans="1:1">
      <c r="A1388" s="50"/>
    </row>
    <row r="1389" spans="1:1">
      <c r="A1389" s="50"/>
    </row>
    <row r="1390" spans="1:1">
      <c r="A1390" s="50"/>
    </row>
    <row r="1391" spans="1:1">
      <c r="A1391" s="50"/>
    </row>
    <row r="1392" spans="1:1">
      <c r="A1392" s="50"/>
    </row>
    <row r="1393" spans="1:1">
      <c r="A1393" s="50"/>
    </row>
    <row r="1394" spans="1:1">
      <c r="A1394" s="50"/>
    </row>
    <row r="1395" spans="1:1">
      <c r="A1395" s="50"/>
    </row>
    <row r="1396" spans="1:1">
      <c r="A1396" s="50"/>
    </row>
    <row r="1397" spans="1:1">
      <c r="A1397" s="50"/>
    </row>
    <row r="1398" spans="1:1">
      <c r="A1398" s="50"/>
    </row>
    <row r="1399" spans="1:1">
      <c r="A1399" s="50"/>
    </row>
    <row r="1400" spans="1:1">
      <c r="A1400" s="50"/>
    </row>
    <row r="1401" spans="1:1">
      <c r="A1401" s="50"/>
    </row>
    <row r="1402" spans="1:1">
      <c r="A1402" s="50"/>
    </row>
    <row r="1403" spans="1:1">
      <c r="A1403" s="50"/>
    </row>
    <row r="1404" spans="1:1">
      <c r="A1404" s="50"/>
    </row>
    <row r="1405" spans="1:1">
      <c r="A1405" s="50"/>
    </row>
    <row r="1406" spans="1:1">
      <c r="A1406" s="50"/>
    </row>
    <row r="1407" spans="1:1">
      <c r="A1407" s="50"/>
    </row>
    <row r="1408" spans="1:1">
      <c r="A1408" s="50"/>
    </row>
    <row r="1409" spans="1:1">
      <c r="A1409" s="50"/>
    </row>
    <row r="1410" spans="1:1">
      <c r="A1410" s="50"/>
    </row>
    <row r="1411" spans="1:1">
      <c r="A1411" s="50"/>
    </row>
    <row r="1412" spans="1:1">
      <c r="A1412" s="50"/>
    </row>
    <row r="1413" spans="1:1">
      <c r="A1413" s="50"/>
    </row>
    <row r="1414" spans="1:1">
      <c r="A1414" s="50"/>
    </row>
    <row r="1415" spans="1:1">
      <c r="A1415" s="50"/>
    </row>
    <row r="1416" spans="1:1">
      <c r="A1416" s="50"/>
    </row>
    <row r="1417" spans="1:1">
      <c r="A1417" s="50"/>
    </row>
    <row r="1418" spans="1:1">
      <c r="A1418" s="50"/>
    </row>
    <row r="1419" spans="1:1">
      <c r="A1419" s="50"/>
    </row>
    <row r="1420" spans="1:1">
      <c r="A1420" s="50"/>
    </row>
    <row r="1421" spans="1:1">
      <c r="A1421" s="50"/>
    </row>
    <row r="1422" spans="1:1">
      <c r="A1422" s="50"/>
    </row>
    <row r="1423" spans="1:1">
      <c r="A1423" s="50"/>
    </row>
    <row r="1424" spans="1:1">
      <c r="A1424" s="50"/>
    </row>
    <row r="1425" spans="1:1">
      <c r="A1425" s="50"/>
    </row>
    <row r="1426" spans="1:1">
      <c r="A1426" s="50"/>
    </row>
    <row r="1427" spans="1:1">
      <c r="A1427" s="50"/>
    </row>
    <row r="1428" spans="1:1">
      <c r="A1428" s="50"/>
    </row>
    <row r="1429" spans="1:1">
      <c r="A1429" s="50"/>
    </row>
    <row r="1430" spans="1:1">
      <c r="A1430" s="50"/>
    </row>
    <row r="1431" spans="1:1">
      <c r="A1431" s="50"/>
    </row>
    <row r="1432" spans="1:1">
      <c r="A1432" s="50"/>
    </row>
    <row r="1433" spans="1:1">
      <c r="A1433" s="50"/>
    </row>
    <row r="1434" spans="1:1">
      <c r="A1434" s="50"/>
    </row>
    <row r="1435" spans="1:1">
      <c r="A1435" s="50"/>
    </row>
    <row r="1436" spans="1:1">
      <c r="A1436" s="50"/>
    </row>
    <row r="1437" spans="1:1">
      <c r="A1437" s="50"/>
    </row>
    <row r="1438" spans="1:1">
      <c r="A1438" s="50"/>
    </row>
    <row r="1439" spans="1:1">
      <c r="A1439" s="50"/>
    </row>
    <row r="1440" spans="1:1">
      <c r="A1440" s="50"/>
    </row>
    <row r="1441" spans="1:1">
      <c r="A1441" s="50"/>
    </row>
    <row r="1442" spans="1:1">
      <c r="A1442" s="50"/>
    </row>
    <row r="1443" spans="1:1">
      <c r="A1443" s="50"/>
    </row>
    <row r="1444" spans="1:1">
      <c r="A1444" s="50"/>
    </row>
    <row r="1445" spans="1:1">
      <c r="A1445" s="50"/>
    </row>
    <row r="1446" spans="1:1">
      <c r="A1446" s="50"/>
    </row>
    <row r="1447" spans="1:1">
      <c r="A1447" s="50"/>
    </row>
    <row r="1448" spans="1:1">
      <c r="A1448" s="50"/>
    </row>
    <row r="1449" spans="1:1">
      <c r="A1449" s="50"/>
    </row>
    <row r="1450" spans="1:1">
      <c r="A1450" s="50"/>
    </row>
    <row r="1451" spans="1:1">
      <c r="A1451" s="50"/>
    </row>
    <row r="1452" spans="1:1">
      <c r="A1452" s="50"/>
    </row>
    <row r="1453" spans="1:1">
      <c r="A1453" s="50"/>
    </row>
    <row r="1454" spans="1:1">
      <c r="A1454" s="50"/>
    </row>
    <row r="1455" spans="1:1">
      <c r="A1455" s="50"/>
    </row>
    <row r="1456" spans="1:1">
      <c r="A1456" s="50"/>
    </row>
    <row r="1457" spans="1:1">
      <c r="A1457" s="50"/>
    </row>
    <row r="1458" spans="1:1">
      <c r="A1458" s="50"/>
    </row>
    <row r="1459" spans="1:1">
      <c r="A1459" s="50"/>
    </row>
    <row r="1460" spans="1:1">
      <c r="A1460" s="50"/>
    </row>
    <row r="1461" spans="1:1">
      <c r="A1461" s="50"/>
    </row>
    <row r="1462" spans="1:1">
      <c r="A1462" s="50"/>
    </row>
    <row r="1463" spans="1:1">
      <c r="A1463" s="50"/>
    </row>
    <row r="1464" spans="1:1">
      <c r="A1464" s="50"/>
    </row>
    <row r="1465" spans="1:1">
      <c r="A1465" s="50"/>
    </row>
    <row r="1466" spans="1:1">
      <c r="A1466" s="50"/>
    </row>
    <row r="1467" spans="1:1">
      <c r="A1467" s="50"/>
    </row>
    <row r="1468" spans="1:1">
      <c r="A1468" s="50"/>
    </row>
    <row r="1469" spans="1:1">
      <c r="A1469" s="50"/>
    </row>
    <row r="1470" spans="1:1">
      <c r="A1470" s="50"/>
    </row>
    <row r="1471" spans="1:1">
      <c r="A1471" s="50"/>
    </row>
    <row r="1472" spans="1:1">
      <c r="A1472" s="50"/>
    </row>
    <row r="1473" spans="1:1">
      <c r="A1473" s="50"/>
    </row>
    <row r="1474" spans="1:1">
      <c r="A1474" s="50"/>
    </row>
    <row r="1475" spans="1:1">
      <c r="A1475" s="50"/>
    </row>
    <row r="1476" spans="1:1">
      <c r="A1476" s="50"/>
    </row>
    <row r="1477" spans="1:1">
      <c r="A1477" s="50"/>
    </row>
    <row r="1478" spans="1:1">
      <c r="A1478" s="50"/>
    </row>
    <row r="1479" spans="1:1">
      <c r="A1479" s="50"/>
    </row>
    <row r="1480" spans="1:1">
      <c r="A1480" s="50"/>
    </row>
    <row r="1481" spans="1:1">
      <c r="A1481" s="50"/>
    </row>
    <row r="1482" spans="1:1">
      <c r="A1482" s="50"/>
    </row>
    <row r="1483" spans="1:1">
      <c r="A1483" s="50"/>
    </row>
    <row r="1484" spans="1:1">
      <c r="A1484" s="50"/>
    </row>
    <row r="1485" spans="1:1">
      <c r="A1485" s="50"/>
    </row>
    <row r="1486" spans="1:1">
      <c r="A1486" s="50"/>
    </row>
    <row r="1487" spans="1:1">
      <c r="A1487" s="50"/>
    </row>
    <row r="1488" spans="1:1">
      <c r="A1488" s="50"/>
    </row>
    <row r="1489" spans="1:1">
      <c r="A1489" s="50"/>
    </row>
    <row r="1490" spans="1:1">
      <c r="A1490" s="50"/>
    </row>
    <row r="1491" spans="1:1">
      <c r="A1491" s="50"/>
    </row>
    <row r="1492" spans="1:1">
      <c r="A1492" s="50"/>
    </row>
    <row r="1493" spans="1:1">
      <c r="A1493" s="50"/>
    </row>
    <row r="1494" spans="1:1">
      <c r="A1494" s="50"/>
    </row>
    <row r="1495" spans="1:1">
      <c r="A1495" s="50"/>
    </row>
    <row r="1496" spans="1:1">
      <c r="A1496" s="50"/>
    </row>
    <row r="1497" spans="1:1">
      <c r="A1497" s="50"/>
    </row>
    <row r="1498" spans="1:1">
      <c r="A1498" s="50"/>
    </row>
    <row r="1499" spans="1:1">
      <c r="A1499" s="50"/>
    </row>
    <row r="1500" spans="1:1">
      <c r="A1500" s="50"/>
    </row>
    <row r="1501" spans="1:1">
      <c r="A1501" s="50"/>
    </row>
    <row r="1502" spans="1:1">
      <c r="A1502" s="50"/>
    </row>
    <row r="1503" spans="1:1">
      <c r="A1503" s="50"/>
    </row>
    <row r="1504" spans="1:1">
      <c r="A1504" s="50"/>
    </row>
    <row r="1505" spans="1:1">
      <c r="A1505" s="50"/>
    </row>
    <row r="1506" spans="1:1">
      <c r="A1506" s="50"/>
    </row>
    <row r="1507" spans="1:1">
      <c r="A1507" s="50"/>
    </row>
    <row r="1508" spans="1:1">
      <c r="A1508" s="50"/>
    </row>
    <row r="1509" spans="1:1">
      <c r="A1509" s="50"/>
    </row>
    <row r="1510" spans="1:1">
      <c r="A1510" s="50"/>
    </row>
    <row r="1511" spans="1:1">
      <c r="A1511" s="50"/>
    </row>
    <row r="1512" spans="1:1">
      <c r="A1512" s="50"/>
    </row>
    <row r="1513" spans="1:1">
      <c r="A1513" s="50"/>
    </row>
    <row r="1514" spans="1:1">
      <c r="A1514" s="50"/>
    </row>
    <row r="1515" spans="1:1">
      <c r="A1515" s="50"/>
    </row>
    <row r="1516" spans="1:1">
      <c r="A1516" s="50"/>
    </row>
    <row r="1517" spans="1:1">
      <c r="A1517" s="50"/>
    </row>
    <row r="1518" spans="1:1">
      <c r="A1518" s="50"/>
    </row>
    <row r="1519" spans="1:1">
      <c r="A1519" s="50"/>
    </row>
    <row r="1520" spans="1:1">
      <c r="A1520" s="50"/>
    </row>
    <row r="1521" spans="1:1">
      <c r="A1521" s="50"/>
    </row>
    <row r="1522" spans="1:1">
      <c r="A1522" s="50"/>
    </row>
    <row r="1523" spans="1:1">
      <c r="A1523" s="50"/>
    </row>
    <row r="1524" spans="1:1">
      <c r="A1524" s="50"/>
    </row>
    <row r="1525" spans="1:1">
      <c r="A1525" s="50"/>
    </row>
    <row r="1526" spans="1:1">
      <c r="A1526" s="50"/>
    </row>
    <row r="1527" spans="1:1">
      <c r="A1527" s="50"/>
    </row>
    <row r="1528" spans="1:1">
      <c r="A1528" s="50"/>
    </row>
    <row r="1529" spans="1:1">
      <c r="A1529" s="50"/>
    </row>
    <row r="1530" spans="1:1">
      <c r="A1530" s="50"/>
    </row>
    <row r="1531" spans="1:1">
      <c r="A1531" s="50"/>
    </row>
    <row r="1532" spans="1:1">
      <c r="A1532" s="50"/>
    </row>
    <row r="1533" spans="1:1">
      <c r="A1533" s="50"/>
    </row>
    <row r="1534" spans="1:1">
      <c r="A1534" s="50"/>
    </row>
    <row r="1535" spans="1:1">
      <c r="A1535" s="50"/>
    </row>
    <row r="1536" spans="1:1">
      <c r="A1536" s="50"/>
    </row>
    <row r="1537" spans="1:1">
      <c r="A1537" s="50"/>
    </row>
    <row r="1538" spans="1:1">
      <c r="A1538" s="50"/>
    </row>
    <row r="1539" spans="1:1">
      <c r="A1539" s="50"/>
    </row>
    <row r="1540" spans="1:1">
      <c r="A1540" s="50"/>
    </row>
    <row r="1541" spans="1:1">
      <c r="A1541" s="50"/>
    </row>
    <row r="1542" spans="1:1">
      <c r="A1542" s="50"/>
    </row>
    <row r="1543" spans="1:1">
      <c r="A1543" s="50"/>
    </row>
    <row r="1544" spans="1:1">
      <c r="A1544" s="50"/>
    </row>
    <row r="1545" spans="1:1">
      <c r="A1545" s="50"/>
    </row>
    <row r="1546" spans="1:1">
      <c r="A1546" s="50"/>
    </row>
    <row r="1547" spans="1:1">
      <c r="A1547" s="50"/>
    </row>
    <row r="1548" spans="1:1">
      <c r="A1548" s="50"/>
    </row>
    <row r="1549" spans="1:1">
      <c r="A1549" s="50"/>
    </row>
    <row r="1550" spans="1:1">
      <c r="A1550" s="50"/>
    </row>
    <row r="1551" spans="1:1">
      <c r="A1551" s="50"/>
    </row>
    <row r="1552" spans="1:1">
      <c r="A1552" s="50"/>
    </row>
    <row r="1553" spans="1:1">
      <c r="A1553" s="50"/>
    </row>
    <row r="1554" spans="1:1">
      <c r="A1554" s="50"/>
    </row>
    <row r="1555" spans="1:1">
      <c r="A1555" s="50"/>
    </row>
    <row r="1556" spans="1:1">
      <c r="A1556" s="50"/>
    </row>
    <row r="1557" spans="1:1">
      <c r="A1557" s="50"/>
    </row>
    <row r="1558" spans="1:1">
      <c r="A1558" s="50"/>
    </row>
    <row r="1559" spans="1:1">
      <c r="A1559" s="50"/>
    </row>
    <row r="1560" spans="1:1">
      <c r="A1560" s="50"/>
    </row>
    <row r="1561" spans="1:1">
      <c r="A1561" s="50"/>
    </row>
    <row r="1562" spans="1:1">
      <c r="A1562" s="50"/>
    </row>
    <row r="1563" spans="1:1">
      <c r="A1563" s="50"/>
    </row>
    <row r="1564" spans="1:1">
      <c r="A1564" s="50"/>
    </row>
    <row r="1565" spans="1:1">
      <c r="A1565" s="50"/>
    </row>
    <row r="1566" spans="1:1">
      <c r="A1566" s="50"/>
    </row>
    <row r="1567" spans="1:1">
      <c r="A1567" s="50"/>
    </row>
    <row r="1568" spans="1:1">
      <c r="A1568" s="50"/>
    </row>
    <row r="1569" spans="1:1">
      <c r="A1569" s="50"/>
    </row>
    <row r="1570" spans="1:1">
      <c r="A1570" s="50"/>
    </row>
    <row r="1571" spans="1:1">
      <c r="A1571" s="50"/>
    </row>
    <row r="1572" spans="1:1">
      <c r="A1572" s="50"/>
    </row>
    <row r="1573" spans="1:1">
      <c r="A1573" s="50"/>
    </row>
    <row r="1574" spans="1:1">
      <c r="A1574" s="50"/>
    </row>
    <row r="1575" spans="1:1">
      <c r="A1575" s="50"/>
    </row>
    <row r="1576" spans="1:1">
      <c r="A1576" s="50"/>
    </row>
    <row r="1577" spans="1:1">
      <c r="A1577" s="50"/>
    </row>
    <row r="1578" spans="1:1">
      <c r="A1578" s="50"/>
    </row>
    <row r="1579" spans="1:1">
      <c r="A1579" s="50"/>
    </row>
    <row r="1580" spans="1:1">
      <c r="A1580" s="50"/>
    </row>
    <row r="1581" spans="1:1">
      <c r="A1581" s="50"/>
    </row>
    <row r="1582" spans="1:1">
      <c r="A1582" s="50"/>
    </row>
    <row r="1583" spans="1:1">
      <c r="A1583" s="50"/>
    </row>
    <row r="1584" spans="1:1">
      <c r="A1584" s="50"/>
    </row>
    <row r="1585" spans="1:1">
      <c r="A1585" s="50"/>
    </row>
    <row r="1586" spans="1:1">
      <c r="A1586" s="50"/>
    </row>
    <row r="1587" spans="1:1">
      <c r="A1587" s="50"/>
    </row>
    <row r="1588" spans="1:1">
      <c r="A1588" s="50"/>
    </row>
    <row r="1589" spans="1:1">
      <c r="A1589" s="50"/>
    </row>
    <row r="1590" spans="1:1">
      <c r="A1590" s="50"/>
    </row>
    <row r="1591" spans="1:1">
      <c r="A1591" s="50"/>
    </row>
    <row r="1592" spans="1:1">
      <c r="A1592" s="50"/>
    </row>
    <row r="1593" spans="1:1">
      <c r="A1593" s="50"/>
    </row>
    <row r="1594" spans="1:1">
      <c r="A1594" s="50"/>
    </row>
    <row r="1595" spans="1:1">
      <c r="A1595" s="50"/>
    </row>
    <row r="1596" spans="1:1">
      <c r="A1596" s="50"/>
    </row>
    <row r="1597" spans="1:1">
      <c r="A1597" s="50"/>
    </row>
    <row r="1598" spans="1:1">
      <c r="A1598" s="50"/>
    </row>
    <row r="1599" spans="1:1">
      <c r="A1599" s="50"/>
    </row>
    <row r="1600" spans="1:1">
      <c r="A1600" s="50"/>
    </row>
    <row r="1601" spans="1:1">
      <c r="A1601" s="50"/>
    </row>
    <row r="1602" spans="1:1">
      <c r="A1602" s="50"/>
    </row>
    <row r="1603" spans="1:1">
      <c r="A1603" s="50"/>
    </row>
    <row r="1604" spans="1:1">
      <c r="A1604" s="50"/>
    </row>
    <row r="1605" spans="1:1">
      <c r="A1605" s="50"/>
    </row>
    <row r="1606" spans="1:1">
      <c r="A1606" s="50"/>
    </row>
    <row r="1607" spans="1:1">
      <c r="A1607" s="50"/>
    </row>
    <row r="1608" spans="1:1">
      <c r="A1608" s="50"/>
    </row>
    <row r="1609" spans="1:1">
      <c r="A1609" s="50"/>
    </row>
    <row r="1610" spans="1:1">
      <c r="A1610" s="50"/>
    </row>
    <row r="1611" spans="1:1">
      <c r="A1611" s="50"/>
    </row>
    <row r="1612" spans="1:1">
      <c r="A1612" s="50"/>
    </row>
    <row r="1613" spans="1:1">
      <c r="A1613" s="50"/>
    </row>
    <row r="1614" spans="1:1">
      <c r="A1614" s="50"/>
    </row>
    <row r="1615" spans="1:1">
      <c r="A1615" s="50"/>
    </row>
    <row r="1616" spans="1:1">
      <c r="A1616" s="50"/>
    </row>
    <row r="1617" spans="1:1">
      <c r="A1617" s="50"/>
    </row>
    <row r="1618" spans="1:1">
      <c r="A1618" s="50"/>
    </row>
    <row r="1619" spans="1:1">
      <c r="A1619" s="50"/>
    </row>
    <row r="1620" spans="1:1">
      <c r="A1620" s="50"/>
    </row>
    <row r="1621" spans="1:1">
      <c r="A1621" s="50"/>
    </row>
    <row r="1622" spans="1:1">
      <c r="A1622" s="50"/>
    </row>
    <row r="1623" spans="1:1">
      <c r="A1623" s="50"/>
    </row>
    <row r="1624" spans="1:1">
      <c r="A1624" s="50"/>
    </row>
    <row r="1625" spans="1:1">
      <c r="A1625" s="50"/>
    </row>
    <row r="1626" spans="1:1">
      <c r="A1626" s="50"/>
    </row>
    <row r="1627" spans="1:1">
      <c r="A1627" s="50"/>
    </row>
    <row r="1628" spans="1:1">
      <c r="A1628" s="50"/>
    </row>
    <row r="1629" spans="1:1">
      <c r="A1629" s="50"/>
    </row>
    <row r="1630" spans="1:1">
      <c r="A1630" s="50"/>
    </row>
    <row r="1631" spans="1:1">
      <c r="A1631" s="50"/>
    </row>
    <row r="1632" spans="1:1">
      <c r="A1632" s="50"/>
    </row>
    <row r="1633" spans="1:1">
      <c r="A1633" s="50"/>
    </row>
    <row r="1634" spans="1:1">
      <c r="A1634" s="50"/>
    </row>
    <row r="1635" spans="1:1">
      <c r="A1635" s="50"/>
    </row>
    <row r="1636" spans="1:1">
      <c r="A1636" s="50"/>
    </row>
    <row r="1637" spans="1:1">
      <c r="A1637" s="50"/>
    </row>
    <row r="1638" spans="1:1">
      <c r="A1638" s="50"/>
    </row>
    <row r="1639" spans="1:1">
      <c r="A1639" s="50"/>
    </row>
    <row r="1640" spans="1:1">
      <c r="A1640" s="50"/>
    </row>
    <row r="1641" spans="1:1">
      <c r="A1641" s="50"/>
    </row>
    <row r="1642" spans="1:1">
      <c r="A1642" s="50"/>
    </row>
    <row r="1643" spans="1:1">
      <c r="A1643" s="50"/>
    </row>
    <row r="1644" spans="1:1">
      <c r="A1644" s="50"/>
    </row>
    <row r="1645" spans="1:1">
      <c r="A1645" s="50"/>
    </row>
    <row r="1646" spans="1:1">
      <c r="A1646" s="50"/>
    </row>
    <row r="1647" spans="1:1">
      <c r="A1647" s="50"/>
    </row>
    <row r="1648" spans="1:1">
      <c r="A1648" s="50"/>
    </row>
    <row r="1649" spans="1:1">
      <c r="A1649" s="50"/>
    </row>
    <row r="1650" spans="1:1">
      <c r="A1650" s="50"/>
    </row>
    <row r="1651" spans="1:1">
      <c r="A1651" s="50"/>
    </row>
    <row r="1652" spans="1:1">
      <c r="A1652" s="50"/>
    </row>
    <row r="1653" spans="1:1">
      <c r="A1653" s="50"/>
    </row>
    <row r="1654" spans="1:1">
      <c r="A1654" s="50"/>
    </row>
    <row r="1655" spans="1:1">
      <c r="A1655" s="50"/>
    </row>
    <row r="1656" spans="1:1">
      <c r="A1656" s="50"/>
    </row>
    <row r="1657" spans="1:1">
      <c r="A1657" s="50"/>
    </row>
    <row r="1658" spans="1:1">
      <c r="A1658" s="50"/>
    </row>
    <row r="1659" spans="1:1">
      <c r="A1659" s="50"/>
    </row>
    <row r="1660" spans="1:1">
      <c r="A1660" s="50"/>
    </row>
    <row r="1661" spans="1:1">
      <c r="A1661" s="50"/>
    </row>
    <row r="1662" spans="1:1">
      <c r="A1662" s="50"/>
    </row>
    <row r="1663" spans="1:1">
      <c r="A1663" s="50"/>
    </row>
    <row r="1664" spans="1:1">
      <c r="A1664" s="50"/>
    </row>
    <row r="1665" spans="1:1">
      <c r="A1665" s="50"/>
    </row>
    <row r="1666" spans="1:1">
      <c r="A1666" s="50"/>
    </row>
    <row r="1667" spans="1:1">
      <c r="A1667" s="50"/>
    </row>
    <row r="1668" spans="1:1">
      <c r="A1668" s="50"/>
    </row>
    <row r="1669" spans="1:1">
      <c r="A1669" s="50"/>
    </row>
    <row r="1670" spans="1:1">
      <c r="A1670" s="50"/>
    </row>
    <row r="1671" spans="1:1">
      <c r="A1671" s="50"/>
    </row>
    <row r="1672" spans="1:1">
      <c r="A1672" s="50"/>
    </row>
    <row r="1673" spans="1:1">
      <c r="A1673" s="50"/>
    </row>
    <row r="1674" spans="1:1">
      <c r="A1674" s="50"/>
    </row>
    <row r="1675" spans="1:1">
      <c r="A1675" s="50"/>
    </row>
    <row r="1676" spans="1:1">
      <c r="A1676" s="50"/>
    </row>
    <row r="1677" spans="1:1">
      <c r="A1677" s="50"/>
    </row>
    <row r="1678" spans="1:1">
      <c r="A1678" s="50"/>
    </row>
    <row r="1679" spans="1:1">
      <c r="A1679" s="50"/>
    </row>
    <row r="1680" spans="1:1">
      <c r="A1680" s="50"/>
    </row>
    <row r="1681" spans="1:1">
      <c r="A1681" s="50"/>
    </row>
    <row r="1682" spans="1:1">
      <c r="A1682" s="50"/>
    </row>
    <row r="1683" spans="1:1">
      <c r="A1683" s="50"/>
    </row>
    <row r="1684" spans="1:1">
      <c r="A1684" s="50"/>
    </row>
    <row r="1685" spans="1:1">
      <c r="A1685" s="50"/>
    </row>
    <row r="1686" spans="1:1">
      <c r="A1686" s="50"/>
    </row>
    <row r="1687" spans="1:1">
      <c r="A1687" s="50"/>
    </row>
    <row r="1688" spans="1:1">
      <c r="A1688" s="50"/>
    </row>
    <row r="1689" spans="1:1">
      <c r="A1689" s="50"/>
    </row>
    <row r="1690" spans="1:1">
      <c r="A1690" s="50"/>
    </row>
    <row r="1691" spans="1:1">
      <c r="A1691" s="50"/>
    </row>
    <row r="1692" spans="1:1">
      <c r="A1692" s="50"/>
    </row>
    <row r="1693" spans="1:1">
      <c r="A1693" s="50"/>
    </row>
    <row r="1694" spans="1:1">
      <c r="A1694" s="50"/>
    </row>
    <row r="1695" spans="1:1">
      <c r="A1695" s="50"/>
    </row>
    <row r="1696" spans="1:1">
      <c r="A1696" s="50"/>
    </row>
    <row r="1697" spans="1:1">
      <c r="A1697" s="50"/>
    </row>
    <row r="1698" spans="1:1">
      <c r="A1698" s="50"/>
    </row>
    <row r="1699" spans="1:1">
      <c r="A1699" s="50"/>
    </row>
    <row r="1700" spans="1:1">
      <c r="A1700" s="50"/>
    </row>
    <row r="1701" spans="1:1">
      <c r="A1701" s="50"/>
    </row>
    <row r="1702" spans="1:1">
      <c r="A1702" s="50"/>
    </row>
    <row r="1703" spans="1:1">
      <c r="A1703" s="50"/>
    </row>
    <row r="1704" spans="1:1">
      <c r="A1704" s="50"/>
    </row>
    <row r="1705" spans="1:1">
      <c r="A1705" s="50"/>
    </row>
    <row r="1706" spans="1:1">
      <c r="A1706" s="50"/>
    </row>
    <row r="1707" spans="1:1">
      <c r="A1707" s="50"/>
    </row>
    <row r="1708" spans="1:1">
      <c r="A1708" s="50"/>
    </row>
    <row r="1709" spans="1:1">
      <c r="A1709" s="50"/>
    </row>
    <row r="1710" spans="1:1">
      <c r="A1710" s="50"/>
    </row>
    <row r="1711" spans="1:1">
      <c r="A1711" s="50"/>
    </row>
    <row r="1712" spans="1:1">
      <c r="A1712" s="50"/>
    </row>
    <row r="1713" spans="1:1">
      <c r="A1713" s="50"/>
    </row>
    <row r="1714" spans="1:1">
      <c r="A1714" s="50"/>
    </row>
    <row r="1715" spans="1:1">
      <c r="A1715" s="50"/>
    </row>
    <row r="1716" spans="1:1">
      <c r="A1716" s="50"/>
    </row>
    <row r="1717" spans="1:1">
      <c r="A1717" s="50"/>
    </row>
    <row r="1718" spans="1:1">
      <c r="A1718" s="50"/>
    </row>
    <row r="1719" spans="1:1">
      <c r="A1719" s="50"/>
    </row>
    <row r="1720" spans="1:1">
      <c r="A1720" s="50"/>
    </row>
    <row r="1721" spans="1:1">
      <c r="A1721" s="50"/>
    </row>
    <row r="1722" spans="1:1">
      <c r="A1722" s="50"/>
    </row>
    <row r="1723" spans="1:1">
      <c r="A1723" s="50"/>
    </row>
    <row r="1724" spans="1:1">
      <c r="A1724" s="50"/>
    </row>
    <row r="1725" spans="1:1">
      <c r="A1725" s="50"/>
    </row>
    <row r="1726" spans="1:1">
      <c r="A1726" s="50"/>
    </row>
    <row r="1727" spans="1:1">
      <c r="A1727" s="50"/>
    </row>
    <row r="1728" spans="1:1">
      <c r="A1728" s="50"/>
    </row>
    <row r="1729" spans="1:1">
      <c r="A1729" s="50"/>
    </row>
    <row r="1730" spans="1:1">
      <c r="A1730" s="50"/>
    </row>
    <row r="1731" spans="1:1">
      <c r="A1731" s="50"/>
    </row>
    <row r="1732" spans="1:1">
      <c r="A1732" s="50"/>
    </row>
    <row r="1733" spans="1:1">
      <c r="A1733" s="50"/>
    </row>
    <row r="1734" spans="1:1">
      <c r="A1734" s="50"/>
    </row>
    <row r="1735" spans="1:1">
      <c r="A1735" s="50"/>
    </row>
    <row r="1736" spans="1:1">
      <c r="A1736" s="50"/>
    </row>
    <row r="1737" spans="1:1">
      <c r="A1737" s="50"/>
    </row>
    <row r="1738" spans="1:1">
      <c r="A1738" s="50"/>
    </row>
    <row r="1739" spans="1:1">
      <c r="A1739" s="50"/>
    </row>
    <row r="1740" spans="1:1">
      <c r="A1740" s="50"/>
    </row>
    <row r="1741" spans="1:1">
      <c r="A1741" s="50"/>
    </row>
    <row r="1742" spans="1:1">
      <c r="A1742" s="50"/>
    </row>
    <row r="1743" spans="1:1">
      <c r="A1743" s="50"/>
    </row>
    <row r="1744" spans="1:1">
      <c r="A1744" s="50"/>
    </row>
    <row r="1745" spans="1:1">
      <c r="A1745" s="50"/>
    </row>
    <row r="1746" spans="1:1">
      <c r="A1746" s="50"/>
    </row>
    <row r="1747" spans="1:1">
      <c r="A1747" s="50"/>
    </row>
    <row r="1748" spans="1:1">
      <c r="A1748" s="50"/>
    </row>
    <row r="1749" spans="1:1">
      <c r="A1749" s="50"/>
    </row>
    <row r="1750" spans="1:1">
      <c r="A1750" s="50"/>
    </row>
    <row r="1751" spans="1:1">
      <c r="A1751" s="50"/>
    </row>
    <row r="1752" spans="1:1">
      <c r="A1752" s="50"/>
    </row>
    <row r="1753" spans="1:1">
      <c r="A1753" s="50"/>
    </row>
    <row r="1754" spans="1:1">
      <c r="A1754" s="50"/>
    </row>
    <row r="1755" spans="1:1">
      <c r="A1755" s="50"/>
    </row>
    <row r="1756" spans="1:1">
      <c r="A1756" s="50"/>
    </row>
    <row r="1757" spans="1:1">
      <c r="A1757" s="50"/>
    </row>
    <row r="1758" spans="1:1">
      <c r="A1758" s="50"/>
    </row>
    <row r="1759" spans="1:1">
      <c r="A1759" s="50"/>
    </row>
    <row r="1760" spans="1:1">
      <c r="A1760" s="50"/>
    </row>
    <row r="1761" spans="1:1">
      <c r="A1761" s="50"/>
    </row>
    <row r="1762" spans="1:1">
      <c r="A1762" s="50"/>
    </row>
    <row r="1763" spans="1:1">
      <c r="A1763" s="50"/>
    </row>
    <row r="1764" spans="1:1">
      <c r="A1764" s="50"/>
    </row>
    <row r="1765" spans="1:1">
      <c r="A1765" s="50"/>
    </row>
    <row r="1766" spans="1:1">
      <c r="A1766" s="50"/>
    </row>
    <row r="1767" spans="1:1">
      <c r="A1767" s="50"/>
    </row>
    <row r="1768" spans="1:1">
      <c r="A1768" s="50"/>
    </row>
    <row r="1769" spans="1:1">
      <c r="A1769" s="50"/>
    </row>
    <row r="1770" spans="1:1">
      <c r="A1770" s="50"/>
    </row>
    <row r="1771" spans="1:1">
      <c r="A1771" s="50"/>
    </row>
    <row r="1772" spans="1:1">
      <c r="A1772" s="50"/>
    </row>
    <row r="1773" spans="1:1">
      <c r="A1773" s="50"/>
    </row>
    <row r="1774" spans="1:1">
      <c r="A1774" s="50"/>
    </row>
    <row r="1775" spans="1:1">
      <c r="A1775" s="50"/>
    </row>
    <row r="1776" spans="1:1">
      <c r="A1776" s="50"/>
    </row>
    <row r="1777" spans="1:1">
      <c r="A1777" s="50"/>
    </row>
    <row r="1778" spans="1:1">
      <c r="A1778" s="50"/>
    </row>
    <row r="1779" spans="1:1">
      <c r="A1779" s="50"/>
    </row>
    <row r="1780" spans="1:1">
      <c r="A1780" s="50"/>
    </row>
    <row r="1781" spans="1:1">
      <c r="A1781" s="50"/>
    </row>
    <row r="1782" spans="1:1">
      <c r="A1782" s="50"/>
    </row>
    <row r="1783" spans="1:1">
      <c r="A1783" s="50"/>
    </row>
    <row r="1784" spans="1:1">
      <c r="A1784" s="50"/>
    </row>
    <row r="1785" spans="1:1">
      <c r="A1785" s="50"/>
    </row>
    <row r="1786" spans="1:1">
      <c r="A1786" s="50"/>
    </row>
    <row r="1787" spans="1:1">
      <c r="A1787" s="50"/>
    </row>
    <row r="1788" spans="1:1">
      <c r="A1788" s="50"/>
    </row>
    <row r="1789" spans="1:1">
      <c r="A1789" s="50"/>
    </row>
    <row r="1790" spans="1:1">
      <c r="A1790" s="50"/>
    </row>
    <row r="1791" spans="1:1">
      <c r="A1791" s="50"/>
    </row>
    <row r="1792" spans="1:1">
      <c r="A1792" s="50"/>
    </row>
    <row r="1793" spans="1:1">
      <c r="A1793" s="50"/>
    </row>
    <row r="1794" spans="1:1">
      <c r="A1794" s="50"/>
    </row>
    <row r="1795" spans="1:1">
      <c r="A1795" s="50"/>
    </row>
    <row r="1796" spans="1:1">
      <c r="A1796" s="50"/>
    </row>
    <row r="1797" spans="1:1">
      <c r="A1797" s="50"/>
    </row>
    <row r="1798" spans="1:1">
      <c r="A1798" s="50"/>
    </row>
    <row r="1799" spans="1:1">
      <c r="A1799" s="50"/>
    </row>
    <row r="1800" spans="1:1">
      <c r="A1800" s="50"/>
    </row>
    <row r="1801" spans="1:1">
      <c r="A1801" s="50"/>
    </row>
    <row r="1802" spans="1:1">
      <c r="A1802" s="50"/>
    </row>
    <row r="1803" spans="1:1">
      <c r="A1803" s="50"/>
    </row>
    <row r="1804" spans="1:1">
      <c r="A1804" s="50"/>
    </row>
    <row r="1805" spans="1:1">
      <c r="A1805" s="50"/>
    </row>
    <row r="1806" spans="1:1">
      <c r="A1806" s="50"/>
    </row>
    <row r="1807" spans="1:1">
      <c r="A1807" s="50"/>
    </row>
    <row r="1808" spans="1:1">
      <c r="A1808" s="50"/>
    </row>
    <row r="1809" spans="1:1">
      <c r="A1809" s="50"/>
    </row>
    <row r="1810" spans="1:1">
      <c r="A1810" s="50"/>
    </row>
    <row r="1811" spans="1:1">
      <c r="A1811" s="50"/>
    </row>
    <row r="1812" spans="1:1">
      <c r="A1812" s="50"/>
    </row>
    <row r="1813" spans="1:1">
      <c r="A1813" s="50"/>
    </row>
    <row r="1814" spans="1:1">
      <c r="A1814" s="50"/>
    </row>
    <row r="1815" spans="1:1">
      <c r="A1815" s="50"/>
    </row>
    <row r="1816" spans="1:1">
      <c r="A1816" s="50"/>
    </row>
    <row r="1817" spans="1:1">
      <c r="A1817" s="50"/>
    </row>
    <row r="1818" spans="1:1">
      <c r="A1818" s="50"/>
    </row>
    <row r="1819" spans="1:1">
      <c r="A1819" s="50"/>
    </row>
    <row r="1820" spans="1:1">
      <c r="A1820" s="50"/>
    </row>
    <row r="1821" spans="1:1">
      <c r="A1821" s="50"/>
    </row>
    <row r="1822" spans="1:1">
      <c r="A1822" s="50"/>
    </row>
    <row r="1823" spans="1:1">
      <c r="A1823" s="50"/>
    </row>
    <row r="1824" spans="1:1">
      <c r="A1824" s="50"/>
    </row>
    <row r="1825" spans="1:1">
      <c r="A1825" s="50"/>
    </row>
    <row r="1826" spans="1:1">
      <c r="A1826" s="50"/>
    </row>
    <row r="1827" spans="1:1">
      <c r="A1827" s="50"/>
    </row>
    <row r="1828" spans="1:1">
      <c r="A1828" s="50"/>
    </row>
    <row r="1829" spans="1:1">
      <c r="A1829" s="50"/>
    </row>
    <row r="1830" spans="1:1">
      <c r="A1830" s="50"/>
    </row>
    <row r="1831" spans="1:1">
      <c r="A1831" s="50"/>
    </row>
    <row r="1832" spans="1:1">
      <c r="A1832" s="50"/>
    </row>
    <row r="1833" spans="1:1">
      <c r="A1833" s="50"/>
    </row>
    <row r="1834" spans="1:1">
      <c r="A1834" s="50"/>
    </row>
    <row r="1835" spans="1:1">
      <c r="A1835" s="50"/>
    </row>
    <row r="1836" spans="1:1">
      <c r="A1836" s="50"/>
    </row>
    <row r="1837" spans="1:1">
      <c r="A1837" s="50"/>
    </row>
    <row r="1838" spans="1:1">
      <c r="A1838" s="50"/>
    </row>
    <row r="1839" spans="1:1">
      <c r="A1839" s="50"/>
    </row>
    <row r="1840" spans="1:1">
      <c r="A1840" s="50"/>
    </row>
    <row r="1841" spans="1:1">
      <c r="A1841" s="50"/>
    </row>
    <row r="1842" spans="1:1">
      <c r="A1842" s="50"/>
    </row>
    <row r="1843" spans="1:1">
      <c r="A1843" s="50"/>
    </row>
    <row r="1844" spans="1:1">
      <c r="A1844" s="50"/>
    </row>
    <row r="1845" spans="1:1">
      <c r="A1845" s="50"/>
    </row>
    <row r="1846" spans="1:1">
      <c r="A1846" s="50"/>
    </row>
    <row r="1847" spans="1:1">
      <c r="A1847" s="50"/>
    </row>
    <row r="1848" spans="1:1">
      <c r="A1848" s="50"/>
    </row>
    <row r="1849" spans="1:1">
      <c r="A1849" s="50"/>
    </row>
    <row r="1850" spans="1:1">
      <c r="A1850" s="50"/>
    </row>
    <row r="1851" spans="1:1">
      <c r="A1851" s="50"/>
    </row>
    <row r="1852" spans="1:1">
      <c r="A1852" s="50"/>
    </row>
    <row r="1853" spans="1:1">
      <c r="A1853" s="50"/>
    </row>
    <row r="1854" spans="1:1">
      <c r="A1854" s="50"/>
    </row>
    <row r="1855" spans="1:1">
      <c r="A1855" s="50"/>
    </row>
    <row r="1856" spans="1:1">
      <c r="A1856" s="50"/>
    </row>
    <row r="1857" spans="1:1">
      <c r="A1857" s="50"/>
    </row>
    <row r="1858" spans="1:1">
      <c r="A1858" s="50"/>
    </row>
    <row r="1859" spans="1:1">
      <c r="A1859" s="50"/>
    </row>
    <row r="1860" spans="1:1">
      <c r="A1860" s="50"/>
    </row>
    <row r="1861" spans="1:1">
      <c r="A1861" s="50"/>
    </row>
    <row r="1862" spans="1:1">
      <c r="A1862" s="50"/>
    </row>
    <row r="1863" spans="1:1">
      <c r="A1863" s="50"/>
    </row>
    <row r="1864" spans="1:1">
      <c r="A1864" s="50"/>
    </row>
    <row r="1865" spans="1:1">
      <c r="A1865" s="50"/>
    </row>
    <row r="1866" spans="1:1">
      <c r="A1866" s="50"/>
    </row>
    <row r="1867" spans="1:1">
      <c r="A1867" s="50"/>
    </row>
    <row r="1868" spans="1:1">
      <c r="A1868" s="50"/>
    </row>
    <row r="1869" spans="1:1">
      <c r="A1869" s="50"/>
    </row>
    <row r="1870" spans="1:1">
      <c r="A1870" s="50"/>
    </row>
    <row r="1871" spans="1:1">
      <c r="A1871" s="50"/>
    </row>
    <row r="1872" spans="1:1">
      <c r="A1872" s="50"/>
    </row>
    <row r="1873" spans="1:1">
      <c r="A1873" s="50"/>
    </row>
    <row r="1874" spans="1:1">
      <c r="A1874" s="50"/>
    </row>
    <row r="1875" spans="1:1">
      <c r="A1875" s="50"/>
    </row>
    <row r="1876" spans="1:1">
      <c r="A1876" s="50"/>
    </row>
    <row r="1877" spans="1:1">
      <c r="A1877" s="50"/>
    </row>
    <row r="1878" spans="1:1">
      <c r="A1878" s="50"/>
    </row>
    <row r="1879" spans="1:1">
      <c r="A1879" s="50"/>
    </row>
    <row r="1880" spans="1:1">
      <c r="A1880" s="50"/>
    </row>
    <row r="1881" spans="1:1">
      <c r="A1881" s="50"/>
    </row>
    <row r="1882" spans="1:1">
      <c r="A1882" s="50"/>
    </row>
    <row r="1883" spans="1:1">
      <c r="A1883" s="50"/>
    </row>
    <row r="1884" spans="1:1">
      <c r="A1884" s="50"/>
    </row>
    <row r="1885" spans="1:1">
      <c r="A1885" s="50"/>
    </row>
    <row r="1886" spans="1:1">
      <c r="A1886" s="50"/>
    </row>
    <row r="1887" spans="1:1">
      <c r="A1887" s="50"/>
    </row>
    <row r="1888" spans="1:1">
      <c r="A1888" s="50"/>
    </row>
    <row r="1889" spans="1:1">
      <c r="A1889" s="50"/>
    </row>
    <row r="1890" spans="1:1">
      <c r="A1890" s="50"/>
    </row>
    <row r="1891" spans="1:1">
      <c r="A1891" s="50"/>
    </row>
    <row r="1892" spans="1:1">
      <c r="A1892" s="50"/>
    </row>
    <row r="1893" spans="1:1">
      <c r="A1893" s="50"/>
    </row>
    <row r="1894" spans="1:1">
      <c r="A1894" s="50"/>
    </row>
    <row r="1895" spans="1:1">
      <c r="A1895" s="50"/>
    </row>
    <row r="1896" spans="1:1">
      <c r="A1896" s="50"/>
    </row>
    <row r="1897" spans="1:1">
      <c r="A1897" s="50"/>
    </row>
    <row r="1898" spans="1:1">
      <c r="A1898" s="50"/>
    </row>
    <row r="1899" spans="1:1">
      <c r="A1899" s="50"/>
    </row>
    <row r="1900" spans="1:1">
      <c r="A1900" s="50"/>
    </row>
    <row r="1901" spans="1:1">
      <c r="A1901" s="50"/>
    </row>
    <row r="1902" spans="1:1">
      <c r="A1902" s="50"/>
    </row>
    <row r="1903" spans="1:1">
      <c r="A1903" s="50"/>
    </row>
    <row r="1904" spans="1:1">
      <c r="A1904" s="50"/>
    </row>
    <row r="1905" spans="1:1">
      <c r="A1905" s="50"/>
    </row>
    <row r="1906" spans="1:1">
      <c r="A1906" s="50"/>
    </row>
    <row r="1907" spans="1:1">
      <c r="A1907" s="50"/>
    </row>
    <row r="1908" spans="1:1">
      <c r="A1908" s="50"/>
    </row>
    <row r="1909" spans="1:1">
      <c r="A1909" s="50"/>
    </row>
    <row r="1910" spans="1:1">
      <c r="A1910" s="50"/>
    </row>
    <row r="1911" spans="1:1">
      <c r="A1911" s="50"/>
    </row>
    <row r="1912" spans="1:1">
      <c r="A1912" s="50"/>
    </row>
    <row r="1913" spans="1:1">
      <c r="A1913" s="50"/>
    </row>
    <row r="1914" spans="1:1">
      <c r="A1914" s="50"/>
    </row>
    <row r="1915" spans="1:1">
      <c r="A1915" s="50"/>
    </row>
    <row r="1916" spans="1:1">
      <c r="A1916" s="50"/>
    </row>
    <row r="1917" spans="1:1">
      <c r="A1917" s="50"/>
    </row>
    <row r="1918" spans="1:1">
      <c r="A1918" s="50"/>
    </row>
    <row r="1919" spans="1:1">
      <c r="A1919" s="50"/>
    </row>
    <row r="1920" spans="1:1">
      <c r="A1920" s="50"/>
    </row>
    <row r="1921" spans="1:1">
      <c r="A1921" s="50"/>
    </row>
    <row r="1922" spans="1:1">
      <c r="A1922" s="50"/>
    </row>
    <row r="1923" spans="1:1">
      <c r="A1923" s="50"/>
    </row>
    <row r="1924" spans="1:1">
      <c r="A1924" s="50"/>
    </row>
    <row r="1925" spans="1:1">
      <c r="A1925" s="50"/>
    </row>
    <row r="1926" spans="1:1">
      <c r="A1926" s="50"/>
    </row>
    <row r="1927" spans="1:1">
      <c r="A1927" s="50"/>
    </row>
    <row r="1928" spans="1:1">
      <c r="A1928" s="50"/>
    </row>
    <row r="1929" spans="1:1">
      <c r="A1929" s="50"/>
    </row>
    <row r="1930" spans="1:1">
      <c r="A1930" s="50"/>
    </row>
    <row r="1931" spans="1:1">
      <c r="A1931" s="50"/>
    </row>
    <row r="1932" spans="1:1">
      <c r="A1932" s="50"/>
    </row>
    <row r="1933" spans="1:1">
      <c r="A1933" s="50"/>
    </row>
    <row r="1934" spans="1:1">
      <c r="A1934" s="50"/>
    </row>
    <row r="1935" spans="1:1">
      <c r="A1935" s="50"/>
    </row>
    <row r="1936" spans="1:1">
      <c r="A1936" s="50"/>
    </row>
    <row r="1937" spans="1:1">
      <c r="A1937" s="50"/>
    </row>
    <row r="1938" spans="1:1">
      <c r="A1938" s="50"/>
    </row>
    <row r="1939" spans="1:1">
      <c r="A1939" s="50"/>
    </row>
    <row r="1940" spans="1:1">
      <c r="A1940" s="50"/>
    </row>
    <row r="1941" spans="1:1">
      <c r="A1941" s="50"/>
    </row>
    <row r="1942" spans="1:1">
      <c r="A1942" s="50"/>
    </row>
    <row r="1943" spans="1:1">
      <c r="A1943" s="50"/>
    </row>
    <row r="1944" spans="1:1">
      <c r="A1944" s="50"/>
    </row>
    <row r="1945" spans="1:1">
      <c r="A1945" s="50"/>
    </row>
    <row r="1946" spans="1:1">
      <c r="A1946" s="50"/>
    </row>
    <row r="1947" spans="1:1">
      <c r="A1947" s="50"/>
    </row>
    <row r="1948" spans="1:1">
      <c r="A1948" s="50"/>
    </row>
    <row r="1949" spans="1:1">
      <c r="A1949" s="50"/>
    </row>
    <row r="1950" spans="1:1">
      <c r="A1950" s="50"/>
    </row>
    <row r="1951" spans="1:1">
      <c r="A1951" s="50"/>
    </row>
    <row r="1952" spans="1:1">
      <c r="A1952" s="50"/>
    </row>
    <row r="1953" spans="1:1">
      <c r="A1953" s="50"/>
    </row>
    <row r="1954" spans="1:1">
      <c r="A1954" s="50"/>
    </row>
    <row r="1955" spans="1:1">
      <c r="A1955" s="50"/>
    </row>
    <row r="1956" spans="1:1">
      <c r="A1956" s="50"/>
    </row>
    <row r="1957" spans="1:1">
      <c r="A1957" s="50"/>
    </row>
    <row r="1958" spans="1:1">
      <c r="A1958" s="50"/>
    </row>
    <row r="1959" spans="1:1">
      <c r="A1959" s="50"/>
    </row>
    <row r="1960" spans="1:1">
      <c r="A1960" s="50"/>
    </row>
    <row r="1961" spans="1:1">
      <c r="A1961" s="50"/>
    </row>
    <row r="1962" spans="1:1">
      <c r="A1962" s="50"/>
    </row>
    <row r="1963" spans="1:1">
      <c r="A1963" s="50"/>
    </row>
    <row r="1964" spans="1:1">
      <c r="A1964" s="50"/>
    </row>
    <row r="1965" spans="1:1">
      <c r="A1965" s="50"/>
    </row>
    <row r="1966" spans="1:1">
      <c r="A1966" s="50"/>
    </row>
    <row r="1967" spans="1:1">
      <c r="A1967" s="50"/>
    </row>
    <row r="1968" spans="1:1">
      <c r="A1968" s="50"/>
    </row>
    <row r="1969" spans="1:1">
      <c r="A1969" s="50"/>
    </row>
    <row r="1970" spans="1:1">
      <c r="A1970" s="50"/>
    </row>
    <row r="1971" spans="1:1">
      <c r="A1971" s="50"/>
    </row>
    <row r="1972" spans="1:1">
      <c r="A1972" s="50"/>
    </row>
    <row r="1973" spans="1:1">
      <c r="A1973" s="50"/>
    </row>
    <row r="1974" spans="1:1">
      <c r="A1974" s="50"/>
    </row>
    <row r="1975" spans="1:1">
      <c r="A1975" s="50"/>
    </row>
    <row r="1976" spans="1:1">
      <c r="A1976" s="50"/>
    </row>
    <row r="1977" spans="1:1">
      <c r="A1977" s="50"/>
    </row>
    <row r="1978" spans="1:1">
      <c r="A1978" s="50"/>
    </row>
    <row r="1979" spans="1:1">
      <c r="A1979" s="50"/>
    </row>
    <row r="1980" spans="1:1">
      <c r="A1980" s="50"/>
    </row>
    <row r="1981" spans="1:1">
      <c r="A1981" s="50"/>
    </row>
    <row r="1982" spans="1:1">
      <c r="A1982" s="50"/>
    </row>
    <row r="1983" spans="1:1">
      <c r="A1983" s="50"/>
    </row>
    <row r="1984" spans="1:1">
      <c r="A1984" s="50"/>
    </row>
    <row r="1985" spans="1:1">
      <c r="A1985" s="50"/>
    </row>
    <row r="1986" spans="1:1">
      <c r="A1986" s="50"/>
    </row>
    <row r="1987" spans="1:1">
      <c r="A1987" s="50"/>
    </row>
    <row r="1988" spans="1:1">
      <c r="A1988" s="50"/>
    </row>
    <row r="1989" spans="1:1">
      <c r="A1989" s="50"/>
    </row>
    <row r="1990" spans="1:1">
      <c r="A1990" s="50"/>
    </row>
    <row r="1991" spans="1:1">
      <c r="A1991" s="50"/>
    </row>
    <row r="1992" spans="1:1">
      <c r="A1992" s="50"/>
    </row>
    <row r="1993" spans="1:1">
      <c r="A1993" s="50"/>
    </row>
    <row r="1994" spans="1:1">
      <c r="A1994" s="50"/>
    </row>
    <row r="1995" spans="1:1">
      <c r="A1995" s="50"/>
    </row>
    <row r="1996" spans="1:1">
      <c r="A1996" s="50"/>
    </row>
    <row r="1997" spans="1:1">
      <c r="A1997" s="50"/>
    </row>
    <row r="1998" spans="1:1">
      <c r="A1998" s="50"/>
    </row>
    <row r="1999" spans="1:1">
      <c r="A1999" s="50"/>
    </row>
    <row r="2000" spans="1:1">
      <c r="A2000" s="50"/>
    </row>
    <row r="2001" spans="1:1">
      <c r="A2001" s="50"/>
    </row>
    <row r="2002" spans="1:1">
      <c r="A2002" s="50"/>
    </row>
    <row r="2003" spans="1:1">
      <c r="A2003" s="50"/>
    </row>
    <row r="2004" spans="1:1">
      <c r="A2004" s="50"/>
    </row>
    <row r="2005" spans="1:1">
      <c r="A2005" s="50"/>
    </row>
    <row r="2006" spans="1:1">
      <c r="A2006" s="50"/>
    </row>
    <row r="2007" spans="1:1">
      <c r="A2007" s="50"/>
    </row>
    <row r="2008" spans="1:1">
      <c r="A2008" s="50"/>
    </row>
    <row r="2009" spans="1:1">
      <c r="A2009" s="50"/>
    </row>
    <row r="2010" spans="1:1">
      <c r="A2010" s="50"/>
    </row>
    <row r="2011" spans="1:1">
      <c r="A2011" s="50"/>
    </row>
    <row r="2012" spans="1:1">
      <c r="A2012" s="50"/>
    </row>
    <row r="2013" spans="1:1">
      <c r="A2013" s="50"/>
    </row>
    <row r="2014" spans="1:1">
      <c r="A2014" s="50"/>
    </row>
    <row r="2015" spans="1:1">
      <c r="A2015" s="50"/>
    </row>
    <row r="2016" spans="1:1">
      <c r="A2016" s="50"/>
    </row>
    <row r="2017" spans="1:1">
      <c r="A2017" s="50"/>
    </row>
    <row r="2018" spans="1:1">
      <c r="A2018" s="50"/>
    </row>
    <row r="2019" spans="1:1">
      <c r="A2019" s="50"/>
    </row>
    <row r="2020" spans="1:1">
      <c r="A2020" s="50"/>
    </row>
    <row r="2021" spans="1:1">
      <c r="A2021" s="50"/>
    </row>
    <row r="2022" spans="1:1">
      <c r="A2022" s="50"/>
    </row>
    <row r="2023" spans="1:1">
      <c r="A2023" s="50"/>
    </row>
    <row r="2024" spans="1:1">
      <c r="A2024" s="50"/>
    </row>
    <row r="2025" spans="1:1">
      <c r="A2025" s="50"/>
    </row>
    <row r="2026" spans="1:1">
      <c r="A2026" s="50"/>
    </row>
    <row r="2027" spans="1:1">
      <c r="A2027" s="50"/>
    </row>
    <row r="2028" spans="1:1">
      <c r="A2028" s="50"/>
    </row>
    <row r="2029" spans="1:1">
      <c r="A2029" s="50"/>
    </row>
    <row r="2030" spans="1:1">
      <c r="A2030" s="50"/>
    </row>
    <row r="2031" spans="1:1">
      <c r="A2031" s="50"/>
    </row>
    <row r="2032" spans="1:1">
      <c r="A2032" s="50"/>
    </row>
    <row r="2033" spans="1:1">
      <c r="A2033" s="50"/>
    </row>
    <row r="2034" spans="1:1">
      <c r="A2034" s="50"/>
    </row>
    <row r="2035" spans="1:1">
      <c r="A2035" s="50"/>
    </row>
    <row r="2036" spans="1:1">
      <c r="A2036" s="50"/>
    </row>
    <row r="2037" spans="1:1">
      <c r="A2037" s="50"/>
    </row>
    <row r="2038" spans="1:1">
      <c r="A2038" s="50"/>
    </row>
    <row r="2039" spans="1:1">
      <c r="A2039" s="50"/>
    </row>
    <row r="2040" spans="1:1">
      <c r="A2040" s="50"/>
    </row>
    <row r="2041" spans="1:1">
      <c r="A2041" s="50"/>
    </row>
    <row r="2042" spans="1:1">
      <c r="A2042" s="50"/>
    </row>
    <row r="2043" spans="1:1">
      <c r="A2043" s="50"/>
    </row>
    <row r="2044" spans="1:1">
      <c r="A2044" s="50"/>
    </row>
    <row r="2045" spans="1:1">
      <c r="A2045" s="50"/>
    </row>
    <row r="2046" spans="1:1">
      <c r="A2046" s="50"/>
    </row>
    <row r="2047" spans="1:1">
      <c r="A2047" s="50"/>
    </row>
    <row r="2048" spans="1:1">
      <c r="A2048" s="50"/>
    </row>
    <row r="2049" spans="1:1">
      <c r="A2049" s="50"/>
    </row>
    <row r="2050" spans="1:1">
      <c r="A2050" s="50"/>
    </row>
    <row r="2051" spans="1:1">
      <c r="A2051" s="50"/>
    </row>
    <row r="2052" spans="1:1">
      <c r="A2052" s="50"/>
    </row>
    <row r="2053" spans="1:1">
      <c r="A2053" s="50"/>
    </row>
    <row r="2054" spans="1:1">
      <c r="A2054" s="50"/>
    </row>
    <row r="2055" spans="1:1">
      <c r="A2055" s="50"/>
    </row>
    <row r="2056" spans="1:1">
      <c r="A2056" s="50"/>
    </row>
    <row r="2057" spans="1:1">
      <c r="A2057" s="50"/>
    </row>
    <row r="2058" spans="1:1">
      <c r="A2058" s="50"/>
    </row>
    <row r="2059" spans="1:1">
      <c r="A2059" s="50"/>
    </row>
    <row r="2060" spans="1:1">
      <c r="A2060" s="50"/>
    </row>
    <row r="2061" spans="1:1">
      <c r="A2061" s="50"/>
    </row>
    <row r="2062" spans="1:1">
      <c r="A2062" s="50"/>
    </row>
    <row r="2063" spans="1:1">
      <c r="A2063" s="50"/>
    </row>
    <row r="2064" spans="1:1">
      <c r="A2064" s="50"/>
    </row>
    <row r="2065" spans="1:1">
      <c r="A2065" s="50"/>
    </row>
    <row r="2066" spans="1:1">
      <c r="A2066" s="50"/>
    </row>
    <row r="2067" spans="1:1">
      <c r="A2067" s="50"/>
    </row>
    <row r="2068" spans="1:1">
      <c r="A2068" s="50"/>
    </row>
    <row r="2069" spans="1:1">
      <c r="A2069" s="50"/>
    </row>
    <row r="2070" spans="1:1">
      <c r="A2070" s="50"/>
    </row>
    <row r="2071" spans="1:1">
      <c r="A2071" s="50"/>
    </row>
    <row r="2072" spans="1:1">
      <c r="A2072" s="50"/>
    </row>
    <row r="2073" spans="1:1">
      <c r="A2073" s="50"/>
    </row>
    <row r="2074" spans="1:1">
      <c r="A2074" s="50"/>
    </row>
    <row r="2075" spans="1:1">
      <c r="A2075" s="50"/>
    </row>
    <row r="2076" spans="1:1">
      <c r="A2076" s="50"/>
    </row>
    <row r="2077" spans="1:1">
      <c r="A2077" s="50"/>
    </row>
    <row r="2078" spans="1:1">
      <c r="A2078" s="50"/>
    </row>
    <row r="2079" spans="1:1">
      <c r="A2079" s="50"/>
    </row>
    <row r="2080" spans="1:1">
      <c r="A2080" s="50"/>
    </row>
    <row r="2081" spans="1:1">
      <c r="A2081" s="50"/>
    </row>
    <row r="2082" spans="1:1">
      <c r="A2082" s="50"/>
    </row>
    <row r="2083" spans="1:1">
      <c r="A2083" s="50"/>
    </row>
    <row r="2084" spans="1:1">
      <c r="A2084" s="50"/>
    </row>
    <row r="2085" spans="1:1">
      <c r="A2085" s="50"/>
    </row>
    <row r="2086" spans="1:1">
      <c r="A2086" s="50"/>
    </row>
    <row r="2087" spans="1:1">
      <c r="A2087" s="50"/>
    </row>
    <row r="2088" spans="1:1">
      <c r="A2088" s="50"/>
    </row>
    <row r="2089" spans="1:1">
      <c r="A2089" s="50"/>
    </row>
    <row r="2090" spans="1:1">
      <c r="A2090" s="50"/>
    </row>
    <row r="2091" spans="1:1">
      <c r="A2091" s="50"/>
    </row>
    <row r="2092" spans="1:1">
      <c r="A2092" s="50"/>
    </row>
    <row r="2093" spans="1:1">
      <c r="A2093" s="50"/>
    </row>
    <row r="2094" spans="1:1">
      <c r="A2094" s="50"/>
    </row>
    <row r="2095" spans="1:1">
      <c r="A2095" s="50"/>
    </row>
    <row r="2096" spans="1:1">
      <c r="A2096" s="50"/>
    </row>
    <row r="2097" spans="1:1">
      <c r="A2097" s="50"/>
    </row>
    <row r="2098" spans="1:1">
      <c r="A2098" s="50"/>
    </row>
    <row r="2099" spans="1:1">
      <c r="A2099" s="50"/>
    </row>
    <row r="2100" spans="1:1">
      <c r="A2100" s="50"/>
    </row>
    <row r="2101" spans="1:1">
      <c r="A2101" s="50"/>
    </row>
    <row r="2102" spans="1:1">
      <c r="A2102" s="50"/>
    </row>
    <row r="2103" spans="1:1">
      <c r="A2103" s="50"/>
    </row>
    <row r="2104" spans="1:1">
      <c r="A2104" s="50"/>
    </row>
    <row r="2105" spans="1:1">
      <c r="A2105" s="50"/>
    </row>
    <row r="2106" spans="1:1">
      <c r="A2106" s="50"/>
    </row>
    <row r="2107" spans="1:1">
      <c r="A2107" s="50"/>
    </row>
    <row r="2108" spans="1:1">
      <c r="A2108" s="50"/>
    </row>
    <row r="2109" spans="1:1">
      <c r="A2109" s="50"/>
    </row>
    <row r="2110" spans="1:1">
      <c r="A2110" s="50"/>
    </row>
    <row r="2111" spans="1:1">
      <c r="A2111" s="50"/>
    </row>
    <row r="2112" spans="1:1">
      <c r="A2112" s="50"/>
    </row>
    <row r="2113" spans="1:1">
      <c r="A2113" s="50"/>
    </row>
    <row r="2114" spans="1:1">
      <c r="A2114" s="50"/>
    </row>
    <row r="2115" spans="1:1">
      <c r="A2115" s="50"/>
    </row>
    <row r="2116" spans="1:1">
      <c r="A2116" s="50"/>
    </row>
    <row r="2117" spans="1:1">
      <c r="A2117" s="50"/>
    </row>
    <row r="2118" spans="1:1">
      <c r="A2118" s="50"/>
    </row>
    <row r="2119" spans="1:1">
      <c r="A2119" s="50"/>
    </row>
    <row r="2120" spans="1:1">
      <c r="A2120" s="50"/>
    </row>
    <row r="2121" spans="1:1">
      <c r="A2121" s="50"/>
    </row>
    <row r="2122" spans="1:1">
      <c r="A2122" s="50"/>
    </row>
    <row r="2123" spans="1:1">
      <c r="A2123" s="50"/>
    </row>
    <row r="2124" spans="1:1">
      <c r="A2124" s="50"/>
    </row>
    <row r="2125" spans="1:1">
      <c r="A2125" s="50"/>
    </row>
    <row r="2126" spans="1:1">
      <c r="A2126" s="50"/>
    </row>
    <row r="2127" spans="1:1">
      <c r="A2127" s="50"/>
    </row>
    <row r="2128" spans="1:1">
      <c r="A2128" s="50"/>
    </row>
    <row r="2129" spans="1:1">
      <c r="A2129" s="50"/>
    </row>
    <row r="2130" spans="1:1">
      <c r="A2130" s="50"/>
    </row>
    <row r="2131" spans="1:1">
      <c r="A2131" s="50"/>
    </row>
    <row r="2132" spans="1:1">
      <c r="A2132" s="50"/>
    </row>
    <row r="2133" spans="1:1">
      <c r="A2133" s="50"/>
    </row>
    <row r="2134" spans="1:1">
      <c r="A2134" s="50"/>
    </row>
    <row r="2135" spans="1:1">
      <c r="A2135" s="50"/>
    </row>
    <row r="2136" spans="1:1">
      <c r="A2136" s="50"/>
    </row>
    <row r="2137" spans="1:1">
      <c r="A2137" s="50"/>
    </row>
    <row r="2138" spans="1:1">
      <c r="A2138" s="50"/>
    </row>
    <row r="2139" spans="1:1">
      <c r="A2139" s="50"/>
    </row>
    <row r="2140" spans="1:1">
      <c r="A2140" s="50"/>
    </row>
    <row r="2141" spans="1:1">
      <c r="A2141" s="50"/>
    </row>
    <row r="2142" spans="1:1">
      <c r="A2142" s="50"/>
    </row>
    <row r="2143" spans="1:1">
      <c r="A2143" s="50"/>
    </row>
    <row r="2144" spans="1:1">
      <c r="A2144" s="50"/>
    </row>
    <row r="2145" spans="1:1">
      <c r="A2145" s="50"/>
    </row>
    <row r="2146" spans="1:1">
      <c r="A2146" s="50"/>
    </row>
    <row r="2147" spans="1:1">
      <c r="A2147" s="50"/>
    </row>
    <row r="2148" spans="1:1">
      <c r="A2148" s="50"/>
    </row>
    <row r="2149" spans="1:1">
      <c r="A2149" s="50"/>
    </row>
    <row r="2150" spans="1:1">
      <c r="A2150" s="50"/>
    </row>
    <row r="2151" spans="1:1">
      <c r="A2151" s="50"/>
    </row>
    <row r="2152" spans="1:1">
      <c r="A2152" s="50"/>
    </row>
    <row r="2153" spans="1:1">
      <c r="A2153" s="50"/>
    </row>
    <row r="2154" spans="1:1">
      <c r="A2154" s="50"/>
    </row>
    <row r="2155" spans="1:1">
      <c r="A2155" s="50"/>
    </row>
    <row r="2156" spans="1:1">
      <c r="A2156" s="50"/>
    </row>
    <row r="2157" spans="1:1">
      <c r="A2157" s="50"/>
    </row>
    <row r="2158" spans="1:1">
      <c r="A2158" s="50"/>
    </row>
    <row r="2159" spans="1:1">
      <c r="A2159" s="50"/>
    </row>
    <row r="2160" spans="1:1">
      <c r="A2160" s="50"/>
    </row>
    <row r="2161" spans="1:1">
      <c r="A2161" s="50"/>
    </row>
    <row r="2162" spans="1:1">
      <c r="A2162" s="50"/>
    </row>
    <row r="2163" spans="1:1">
      <c r="A2163" s="50"/>
    </row>
    <row r="2164" spans="1:1">
      <c r="A2164" s="50"/>
    </row>
    <row r="2165" spans="1:1">
      <c r="A2165" s="50"/>
    </row>
    <row r="2166" spans="1:1">
      <c r="A2166" s="50"/>
    </row>
    <row r="2167" spans="1:1">
      <c r="A2167" s="50"/>
    </row>
    <row r="2168" spans="1:1">
      <c r="A2168" s="50"/>
    </row>
    <row r="2169" spans="1:1">
      <c r="A2169" s="50"/>
    </row>
    <row r="2170" spans="1:1">
      <c r="A2170" s="50"/>
    </row>
    <row r="2171" spans="1:1">
      <c r="A2171" s="50"/>
    </row>
    <row r="2172" spans="1:1">
      <c r="A2172" s="50"/>
    </row>
    <row r="2173" spans="1:1">
      <c r="A2173" s="50"/>
    </row>
    <row r="2174" spans="1:1">
      <c r="A2174" s="50"/>
    </row>
    <row r="2175" spans="1:1">
      <c r="A2175" s="50"/>
    </row>
    <row r="2176" spans="1:1">
      <c r="A2176" s="50"/>
    </row>
    <row r="2177" spans="1:1">
      <c r="A2177" s="50"/>
    </row>
    <row r="2178" spans="1:1">
      <c r="A2178" s="50"/>
    </row>
    <row r="2179" spans="1:1">
      <c r="A2179" s="50"/>
    </row>
    <row r="2180" spans="1:1">
      <c r="A2180" s="50"/>
    </row>
    <row r="2181" spans="1:1">
      <c r="A2181" s="50"/>
    </row>
    <row r="2182" spans="1:1">
      <c r="A2182" s="50"/>
    </row>
    <row r="2183" spans="1:1">
      <c r="A2183" s="50"/>
    </row>
    <row r="2184" spans="1:1">
      <c r="A2184" s="50"/>
    </row>
    <row r="2185" spans="1:1">
      <c r="A2185" s="50"/>
    </row>
    <row r="2186" spans="1:1">
      <c r="A2186" s="50"/>
    </row>
    <row r="2187" spans="1:1">
      <c r="A2187" s="50"/>
    </row>
    <row r="2188" spans="1:1">
      <c r="A2188" s="50"/>
    </row>
    <row r="2189" spans="1:1">
      <c r="A2189" s="50"/>
    </row>
    <row r="2190" spans="1:1">
      <c r="A2190" s="50"/>
    </row>
    <row r="2191" spans="1:1">
      <c r="A2191" s="50"/>
    </row>
    <row r="2192" spans="1:1">
      <c r="A2192" s="50"/>
    </row>
    <row r="2193" spans="1:1">
      <c r="A2193" s="50"/>
    </row>
    <row r="2194" spans="1:1">
      <c r="A2194" s="50"/>
    </row>
    <row r="2195" spans="1:1">
      <c r="A2195" s="50"/>
    </row>
    <row r="2196" spans="1:1">
      <c r="A2196" s="50"/>
    </row>
    <row r="2197" spans="1:1">
      <c r="A2197" s="50"/>
    </row>
    <row r="2198" spans="1:1">
      <c r="A2198" s="50"/>
    </row>
    <row r="2199" spans="1:1">
      <c r="A2199" s="50"/>
    </row>
    <row r="2200" spans="1:1">
      <c r="A2200" s="50"/>
    </row>
    <row r="2201" spans="1:1">
      <c r="A2201" s="50"/>
    </row>
    <row r="2202" spans="1:1">
      <c r="A2202" s="50"/>
    </row>
    <row r="2203" spans="1:1">
      <c r="A2203" s="50"/>
    </row>
    <row r="2204" spans="1:1">
      <c r="A2204" s="50"/>
    </row>
    <row r="2205" spans="1:1">
      <c r="A2205" s="50"/>
    </row>
    <row r="2206" spans="1:1">
      <c r="A2206" s="50"/>
    </row>
    <row r="2207" spans="1:1">
      <c r="A2207" s="50"/>
    </row>
    <row r="2208" spans="1:1">
      <c r="A2208" s="50"/>
    </row>
    <row r="2209" spans="1:1">
      <c r="A2209" s="50"/>
    </row>
    <row r="2210" spans="1:1">
      <c r="A2210" s="50"/>
    </row>
    <row r="2211" spans="1:1">
      <c r="A2211" s="50"/>
    </row>
    <row r="2212" spans="1:1">
      <c r="A2212" s="50"/>
    </row>
    <row r="2213" spans="1:1">
      <c r="A2213" s="50"/>
    </row>
    <row r="2214" spans="1:1">
      <c r="A2214" s="50"/>
    </row>
    <row r="2215" spans="1:1">
      <c r="A2215" s="50"/>
    </row>
    <row r="2216" spans="1:1">
      <c r="A2216" s="50"/>
    </row>
    <row r="2217" spans="1:1">
      <c r="A2217" s="50"/>
    </row>
    <row r="2218" spans="1:1">
      <c r="A2218" s="50"/>
    </row>
    <row r="2219" spans="1:1">
      <c r="A2219" s="50"/>
    </row>
    <row r="2220" spans="1:1">
      <c r="A2220" s="50"/>
    </row>
    <row r="2221" spans="1:1">
      <c r="A2221" s="50"/>
    </row>
    <row r="2222" spans="1:1">
      <c r="A2222" s="50"/>
    </row>
    <row r="2223" spans="1:1">
      <c r="A2223" s="50"/>
    </row>
    <row r="2224" spans="1:1">
      <c r="A2224" s="50"/>
    </row>
    <row r="2225" spans="1:1">
      <c r="A2225" s="50"/>
    </row>
    <row r="2226" spans="1:1">
      <c r="A2226" s="50"/>
    </row>
    <row r="2227" spans="1:1">
      <c r="A2227" s="50"/>
    </row>
    <row r="2228" spans="1:1">
      <c r="A2228" s="50"/>
    </row>
    <row r="2229" spans="1:1">
      <c r="A2229" s="50"/>
    </row>
    <row r="2230" spans="1:1">
      <c r="A2230" s="50"/>
    </row>
    <row r="2231" spans="1:1">
      <c r="A2231" s="50"/>
    </row>
    <row r="2232" spans="1:1">
      <c r="A2232" s="50"/>
    </row>
    <row r="2233" spans="1:1">
      <c r="A2233" s="50"/>
    </row>
    <row r="2234" spans="1:1">
      <c r="A2234" s="50"/>
    </row>
    <row r="2235" spans="1:1">
      <c r="A2235" s="50"/>
    </row>
    <row r="2236" spans="1:1">
      <c r="A2236" s="50"/>
    </row>
    <row r="2237" spans="1:1">
      <c r="A2237" s="50"/>
    </row>
    <row r="2238" spans="1:1">
      <c r="A2238" s="50"/>
    </row>
    <row r="2239" spans="1:1">
      <c r="A2239" s="50"/>
    </row>
    <row r="2240" spans="1:1">
      <c r="A2240" s="50"/>
    </row>
    <row r="2241" spans="1:1">
      <c r="A2241" s="50"/>
    </row>
    <row r="2242" spans="1:1">
      <c r="A2242" s="50"/>
    </row>
    <row r="2243" spans="1:1">
      <c r="A2243" s="50"/>
    </row>
    <row r="2244" spans="1:1">
      <c r="A2244" s="50"/>
    </row>
    <row r="2245" spans="1:1">
      <c r="A2245" s="50"/>
    </row>
    <row r="2246" spans="1:1">
      <c r="A2246" s="50"/>
    </row>
    <row r="2247" spans="1:1">
      <c r="A2247" s="50"/>
    </row>
    <row r="2248" spans="1:1">
      <c r="A2248" s="50"/>
    </row>
    <row r="2249" spans="1:1">
      <c r="A2249" s="50"/>
    </row>
    <row r="2250" spans="1:1">
      <c r="A2250" s="50"/>
    </row>
    <row r="2251" spans="1:1">
      <c r="A2251" s="50"/>
    </row>
    <row r="2252" spans="1:1">
      <c r="A2252" s="50"/>
    </row>
    <row r="2253" spans="1:1">
      <c r="A2253" s="50"/>
    </row>
    <row r="2254" spans="1:1">
      <c r="A2254" s="50"/>
    </row>
    <row r="2255" spans="1:1">
      <c r="A2255" s="50"/>
    </row>
    <row r="2256" spans="1:1">
      <c r="A2256" s="50"/>
    </row>
    <row r="2257" spans="1:1">
      <c r="A2257" s="50"/>
    </row>
    <row r="2258" spans="1:1">
      <c r="A2258" s="50"/>
    </row>
    <row r="2259" spans="1:1">
      <c r="A2259" s="50"/>
    </row>
    <row r="2260" spans="1:1">
      <c r="A2260" s="50"/>
    </row>
    <row r="2261" spans="1:1">
      <c r="A2261" s="50"/>
    </row>
    <row r="2262" spans="1:1">
      <c r="A2262" s="50"/>
    </row>
    <row r="2263" spans="1:1">
      <c r="A2263" s="50"/>
    </row>
    <row r="2264" spans="1:1">
      <c r="A2264" s="50"/>
    </row>
    <row r="2265" spans="1:1">
      <c r="A2265" s="50"/>
    </row>
    <row r="2266" spans="1:1">
      <c r="A2266" s="50"/>
    </row>
    <row r="2267" spans="1:1">
      <c r="A2267" s="50"/>
    </row>
    <row r="2268" spans="1:1">
      <c r="A2268" s="50"/>
    </row>
    <row r="2269" spans="1:1">
      <c r="A2269" s="50"/>
    </row>
    <row r="2270" spans="1:1">
      <c r="A2270" s="50"/>
    </row>
    <row r="2271" spans="1:1">
      <c r="A2271" s="50"/>
    </row>
    <row r="2272" spans="1:1">
      <c r="A2272" s="50"/>
    </row>
    <row r="2273" spans="1:1">
      <c r="A2273" s="50"/>
    </row>
    <row r="2274" spans="1:1">
      <c r="A2274" s="50"/>
    </row>
    <row r="2275" spans="1:1">
      <c r="A2275" s="50"/>
    </row>
    <row r="2276" spans="1:1">
      <c r="A2276" s="50"/>
    </row>
    <row r="2277" spans="1:1">
      <c r="A2277" s="50"/>
    </row>
    <row r="2278" spans="1:1">
      <c r="A2278" s="50"/>
    </row>
    <row r="2279" spans="1:1">
      <c r="A2279" s="50"/>
    </row>
    <row r="2280" spans="1:1">
      <c r="A2280" s="50"/>
    </row>
    <row r="2281" spans="1:1">
      <c r="A2281" s="50"/>
    </row>
    <row r="2282" spans="1:1">
      <c r="A2282" s="50"/>
    </row>
    <row r="2283" spans="1:1">
      <c r="A2283" s="50"/>
    </row>
    <row r="2284" spans="1:1">
      <c r="A2284" s="50"/>
    </row>
    <row r="2285" spans="1:1">
      <c r="A2285" s="50"/>
    </row>
    <row r="2286" spans="1:1">
      <c r="A2286" s="50"/>
    </row>
    <row r="2287" spans="1:1">
      <c r="A2287" s="50"/>
    </row>
    <row r="2288" spans="1:1">
      <c r="A2288" s="50"/>
    </row>
    <row r="2289" spans="1:1">
      <c r="A2289" s="50"/>
    </row>
    <row r="2290" spans="1:1">
      <c r="A2290" s="50"/>
    </row>
    <row r="2291" spans="1:1">
      <c r="A2291" s="50"/>
    </row>
    <row r="2292" spans="1:1">
      <c r="A2292" s="50"/>
    </row>
    <row r="2293" spans="1:1">
      <c r="A2293" s="50"/>
    </row>
    <row r="2294" spans="1:1">
      <c r="A2294" s="50"/>
    </row>
    <row r="2295" spans="1:1">
      <c r="A2295" s="50"/>
    </row>
    <row r="2296" spans="1:1">
      <c r="A2296" s="50"/>
    </row>
    <row r="2297" spans="1:1">
      <c r="A2297" s="50"/>
    </row>
    <row r="2298" spans="1:1">
      <c r="A2298" s="50"/>
    </row>
    <row r="2299" spans="1:1">
      <c r="A2299" s="50"/>
    </row>
    <row r="2300" spans="1:1">
      <c r="A2300" s="50"/>
    </row>
    <row r="2301" spans="1:1">
      <c r="A2301" s="50"/>
    </row>
    <row r="2302" spans="1:1">
      <c r="A2302" s="50"/>
    </row>
    <row r="2303" spans="1:1">
      <c r="A2303" s="50"/>
    </row>
    <row r="2304" spans="1:1">
      <c r="A2304" s="50"/>
    </row>
    <row r="2305" spans="1:1">
      <c r="A2305" s="50"/>
    </row>
    <row r="2306" spans="1:1">
      <c r="A2306" s="50"/>
    </row>
    <row r="2307" spans="1:1">
      <c r="A2307" s="50"/>
    </row>
    <row r="2308" spans="1:1">
      <c r="A2308" s="50"/>
    </row>
    <row r="2309" spans="1:1">
      <c r="A2309" s="50"/>
    </row>
    <row r="2310" spans="1:1">
      <c r="A2310" s="50"/>
    </row>
    <row r="2311" spans="1:1">
      <c r="A2311" s="50"/>
    </row>
    <row r="2312" spans="1:1">
      <c r="A2312" s="50"/>
    </row>
    <row r="2313" spans="1:1">
      <c r="A2313" s="50"/>
    </row>
    <row r="2314" spans="1:1">
      <c r="A2314" s="50"/>
    </row>
    <row r="2315" spans="1:1">
      <c r="A2315" s="50"/>
    </row>
    <row r="2316" spans="1:1">
      <c r="A2316" s="50"/>
    </row>
    <row r="2317" spans="1:1">
      <c r="A2317" s="50"/>
    </row>
    <row r="2318" spans="1:1">
      <c r="A2318" s="50"/>
    </row>
    <row r="2319" spans="1:1">
      <c r="A2319" s="50"/>
    </row>
    <row r="2320" spans="1:1">
      <c r="A2320" s="50"/>
    </row>
    <row r="2321" spans="1:1">
      <c r="A2321" s="50"/>
    </row>
    <row r="2322" spans="1:1">
      <c r="A2322" s="50"/>
    </row>
    <row r="2323" spans="1:1">
      <c r="A2323" s="50"/>
    </row>
    <row r="2324" spans="1:1">
      <c r="A2324" s="50"/>
    </row>
    <row r="2325" spans="1:1">
      <c r="A2325" s="50"/>
    </row>
    <row r="2326" spans="1:1">
      <c r="A2326" s="50"/>
    </row>
    <row r="2327" spans="1:1">
      <c r="A2327" s="50"/>
    </row>
    <row r="2328" spans="1:1">
      <c r="A2328" s="50"/>
    </row>
    <row r="2329" spans="1:1">
      <c r="A2329" s="50"/>
    </row>
    <row r="2330" spans="1:1">
      <c r="A2330" s="50"/>
    </row>
    <row r="2331" spans="1:1">
      <c r="A2331" s="50"/>
    </row>
    <row r="2332" spans="1:1">
      <c r="A2332" s="50"/>
    </row>
    <row r="2333" spans="1:1">
      <c r="A2333" s="50"/>
    </row>
    <row r="2334" spans="1:1">
      <c r="A2334" s="50"/>
    </row>
    <row r="2335" spans="1:1">
      <c r="A2335" s="50"/>
    </row>
    <row r="2336" spans="1:1">
      <c r="A2336" s="50"/>
    </row>
    <row r="2337" spans="1:1">
      <c r="A2337" s="50"/>
    </row>
    <row r="2338" spans="1:1">
      <c r="A2338" s="50"/>
    </row>
    <row r="2339" spans="1:1">
      <c r="A2339" s="50"/>
    </row>
    <row r="2340" spans="1:1">
      <c r="A2340" s="50"/>
    </row>
    <row r="2341" spans="1:1">
      <c r="A2341" s="50"/>
    </row>
    <row r="2342" spans="1:1">
      <c r="A2342" s="50"/>
    </row>
    <row r="2343" spans="1:1">
      <c r="A2343" s="50"/>
    </row>
    <row r="2344" spans="1:1">
      <c r="A2344" s="50"/>
    </row>
    <row r="2345" spans="1:1">
      <c r="A2345" s="50"/>
    </row>
    <row r="2346" spans="1:1">
      <c r="A2346" s="50"/>
    </row>
    <row r="2347" spans="1:1">
      <c r="A2347" s="50"/>
    </row>
    <row r="2348" spans="1:1">
      <c r="A2348" s="50"/>
    </row>
    <row r="2349" spans="1:1">
      <c r="A2349" s="50"/>
    </row>
    <row r="2350" spans="1:1">
      <c r="A2350" s="50"/>
    </row>
    <row r="2351" spans="1:1">
      <c r="A2351" s="50"/>
    </row>
    <row r="2352" spans="1:1">
      <c r="A2352" s="50"/>
    </row>
    <row r="2353" spans="1:1">
      <c r="A2353" s="50"/>
    </row>
    <row r="2354" spans="1:1">
      <c r="A2354" s="50"/>
    </row>
    <row r="2355" spans="1:1">
      <c r="A2355" s="50"/>
    </row>
    <row r="2356" spans="1:1">
      <c r="A2356" s="50"/>
    </row>
    <row r="2357" spans="1:1">
      <c r="A2357" s="50"/>
    </row>
    <row r="2358" spans="1:1">
      <c r="A2358" s="50"/>
    </row>
    <row r="2359" spans="1:1">
      <c r="A2359" s="50"/>
    </row>
    <row r="2360" spans="1:1">
      <c r="A2360" s="50"/>
    </row>
    <row r="2361" spans="1:1">
      <c r="A2361" s="50"/>
    </row>
    <row r="2362" spans="1:1">
      <c r="A2362" s="50"/>
    </row>
    <row r="2363" spans="1:1">
      <c r="A2363" s="50"/>
    </row>
    <row r="2364" spans="1:1">
      <c r="A2364" s="50"/>
    </row>
    <row r="2365" spans="1:1">
      <c r="A2365" s="50"/>
    </row>
    <row r="2366" spans="1:1">
      <c r="A2366" s="50"/>
    </row>
    <row r="2367" spans="1:1">
      <c r="A2367" s="50"/>
    </row>
    <row r="2368" spans="1:1">
      <c r="A2368" s="50"/>
    </row>
    <row r="2369" spans="1:1">
      <c r="A2369" s="50"/>
    </row>
    <row r="2370" spans="1:1">
      <c r="A2370" s="50"/>
    </row>
    <row r="2371" spans="1:1">
      <c r="A2371" s="50"/>
    </row>
    <row r="2372" spans="1:1">
      <c r="A2372" s="50"/>
    </row>
    <row r="2373" spans="1:1">
      <c r="A2373" s="50"/>
    </row>
    <row r="2374" spans="1:1">
      <c r="A2374" s="50"/>
    </row>
    <row r="2375" spans="1:1">
      <c r="A2375" s="50"/>
    </row>
    <row r="2376" spans="1:1">
      <c r="A2376" s="50"/>
    </row>
    <row r="2377" spans="1:1">
      <c r="A2377" s="50"/>
    </row>
    <row r="2378" spans="1:1">
      <c r="A2378" s="50"/>
    </row>
    <row r="2379" spans="1:1">
      <c r="A2379" s="50"/>
    </row>
    <row r="2380" spans="1:1">
      <c r="A2380" s="50"/>
    </row>
    <row r="2381" spans="1:1">
      <c r="A2381" s="50"/>
    </row>
    <row r="2382" spans="1:1">
      <c r="A2382" s="50"/>
    </row>
    <row r="2383" spans="1:1">
      <c r="A2383" s="50"/>
    </row>
    <row r="2384" spans="1:1">
      <c r="A2384" s="50"/>
    </row>
    <row r="2385" spans="1:1">
      <c r="A2385" s="50"/>
    </row>
    <row r="2386" spans="1:1">
      <c r="A2386" s="50"/>
    </row>
    <row r="2387" spans="1:1">
      <c r="A2387" s="50"/>
    </row>
    <row r="2388" spans="1:1">
      <c r="A2388" s="50"/>
    </row>
    <row r="2389" spans="1:1">
      <c r="A2389" s="50"/>
    </row>
    <row r="2390" spans="1:1">
      <c r="A2390" s="50"/>
    </row>
    <row r="2391" spans="1:1">
      <c r="A2391" s="50"/>
    </row>
    <row r="2392" spans="1:1">
      <c r="A2392" s="50"/>
    </row>
    <row r="2393" spans="1:1">
      <c r="A2393" s="50"/>
    </row>
    <row r="2394" spans="1:1">
      <c r="A2394" s="50"/>
    </row>
    <row r="2395" spans="1:1">
      <c r="A2395" s="50"/>
    </row>
    <row r="2396" spans="1:1">
      <c r="A2396" s="50"/>
    </row>
    <row r="2397" spans="1:1">
      <c r="A2397" s="50"/>
    </row>
    <row r="2398" spans="1:1">
      <c r="A2398" s="50"/>
    </row>
    <row r="2399" spans="1:1">
      <c r="A2399" s="50"/>
    </row>
    <row r="2400" spans="1:1">
      <c r="A2400" s="50"/>
    </row>
    <row r="2401" spans="1:1">
      <c r="A2401" s="50"/>
    </row>
    <row r="2402" spans="1:1">
      <c r="A2402" s="50"/>
    </row>
    <row r="2403" spans="1:1">
      <c r="A2403" s="50"/>
    </row>
    <row r="2404" spans="1:1">
      <c r="A2404" s="50"/>
    </row>
    <row r="2405" spans="1:1">
      <c r="A2405" s="50"/>
    </row>
    <row r="2406" spans="1:1">
      <c r="A2406" s="50"/>
    </row>
    <row r="2407" spans="1:1">
      <c r="A2407" s="50"/>
    </row>
    <row r="2408" spans="1:1">
      <c r="A2408" s="50"/>
    </row>
    <row r="2409" spans="1:1">
      <c r="A2409" s="50"/>
    </row>
    <row r="2410" spans="1:1">
      <c r="A2410" s="50"/>
    </row>
    <row r="2411" spans="1:1">
      <c r="A2411" s="50"/>
    </row>
    <row r="2412" spans="1:1">
      <c r="A2412" s="50"/>
    </row>
    <row r="2413" spans="1:1">
      <c r="A2413" s="50"/>
    </row>
    <row r="2414" spans="1:1">
      <c r="A2414" s="50"/>
    </row>
    <row r="2415" spans="1:1">
      <c r="A2415" s="50"/>
    </row>
    <row r="2416" spans="1:1">
      <c r="A2416" s="50"/>
    </row>
    <row r="2417" spans="1:1">
      <c r="A2417" s="50"/>
    </row>
    <row r="2418" spans="1:1">
      <c r="A2418" s="50"/>
    </row>
    <row r="2419" spans="1:1">
      <c r="A2419" s="50"/>
    </row>
    <row r="2420" spans="1:1">
      <c r="A2420" s="50"/>
    </row>
    <row r="2421" spans="1:1">
      <c r="A2421" s="50"/>
    </row>
    <row r="2422" spans="1:1">
      <c r="A2422" s="50"/>
    </row>
    <row r="2423" spans="1:1">
      <c r="A2423" s="50"/>
    </row>
    <row r="2424" spans="1:1">
      <c r="A2424" s="50"/>
    </row>
    <row r="2425" spans="1:1">
      <c r="A2425" s="50"/>
    </row>
    <row r="2426" spans="1:1">
      <c r="A2426" s="50"/>
    </row>
    <row r="2427" spans="1:1">
      <c r="A2427" s="50"/>
    </row>
    <row r="2428" spans="1:1">
      <c r="A2428" s="50"/>
    </row>
    <row r="2429" spans="1:1">
      <c r="A2429" s="50"/>
    </row>
    <row r="2430" spans="1:1">
      <c r="A2430" s="50"/>
    </row>
    <row r="2431" spans="1:1">
      <c r="A2431" s="50"/>
    </row>
    <row r="2432" spans="1:1">
      <c r="A2432" s="50"/>
    </row>
    <row r="2433" spans="1:1">
      <c r="A2433" s="50"/>
    </row>
    <row r="2434" spans="1:1">
      <c r="A2434" s="50"/>
    </row>
    <row r="2435" spans="1:1">
      <c r="A2435" s="50"/>
    </row>
    <row r="2436" spans="1:1">
      <c r="A2436" s="50"/>
    </row>
    <row r="2437" spans="1:1">
      <c r="A2437" s="50"/>
    </row>
    <row r="2438" spans="1:1">
      <c r="A2438" s="50"/>
    </row>
    <row r="2439" spans="1:1">
      <c r="A2439" s="50"/>
    </row>
    <row r="2440" spans="1:1">
      <c r="A2440" s="50"/>
    </row>
    <row r="2441" spans="1:1">
      <c r="A2441" s="50"/>
    </row>
    <row r="2442" spans="1:1">
      <c r="A2442" s="50"/>
    </row>
    <row r="2443" spans="1:1">
      <c r="A2443" s="50"/>
    </row>
    <row r="2444" spans="1:1">
      <c r="A2444" s="50"/>
    </row>
    <row r="2445" spans="1:1">
      <c r="A2445" s="50"/>
    </row>
    <row r="2446" spans="1:1">
      <c r="A2446" s="50"/>
    </row>
    <row r="2447" spans="1:1">
      <c r="A2447" s="50"/>
    </row>
    <row r="2448" spans="1:1">
      <c r="A2448" s="50"/>
    </row>
    <row r="2449" spans="1:1">
      <c r="A2449" s="50"/>
    </row>
    <row r="2450" spans="1:1">
      <c r="A2450" s="50"/>
    </row>
    <row r="2451" spans="1:1">
      <c r="A2451" s="50"/>
    </row>
    <row r="2452" spans="1:1">
      <c r="A2452" s="50"/>
    </row>
    <row r="2453" spans="1:1">
      <c r="A2453" s="50"/>
    </row>
    <row r="2454" spans="1:1">
      <c r="A2454" s="50"/>
    </row>
    <row r="2455" spans="1:1">
      <c r="A2455" s="50"/>
    </row>
    <row r="2456" spans="1:1">
      <c r="A2456" s="50"/>
    </row>
    <row r="2457" spans="1:1">
      <c r="A2457" s="50"/>
    </row>
    <row r="2458" spans="1:1">
      <c r="A2458" s="50"/>
    </row>
    <row r="2459" spans="1:1">
      <c r="A2459" s="50"/>
    </row>
    <row r="2460" spans="1:1">
      <c r="A2460" s="50"/>
    </row>
    <row r="2461" spans="1:1">
      <c r="A2461" s="50"/>
    </row>
    <row r="2462" spans="1:1">
      <c r="A2462" s="50"/>
    </row>
    <row r="2463" spans="1:1">
      <c r="A2463" s="50"/>
    </row>
    <row r="2464" spans="1:1">
      <c r="A2464" s="50"/>
    </row>
    <row r="2465" spans="1:1">
      <c r="A2465" s="50"/>
    </row>
    <row r="2466" spans="1:1">
      <c r="A2466" s="50"/>
    </row>
    <row r="2467" spans="1:1">
      <c r="A2467" s="50"/>
    </row>
    <row r="2468" spans="1:1">
      <c r="A2468" s="50"/>
    </row>
    <row r="2469" spans="1:1">
      <c r="A2469" s="50"/>
    </row>
    <row r="2470" spans="1:1">
      <c r="A2470" s="50"/>
    </row>
    <row r="2471" spans="1:1">
      <c r="A2471" s="50"/>
    </row>
    <row r="2472" spans="1:1">
      <c r="A2472" s="50"/>
    </row>
    <row r="2473" spans="1:1">
      <c r="A2473" s="50"/>
    </row>
    <row r="2474" spans="1:1">
      <c r="A2474" s="50"/>
    </row>
    <row r="2475" spans="1:1">
      <c r="A2475" s="50"/>
    </row>
    <row r="2476" spans="1:1">
      <c r="A2476" s="50"/>
    </row>
    <row r="2477" spans="1:1">
      <c r="A2477" s="50"/>
    </row>
    <row r="2478" spans="1:1">
      <c r="A2478" s="50"/>
    </row>
    <row r="2479" spans="1:1">
      <c r="A2479" s="50"/>
    </row>
    <row r="2480" spans="1:1">
      <c r="A2480" s="50"/>
    </row>
    <row r="2481" spans="1:1">
      <c r="A2481" s="50"/>
    </row>
    <row r="2482" spans="1:1">
      <c r="A2482" s="50"/>
    </row>
    <row r="2483" spans="1:1">
      <c r="A2483" s="50"/>
    </row>
    <row r="2484" spans="1:1">
      <c r="A2484" s="50"/>
    </row>
    <row r="2485" spans="1:1">
      <c r="A2485" s="50"/>
    </row>
    <row r="2486" spans="1:1">
      <c r="A2486" s="50"/>
    </row>
    <row r="2487" spans="1:1">
      <c r="A2487" s="50"/>
    </row>
    <row r="2488" spans="1:1">
      <c r="A2488" s="50"/>
    </row>
    <row r="2489" spans="1:1">
      <c r="A2489" s="50"/>
    </row>
    <row r="2490" spans="1:1">
      <c r="A2490" s="50"/>
    </row>
    <row r="2491" spans="1:1">
      <c r="A2491" s="50"/>
    </row>
    <row r="2492" spans="1:1">
      <c r="A2492" s="50"/>
    </row>
    <row r="2493" spans="1:1">
      <c r="A2493" s="50"/>
    </row>
    <row r="2494" spans="1:1">
      <c r="A2494" s="50"/>
    </row>
    <row r="2495" spans="1:1">
      <c r="A2495" s="50"/>
    </row>
    <row r="2496" spans="1:1">
      <c r="A2496" s="50"/>
    </row>
    <row r="2497" spans="1:1">
      <c r="A2497" s="50"/>
    </row>
    <row r="2498" spans="1:1">
      <c r="A2498" s="50"/>
    </row>
    <row r="2499" spans="1:1">
      <c r="A2499" s="50"/>
    </row>
    <row r="2500" spans="1:1">
      <c r="A2500" s="50"/>
    </row>
    <row r="2501" spans="1:1">
      <c r="A2501" s="50"/>
    </row>
    <row r="2502" spans="1:1">
      <c r="A2502" s="50"/>
    </row>
    <row r="2503" spans="1:1">
      <c r="A2503" s="50"/>
    </row>
    <row r="2504" spans="1:1">
      <c r="A2504" s="50"/>
    </row>
    <row r="2505" spans="1:1">
      <c r="A2505" s="50"/>
    </row>
    <row r="2506" spans="1:1">
      <c r="A2506" s="50"/>
    </row>
    <row r="2507" spans="1:1">
      <c r="A2507" s="50"/>
    </row>
    <row r="2508" spans="1:1">
      <c r="A2508" s="50"/>
    </row>
    <row r="2509" spans="1:1">
      <c r="A2509" s="50"/>
    </row>
    <row r="2510" spans="1:1">
      <c r="A2510" s="50"/>
    </row>
    <row r="2511" spans="1:1">
      <c r="A2511" s="50"/>
    </row>
    <row r="2512" spans="1:1">
      <c r="A2512" s="50"/>
    </row>
    <row r="2513" spans="1:1">
      <c r="A2513" s="50"/>
    </row>
    <row r="2514" spans="1:1">
      <c r="A2514" s="50"/>
    </row>
    <row r="2515" spans="1:1">
      <c r="A2515" s="50"/>
    </row>
    <row r="2516" spans="1:1">
      <c r="A2516" s="50"/>
    </row>
    <row r="2517" spans="1:1">
      <c r="A2517" s="50"/>
    </row>
    <row r="2518" spans="1:1">
      <c r="A2518" s="50"/>
    </row>
    <row r="2519" spans="1:1">
      <c r="A2519" s="50"/>
    </row>
    <row r="2520" spans="1:1">
      <c r="A2520" s="50"/>
    </row>
    <row r="2521" spans="1:1">
      <c r="A2521" s="50"/>
    </row>
    <row r="2522" spans="1:1">
      <c r="A2522" s="50"/>
    </row>
    <row r="2523" spans="1:1">
      <c r="A2523" s="50"/>
    </row>
    <row r="2524" spans="1:1">
      <c r="A2524" s="50"/>
    </row>
    <row r="2525" spans="1:1">
      <c r="A2525" s="50"/>
    </row>
    <row r="2526" spans="1:1">
      <c r="A2526" s="50"/>
    </row>
    <row r="2527" spans="1:1">
      <c r="A2527" s="50"/>
    </row>
    <row r="2528" spans="1:1">
      <c r="A2528" s="50"/>
    </row>
    <row r="2529" spans="1:1">
      <c r="A2529" s="50"/>
    </row>
    <row r="2530" spans="1:1">
      <c r="A2530" s="50"/>
    </row>
    <row r="2531" spans="1:1">
      <c r="A2531" s="50"/>
    </row>
    <row r="2532" spans="1:1">
      <c r="A2532" s="50"/>
    </row>
    <row r="2533" spans="1:1">
      <c r="A2533" s="50"/>
    </row>
    <row r="2534" spans="1:1">
      <c r="A2534" s="50"/>
    </row>
    <row r="2535" spans="1:1">
      <c r="A2535" s="50"/>
    </row>
    <row r="2536" spans="1:1">
      <c r="A2536" s="50"/>
    </row>
    <row r="2537" spans="1:1">
      <c r="A2537" s="50"/>
    </row>
    <row r="2538" spans="1:1">
      <c r="A2538" s="50"/>
    </row>
    <row r="2539" spans="1:1">
      <c r="A2539" s="50"/>
    </row>
    <row r="2540" spans="1:1">
      <c r="A2540" s="50"/>
    </row>
    <row r="2541" spans="1:1">
      <c r="A2541" s="50"/>
    </row>
    <row r="2542" spans="1:1">
      <c r="A2542" s="50"/>
    </row>
    <row r="2543" spans="1:1">
      <c r="A2543" s="50"/>
    </row>
    <row r="2544" spans="1:1">
      <c r="A2544" s="50"/>
    </row>
    <row r="2545" spans="1:1">
      <c r="A2545" s="50"/>
    </row>
    <row r="2546" spans="1:1">
      <c r="A2546" s="50"/>
    </row>
    <row r="2547" spans="1:1">
      <c r="A2547" s="50"/>
    </row>
    <row r="2548" spans="1:1">
      <c r="A2548" s="50"/>
    </row>
    <row r="2549" spans="1:1">
      <c r="A2549" s="50"/>
    </row>
    <row r="2550" spans="1:1">
      <c r="A2550" s="50"/>
    </row>
    <row r="2551" spans="1:1">
      <c r="A2551" s="50"/>
    </row>
    <row r="2552" spans="1:1">
      <c r="A2552" s="50"/>
    </row>
    <row r="2553" spans="1:1">
      <c r="A2553" s="50"/>
    </row>
    <row r="2554" spans="1:1">
      <c r="A2554" s="50"/>
    </row>
    <row r="2555" spans="1:1">
      <c r="A2555" s="50"/>
    </row>
    <row r="2556" spans="1:1">
      <c r="A2556" s="50"/>
    </row>
    <row r="2557" spans="1:1">
      <c r="A2557" s="50"/>
    </row>
    <row r="2558" spans="1:1">
      <c r="A2558" s="50"/>
    </row>
    <row r="2559" spans="1:1">
      <c r="A2559" s="50"/>
    </row>
    <row r="2560" spans="1:1">
      <c r="A2560" s="50"/>
    </row>
    <row r="2561" spans="1:1">
      <c r="A2561" s="50"/>
    </row>
    <row r="2562" spans="1:1">
      <c r="A2562" s="50"/>
    </row>
    <row r="2563" spans="1:1">
      <c r="A2563" s="50"/>
    </row>
    <row r="2564" spans="1:1">
      <c r="A2564" s="50"/>
    </row>
    <row r="2565" spans="1:1">
      <c r="A2565" s="50"/>
    </row>
    <row r="2566" spans="1:1">
      <c r="A2566" s="50"/>
    </row>
    <row r="2567" spans="1:1">
      <c r="A2567" s="50"/>
    </row>
    <row r="2568" spans="1:1">
      <c r="A2568" s="50"/>
    </row>
    <row r="2569" spans="1:1">
      <c r="A2569" s="50"/>
    </row>
    <row r="2570" spans="1:1">
      <c r="A2570" s="50"/>
    </row>
    <row r="2571" spans="1:1">
      <c r="A2571" s="50"/>
    </row>
    <row r="2572" spans="1:1">
      <c r="A2572" s="50"/>
    </row>
    <row r="2573" spans="1:1">
      <c r="A2573" s="50"/>
    </row>
    <row r="2574" spans="1:1">
      <c r="A2574" s="50"/>
    </row>
    <row r="2575" spans="1:1">
      <c r="A2575" s="50"/>
    </row>
    <row r="2576" spans="1:1">
      <c r="A2576" s="50"/>
    </row>
    <row r="2577" spans="1:1">
      <c r="A2577" s="50"/>
    </row>
    <row r="2578" spans="1:1">
      <c r="A2578" s="50"/>
    </row>
    <row r="2579" spans="1:1">
      <c r="A2579" s="50"/>
    </row>
    <row r="2580" spans="1:1">
      <c r="A2580" s="50"/>
    </row>
    <row r="2581" spans="1:1">
      <c r="A2581" s="50"/>
    </row>
    <row r="2582" spans="1:1">
      <c r="A2582" s="50"/>
    </row>
    <row r="2583" spans="1:1">
      <c r="A2583" s="50"/>
    </row>
    <row r="2584" spans="1:1">
      <c r="A2584" s="50"/>
    </row>
    <row r="2585" spans="1:1">
      <c r="A2585" s="50"/>
    </row>
    <row r="2586" spans="1:1">
      <c r="A2586" s="50"/>
    </row>
    <row r="2587" spans="1:1">
      <c r="A2587" s="50"/>
    </row>
    <row r="2588" spans="1:1">
      <c r="A2588" s="50"/>
    </row>
    <row r="2589" spans="1:1">
      <c r="A2589" s="50"/>
    </row>
    <row r="2590" spans="1:1">
      <c r="A2590" s="50"/>
    </row>
    <row r="2591" spans="1:1">
      <c r="A2591" s="50"/>
    </row>
    <row r="2592" spans="1:1">
      <c r="A2592" s="50"/>
    </row>
    <row r="2593" spans="1:1">
      <c r="A2593" s="50"/>
    </row>
    <row r="2594" spans="1:1">
      <c r="A2594" s="50"/>
    </row>
    <row r="2595" spans="1:1">
      <c r="A2595" s="50"/>
    </row>
    <row r="2596" spans="1:1">
      <c r="A2596" s="50"/>
    </row>
    <row r="2597" spans="1:1">
      <c r="A2597" s="50"/>
    </row>
    <row r="2598" spans="1:1">
      <c r="A2598" s="50"/>
    </row>
    <row r="2599" spans="1:1">
      <c r="A2599" s="50"/>
    </row>
    <row r="2600" spans="1:1">
      <c r="A2600" s="50"/>
    </row>
    <row r="2601" spans="1:1">
      <c r="A2601" s="50"/>
    </row>
    <row r="2602" spans="1:1">
      <c r="A2602" s="50"/>
    </row>
    <row r="2603" spans="1:1">
      <c r="A2603" s="50"/>
    </row>
    <row r="2604" spans="1:1">
      <c r="A2604" s="50"/>
    </row>
    <row r="2605" spans="1:1">
      <c r="A2605" s="50"/>
    </row>
    <row r="2606" spans="1:1">
      <c r="A2606" s="50"/>
    </row>
    <row r="2607" spans="1:1">
      <c r="A2607" s="50"/>
    </row>
    <row r="2608" spans="1:1">
      <c r="A2608" s="50"/>
    </row>
    <row r="2609" spans="1:1">
      <c r="A2609" s="50"/>
    </row>
    <row r="2610" spans="1:1">
      <c r="A2610" s="50"/>
    </row>
    <row r="2611" spans="1:1">
      <c r="A2611" s="50"/>
    </row>
    <row r="2612" spans="1:1">
      <c r="A2612" s="50"/>
    </row>
    <row r="2613" spans="1:1">
      <c r="A2613" s="50"/>
    </row>
    <row r="2614" spans="1:1">
      <c r="A2614" s="50"/>
    </row>
    <row r="2615" spans="1:1">
      <c r="A2615" s="50"/>
    </row>
    <row r="2616" spans="1:1">
      <c r="A2616" s="50"/>
    </row>
    <row r="2617" spans="1:1">
      <c r="A2617" s="50"/>
    </row>
    <row r="2618" spans="1:1">
      <c r="A2618" s="50"/>
    </row>
    <row r="2619" spans="1:1">
      <c r="A2619" s="50"/>
    </row>
    <row r="2620" spans="1:1">
      <c r="A2620" s="50"/>
    </row>
    <row r="2621" spans="1:1">
      <c r="A2621" s="50"/>
    </row>
    <row r="2622" spans="1:1">
      <c r="A2622" s="50"/>
    </row>
    <row r="2623" spans="1:1">
      <c r="A2623" s="50"/>
    </row>
    <row r="2624" spans="1:1">
      <c r="A2624" s="50"/>
    </row>
    <row r="2625" spans="1:1">
      <c r="A2625" s="50"/>
    </row>
    <row r="2626" spans="1:1">
      <c r="A2626" s="50"/>
    </row>
    <row r="2627" spans="1:1">
      <c r="A2627" s="50"/>
    </row>
    <row r="2628" spans="1:1">
      <c r="A2628" s="50"/>
    </row>
    <row r="2629" spans="1:1">
      <c r="A2629" s="50"/>
    </row>
    <row r="2630" spans="1:1">
      <c r="A2630" s="50"/>
    </row>
    <row r="2631" spans="1:1">
      <c r="A2631" s="50"/>
    </row>
    <row r="2632" spans="1:1">
      <c r="A2632" s="50"/>
    </row>
    <row r="2633" spans="1:1">
      <c r="A2633" s="50"/>
    </row>
    <row r="2634" spans="1:1">
      <c r="A2634" s="50"/>
    </row>
    <row r="2635" spans="1:1">
      <c r="A2635" s="50"/>
    </row>
    <row r="2636" spans="1:1">
      <c r="A2636" s="50"/>
    </row>
    <row r="2637" spans="1:1">
      <c r="A2637" s="50"/>
    </row>
    <row r="2638" spans="1:1">
      <c r="A2638" s="50"/>
    </row>
    <row r="2639" spans="1:1">
      <c r="A2639" s="50"/>
    </row>
    <row r="2640" spans="1:1">
      <c r="A2640" s="50"/>
    </row>
    <row r="2641" spans="1:1">
      <c r="A2641" s="50"/>
    </row>
    <row r="2642" spans="1:1">
      <c r="A2642" s="50"/>
    </row>
    <row r="2643" spans="1:1">
      <c r="A2643" s="50"/>
    </row>
    <row r="2644" spans="1:1">
      <c r="A2644" s="50"/>
    </row>
    <row r="2645" spans="1:1">
      <c r="A2645" s="50"/>
    </row>
    <row r="2646" spans="1:1">
      <c r="A2646" s="50"/>
    </row>
    <row r="2647" spans="1:1">
      <c r="A2647" s="50"/>
    </row>
    <row r="2648" spans="1:1">
      <c r="A2648" s="50"/>
    </row>
    <row r="2649" spans="1:1">
      <c r="A2649" s="50"/>
    </row>
    <row r="2650" spans="1:1">
      <c r="A2650" s="50"/>
    </row>
    <row r="2651" spans="1:1">
      <c r="A2651" s="50"/>
    </row>
    <row r="2652" spans="1:1">
      <c r="A2652" s="50"/>
    </row>
    <row r="2653" spans="1:1">
      <c r="A2653" s="50"/>
    </row>
    <row r="2654" spans="1:1">
      <c r="A2654" s="50"/>
    </row>
    <row r="2655" spans="1:1">
      <c r="A2655" s="50"/>
    </row>
    <row r="2656" spans="1:1">
      <c r="A2656" s="50"/>
    </row>
    <row r="2657" spans="1:1">
      <c r="A2657" s="50"/>
    </row>
    <row r="2658" spans="1:1">
      <c r="A2658" s="50"/>
    </row>
    <row r="2659" spans="1:1">
      <c r="A2659" s="50"/>
    </row>
    <row r="2660" spans="1:1">
      <c r="A2660" s="50"/>
    </row>
    <row r="2661" spans="1:1">
      <c r="A2661" s="50"/>
    </row>
    <row r="2662" spans="1:1">
      <c r="A2662" s="50"/>
    </row>
    <row r="2663" spans="1:1">
      <c r="A2663" s="50"/>
    </row>
    <row r="2664" spans="1:1">
      <c r="A2664" s="50"/>
    </row>
    <row r="2665" spans="1:1">
      <c r="A2665" s="50"/>
    </row>
    <row r="2666" spans="1:1">
      <c r="A2666" s="50"/>
    </row>
    <row r="2667" spans="1:1">
      <c r="A2667" s="50"/>
    </row>
    <row r="2668" spans="1:1">
      <c r="A2668" s="50"/>
    </row>
    <row r="2669" spans="1:1">
      <c r="A2669" s="50"/>
    </row>
    <row r="2670" spans="1:1">
      <c r="A2670" s="50"/>
    </row>
    <row r="2671" spans="1:1">
      <c r="A2671" s="50"/>
    </row>
    <row r="2672" spans="1:1">
      <c r="A2672" s="50"/>
    </row>
    <row r="2673" spans="1:1">
      <c r="A2673" s="50"/>
    </row>
    <row r="2674" spans="1:1">
      <c r="A2674" s="50"/>
    </row>
    <row r="2675" spans="1:1">
      <c r="A2675" s="50"/>
    </row>
    <row r="2676" spans="1:1">
      <c r="A2676" s="50"/>
    </row>
    <row r="2677" spans="1:1">
      <c r="A2677" s="50"/>
    </row>
    <row r="2678" spans="1:1">
      <c r="A2678" s="50"/>
    </row>
    <row r="2679" spans="1:1">
      <c r="A2679" s="50"/>
    </row>
    <row r="2680" spans="1:1">
      <c r="A2680" s="50"/>
    </row>
    <row r="2681" spans="1:1">
      <c r="A2681" s="50"/>
    </row>
    <row r="2682" spans="1:1">
      <c r="A2682" s="50"/>
    </row>
    <row r="2683" spans="1:1">
      <c r="A2683" s="50"/>
    </row>
    <row r="2684" spans="1:1">
      <c r="A2684" s="50"/>
    </row>
    <row r="2685" spans="1:1">
      <c r="A2685" s="50"/>
    </row>
    <row r="2686" spans="1:1">
      <c r="A2686" s="50"/>
    </row>
    <row r="2687" spans="1:1">
      <c r="A2687" s="50"/>
    </row>
    <row r="2688" spans="1:1">
      <c r="A2688" s="50"/>
    </row>
    <row r="2689" spans="1:1">
      <c r="A2689" s="50"/>
    </row>
    <row r="2690" spans="1:1">
      <c r="A2690" s="50"/>
    </row>
    <row r="2691" spans="1:1">
      <c r="A2691" s="50"/>
    </row>
    <row r="2692" spans="1:1">
      <c r="A2692" s="50"/>
    </row>
    <row r="2693" spans="1:1">
      <c r="A2693" s="50"/>
    </row>
    <row r="2694" spans="1:1">
      <c r="A2694" s="50"/>
    </row>
    <row r="2695" spans="1:1">
      <c r="A2695" s="50"/>
    </row>
    <row r="2696" spans="1:1">
      <c r="A2696" s="50"/>
    </row>
    <row r="2697" spans="1:1">
      <c r="A2697" s="50"/>
    </row>
    <row r="2698" spans="1:1">
      <c r="A2698" s="50"/>
    </row>
    <row r="2699" spans="1:1">
      <c r="A2699" s="50"/>
    </row>
    <row r="2700" spans="1:1">
      <c r="A2700" s="50"/>
    </row>
    <row r="2701" spans="1:1">
      <c r="A2701" s="50"/>
    </row>
    <row r="2702" spans="1:1">
      <c r="A2702" s="50"/>
    </row>
    <row r="2703" spans="1:1">
      <c r="A2703" s="50"/>
    </row>
    <row r="2704" spans="1:1">
      <c r="A2704" s="50"/>
    </row>
    <row r="2705" spans="1:1">
      <c r="A2705" s="50"/>
    </row>
    <row r="2706" spans="1:1">
      <c r="A2706" s="50"/>
    </row>
    <row r="2707" spans="1:1">
      <c r="A2707" s="50"/>
    </row>
    <row r="2708" spans="1:1">
      <c r="A2708" s="50"/>
    </row>
    <row r="2709" spans="1:1">
      <c r="A2709" s="50"/>
    </row>
    <row r="2710" spans="1:1">
      <c r="A2710" s="50"/>
    </row>
    <row r="2711" spans="1:1">
      <c r="A2711" s="50"/>
    </row>
    <row r="2712" spans="1:1">
      <c r="A2712" s="50"/>
    </row>
    <row r="2713" spans="1:1">
      <c r="A2713" s="50"/>
    </row>
    <row r="2714" spans="1:1">
      <c r="A2714" s="50"/>
    </row>
    <row r="2715" spans="1:1">
      <c r="A2715" s="50"/>
    </row>
    <row r="2716" spans="1:1">
      <c r="A2716" s="50"/>
    </row>
    <row r="2717" spans="1:1">
      <c r="A2717" s="50"/>
    </row>
    <row r="2718" spans="1:1">
      <c r="A2718" s="50"/>
    </row>
    <row r="2719" spans="1:1">
      <c r="A2719" s="50"/>
    </row>
    <row r="2720" spans="1:1">
      <c r="A2720" s="50"/>
    </row>
    <row r="2721" spans="1:1">
      <c r="A2721" s="50"/>
    </row>
    <row r="2722" spans="1:1">
      <c r="A2722" s="50"/>
    </row>
    <row r="2723" spans="1:1">
      <c r="A2723" s="50"/>
    </row>
    <row r="2724" spans="1:1">
      <c r="A2724" s="50"/>
    </row>
    <row r="2725" spans="1:1">
      <c r="A2725" s="50"/>
    </row>
    <row r="2726" spans="1:1">
      <c r="A2726" s="50"/>
    </row>
    <row r="2727" spans="1:1">
      <c r="A2727" s="50"/>
    </row>
    <row r="2728" spans="1:1">
      <c r="A2728" s="50"/>
    </row>
    <row r="2729" spans="1:1">
      <c r="A2729" s="50"/>
    </row>
    <row r="2730" spans="1:1">
      <c r="A2730" s="50"/>
    </row>
    <row r="2731" spans="1:1">
      <c r="A2731" s="50"/>
    </row>
    <row r="2732" spans="1:1">
      <c r="A2732" s="50"/>
    </row>
    <row r="2733" spans="1:1">
      <c r="A2733" s="50"/>
    </row>
    <row r="2734" spans="1:1">
      <c r="A2734" s="50"/>
    </row>
    <row r="2735" spans="1:1">
      <c r="A2735" s="50"/>
    </row>
    <row r="2736" spans="1:1">
      <c r="A2736" s="50"/>
    </row>
    <row r="2737" spans="1:1">
      <c r="A2737" s="50"/>
    </row>
    <row r="2738" spans="1:1">
      <c r="A2738" s="50"/>
    </row>
    <row r="2739" spans="1:1">
      <c r="A2739" s="50"/>
    </row>
    <row r="2740" spans="1:1">
      <c r="A2740" s="50"/>
    </row>
    <row r="2741" spans="1:1">
      <c r="A2741" s="50"/>
    </row>
    <row r="2742" spans="1:1">
      <c r="A2742" s="50"/>
    </row>
    <row r="2743" spans="1:1">
      <c r="A2743" s="50"/>
    </row>
    <row r="2744" spans="1:1">
      <c r="A2744" s="50"/>
    </row>
    <row r="2745" spans="1:1">
      <c r="A2745" s="50"/>
    </row>
    <row r="2746" spans="1:1">
      <c r="A2746" s="50"/>
    </row>
    <row r="2747" spans="1:1">
      <c r="A2747" s="50"/>
    </row>
    <row r="2748" spans="1:1">
      <c r="A2748" s="50"/>
    </row>
    <row r="2749" spans="1:1">
      <c r="A2749" s="50"/>
    </row>
    <row r="2750" spans="1:1">
      <c r="A2750" s="50"/>
    </row>
    <row r="2751" spans="1:1">
      <c r="A2751" s="50"/>
    </row>
    <row r="2752" spans="1:1">
      <c r="A2752" s="50"/>
    </row>
    <row r="2753" spans="1:1">
      <c r="A2753" s="50"/>
    </row>
    <row r="2754" spans="1:1">
      <c r="A2754" s="50"/>
    </row>
    <row r="2755" spans="1:1">
      <c r="A2755" s="50"/>
    </row>
    <row r="2756" spans="1:1">
      <c r="A2756" s="50"/>
    </row>
    <row r="2757" spans="1:1">
      <c r="A2757" s="50"/>
    </row>
    <row r="2758" spans="1:1">
      <c r="A2758" s="50"/>
    </row>
    <row r="2759" spans="1:1">
      <c r="A2759" s="50"/>
    </row>
    <row r="2760" spans="1:1">
      <c r="A2760" s="50"/>
    </row>
    <row r="2761" spans="1:1">
      <c r="A2761" s="50"/>
    </row>
    <row r="2762" spans="1:1">
      <c r="A2762" s="50"/>
    </row>
    <row r="2763" spans="1:1">
      <c r="A2763" s="50"/>
    </row>
    <row r="2764" spans="1:1">
      <c r="A2764" s="50"/>
    </row>
    <row r="2765" spans="1:1">
      <c r="A2765" s="50"/>
    </row>
    <row r="2766" spans="1:1">
      <c r="A2766" s="50"/>
    </row>
    <row r="2767" spans="1:1">
      <c r="A2767" s="50"/>
    </row>
    <row r="2768" spans="1:1">
      <c r="A2768" s="50"/>
    </row>
    <row r="2769" spans="1:1">
      <c r="A2769" s="50"/>
    </row>
    <row r="2770" spans="1:1">
      <c r="A2770" s="50"/>
    </row>
    <row r="2771" spans="1:1">
      <c r="A2771" s="50"/>
    </row>
    <row r="2772" spans="1:1">
      <c r="A2772" s="50"/>
    </row>
    <row r="2773" spans="1:1">
      <c r="A2773" s="50"/>
    </row>
    <row r="2774" spans="1:1">
      <c r="A2774" s="50"/>
    </row>
    <row r="2775" spans="1:1">
      <c r="A2775" s="50"/>
    </row>
    <row r="2776" spans="1:1">
      <c r="A2776" s="50"/>
    </row>
    <row r="2777" spans="1:1">
      <c r="A2777" s="50"/>
    </row>
    <row r="2778" spans="1:1">
      <c r="A2778" s="50"/>
    </row>
    <row r="2779" spans="1:1">
      <c r="A2779" s="50"/>
    </row>
    <row r="2780" spans="1:1">
      <c r="A2780" s="50"/>
    </row>
    <row r="2781" spans="1:1">
      <c r="A2781" s="50"/>
    </row>
    <row r="2782" spans="1:1">
      <c r="A2782" s="50"/>
    </row>
    <row r="2783" spans="1:1">
      <c r="A2783" s="50"/>
    </row>
    <row r="2784" spans="1:1">
      <c r="A2784" s="50"/>
    </row>
    <row r="2785" spans="1:1">
      <c r="A2785" s="50"/>
    </row>
    <row r="2786" spans="1:1">
      <c r="A2786" s="50"/>
    </row>
    <row r="2787" spans="1:1">
      <c r="A2787" s="50"/>
    </row>
    <row r="2788" spans="1:1">
      <c r="A2788" s="50"/>
    </row>
    <row r="2789" spans="1:1">
      <c r="A2789" s="50"/>
    </row>
    <row r="2790" spans="1:1">
      <c r="A2790" s="50"/>
    </row>
    <row r="2791" spans="1:1">
      <c r="A2791" s="50"/>
    </row>
    <row r="2792" spans="1:1">
      <c r="A2792" s="50"/>
    </row>
    <row r="2793" spans="1:1">
      <c r="A2793" s="50"/>
    </row>
    <row r="2794" spans="1:1">
      <c r="A2794" s="50"/>
    </row>
    <row r="2795" spans="1:1">
      <c r="A2795" s="50"/>
    </row>
    <row r="2796" spans="1:1">
      <c r="A2796" s="50"/>
    </row>
    <row r="2797" spans="1:1">
      <c r="A2797" s="50"/>
    </row>
    <row r="2798" spans="1:1">
      <c r="A2798" s="50"/>
    </row>
    <row r="2799" spans="1:1">
      <c r="A2799" s="50"/>
    </row>
    <row r="2800" spans="1:1">
      <c r="A2800" s="50"/>
    </row>
    <row r="2801" spans="1:1">
      <c r="A2801" s="50"/>
    </row>
    <row r="2802" spans="1:1">
      <c r="A2802" s="50"/>
    </row>
    <row r="2803" spans="1:1">
      <c r="A2803" s="50"/>
    </row>
    <row r="2804" spans="1:1">
      <c r="A2804" s="50"/>
    </row>
    <row r="2805" spans="1:1">
      <c r="A2805" s="50"/>
    </row>
    <row r="2806" spans="1:1">
      <c r="A2806" s="50"/>
    </row>
    <row r="2807" spans="1:1">
      <c r="A2807" s="50"/>
    </row>
    <row r="2808" spans="1:1">
      <c r="A2808" s="50"/>
    </row>
    <row r="2809" spans="1:1">
      <c r="A2809" s="50"/>
    </row>
    <row r="2810" spans="1:1">
      <c r="A2810" s="50"/>
    </row>
    <row r="2811" spans="1:1">
      <c r="A2811" s="50"/>
    </row>
    <row r="2812" spans="1:1">
      <c r="A2812" s="50"/>
    </row>
    <row r="2813" spans="1:1">
      <c r="A2813" s="50"/>
    </row>
    <row r="2814" spans="1:1">
      <c r="A2814" s="50"/>
    </row>
    <row r="2815" spans="1:1">
      <c r="A2815" s="50"/>
    </row>
    <row r="2816" spans="1:1">
      <c r="A2816" s="50"/>
    </row>
    <row r="2817" spans="1:1">
      <c r="A2817" s="50"/>
    </row>
    <row r="2818" spans="1:1">
      <c r="A2818" s="50"/>
    </row>
    <row r="2819" spans="1:1">
      <c r="A2819" s="50"/>
    </row>
    <row r="2820" spans="1:1">
      <c r="A2820" s="50"/>
    </row>
    <row r="2821" spans="1:1">
      <c r="A2821" s="50"/>
    </row>
    <row r="2822" spans="1:1">
      <c r="A2822" s="50"/>
    </row>
    <row r="2823" spans="1:1">
      <c r="A2823" s="50"/>
    </row>
    <row r="2824" spans="1:1">
      <c r="A2824" s="50"/>
    </row>
    <row r="2825" spans="1:1">
      <c r="A2825" s="50"/>
    </row>
    <row r="2826" spans="1:1">
      <c r="A2826" s="50"/>
    </row>
    <row r="2827" spans="1:1">
      <c r="A2827" s="50"/>
    </row>
    <row r="2828" spans="1:1">
      <c r="A2828" s="50"/>
    </row>
    <row r="2829" spans="1:1">
      <c r="A2829" s="50"/>
    </row>
    <row r="2830" spans="1:1">
      <c r="A2830" s="50"/>
    </row>
    <row r="2831" spans="1:1">
      <c r="A2831" s="50"/>
    </row>
    <row r="2832" spans="1:1">
      <c r="A2832" s="50"/>
    </row>
    <row r="2833" spans="1:1">
      <c r="A2833" s="50"/>
    </row>
    <row r="2834" spans="1:1">
      <c r="A2834" s="50"/>
    </row>
    <row r="2835" spans="1:1">
      <c r="A2835" s="50"/>
    </row>
    <row r="2836" spans="1:1">
      <c r="A2836" s="50"/>
    </row>
    <row r="2837" spans="1:1">
      <c r="A2837" s="50"/>
    </row>
    <row r="2838" spans="1:1">
      <c r="A2838" s="50"/>
    </row>
    <row r="2839" spans="1:1">
      <c r="A2839" s="50"/>
    </row>
    <row r="2840" spans="1:1">
      <c r="A2840" s="50"/>
    </row>
    <row r="2841" spans="1:1">
      <c r="A2841" s="50"/>
    </row>
    <row r="2842" spans="1:1">
      <c r="A2842" s="50"/>
    </row>
    <row r="2843" spans="1:1">
      <c r="A2843" s="50"/>
    </row>
    <row r="2844" spans="1:1">
      <c r="A2844" s="50"/>
    </row>
    <row r="2845" spans="1:1">
      <c r="A2845" s="50"/>
    </row>
    <row r="2846" spans="1:1">
      <c r="A2846" s="50"/>
    </row>
    <row r="2847" spans="1:1">
      <c r="A2847" s="50"/>
    </row>
    <row r="2848" spans="1:1">
      <c r="A2848" s="50"/>
    </row>
    <row r="2849" spans="1:1">
      <c r="A2849" s="50"/>
    </row>
    <row r="2850" spans="1:1">
      <c r="A2850" s="50"/>
    </row>
    <row r="2851" spans="1:1">
      <c r="A2851" s="50"/>
    </row>
    <row r="2852" spans="1:1">
      <c r="A2852" s="50"/>
    </row>
    <row r="2853" spans="1:1">
      <c r="A2853" s="50"/>
    </row>
    <row r="2854" spans="1:1">
      <c r="A2854" s="50"/>
    </row>
    <row r="2855" spans="1:1">
      <c r="A2855" s="50"/>
    </row>
    <row r="2856" spans="1:1">
      <c r="A2856" s="50"/>
    </row>
    <row r="2857" spans="1:1">
      <c r="A2857" s="50"/>
    </row>
    <row r="2858" spans="1:1">
      <c r="A2858" s="50"/>
    </row>
    <row r="2859" spans="1:1">
      <c r="A2859" s="50"/>
    </row>
    <row r="2860" spans="1:1">
      <c r="A2860" s="50"/>
    </row>
    <row r="2861" spans="1:1">
      <c r="A2861" s="50"/>
    </row>
    <row r="2862" spans="1:1">
      <c r="A2862" s="50"/>
    </row>
    <row r="2863" spans="1:1">
      <c r="A2863" s="50"/>
    </row>
    <row r="2864" spans="1:1">
      <c r="A2864" s="50"/>
    </row>
    <row r="2865" spans="1:1">
      <c r="A2865" s="50"/>
    </row>
    <row r="2866" spans="1:1">
      <c r="A2866" s="50"/>
    </row>
    <row r="2867" spans="1:1">
      <c r="A2867" s="50"/>
    </row>
    <row r="2868" spans="1:1">
      <c r="A2868" s="50"/>
    </row>
    <row r="2869" spans="1:1">
      <c r="A2869" s="50"/>
    </row>
    <row r="2870" spans="1:1">
      <c r="A2870" s="50"/>
    </row>
    <row r="2871" spans="1:1">
      <c r="A2871" s="50"/>
    </row>
    <row r="2872" spans="1:1">
      <c r="A2872" s="50"/>
    </row>
    <row r="2873" spans="1:1">
      <c r="A2873" s="50"/>
    </row>
    <row r="2874" spans="1:1">
      <c r="A2874" s="50"/>
    </row>
    <row r="2875" spans="1:1">
      <c r="A2875" s="50"/>
    </row>
    <row r="2876" spans="1:1">
      <c r="A2876" s="50"/>
    </row>
    <row r="2877" spans="1:1">
      <c r="A2877" s="50"/>
    </row>
    <row r="2878" spans="1:1">
      <c r="A2878" s="50"/>
    </row>
    <row r="2879" spans="1:1">
      <c r="A2879" s="50"/>
    </row>
    <row r="2880" spans="1:1">
      <c r="A2880" s="50"/>
    </row>
    <row r="2881" spans="1:1">
      <c r="A2881" s="50"/>
    </row>
    <row r="2882" spans="1:1">
      <c r="A2882" s="50"/>
    </row>
    <row r="2883" spans="1:1">
      <c r="A2883" s="50"/>
    </row>
    <row r="2884" spans="1:1">
      <c r="A2884" s="50"/>
    </row>
    <row r="2885" spans="1:1">
      <c r="A2885" s="50"/>
    </row>
    <row r="2886" spans="1:1">
      <c r="A2886" s="50"/>
    </row>
    <row r="2887" spans="1:1">
      <c r="A2887" s="50"/>
    </row>
    <row r="2888" spans="1:1">
      <c r="A2888" s="50"/>
    </row>
    <row r="2889" spans="1:1">
      <c r="A2889" s="50"/>
    </row>
    <row r="2890" spans="1:1">
      <c r="A2890" s="50"/>
    </row>
    <row r="2891" spans="1:1">
      <c r="A2891" s="50"/>
    </row>
    <row r="2892" spans="1:1">
      <c r="A2892" s="50"/>
    </row>
    <row r="2893" spans="1:1">
      <c r="A2893" s="50"/>
    </row>
    <row r="2894" spans="1:1">
      <c r="A2894" s="50"/>
    </row>
    <row r="2895" spans="1:1">
      <c r="A2895" s="50"/>
    </row>
    <row r="2896" spans="1:1">
      <c r="A2896" s="50"/>
    </row>
    <row r="2897" spans="1:1">
      <c r="A2897" s="50"/>
    </row>
    <row r="2898" spans="1:1">
      <c r="A2898" s="50"/>
    </row>
    <row r="2899" spans="1:1">
      <c r="A2899" s="50"/>
    </row>
    <row r="2900" spans="1:1">
      <c r="A2900" s="50"/>
    </row>
    <row r="2901" spans="1:1">
      <c r="A2901" s="50"/>
    </row>
    <row r="2902" spans="1:1">
      <c r="A2902" s="50"/>
    </row>
    <row r="2903" spans="1:1">
      <c r="A2903" s="50"/>
    </row>
    <row r="2904" spans="1:1">
      <c r="A2904" s="50"/>
    </row>
    <row r="2905" spans="1:1">
      <c r="A2905" s="50"/>
    </row>
    <row r="2906" spans="1:1">
      <c r="A2906" s="50"/>
    </row>
    <row r="2907" spans="1:1">
      <c r="A2907" s="50"/>
    </row>
    <row r="2908" spans="1:1">
      <c r="A2908" s="50"/>
    </row>
    <row r="2909" spans="1:1">
      <c r="A2909" s="50"/>
    </row>
    <row r="2910" spans="1:1">
      <c r="A2910" s="50"/>
    </row>
    <row r="2911" spans="1:1">
      <c r="A2911" s="50"/>
    </row>
    <row r="2912" spans="1:1">
      <c r="A2912" s="50"/>
    </row>
    <row r="2913" spans="1:1">
      <c r="A2913" s="50"/>
    </row>
    <row r="2914" spans="1:1">
      <c r="A2914" s="50"/>
    </row>
    <row r="2915" spans="1:1">
      <c r="A2915" s="50"/>
    </row>
    <row r="2916" spans="1:1">
      <c r="A2916" s="50"/>
    </row>
    <row r="2917" spans="1:1">
      <c r="A2917" s="50"/>
    </row>
    <row r="2918" spans="1:1">
      <c r="A2918" s="50"/>
    </row>
    <row r="2919" spans="1:1">
      <c r="A2919" s="50"/>
    </row>
    <row r="2920" spans="1:1">
      <c r="A2920" s="50"/>
    </row>
    <row r="2921" spans="1:1">
      <c r="A2921" s="50"/>
    </row>
    <row r="2922" spans="1:1">
      <c r="A2922" s="50"/>
    </row>
    <row r="2923" spans="1:1">
      <c r="A2923" s="50"/>
    </row>
    <row r="2924" spans="1:1">
      <c r="A2924" s="50"/>
    </row>
    <row r="2925" spans="1:1">
      <c r="A2925" s="50"/>
    </row>
    <row r="2926" spans="1:1">
      <c r="A2926" s="50"/>
    </row>
    <row r="2927" spans="1:1">
      <c r="A2927" s="50"/>
    </row>
    <row r="2928" spans="1:1">
      <c r="A2928" s="50"/>
    </row>
    <row r="2929" spans="1:1">
      <c r="A2929" s="50"/>
    </row>
    <row r="2930" spans="1:1">
      <c r="A2930" s="50"/>
    </row>
    <row r="2931" spans="1:1">
      <c r="A2931" s="50"/>
    </row>
    <row r="2932" spans="1:1">
      <c r="A2932" s="50"/>
    </row>
    <row r="2933" spans="1:1">
      <c r="A2933" s="50"/>
    </row>
    <row r="2934" spans="1:1">
      <c r="A2934" s="50"/>
    </row>
    <row r="2935" spans="1:1">
      <c r="A2935" s="50"/>
    </row>
    <row r="2936" spans="1:1">
      <c r="A2936" s="50"/>
    </row>
    <row r="2937" spans="1:1">
      <c r="A2937" s="50"/>
    </row>
    <row r="2938" spans="1:1">
      <c r="A2938" s="50"/>
    </row>
    <row r="2939" spans="1:1">
      <c r="A2939" s="50"/>
    </row>
    <row r="2940" spans="1:1">
      <c r="A2940" s="50"/>
    </row>
    <row r="2941" spans="1:1">
      <c r="A2941" s="50"/>
    </row>
    <row r="2942" spans="1:1">
      <c r="A2942" s="50"/>
    </row>
    <row r="2943" spans="1:1">
      <c r="A2943" s="50"/>
    </row>
    <row r="2944" spans="1:1">
      <c r="A2944" s="50"/>
    </row>
    <row r="2945" spans="1:1">
      <c r="A2945" s="50"/>
    </row>
    <row r="2946" spans="1:1">
      <c r="A2946" s="50"/>
    </row>
    <row r="2947" spans="1:1">
      <c r="A2947" s="50"/>
    </row>
    <row r="2948" spans="1:1">
      <c r="A2948" s="50"/>
    </row>
    <row r="2949" spans="1:1">
      <c r="A2949" s="50"/>
    </row>
    <row r="2950" spans="1:1">
      <c r="A2950" s="50"/>
    </row>
    <row r="2951" spans="1:1">
      <c r="A2951" s="50"/>
    </row>
    <row r="2952" spans="1:1">
      <c r="A2952" s="50"/>
    </row>
    <row r="2953" spans="1:1">
      <c r="A2953" s="50"/>
    </row>
    <row r="2954" spans="1:1">
      <c r="A2954" s="50"/>
    </row>
    <row r="2955" spans="1:1">
      <c r="A2955" s="50"/>
    </row>
    <row r="2956" spans="1:1">
      <c r="A2956" s="50"/>
    </row>
    <row r="2957" spans="1:1">
      <c r="A2957" s="50"/>
    </row>
    <row r="2958" spans="1:1">
      <c r="A2958" s="50"/>
    </row>
    <row r="2959" spans="1:1">
      <c r="A2959" s="50"/>
    </row>
    <row r="2960" spans="1:1">
      <c r="A2960" s="50"/>
    </row>
    <row r="2961" spans="1:1">
      <c r="A2961" s="50"/>
    </row>
    <row r="2962" spans="1:1">
      <c r="A2962" s="50"/>
    </row>
    <row r="2963" spans="1:1">
      <c r="A2963" s="50"/>
    </row>
    <row r="2964" spans="1:1">
      <c r="A2964" s="50"/>
    </row>
    <row r="2965" spans="1:1">
      <c r="A2965" s="50"/>
    </row>
    <row r="2966" spans="1:1">
      <c r="A2966" s="50"/>
    </row>
    <row r="2967" spans="1:1">
      <c r="A2967" s="50"/>
    </row>
    <row r="2968" spans="1:1">
      <c r="A2968" s="50"/>
    </row>
    <row r="2969" spans="1:1">
      <c r="A2969" s="50"/>
    </row>
    <row r="2970" spans="1:1">
      <c r="A2970" s="50"/>
    </row>
    <row r="2971" spans="1:1">
      <c r="A2971" s="50"/>
    </row>
    <row r="2972" spans="1:1">
      <c r="A2972" s="50"/>
    </row>
    <row r="2973" spans="1:1">
      <c r="A2973" s="50"/>
    </row>
    <row r="2974" spans="1:1">
      <c r="A2974" s="50"/>
    </row>
    <row r="2975" spans="1:1">
      <c r="A2975" s="50"/>
    </row>
    <row r="2976" spans="1:1">
      <c r="A2976" s="50"/>
    </row>
    <row r="2977" spans="1:1">
      <c r="A2977" s="50"/>
    </row>
    <row r="2978" spans="1:1">
      <c r="A2978" s="50"/>
    </row>
    <row r="2979" spans="1:1">
      <c r="A2979" s="50"/>
    </row>
    <row r="2980" spans="1:1">
      <c r="A2980" s="50"/>
    </row>
    <row r="2981" spans="1:1">
      <c r="A2981" s="50"/>
    </row>
    <row r="2982" spans="1:1">
      <c r="A2982" s="50"/>
    </row>
    <row r="2983" spans="1:1">
      <c r="A2983" s="50"/>
    </row>
    <row r="2984" spans="1:1">
      <c r="A2984" s="50"/>
    </row>
    <row r="2985" spans="1:1">
      <c r="A2985" s="50"/>
    </row>
    <row r="2986" spans="1:1">
      <c r="A2986" s="50"/>
    </row>
    <row r="2987" spans="1:1">
      <c r="A2987" s="50"/>
    </row>
    <row r="2988" spans="1:1">
      <c r="A2988" s="50"/>
    </row>
    <row r="2989" spans="1:1">
      <c r="A2989" s="50"/>
    </row>
    <row r="2990" spans="1:1">
      <c r="A2990" s="50"/>
    </row>
    <row r="2991" spans="1:1">
      <c r="A2991" s="50"/>
    </row>
    <row r="2992" spans="1:1">
      <c r="A2992" s="50"/>
    </row>
    <row r="2993" spans="1:1">
      <c r="A2993" s="50"/>
    </row>
    <row r="2994" spans="1:1">
      <c r="A2994" s="50"/>
    </row>
    <row r="2995" spans="1:1">
      <c r="A2995" s="50"/>
    </row>
    <row r="2996" spans="1:1">
      <c r="A2996" s="50"/>
    </row>
    <row r="2997" spans="1:1">
      <c r="A2997" s="50"/>
    </row>
    <row r="2998" spans="1:1">
      <c r="A2998" s="50"/>
    </row>
    <row r="2999" spans="1:1">
      <c r="A2999" s="50"/>
    </row>
    <row r="3000" spans="1:1">
      <c r="A3000" s="50"/>
    </row>
    <row r="3001" spans="1:1">
      <c r="A3001" s="50"/>
    </row>
    <row r="3002" spans="1:1">
      <c r="A3002" s="50"/>
    </row>
    <row r="3003" spans="1:1">
      <c r="A3003" s="50"/>
    </row>
    <row r="3004" spans="1:1">
      <c r="A3004" s="50"/>
    </row>
    <row r="3005" spans="1:1">
      <c r="A3005" s="50"/>
    </row>
    <row r="3006" spans="1:1">
      <c r="A3006" s="50"/>
    </row>
    <row r="3007" spans="1:1">
      <c r="A3007" s="50"/>
    </row>
    <row r="3008" spans="1:1">
      <c r="A3008" s="50"/>
    </row>
    <row r="3009" spans="1:1">
      <c r="A3009" s="50"/>
    </row>
    <row r="3010" spans="1:1">
      <c r="A3010" s="50"/>
    </row>
    <row r="3011" spans="1:1">
      <c r="A3011" s="50"/>
    </row>
    <row r="3012" spans="1:1">
      <c r="A3012" s="50"/>
    </row>
    <row r="3013" spans="1:1">
      <c r="A3013" s="50"/>
    </row>
    <row r="3014" spans="1:1">
      <c r="A3014" s="50"/>
    </row>
    <row r="3015" spans="1:1">
      <c r="A3015" s="50"/>
    </row>
    <row r="3016" spans="1:1">
      <c r="A3016" s="50"/>
    </row>
    <row r="3017" spans="1:1">
      <c r="A3017" s="50"/>
    </row>
    <row r="3018" spans="1:1">
      <c r="A3018" s="50"/>
    </row>
    <row r="3019" spans="1:1">
      <c r="A3019" s="50"/>
    </row>
    <row r="3020" spans="1:1">
      <c r="A3020" s="50"/>
    </row>
    <row r="3021" spans="1:1">
      <c r="A3021" s="50"/>
    </row>
    <row r="3022" spans="1:1">
      <c r="A3022" s="50"/>
    </row>
    <row r="3023" spans="1:1">
      <c r="A3023" s="50"/>
    </row>
    <row r="3024" spans="1:1">
      <c r="A3024" s="50"/>
    </row>
    <row r="3025" spans="1:1">
      <c r="A3025" s="50"/>
    </row>
    <row r="3026" spans="1:1">
      <c r="A3026" s="50"/>
    </row>
    <row r="3027" spans="1:1">
      <c r="A3027" s="50"/>
    </row>
    <row r="3028" spans="1:1">
      <c r="A3028" s="50"/>
    </row>
    <row r="3029" spans="1:1">
      <c r="A3029" s="50"/>
    </row>
    <row r="3030" spans="1:1">
      <c r="A3030" s="50"/>
    </row>
    <row r="3031" spans="1:1">
      <c r="A3031" s="50"/>
    </row>
    <row r="3032" spans="1:1">
      <c r="A3032" s="50"/>
    </row>
    <row r="3033" spans="1:1">
      <c r="A3033" s="50"/>
    </row>
    <row r="3034" spans="1:1">
      <c r="A3034" s="50"/>
    </row>
    <row r="3035" spans="1:1">
      <c r="A3035" s="50"/>
    </row>
    <row r="3036" spans="1:1">
      <c r="A3036" s="50"/>
    </row>
    <row r="3037" spans="1:1">
      <c r="A3037" s="50"/>
    </row>
    <row r="3038" spans="1:1">
      <c r="A3038" s="50"/>
    </row>
    <row r="3039" spans="1:1">
      <c r="A3039" s="50"/>
    </row>
    <row r="3040" spans="1:1">
      <c r="A3040" s="50"/>
    </row>
    <row r="3041" spans="1:1">
      <c r="A3041" s="50"/>
    </row>
    <row r="3042" spans="1:1">
      <c r="A3042" s="50"/>
    </row>
    <row r="3043" spans="1:1">
      <c r="A3043" s="50"/>
    </row>
    <row r="3044" spans="1:1">
      <c r="A3044" s="50"/>
    </row>
    <row r="3045" spans="1:1">
      <c r="A3045" s="50"/>
    </row>
    <row r="3046" spans="1:1">
      <c r="A3046" s="50"/>
    </row>
    <row r="3047" spans="1:1">
      <c r="A3047" s="50"/>
    </row>
    <row r="3048" spans="1:1">
      <c r="A3048" s="50"/>
    </row>
    <row r="3049" spans="1:1">
      <c r="A3049" s="50"/>
    </row>
    <row r="3050" spans="1:1">
      <c r="A3050" s="50"/>
    </row>
    <row r="3051" spans="1:1">
      <c r="A3051" s="50"/>
    </row>
    <row r="3052" spans="1:1">
      <c r="A3052" s="50"/>
    </row>
    <row r="3053" spans="1:1">
      <c r="A3053" s="50"/>
    </row>
    <row r="3054" spans="1:1">
      <c r="A3054" s="50"/>
    </row>
    <row r="3055" spans="1:1">
      <c r="A3055" s="50"/>
    </row>
    <row r="3056" spans="1:1">
      <c r="A3056" s="50"/>
    </row>
    <row r="3057" spans="1:1">
      <c r="A3057" s="50"/>
    </row>
    <row r="3058" spans="1:1">
      <c r="A3058" s="50"/>
    </row>
    <row r="3059" spans="1:1">
      <c r="A3059" s="50"/>
    </row>
    <row r="3060" spans="1:1">
      <c r="A3060" s="50"/>
    </row>
    <row r="3061" spans="1:1">
      <c r="A3061" s="50"/>
    </row>
    <row r="3062" spans="1:1">
      <c r="A3062" s="50"/>
    </row>
    <row r="3063" spans="1:1">
      <c r="A3063" s="50"/>
    </row>
    <row r="3064" spans="1:1">
      <c r="A3064" s="50"/>
    </row>
    <row r="3065" spans="1:1">
      <c r="A3065" s="50"/>
    </row>
    <row r="3066" spans="1:1">
      <c r="A3066" s="50"/>
    </row>
    <row r="3067" spans="1:1">
      <c r="A3067" s="50"/>
    </row>
    <row r="3068" spans="1:1">
      <c r="A3068" s="50"/>
    </row>
    <row r="3069" spans="1:1">
      <c r="A3069" s="50"/>
    </row>
    <row r="3070" spans="1:1">
      <c r="A3070" s="50"/>
    </row>
    <row r="3071" spans="1:1">
      <c r="A3071" s="50"/>
    </row>
    <row r="3072" spans="1:1">
      <c r="A3072" s="50"/>
    </row>
    <row r="3073" spans="1:1">
      <c r="A3073" s="50"/>
    </row>
    <row r="3074" spans="1:1">
      <c r="A3074" s="50"/>
    </row>
    <row r="3075" spans="1:1">
      <c r="A3075" s="50"/>
    </row>
    <row r="3076" spans="1:1">
      <c r="A3076" s="50"/>
    </row>
    <row r="3077" spans="1:1">
      <c r="A3077" s="50"/>
    </row>
    <row r="3078" spans="1:1">
      <c r="A3078" s="50"/>
    </row>
    <row r="3079" spans="1:1">
      <c r="A3079" s="50"/>
    </row>
    <row r="3080" spans="1:1">
      <c r="A3080" s="50"/>
    </row>
    <row r="3081" spans="1:1">
      <c r="A3081" s="50"/>
    </row>
    <row r="3082" spans="1:1">
      <c r="A3082" s="50"/>
    </row>
    <row r="3083" spans="1:1">
      <c r="A3083" s="50"/>
    </row>
    <row r="3084" spans="1:1">
      <c r="A3084" s="50"/>
    </row>
    <row r="3085" spans="1:1">
      <c r="A3085" s="50"/>
    </row>
    <row r="3086" spans="1:1">
      <c r="A3086" s="50"/>
    </row>
    <row r="3087" spans="1:1">
      <c r="A3087" s="50"/>
    </row>
    <row r="3088" spans="1:1">
      <c r="A3088" s="50"/>
    </row>
    <row r="3089" spans="1:1">
      <c r="A3089" s="50"/>
    </row>
    <row r="3090" spans="1:1">
      <c r="A3090" s="50"/>
    </row>
    <row r="3091" spans="1:1">
      <c r="A3091" s="50"/>
    </row>
    <row r="3092" spans="1:1">
      <c r="A3092" s="50"/>
    </row>
    <row r="3093" spans="1:1">
      <c r="A3093" s="50"/>
    </row>
    <row r="3094" spans="1:1">
      <c r="A3094" s="50"/>
    </row>
    <row r="3095" spans="1:1">
      <c r="A3095" s="50"/>
    </row>
    <row r="3096" spans="1:1">
      <c r="A3096" s="50"/>
    </row>
    <row r="3097" spans="1:1">
      <c r="A3097" s="50"/>
    </row>
    <row r="3098" spans="1:1">
      <c r="A3098" s="50"/>
    </row>
    <row r="3099" spans="1:1">
      <c r="A3099" s="50"/>
    </row>
    <row r="3100" spans="1:1">
      <c r="A3100" s="50"/>
    </row>
    <row r="3101" spans="1:1">
      <c r="A3101" s="50"/>
    </row>
    <row r="3102" spans="1:1">
      <c r="A3102" s="50"/>
    </row>
    <row r="3103" spans="1:1">
      <c r="A3103" s="50"/>
    </row>
    <row r="3104" spans="1:1">
      <c r="A3104" s="50"/>
    </row>
    <row r="3105" spans="1:1">
      <c r="A3105" s="50"/>
    </row>
    <row r="3106" spans="1:1">
      <c r="A3106" s="50"/>
    </row>
    <row r="3107" spans="1:1">
      <c r="A3107" s="50"/>
    </row>
    <row r="3108" spans="1:1">
      <c r="A3108" s="50"/>
    </row>
    <row r="3109" spans="1:1">
      <c r="A3109" s="50"/>
    </row>
    <row r="3110" spans="1:1">
      <c r="A3110" s="50"/>
    </row>
    <row r="3111" spans="1:1">
      <c r="A3111" s="50"/>
    </row>
    <row r="3112" spans="1:1">
      <c r="A3112" s="50"/>
    </row>
    <row r="3113" spans="1:1">
      <c r="A3113" s="50"/>
    </row>
    <row r="3114" spans="1:1">
      <c r="A3114" s="50"/>
    </row>
    <row r="3115" spans="1:1">
      <c r="A3115" s="50"/>
    </row>
    <row r="3116" spans="1:1">
      <c r="A3116" s="50"/>
    </row>
    <row r="3117" spans="1:1">
      <c r="A3117" s="50"/>
    </row>
    <row r="3118" spans="1:1">
      <c r="A3118" s="50"/>
    </row>
    <row r="3119" spans="1:1">
      <c r="A3119" s="50"/>
    </row>
    <row r="3120" spans="1:1">
      <c r="A3120" s="50"/>
    </row>
    <row r="3121" spans="1:1">
      <c r="A3121" s="50"/>
    </row>
    <row r="3122" spans="1:1">
      <c r="A3122" s="50"/>
    </row>
    <row r="3123" spans="1:1">
      <c r="A3123" s="50"/>
    </row>
    <row r="3124" spans="1:1">
      <c r="A3124" s="50"/>
    </row>
    <row r="3125" spans="1:1">
      <c r="A3125" s="50"/>
    </row>
    <row r="3126" spans="1:1">
      <c r="A3126" s="50"/>
    </row>
    <row r="3127" spans="1:1">
      <c r="A3127" s="50"/>
    </row>
    <row r="3128" spans="1:1">
      <c r="A3128" s="50"/>
    </row>
    <row r="3129" spans="1:1">
      <c r="A3129" s="50"/>
    </row>
    <row r="3130" spans="1:1">
      <c r="A3130" s="50"/>
    </row>
    <row r="3131" spans="1:1">
      <c r="A3131" s="50"/>
    </row>
    <row r="3132" spans="1:1">
      <c r="A3132" s="50"/>
    </row>
    <row r="3133" spans="1:1">
      <c r="A3133" s="50"/>
    </row>
    <row r="3134" spans="1:1">
      <c r="A3134" s="50"/>
    </row>
    <row r="3135" spans="1:1">
      <c r="A3135" s="50"/>
    </row>
    <row r="3136" spans="1:1">
      <c r="A3136" s="50"/>
    </row>
    <row r="3137" spans="1:1">
      <c r="A3137" s="50"/>
    </row>
    <row r="3138" spans="1:1">
      <c r="A3138" s="50"/>
    </row>
    <row r="3139" spans="1:1">
      <c r="A3139" s="50"/>
    </row>
    <row r="3140" spans="1:1">
      <c r="A3140" s="50"/>
    </row>
    <row r="3141" spans="1:1">
      <c r="A3141" s="50"/>
    </row>
    <row r="3142" spans="1:1">
      <c r="A3142" s="50"/>
    </row>
    <row r="3143" spans="1:1">
      <c r="A3143" s="50"/>
    </row>
    <row r="3144" spans="1:1">
      <c r="A3144" s="50"/>
    </row>
    <row r="3145" spans="1:1">
      <c r="A3145" s="50"/>
    </row>
    <row r="3146" spans="1:1">
      <c r="A3146" s="50"/>
    </row>
    <row r="3147" spans="1:1">
      <c r="A3147" s="50"/>
    </row>
    <row r="3148" spans="1:1">
      <c r="A3148" s="50"/>
    </row>
    <row r="3149" spans="1:1">
      <c r="A3149" s="50"/>
    </row>
    <row r="3150" spans="1:1">
      <c r="A3150" s="50"/>
    </row>
    <row r="3151" spans="1:1">
      <c r="A3151" s="50"/>
    </row>
    <row r="3152" spans="1:1">
      <c r="A3152" s="50"/>
    </row>
    <row r="3153" spans="1:1">
      <c r="A3153" s="50"/>
    </row>
    <row r="3154" spans="1:1">
      <c r="A3154" s="50"/>
    </row>
    <row r="3155" spans="1:1">
      <c r="A3155" s="50"/>
    </row>
    <row r="3156" spans="1:1">
      <c r="A3156" s="50"/>
    </row>
    <row r="3157" spans="1:1">
      <c r="A3157" s="50"/>
    </row>
    <row r="3158" spans="1:1">
      <c r="A3158" s="50"/>
    </row>
    <row r="3159" spans="1:1">
      <c r="A3159" s="50"/>
    </row>
    <row r="3160" spans="1:1">
      <c r="A3160" s="50"/>
    </row>
    <row r="3161" spans="1:1">
      <c r="A3161" s="50"/>
    </row>
    <row r="3162" spans="1:1">
      <c r="A3162" s="50"/>
    </row>
    <row r="3163" spans="1:1">
      <c r="A3163" s="50"/>
    </row>
    <row r="3164" spans="1:1">
      <c r="A3164" s="50"/>
    </row>
    <row r="3165" spans="1:1">
      <c r="A3165" s="50"/>
    </row>
    <row r="3166" spans="1:1">
      <c r="A3166" s="50"/>
    </row>
    <row r="3167" spans="1:1">
      <c r="A3167" s="50"/>
    </row>
    <row r="3168" spans="1:1">
      <c r="A3168" s="50"/>
    </row>
    <row r="3169" spans="1:1">
      <c r="A3169" s="50"/>
    </row>
    <row r="3170" spans="1:1">
      <c r="A3170" s="50"/>
    </row>
    <row r="3171" spans="1:1">
      <c r="A3171" s="50"/>
    </row>
    <row r="3172" spans="1:1">
      <c r="A3172" s="50"/>
    </row>
    <row r="3173" spans="1:1">
      <c r="A3173" s="50"/>
    </row>
    <row r="3174" spans="1:1">
      <c r="A3174" s="50"/>
    </row>
    <row r="3175" spans="1:1">
      <c r="A3175" s="50"/>
    </row>
    <row r="3176" spans="1:1">
      <c r="A3176" s="50"/>
    </row>
    <row r="3177" spans="1:1">
      <c r="A3177" s="50"/>
    </row>
    <row r="3178" spans="1:1">
      <c r="A3178" s="50"/>
    </row>
    <row r="3179" spans="1:1">
      <c r="A3179" s="50"/>
    </row>
    <row r="3180" spans="1:1">
      <c r="A3180" s="50"/>
    </row>
    <row r="3181" spans="1:1">
      <c r="A3181" s="50"/>
    </row>
    <row r="3182" spans="1:1">
      <c r="A3182" s="50"/>
    </row>
    <row r="3183" spans="1:1">
      <c r="A3183" s="50"/>
    </row>
    <row r="3184" spans="1:1">
      <c r="A3184" s="50"/>
    </row>
    <row r="3185" spans="1:1">
      <c r="A3185" s="50"/>
    </row>
    <row r="3186" spans="1:1">
      <c r="A3186" s="50"/>
    </row>
    <row r="3187" spans="1:1">
      <c r="A3187" s="50"/>
    </row>
    <row r="3188" spans="1:1">
      <c r="A3188" s="50"/>
    </row>
    <row r="3189" spans="1:1">
      <c r="A3189" s="50"/>
    </row>
    <row r="3190" spans="1:1">
      <c r="A3190" s="50"/>
    </row>
    <row r="3191" spans="1:1">
      <c r="A3191" s="50"/>
    </row>
    <row r="3192" spans="1:1">
      <c r="A3192" s="50"/>
    </row>
    <row r="3193" spans="1:1">
      <c r="A3193" s="50"/>
    </row>
    <row r="3194" spans="1:1">
      <c r="A3194" s="50"/>
    </row>
    <row r="3195" spans="1:1">
      <c r="A3195" s="50"/>
    </row>
    <row r="3196" spans="1:1">
      <c r="A3196" s="50"/>
    </row>
    <row r="3197" spans="1:1">
      <c r="A3197" s="50"/>
    </row>
    <row r="3198" spans="1:1">
      <c r="A3198" s="50"/>
    </row>
    <row r="3199" spans="1:1">
      <c r="A3199" s="50"/>
    </row>
    <row r="3200" spans="1:1">
      <c r="A3200" s="50"/>
    </row>
    <row r="3201" spans="1:1">
      <c r="A3201" s="50"/>
    </row>
    <row r="3202" spans="1:1">
      <c r="A3202" s="50"/>
    </row>
    <row r="3203" spans="1:1">
      <c r="A3203" s="50"/>
    </row>
    <row r="3204" spans="1:1">
      <c r="A3204" s="50"/>
    </row>
    <row r="3205" spans="1:1">
      <c r="A3205" s="50"/>
    </row>
    <row r="3206" spans="1:1">
      <c r="A3206" s="50"/>
    </row>
    <row r="3207" spans="1:1">
      <c r="A3207" s="50"/>
    </row>
    <row r="3208" spans="1:1">
      <c r="A3208" s="50"/>
    </row>
    <row r="3209" spans="1:1">
      <c r="A3209" s="50"/>
    </row>
    <row r="3210" spans="1:1">
      <c r="A3210" s="50"/>
    </row>
    <row r="3211" spans="1:1">
      <c r="A3211" s="50"/>
    </row>
    <row r="3212" spans="1:1">
      <c r="A3212" s="50"/>
    </row>
    <row r="3213" spans="1:1">
      <c r="A3213" s="50"/>
    </row>
    <row r="3214" spans="1:1">
      <c r="A3214" s="50"/>
    </row>
    <row r="3215" spans="1:1">
      <c r="A3215" s="50"/>
    </row>
    <row r="3216" spans="1:1">
      <c r="A3216" s="50"/>
    </row>
    <row r="3217" spans="1:1">
      <c r="A3217" s="50"/>
    </row>
    <row r="3218" spans="1:1">
      <c r="A3218" s="50"/>
    </row>
    <row r="3219" spans="1:1">
      <c r="A3219" s="50"/>
    </row>
    <row r="3220" spans="1:1">
      <c r="A3220" s="50"/>
    </row>
    <row r="3221" spans="1:1">
      <c r="A3221" s="50"/>
    </row>
    <row r="3222" spans="1:1">
      <c r="A3222" s="50"/>
    </row>
    <row r="3223" spans="1:1">
      <c r="A3223" s="50"/>
    </row>
    <row r="3224" spans="1:1">
      <c r="A3224" s="50"/>
    </row>
    <row r="3225" spans="1:1">
      <c r="A3225" s="50"/>
    </row>
    <row r="3226" spans="1:1">
      <c r="A3226" s="50"/>
    </row>
    <row r="3227" spans="1:1">
      <c r="A3227" s="50"/>
    </row>
    <row r="3228" spans="1:1">
      <c r="A3228" s="50"/>
    </row>
    <row r="3229" spans="1:1">
      <c r="A3229" s="50"/>
    </row>
    <row r="3230" spans="1:1">
      <c r="A3230" s="50"/>
    </row>
    <row r="3231" spans="1:1">
      <c r="A3231" s="50"/>
    </row>
    <row r="3232" spans="1:1">
      <c r="A3232" s="50"/>
    </row>
    <row r="3233" spans="1:1">
      <c r="A3233" s="50"/>
    </row>
    <row r="3234" spans="1:1">
      <c r="A3234" s="50"/>
    </row>
    <row r="3235" spans="1:1">
      <c r="A3235" s="50"/>
    </row>
    <row r="3236" spans="1:1">
      <c r="A3236" s="50"/>
    </row>
    <row r="3237" spans="1:1">
      <c r="A3237" s="50"/>
    </row>
    <row r="3238" spans="1:1">
      <c r="A3238" s="50"/>
    </row>
    <row r="3239" spans="1:1">
      <c r="A3239" s="50"/>
    </row>
    <row r="3240" spans="1:1">
      <c r="A3240" s="50"/>
    </row>
    <row r="3241" spans="1:1">
      <c r="A3241" s="50"/>
    </row>
    <row r="3242" spans="1:1">
      <c r="A3242" s="50"/>
    </row>
    <row r="3243" spans="1:1">
      <c r="A3243" s="50"/>
    </row>
    <row r="3244" spans="1:1">
      <c r="A3244" s="50"/>
    </row>
    <row r="3245" spans="1:1">
      <c r="A3245" s="50"/>
    </row>
    <row r="3246" spans="1:1">
      <c r="A3246" s="50"/>
    </row>
    <row r="3247" spans="1:1">
      <c r="A3247" s="50"/>
    </row>
    <row r="3248" spans="1:1">
      <c r="A3248" s="50"/>
    </row>
    <row r="3249" spans="1:1">
      <c r="A3249" s="50"/>
    </row>
    <row r="3250" spans="1:1">
      <c r="A3250" s="50"/>
    </row>
    <row r="3251" spans="1:1">
      <c r="A3251" s="50"/>
    </row>
    <row r="3252" spans="1:1">
      <c r="A3252" s="50"/>
    </row>
    <row r="3253" spans="1:1">
      <c r="A3253" s="50"/>
    </row>
    <row r="3254" spans="1:1">
      <c r="A3254" s="50"/>
    </row>
    <row r="3255" spans="1:1">
      <c r="A3255" s="50"/>
    </row>
    <row r="3256" spans="1:1">
      <c r="A3256" s="50"/>
    </row>
    <row r="3257" spans="1:1">
      <c r="A3257" s="50"/>
    </row>
    <row r="3258" spans="1:1">
      <c r="A3258" s="50"/>
    </row>
    <row r="3259" spans="1:1">
      <c r="A3259" s="50"/>
    </row>
    <row r="3260" spans="1:1">
      <c r="A3260" s="50"/>
    </row>
    <row r="3261" spans="1:1">
      <c r="A3261" s="50"/>
    </row>
    <row r="3262" spans="1:1">
      <c r="A3262" s="50"/>
    </row>
    <row r="3263" spans="1:1">
      <c r="A3263" s="50"/>
    </row>
    <row r="3264" spans="1:1">
      <c r="A3264" s="50"/>
    </row>
    <row r="3265" spans="1:1">
      <c r="A3265" s="50"/>
    </row>
    <row r="3266" spans="1:1">
      <c r="A3266" s="50"/>
    </row>
    <row r="3267" spans="1:1">
      <c r="A3267" s="50"/>
    </row>
    <row r="3268" spans="1:1">
      <c r="A3268" s="50"/>
    </row>
    <row r="3269" spans="1:1">
      <c r="A3269" s="50"/>
    </row>
    <row r="3270" spans="1:1">
      <c r="A3270" s="50"/>
    </row>
    <row r="3271" spans="1:1">
      <c r="A3271" s="50"/>
    </row>
    <row r="3272" spans="1:1">
      <c r="A3272" s="50"/>
    </row>
    <row r="3273" spans="1:1">
      <c r="A3273" s="50"/>
    </row>
    <row r="3274" spans="1:1">
      <c r="A3274" s="50"/>
    </row>
    <row r="3275" spans="1:1">
      <c r="A3275" s="50"/>
    </row>
    <row r="3276" spans="1:1">
      <c r="A3276" s="50"/>
    </row>
    <row r="3277" spans="1:1">
      <c r="A3277" s="50"/>
    </row>
    <row r="3278" spans="1:1">
      <c r="A3278" s="50"/>
    </row>
    <row r="3279" spans="1:1">
      <c r="A3279" s="50"/>
    </row>
    <row r="3280" spans="1:1">
      <c r="A3280" s="50"/>
    </row>
    <row r="3281" spans="1:1">
      <c r="A3281" s="50"/>
    </row>
    <row r="3282" spans="1:1">
      <c r="A3282" s="50"/>
    </row>
    <row r="3283" spans="1:1">
      <c r="A3283" s="50"/>
    </row>
    <row r="3284" spans="1:1">
      <c r="A3284" s="50"/>
    </row>
    <row r="3285" spans="1:1">
      <c r="A3285" s="50"/>
    </row>
    <row r="3286" spans="1:1">
      <c r="A3286" s="50"/>
    </row>
    <row r="3287" spans="1:1">
      <c r="A3287" s="50"/>
    </row>
    <row r="3288" spans="1:1">
      <c r="A3288" s="50"/>
    </row>
    <row r="3289" spans="1:1">
      <c r="A3289" s="50"/>
    </row>
    <row r="3290" spans="1:1">
      <c r="A3290" s="50"/>
    </row>
    <row r="3291" spans="1:1">
      <c r="A3291" s="50"/>
    </row>
    <row r="3292" spans="1:1">
      <c r="A3292" s="50"/>
    </row>
    <row r="3293" spans="1:1">
      <c r="A3293" s="50"/>
    </row>
    <row r="3294" spans="1:1">
      <c r="A3294" s="50"/>
    </row>
    <row r="3295" spans="1:1">
      <c r="A3295" s="50"/>
    </row>
    <row r="3296" spans="1:1">
      <c r="A3296" s="50"/>
    </row>
    <row r="3297" spans="1:1">
      <c r="A3297" s="50"/>
    </row>
    <row r="3298" spans="1:1">
      <c r="A3298" s="50"/>
    </row>
    <row r="3299" spans="1:1">
      <c r="A3299" s="50"/>
    </row>
    <row r="3300" spans="1:1">
      <c r="A3300" s="50"/>
    </row>
    <row r="3301" spans="1:1">
      <c r="A3301" s="50"/>
    </row>
    <row r="3302" spans="1:1">
      <c r="A3302" s="50"/>
    </row>
    <row r="3303" spans="1:1">
      <c r="A3303" s="50"/>
    </row>
    <row r="3304" spans="1:1">
      <c r="A3304" s="50"/>
    </row>
    <row r="3305" spans="1:1">
      <c r="A3305" s="50"/>
    </row>
    <row r="3306" spans="1:1">
      <c r="A3306" s="50"/>
    </row>
    <row r="3307" spans="1:1">
      <c r="A3307" s="50"/>
    </row>
    <row r="3308" spans="1:1">
      <c r="A3308" s="50"/>
    </row>
    <row r="3309" spans="1:1">
      <c r="A3309" s="50"/>
    </row>
    <row r="3310" spans="1:1">
      <c r="A3310" s="50"/>
    </row>
    <row r="3311" spans="1:1">
      <c r="A3311" s="50"/>
    </row>
    <row r="3312" spans="1:1">
      <c r="A3312" s="50"/>
    </row>
    <row r="3313" spans="1:1">
      <c r="A3313" s="50"/>
    </row>
    <row r="3314" spans="1:1">
      <c r="A3314" s="50"/>
    </row>
    <row r="3315" spans="1:1">
      <c r="A3315" s="50"/>
    </row>
    <row r="3316" spans="1:1">
      <c r="A3316" s="50"/>
    </row>
    <row r="3317" spans="1:1">
      <c r="A3317" s="50"/>
    </row>
    <row r="3318" spans="1:1">
      <c r="A3318" s="50"/>
    </row>
    <row r="3319" spans="1:1">
      <c r="A3319" s="50"/>
    </row>
    <row r="3320" spans="1:1">
      <c r="A3320" s="50"/>
    </row>
    <row r="3321" spans="1:1">
      <c r="A3321" s="50"/>
    </row>
    <row r="3322" spans="1:1">
      <c r="A3322" s="50"/>
    </row>
    <row r="3323" spans="1:1">
      <c r="A3323" s="50"/>
    </row>
    <row r="3324" spans="1:1">
      <c r="A3324" s="50"/>
    </row>
    <row r="3325" spans="1:1">
      <c r="A3325" s="50"/>
    </row>
    <row r="3326" spans="1:1">
      <c r="A3326" s="50"/>
    </row>
    <row r="3327" spans="1:1">
      <c r="A3327" s="50"/>
    </row>
    <row r="3328" spans="1:1">
      <c r="A3328" s="50"/>
    </row>
    <row r="3329" spans="1:1">
      <c r="A3329" s="50"/>
    </row>
    <row r="3330" spans="1:1">
      <c r="A3330" s="50"/>
    </row>
    <row r="3331" spans="1:1">
      <c r="A3331" s="50"/>
    </row>
    <row r="3332" spans="1:1">
      <c r="A3332" s="50"/>
    </row>
    <row r="3333" spans="1:1">
      <c r="A3333" s="50"/>
    </row>
    <row r="3334" spans="1:1">
      <c r="A3334" s="50"/>
    </row>
    <row r="3335" spans="1:1">
      <c r="A3335" s="50"/>
    </row>
    <row r="3336" spans="1:1">
      <c r="A3336" s="50"/>
    </row>
    <row r="3337" spans="1:1">
      <c r="A3337" s="50"/>
    </row>
    <row r="3338" spans="1:1">
      <c r="A3338" s="50"/>
    </row>
    <row r="3339" spans="1:1">
      <c r="A3339" s="50"/>
    </row>
    <row r="3340" spans="1:1">
      <c r="A3340" s="50"/>
    </row>
    <row r="3341" spans="1:1">
      <c r="A3341" s="50"/>
    </row>
    <row r="3342" spans="1:1">
      <c r="A3342" s="50"/>
    </row>
    <row r="3343" spans="1:1">
      <c r="A3343" s="50"/>
    </row>
    <row r="3344" spans="1:1">
      <c r="A3344" s="50"/>
    </row>
    <row r="3345" spans="1:1">
      <c r="A3345" s="50"/>
    </row>
    <row r="3346" spans="1:1">
      <c r="A3346" s="50"/>
    </row>
    <row r="3347" spans="1:1">
      <c r="A3347" s="50"/>
    </row>
    <row r="3348" spans="1:1">
      <c r="A3348" s="50"/>
    </row>
    <row r="3349" spans="1:1">
      <c r="A3349" s="50"/>
    </row>
    <row r="3350" spans="1:1">
      <c r="A3350" s="50"/>
    </row>
    <row r="3351" spans="1:1">
      <c r="A3351" s="50"/>
    </row>
    <row r="3352" spans="1:1">
      <c r="A3352" s="50"/>
    </row>
    <row r="3353" spans="1:1">
      <c r="A3353" s="50"/>
    </row>
    <row r="3354" spans="1:1">
      <c r="A3354" s="50"/>
    </row>
    <row r="3355" spans="1:1">
      <c r="A3355" s="50"/>
    </row>
    <row r="3356" spans="1:1">
      <c r="A3356" s="50"/>
    </row>
    <row r="3357" spans="1:1">
      <c r="A3357" s="50"/>
    </row>
    <row r="3358" spans="1:1">
      <c r="A3358" s="50"/>
    </row>
    <row r="3359" spans="1:1">
      <c r="A3359" s="50"/>
    </row>
    <row r="3360" spans="1:1">
      <c r="A3360" s="50"/>
    </row>
    <row r="3361" spans="1:1">
      <c r="A3361" s="50"/>
    </row>
    <row r="3362" spans="1:1">
      <c r="A3362" s="50"/>
    </row>
    <row r="3363" spans="1:1">
      <c r="A3363" s="50"/>
    </row>
    <row r="3364" spans="1:1">
      <c r="A3364" s="50"/>
    </row>
    <row r="3365" spans="1:1">
      <c r="A3365" s="50"/>
    </row>
    <row r="3366" spans="1:1">
      <c r="A3366" s="50"/>
    </row>
    <row r="3367" spans="1:1">
      <c r="A3367" s="50"/>
    </row>
    <row r="3368" spans="1:1">
      <c r="A3368" s="50"/>
    </row>
    <row r="3369" spans="1:1">
      <c r="A3369" s="50"/>
    </row>
    <row r="3370" spans="1:1">
      <c r="A3370" s="50"/>
    </row>
    <row r="3371" spans="1:1">
      <c r="A3371" s="50"/>
    </row>
    <row r="3372" spans="1:1">
      <c r="A3372" s="50"/>
    </row>
    <row r="3373" spans="1:1">
      <c r="A3373" s="50"/>
    </row>
    <row r="3374" spans="1:1">
      <c r="A3374" s="50"/>
    </row>
    <row r="3375" spans="1:1">
      <c r="A3375" s="50"/>
    </row>
    <row r="3376" spans="1:1">
      <c r="A3376" s="50"/>
    </row>
    <row r="3377" spans="1:1">
      <c r="A3377" s="50"/>
    </row>
    <row r="3378" spans="1:1">
      <c r="A3378" s="50"/>
    </row>
    <row r="3379" spans="1:1">
      <c r="A3379" s="50"/>
    </row>
    <row r="3380" spans="1:1">
      <c r="A3380" s="50"/>
    </row>
    <row r="3381" spans="1:1">
      <c r="A3381" s="50"/>
    </row>
    <row r="3382" spans="1:1">
      <c r="A3382" s="50"/>
    </row>
    <row r="3383" spans="1:1">
      <c r="A3383" s="50"/>
    </row>
    <row r="3384" spans="1:1">
      <c r="A3384" s="50"/>
    </row>
    <row r="3385" spans="1:1">
      <c r="A3385" s="50"/>
    </row>
    <row r="3386" spans="1:1">
      <c r="A3386" s="50"/>
    </row>
    <row r="3387" spans="1:1">
      <c r="A3387" s="50"/>
    </row>
    <row r="3388" spans="1:1">
      <c r="A3388" s="50"/>
    </row>
    <row r="3389" spans="1:1">
      <c r="A3389" s="50"/>
    </row>
    <row r="3390" spans="1:1">
      <c r="A3390" s="50"/>
    </row>
    <row r="3391" spans="1:1">
      <c r="A3391" s="50"/>
    </row>
    <row r="3392" spans="1:1">
      <c r="A3392" s="50"/>
    </row>
    <row r="3393" spans="1:1">
      <c r="A3393" s="50"/>
    </row>
    <row r="3394" spans="1:1">
      <c r="A3394" s="50"/>
    </row>
    <row r="3395" spans="1:1">
      <c r="A3395" s="50"/>
    </row>
    <row r="3396" spans="1:1">
      <c r="A3396" s="50"/>
    </row>
    <row r="3397" spans="1:1">
      <c r="A3397" s="50"/>
    </row>
    <row r="3398" spans="1:1">
      <c r="A3398" s="50"/>
    </row>
    <row r="3399" spans="1:1">
      <c r="A3399" s="50"/>
    </row>
    <row r="3400" spans="1:1">
      <c r="A3400" s="50"/>
    </row>
    <row r="3401" spans="1:1">
      <c r="A3401" s="50"/>
    </row>
    <row r="3402" spans="1:1">
      <c r="A3402" s="50"/>
    </row>
    <row r="3403" spans="1:1">
      <c r="A3403" s="50"/>
    </row>
    <row r="3404" spans="1:1">
      <c r="A3404" s="50"/>
    </row>
    <row r="3405" spans="1:1">
      <c r="A3405" s="50"/>
    </row>
    <row r="3406" spans="1:1">
      <c r="A3406" s="50"/>
    </row>
    <row r="3407" spans="1:1">
      <c r="A3407" s="50"/>
    </row>
    <row r="3408" spans="1:1">
      <c r="A3408" s="50"/>
    </row>
    <row r="3409" spans="1:1">
      <c r="A3409" s="50"/>
    </row>
    <row r="3410" spans="1:1">
      <c r="A3410" s="50"/>
    </row>
    <row r="3411" spans="1:1">
      <c r="A3411" s="50"/>
    </row>
    <row r="3412" spans="1:1">
      <c r="A3412" s="50"/>
    </row>
    <row r="3413" spans="1:1">
      <c r="A3413" s="50"/>
    </row>
    <row r="3414" spans="1:1">
      <c r="A3414" s="50"/>
    </row>
    <row r="3415" spans="1:1">
      <c r="A3415" s="50"/>
    </row>
    <row r="3416" spans="1:1">
      <c r="A3416" s="50"/>
    </row>
    <row r="3417" spans="1:1">
      <c r="A3417" s="50"/>
    </row>
    <row r="3418" spans="1:1">
      <c r="A3418" s="50"/>
    </row>
    <row r="3419" spans="1:1">
      <c r="A3419" s="50"/>
    </row>
    <row r="3420" spans="1:1">
      <c r="A3420" s="50"/>
    </row>
    <row r="3421" spans="1:1">
      <c r="A3421" s="50"/>
    </row>
    <row r="3422" spans="1:1">
      <c r="A3422" s="50"/>
    </row>
    <row r="3423" spans="1:1">
      <c r="A3423" s="50"/>
    </row>
    <row r="3424" spans="1:1">
      <c r="A3424" s="50"/>
    </row>
    <row r="3425" spans="1:1">
      <c r="A3425" s="50"/>
    </row>
    <row r="3426" spans="1:1">
      <c r="A3426" s="50"/>
    </row>
    <row r="3427" spans="1:1">
      <c r="A3427" s="50"/>
    </row>
    <row r="3428" spans="1:1">
      <c r="A3428" s="50"/>
    </row>
    <row r="3429" spans="1:1">
      <c r="A3429" s="50"/>
    </row>
    <row r="3430" spans="1:1">
      <c r="A3430" s="50"/>
    </row>
    <row r="3431" spans="1:1">
      <c r="A3431" s="50"/>
    </row>
    <row r="3432" spans="1:1">
      <c r="A3432" s="50"/>
    </row>
    <row r="3433" spans="1:1">
      <c r="A3433" s="50"/>
    </row>
    <row r="3434" spans="1:1">
      <c r="A3434" s="50"/>
    </row>
    <row r="3435" spans="1:1">
      <c r="A3435" s="50"/>
    </row>
    <row r="3436" spans="1:1">
      <c r="A3436" s="50"/>
    </row>
    <row r="3437" spans="1:1">
      <c r="A3437" s="50"/>
    </row>
    <row r="3438" spans="1:1">
      <c r="A3438" s="50"/>
    </row>
    <row r="3439" spans="1:1">
      <c r="A3439" s="50"/>
    </row>
    <row r="3440" spans="1:1">
      <c r="A3440" s="50"/>
    </row>
    <row r="3441" spans="1:1">
      <c r="A3441" s="50"/>
    </row>
    <row r="3442" spans="1:1">
      <c r="A3442" s="50"/>
    </row>
    <row r="3443" spans="1:1">
      <c r="A3443" s="50"/>
    </row>
    <row r="3444" spans="1:1">
      <c r="A3444" s="50"/>
    </row>
    <row r="3445" spans="1:1">
      <c r="A3445" s="50"/>
    </row>
    <row r="3446" spans="1:1">
      <c r="A3446" s="50"/>
    </row>
    <row r="3447" spans="1:1">
      <c r="A3447" s="50"/>
    </row>
    <row r="3448" spans="1:1">
      <c r="A3448" s="50"/>
    </row>
    <row r="3449" spans="1:1">
      <c r="A3449" s="50"/>
    </row>
    <row r="3450" spans="1:1">
      <c r="A3450" s="50"/>
    </row>
    <row r="3451" spans="1:1">
      <c r="A3451" s="50"/>
    </row>
    <row r="3452" spans="1:1">
      <c r="A3452" s="50"/>
    </row>
    <row r="3453" spans="1:1">
      <c r="A3453" s="50"/>
    </row>
    <row r="3454" spans="1:1">
      <c r="A3454" s="50"/>
    </row>
    <row r="3455" spans="1:1">
      <c r="A3455" s="50"/>
    </row>
    <row r="3456" spans="1:1">
      <c r="A3456" s="50"/>
    </row>
    <row r="3457" spans="1:1">
      <c r="A3457" s="50"/>
    </row>
    <row r="3458" spans="1:1">
      <c r="A3458" s="50"/>
    </row>
    <row r="3459" spans="1:1">
      <c r="A3459" s="50"/>
    </row>
    <row r="3460" spans="1:1">
      <c r="A3460" s="50"/>
    </row>
    <row r="3461" spans="1:1">
      <c r="A3461" s="50"/>
    </row>
    <row r="3462" spans="1:1">
      <c r="A3462" s="50"/>
    </row>
    <row r="3463" spans="1:1">
      <c r="A3463" s="50"/>
    </row>
    <row r="3464" spans="1:1">
      <c r="A3464" s="50"/>
    </row>
    <row r="3465" spans="1:1">
      <c r="A3465" s="50"/>
    </row>
    <row r="3466" spans="1:1">
      <c r="A3466" s="50"/>
    </row>
    <row r="3467" spans="1:1">
      <c r="A3467" s="50"/>
    </row>
    <row r="3468" spans="1:1">
      <c r="A3468" s="50"/>
    </row>
    <row r="3469" spans="1:1">
      <c r="A3469" s="50"/>
    </row>
    <row r="3470" spans="1:1">
      <c r="A3470" s="50"/>
    </row>
    <row r="3471" spans="1:1">
      <c r="A3471" s="50"/>
    </row>
    <row r="3472" spans="1:1">
      <c r="A3472" s="50"/>
    </row>
    <row r="3473" spans="1:1">
      <c r="A3473" s="50"/>
    </row>
    <row r="3474" spans="1:1">
      <c r="A3474" s="50"/>
    </row>
    <row r="3475" spans="1:1">
      <c r="A3475" s="50"/>
    </row>
    <row r="3476" spans="1:1">
      <c r="A3476" s="50"/>
    </row>
    <row r="3477" spans="1:1">
      <c r="A3477" s="50"/>
    </row>
    <row r="3478" spans="1:1">
      <c r="A3478" s="50"/>
    </row>
    <row r="3479" spans="1:1">
      <c r="A3479" s="50"/>
    </row>
    <row r="3480" spans="1:1">
      <c r="A3480" s="50"/>
    </row>
    <row r="3481" spans="1:1">
      <c r="A3481" s="50"/>
    </row>
    <row r="3482" spans="1:1">
      <c r="A3482" s="50"/>
    </row>
    <row r="3483" spans="1:1">
      <c r="A3483" s="50"/>
    </row>
    <row r="3484" spans="1:1">
      <c r="A3484" s="50"/>
    </row>
    <row r="3485" spans="1:1">
      <c r="A3485" s="50"/>
    </row>
    <row r="3486" spans="1:1">
      <c r="A3486" s="50"/>
    </row>
    <row r="3487" spans="1:1">
      <c r="A3487" s="50"/>
    </row>
    <row r="3488" spans="1:1">
      <c r="A3488" s="50"/>
    </row>
    <row r="3489" spans="1:1">
      <c r="A3489" s="50"/>
    </row>
    <row r="3490" spans="1:1">
      <c r="A3490" s="50"/>
    </row>
    <row r="3491" spans="1:1">
      <c r="A3491" s="50"/>
    </row>
    <row r="3492" spans="1:1">
      <c r="A3492" s="50"/>
    </row>
    <row r="3493" spans="1:1">
      <c r="A3493" s="50"/>
    </row>
    <row r="3494" spans="1:1">
      <c r="A3494" s="50"/>
    </row>
    <row r="3495" spans="1:1">
      <c r="A3495" s="50"/>
    </row>
    <row r="3496" spans="1:1">
      <c r="A3496" s="50"/>
    </row>
    <row r="3497" spans="1:1">
      <c r="A3497" s="50"/>
    </row>
    <row r="3498" spans="1:1">
      <c r="A3498" s="50"/>
    </row>
    <row r="3499" spans="1:1">
      <c r="A3499" s="50"/>
    </row>
    <row r="3500" spans="1:1">
      <c r="A3500" s="50"/>
    </row>
    <row r="3501" spans="1:1">
      <c r="A3501" s="50"/>
    </row>
    <row r="3502" spans="1:1">
      <c r="A3502" s="50"/>
    </row>
    <row r="3503" spans="1:1">
      <c r="A3503" s="50"/>
    </row>
    <row r="3504" spans="1:1">
      <c r="A3504" s="50"/>
    </row>
    <row r="3505" spans="1:1">
      <c r="A3505" s="50"/>
    </row>
    <row r="3506" spans="1:1">
      <c r="A3506" s="50"/>
    </row>
    <row r="3507" spans="1:1">
      <c r="A3507" s="50"/>
    </row>
    <row r="3508" spans="1:1">
      <c r="A3508" s="50"/>
    </row>
    <row r="3509" spans="1:1">
      <c r="A3509" s="50"/>
    </row>
    <row r="3510" spans="1:1">
      <c r="A3510" s="50"/>
    </row>
    <row r="3511" spans="1:1">
      <c r="A3511" s="50"/>
    </row>
    <row r="3512" spans="1:1">
      <c r="A3512" s="50"/>
    </row>
    <row r="3513" spans="1:1">
      <c r="A3513" s="50"/>
    </row>
    <row r="3514" spans="1:1">
      <c r="A3514" s="50"/>
    </row>
    <row r="3515" spans="1:1">
      <c r="A3515" s="50"/>
    </row>
    <row r="3516" spans="1:1">
      <c r="A3516" s="50"/>
    </row>
    <row r="3517" spans="1:1">
      <c r="A3517" s="50"/>
    </row>
    <row r="3518" spans="1:1">
      <c r="A3518" s="50"/>
    </row>
    <row r="3519" spans="1:1">
      <c r="A3519" s="50"/>
    </row>
    <row r="3520" spans="1:1">
      <c r="A3520" s="50"/>
    </row>
    <row r="3521" spans="1:1">
      <c r="A3521" s="50"/>
    </row>
    <row r="3522" spans="1:1">
      <c r="A3522" s="50"/>
    </row>
    <row r="3523" spans="1:1">
      <c r="A3523" s="50"/>
    </row>
    <row r="3524" spans="1:1">
      <c r="A3524" s="50"/>
    </row>
    <row r="3525" spans="1:1">
      <c r="A3525" s="50"/>
    </row>
    <row r="3526" spans="1:1">
      <c r="A3526" s="50"/>
    </row>
    <row r="3527" spans="1:1">
      <c r="A3527" s="50"/>
    </row>
    <row r="3528" spans="1:1">
      <c r="A3528" s="50"/>
    </row>
    <row r="3529" spans="1:1">
      <c r="A3529" s="50"/>
    </row>
    <row r="3530" spans="1:1">
      <c r="A3530" s="50"/>
    </row>
    <row r="3531" spans="1:1">
      <c r="A3531" s="50"/>
    </row>
    <row r="3532" spans="1:1">
      <c r="A3532" s="50"/>
    </row>
    <row r="3533" spans="1:1">
      <c r="A3533" s="50"/>
    </row>
    <row r="3534" spans="1:1">
      <c r="A3534" s="50"/>
    </row>
    <row r="3535" spans="1:1">
      <c r="A3535" s="50"/>
    </row>
    <row r="3536" spans="1:1">
      <c r="A3536" s="50"/>
    </row>
    <row r="3537" spans="1:1">
      <c r="A3537" s="50"/>
    </row>
    <row r="3538" spans="1:1">
      <c r="A3538" s="50"/>
    </row>
    <row r="3539" spans="1:1">
      <c r="A3539" s="50"/>
    </row>
    <row r="3540" spans="1:1">
      <c r="A3540" s="50"/>
    </row>
    <row r="3541" spans="1:1">
      <c r="A3541" s="50"/>
    </row>
    <row r="3542" spans="1:1">
      <c r="A3542" s="50"/>
    </row>
    <row r="3543" spans="1:1">
      <c r="A3543" s="50"/>
    </row>
    <row r="3544" spans="1:1">
      <c r="A3544" s="50"/>
    </row>
    <row r="3545" spans="1:1">
      <c r="A3545" s="50"/>
    </row>
    <row r="3546" spans="1:1">
      <c r="A3546" s="50"/>
    </row>
    <row r="3547" spans="1:1">
      <c r="A3547" s="50"/>
    </row>
    <row r="3548" spans="1:1">
      <c r="A3548" s="50"/>
    </row>
    <row r="3549" spans="1:1">
      <c r="A3549" s="50"/>
    </row>
    <row r="3550" spans="1:1">
      <c r="A3550" s="50"/>
    </row>
    <row r="3551" spans="1:1">
      <c r="A3551" s="50"/>
    </row>
    <row r="3552" spans="1:1">
      <c r="A3552" s="50"/>
    </row>
    <row r="3553" spans="1:1">
      <c r="A3553" s="50"/>
    </row>
    <row r="3554" spans="1:1">
      <c r="A3554" s="50"/>
    </row>
    <row r="3555" spans="1:1">
      <c r="A3555" s="50"/>
    </row>
    <row r="3556" spans="1:1">
      <c r="A3556" s="50"/>
    </row>
    <row r="3557" spans="1:1">
      <c r="A3557" s="50"/>
    </row>
    <row r="3558" spans="1:1">
      <c r="A3558" s="50"/>
    </row>
    <row r="3559" spans="1:1">
      <c r="A3559" s="50"/>
    </row>
    <row r="3560" spans="1:1">
      <c r="A3560" s="50"/>
    </row>
    <row r="3561" spans="1:1">
      <c r="A3561" s="50"/>
    </row>
    <row r="3562" spans="1:1">
      <c r="A3562" s="50"/>
    </row>
    <row r="3563" spans="1:1">
      <c r="A3563" s="50"/>
    </row>
    <row r="3564" spans="1:1">
      <c r="A3564" s="50"/>
    </row>
    <row r="3565" spans="1:1">
      <c r="A3565" s="50"/>
    </row>
    <row r="3566" spans="1:1">
      <c r="A3566" s="50"/>
    </row>
    <row r="3567" spans="1:1">
      <c r="A3567" s="50"/>
    </row>
    <row r="3568" spans="1:1">
      <c r="A3568" s="50"/>
    </row>
    <row r="3569" spans="1:1">
      <c r="A3569" s="50"/>
    </row>
    <row r="3570" spans="1:1">
      <c r="A3570" s="50"/>
    </row>
    <row r="3571" spans="1:1">
      <c r="A3571" s="50"/>
    </row>
    <row r="3572" spans="1:1">
      <c r="A3572" s="50"/>
    </row>
    <row r="3573" spans="1:1">
      <c r="A3573" s="50"/>
    </row>
    <row r="3574" spans="1:1">
      <c r="A3574" s="50"/>
    </row>
    <row r="3575" spans="1:1">
      <c r="A3575" s="50"/>
    </row>
    <row r="3576" spans="1:1">
      <c r="A3576" s="50"/>
    </row>
    <row r="3577" spans="1:1">
      <c r="A3577" s="50"/>
    </row>
    <row r="3578" spans="1:1">
      <c r="A3578" s="50"/>
    </row>
    <row r="3579" spans="1:1">
      <c r="A3579" s="50"/>
    </row>
    <row r="3580" spans="1:1">
      <c r="A3580" s="50"/>
    </row>
    <row r="3581" spans="1:1">
      <c r="A3581" s="50"/>
    </row>
    <row r="3582" spans="1:1">
      <c r="A3582" s="50"/>
    </row>
    <row r="3583" spans="1:1">
      <c r="A3583" s="50"/>
    </row>
    <row r="3584" spans="1:1">
      <c r="A3584" s="50"/>
    </row>
    <row r="3585" spans="1:1">
      <c r="A3585" s="50"/>
    </row>
    <row r="3586" spans="1:1">
      <c r="A3586" s="50"/>
    </row>
    <row r="3587" spans="1:1">
      <c r="A3587" s="50"/>
    </row>
    <row r="3588" spans="1:1">
      <c r="A3588" s="50"/>
    </row>
    <row r="3589" spans="1:1">
      <c r="A3589" s="50"/>
    </row>
    <row r="3590" spans="1:1">
      <c r="A3590" s="50"/>
    </row>
    <row r="3591" spans="1:1">
      <c r="A3591" s="50"/>
    </row>
    <row r="3592" spans="1:1">
      <c r="A3592" s="50"/>
    </row>
    <row r="3593" spans="1:1">
      <c r="A3593" s="50"/>
    </row>
    <row r="3594" spans="1:1">
      <c r="A3594" s="50"/>
    </row>
    <row r="3595" spans="1:1">
      <c r="A3595" s="50"/>
    </row>
    <row r="3596" spans="1:1">
      <c r="A3596" s="50"/>
    </row>
    <row r="3597" spans="1:1">
      <c r="A3597" s="50"/>
    </row>
    <row r="3598" spans="1:1">
      <c r="A3598" s="50"/>
    </row>
    <row r="3599" spans="1:1">
      <c r="A3599" s="50"/>
    </row>
    <row r="3600" spans="1:1">
      <c r="A3600" s="50"/>
    </row>
    <row r="3601" spans="1:1">
      <c r="A3601" s="50"/>
    </row>
    <row r="3602" spans="1:1">
      <c r="A3602" s="50"/>
    </row>
    <row r="3603" spans="1:1">
      <c r="A3603" s="50"/>
    </row>
    <row r="3604" spans="1:1">
      <c r="A3604" s="50"/>
    </row>
    <row r="3605" spans="1:1">
      <c r="A3605" s="50"/>
    </row>
    <row r="3606" spans="1:1">
      <c r="A3606" s="50"/>
    </row>
    <row r="3607" spans="1:1">
      <c r="A3607" s="50"/>
    </row>
    <row r="3608" spans="1:1">
      <c r="A3608" s="50"/>
    </row>
    <row r="3609" spans="1:1">
      <c r="A3609" s="50"/>
    </row>
    <row r="3610" spans="1:1">
      <c r="A3610" s="50"/>
    </row>
    <row r="3611" spans="1:1">
      <c r="A3611" s="50"/>
    </row>
    <row r="3612" spans="1:1">
      <c r="A3612" s="50"/>
    </row>
    <row r="3613" spans="1:1">
      <c r="A3613" s="50"/>
    </row>
    <row r="3614" spans="1:1">
      <c r="A3614" s="50"/>
    </row>
    <row r="3615" spans="1:1">
      <c r="A3615" s="50"/>
    </row>
    <row r="3616" spans="1:1">
      <c r="A3616" s="50"/>
    </row>
    <row r="3617" spans="1:1">
      <c r="A3617" s="50"/>
    </row>
    <row r="3618" spans="1:1">
      <c r="A3618" s="50"/>
    </row>
    <row r="3619" spans="1:1">
      <c r="A3619" s="50"/>
    </row>
    <row r="3620" spans="1:1">
      <c r="A3620" s="50"/>
    </row>
    <row r="3621" spans="1:1">
      <c r="A3621" s="50"/>
    </row>
    <row r="3622" spans="1:1">
      <c r="A3622" s="50"/>
    </row>
    <row r="3623" spans="1:1">
      <c r="A3623" s="50"/>
    </row>
    <row r="3624" spans="1:1">
      <c r="A3624" s="50"/>
    </row>
    <row r="3625" spans="1:1">
      <c r="A3625" s="50"/>
    </row>
    <row r="3626" spans="1:1">
      <c r="A3626" s="50"/>
    </row>
    <row r="3627" spans="1:1">
      <c r="A3627" s="50"/>
    </row>
    <row r="3628" spans="1:1">
      <c r="A3628" s="50"/>
    </row>
    <row r="3629" spans="1:1">
      <c r="A3629" s="50"/>
    </row>
    <row r="3630" spans="1:1">
      <c r="A3630" s="50"/>
    </row>
    <row r="3631" spans="1:1">
      <c r="A3631" s="50"/>
    </row>
    <row r="3632" spans="1:1">
      <c r="A3632" s="50"/>
    </row>
    <row r="3633" spans="1:1">
      <c r="A3633" s="50"/>
    </row>
    <row r="3634" spans="1:1">
      <c r="A3634" s="50"/>
    </row>
    <row r="3635" spans="1:1">
      <c r="A3635" s="50"/>
    </row>
    <row r="3636" spans="1:1">
      <c r="A3636" s="50"/>
    </row>
    <row r="3637" spans="1:1">
      <c r="A3637" s="50"/>
    </row>
    <row r="3638" spans="1:1">
      <c r="A3638" s="50"/>
    </row>
    <row r="3639" spans="1:1">
      <c r="A3639" s="50"/>
    </row>
    <row r="3640" spans="1:1">
      <c r="A3640" s="50"/>
    </row>
    <row r="3641" spans="1:1">
      <c r="A3641" s="50"/>
    </row>
    <row r="3642" spans="1:1">
      <c r="A3642" s="50"/>
    </row>
    <row r="3643" spans="1:1">
      <c r="A3643" s="50"/>
    </row>
    <row r="3644" spans="1:1">
      <c r="A3644" s="50"/>
    </row>
    <row r="3645" spans="1:1">
      <c r="A3645" s="50"/>
    </row>
    <row r="3646" spans="1:1">
      <c r="A3646" s="50"/>
    </row>
    <row r="3647" spans="1:1">
      <c r="A3647" s="50"/>
    </row>
    <row r="3648" spans="1:1">
      <c r="A3648" s="50"/>
    </row>
    <row r="3649" spans="1:1">
      <c r="A3649" s="50"/>
    </row>
    <row r="3650" spans="1:1">
      <c r="A3650" s="50"/>
    </row>
    <row r="3651" spans="1:1">
      <c r="A3651" s="50"/>
    </row>
    <row r="3652" spans="1:1">
      <c r="A3652" s="50"/>
    </row>
    <row r="3653" spans="1:1">
      <c r="A3653" s="50"/>
    </row>
    <row r="3654" spans="1:1">
      <c r="A3654" s="50"/>
    </row>
    <row r="3655" spans="1:1">
      <c r="A3655" s="50"/>
    </row>
    <row r="3656" spans="1:1">
      <c r="A3656" s="50"/>
    </row>
    <row r="3657" spans="1:1">
      <c r="A3657" s="50"/>
    </row>
    <row r="3658" spans="1:1">
      <c r="A3658" s="50"/>
    </row>
    <row r="3659" spans="1:1">
      <c r="A3659" s="50"/>
    </row>
    <row r="3660" spans="1:1">
      <c r="A3660" s="50"/>
    </row>
    <row r="3661" spans="1:1">
      <c r="A3661" s="50"/>
    </row>
    <row r="3662" spans="1:1">
      <c r="A3662" s="50"/>
    </row>
    <row r="3663" spans="1:1">
      <c r="A3663" s="50"/>
    </row>
    <row r="3664" spans="1:1">
      <c r="A3664" s="50"/>
    </row>
    <row r="3665" spans="1:1">
      <c r="A3665" s="50"/>
    </row>
    <row r="3666" spans="1:1">
      <c r="A3666" s="50"/>
    </row>
    <row r="3667" spans="1:1">
      <c r="A3667" s="50"/>
    </row>
    <row r="3668" spans="1:1">
      <c r="A3668" s="50"/>
    </row>
    <row r="3669" spans="1:1">
      <c r="A3669" s="50"/>
    </row>
    <row r="3670" spans="1:1">
      <c r="A3670" s="50"/>
    </row>
    <row r="3671" spans="1:1">
      <c r="A3671" s="50"/>
    </row>
    <row r="3672" spans="1:1">
      <c r="A3672" s="50"/>
    </row>
    <row r="3673" spans="1:1">
      <c r="A3673" s="50"/>
    </row>
    <row r="3674" spans="1:1">
      <c r="A3674" s="50"/>
    </row>
    <row r="3675" spans="1:1">
      <c r="A3675" s="50"/>
    </row>
    <row r="3676" spans="1:1">
      <c r="A3676" s="50"/>
    </row>
    <row r="3677" spans="1:1">
      <c r="A3677" s="50"/>
    </row>
    <row r="3678" spans="1:1">
      <c r="A3678" s="50"/>
    </row>
    <row r="3679" spans="1:1">
      <c r="A3679" s="50"/>
    </row>
    <row r="3680" spans="1:1">
      <c r="A3680" s="50"/>
    </row>
    <row r="3681" spans="1:1">
      <c r="A3681" s="50"/>
    </row>
    <row r="3682" spans="1:1">
      <c r="A3682" s="50"/>
    </row>
    <row r="3683" spans="1:1">
      <c r="A3683" s="50"/>
    </row>
    <row r="3684" spans="1:1">
      <c r="A3684" s="50"/>
    </row>
    <row r="3685" spans="1:1">
      <c r="A3685" s="50"/>
    </row>
    <row r="3686" spans="1:1">
      <c r="A3686" s="50"/>
    </row>
    <row r="3687" spans="1:1">
      <c r="A3687" s="50"/>
    </row>
    <row r="3688" spans="1:1">
      <c r="A3688" s="50"/>
    </row>
    <row r="3689" spans="1:1">
      <c r="A3689" s="50"/>
    </row>
    <row r="3690" spans="1:1">
      <c r="A3690" s="50"/>
    </row>
    <row r="3691" spans="1:1">
      <c r="A3691" s="50"/>
    </row>
    <row r="3692" spans="1:1">
      <c r="A3692" s="50"/>
    </row>
    <row r="3693" spans="1:1">
      <c r="A3693" s="50"/>
    </row>
    <row r="3694" spans="1:1">
      <c r="A3694" s="50"/>
    </row>
    <row r="3695" spans="1:1">
      <c r="A3695" s="50"/>
    </row>
    <row r="3696" spans="1:1">
      <c r="A3696" s="50"/>
    </row>
    <row r="3697" spans="1:1">
      <c r="A3697" s="50"/>
    </row>
    <row r="3698" spans="1:1">
      <c r="A3698" s="50"/>
    </row>
    <row r="3699" spans="1:1">
      <c r="A3699" s="50"/>
    </row>
    <row r="3700" spans="1:1">
      <c r="A3700" s="50"/>
    </row>
    <row r="3701" spans="1:1">
      <c r="A3701" s="50"/>
    </row>
    <row r="3702" spans="1:1">
      <c r="A3702" s="50"/>
    </row>
    <row r="3703" spans="1:1">
      <c r="A3703" s="50"/>
    </row>
    <row r="3704" spans="1:1">
      <c r="A3704" s="50"/>
    </row>
    <row r="3705" spans="1:1">
      <c r="A3705" s="50"/>
    </row>
    <row r="3706" spans="1:1">
      <c r="A3706" s="50"/>
    </row>
    <row r="3707" spans="1:1">
      <c r="A3707" s="50"/>
    </row>
    <row r="3708" spans="1:1">
      <c r="A3708" s="50"/>
    </row>
    <row r="3709" spans="1:1">
      <c r="A3709" s="50"/>
    </row>
    <row r="3710" spans="1:1">
      <c r="A3710" s="50"/>
    </row>
    <row r="3711" spans="1:1">
      <c r="A3711" s="50"/>
    </row>
    <row r="3712" spans="1:1">
      <c r="A3712" s="50"/>
    </row>
    <row r="3713" spans="1:1">
      <c r="A3713" s="50"/>
    </row>
    <row r="3714" spans="1:1">
      <c r="A3714" s="50"/>
    </row>
    <row r="3715" spans="1:1">
      <c r="A3715" s="50"/>
    </row>
    <row r="3716" spans="1:1">
      <c r="A3716" s="50"/>
    </row>
    <row r="3717" spans="1:1">
      <c r="A3717" s="50"/>
    </row>
    <row r="3718" spans="1:1">
      <c r="A3718" s="50"/>
    </row>
    <row r="3719" spans="1:1">
      <c r="A3719" s="50"/>
    </row>
    <row r="3720" spans="1:1">
      <c r="A3720" s="50"/>
    </row>
    <row r="3721" spans="1:1">
      <c r="A3721" s="50"/>
    </row>
    <row r="3722" spans="1:1">
      <c r="A3722" s="50"/>
    </row>
    <row r="3723" spans="1:1">
      <c r="A3723" s="50"/>
    </row>
    <row r="3724" spans="1:1">
      <c r="A3724" s="50"/>
    </row>
    <row r="3725" spans="1:1">
      <c r="A3725" s="50"/>
    </row>
    <row r="3726" spans="1:1">
      <c r="A3726" s="50"/>
    </row>
    <row r="3727" spans="1:1">
      <c r="A3727" s="50"/>
    </row>
    <row r="3728" spans="1:1">
      <c r="A3728" s="50"/>
    </row>
    <row r="3729" spans="1:1">
      <c r="A3729" s="50"/>
    </row>
    <row r="3730" spans="1:1">
      <c r="A3730" s="50"/>
    </row>
    <row r="3731" spans="1:1">
      <c r="A3731" s="50"/>
    </row>
    <row r="3732" spans="1:1">
      <c r="A3732" s="50"/>
    </row>
    <row r="3733" spans="1:1">
      <c r="A3733" s="50"/>
    </row>
    <row r="3734" spans="1:1">
      <c r="A3734" s="50"/>
    </row>
    <row r="3735" spans="1:1">
      <c r="A3735" s="50"/>
    </row>
    <row r="3736" spans="1:1">
      <c r="A3736" s="50"/>
    </row>
    <row r="3737" spans="1:1">
      <c r="A3737" s="50"/>
    </row>
    <row r="3738" spans="1:1">
      <c r="A3738" s="50"/>
    </row>
    <row r="3739" spans="1:1">
      <c r="A3739" s="50"/>
    </row>
    <row r="3740" spans="1:1">
      <c r="A3740" s="50"/>
    </row>
    <row r="3741" spans="1:1">
      <c r="A3741" s="50"/>
    </row>
    <row r="3742" spans="1:1">
      <c r="A3742" s="50"/>
    </row>
    <row r="3743" spans="1:1">
      <c r="A3743" s="50"/>
    </row>
    <row r="3744" spans="1:1">
      <c r="A3744" s="50"/>
    </row>
    <row r="3745" spans="1:1">
      <c r="A3745" s="50"/>
    </row>
    <row r="3746" spans="1:1">
      <c r="A3746" s="50"/>
    </row>
    <row r="3747" spans="1:1">
      <c r="A3747" s="50"/>
    </row>
    <row r="3748" spans="1:1">
      <c r="A3748" s="50"/>
    </row>
    <row r="3749" spans="1:1">
      <c r="A3749" s="50"/>
    </row>
    <row r="3750" spans="1:1">
      <c r="A3750" s="50"/>
    </row>
    <row r="3751" spans="1:1">
      <c r="A3751" s="50"/>
    </row>
    <row r="3752" spans="1:1">
      <c r="A3752" s="50"/>
    </row>
    <row r="3753" spans="1:1">
      <c r="A3753" s="50"/>
    </row>
    <row r="3754" spans="1:1">
      <c r="A3754" s="50"/>
    </row>
    <row r="3755" spans="1:1">
      <c r="A3755" s="50"/>
    </row>
    <row r="3756" spans="1:1">
      <c r="A3756" s="50"/>
    </row>
    <row r="3757" spans="1:1">
      <c r="A3757" s="50"/>
    </row>
    <row r="3758" spans="1:1">
      <c r="A3758" s="50"/>
    </row>
    <row r="3759" spans="1:1">
      <c r="A3759" s="50"/>
    </row>
    <row r="3760" spans="1:1">
      <c r="A3760" s="50"/>
    </row>
    <row r="3761" spans="1:1">
      <c r="A3761" s="50"/>
    </row>
    <row r="3762" spans="1:1">
      <c r="A3762" s="50"/>
    </row>
    <row r="3763" spans="1:1">
      <c r="A3763" s="50"/>
    </row>
    <row r="3764" spans="1:1">
      <c r="A3764" s="50"/>
    </row>
    <row r="3765" spans="1:1">
      <c r="A3765" s="50"/>
    </row>
    <row r="3766" spans="1:1">
      <c r="A3766" s="50"/>
    </row>
    <row r="3767" spans="1:1">
      <c r="A3767" s="50"/>
    </row>
    <row r="3768" spans="1:1">
      <c r="A3768" s="50"/>
    </row>
    <row r="3769" spans="1:1">
      <c r="A3769" s="50"/>
    </row>
    <row r="3770" spans="1:1">
      <c r="A3770" s="50"/>
    </row>
    <row r="3771" spans="1:1">
      <c r="A3771" s="50"/>
    </row>
    <row r="3772" spans="1:1">
      <c r="A3772" s="50"/>
    </row>
    <row r="3773" spans="1:1">
      <c r="A3773" s="50"/>
    </row>
    <row r="3774" spans="1:1">
      <c r="A3774" s="50"/>
    </row>
    <row r="3775" spans="1:1">
      <c r="A3775" s="50"/>
    </row>
    <row r="3776" spans="1:1">
      <c r="A3776" s="50"/>
    </row>
    <row r="3777" spans="1:1">
      <c r="A3777" s="50"/>
    </row>
    <row r="3778" spans="1:1">
      <c r="A3778" s="50"/>
    </row>
    <row r="3779" spans="1:1">
      <c r="A3779" s="50"/>
    </row>
    <row r="3780" spans="1:1">
      <c r="A3780" s="50"/>
    </row>
    <row r="3781" spans="1:1">
      <c r="A3781" s="50"/>
    </row>
    <row r="3782" spans="1:1">
      <c r="A3782" s="50"/>
    </row>
    <row r="3783" spans="1:1">
      <c r="A3783" s="50"/>
    </row>
    <row r="3784" spans="1:1">
      <c r="A3784" s="50"/>
    </row>
    <row r="3785" spans="1:1">
      <c r="A3785" s="50"/>
    </row>
    <row r="3786" spans="1:1">
      <c r="A3786" s="50"/>
    </row>
    <row r="3787" spans="1:1">
      <c r="A3787" s="50"/>
    </row>
    <row r="3788" spans="1:1">
      <c r="A3788" s="50"/>
    </row>
    <row r="3789" spans="1:1">
      <c r="A3789" s="50"/>
    </row>
    <row r="3790" spans="1:1">
      <c r="A3790" s="50"/>
    </row>
    <row r="3791" spans="1:1">
      <c r="A3791" s="50"/>
    </row>
    <row r="3792" spans="1:1">
      <c r="A3792" s="50"/>
    </row>
    <row r="3793" spans="1:1">
      <c r="A3793" s="50"/>
    </row>
    <row r="3794" spans="1:1">
      <c r="A3794" s="50"/>
    </row>
    <row r="3795" spans="1:1">
      <c r="A3795" s="50"/>
    </row>
    <row r="3796" spans="1:1">
      <c r="A3796" s="50"/>
    </row>
    <row r="3797" spans="1:1">
      <c r="A3797" s="50"/>
    </row>
    <row r="3798" spans="1:1">
      <c r="A3798" s="50"/>
    </row>
    <row r="3799" spans="1:1">
      <c r="A3799" s="50"/>
    </row>
    <row r="3800" spans="1:1">
      <c r="A3800" s="50"/>
    </row>
    <row r="3801" spans="1:1">
      <c r="A3801" s="50"/>
    </row>
    <row r="3802" spans="1:1">
      <c r="A3802" s="50"/>
    </row>
    <row r="3803" spans="1:1">
      <c r="A3803" s="50"/>
    </row>
    <row r="3804" spans="1:1">
      <c r="A3804" s="50"/>
    </row>
    <row r="3805" spans="1:1">
      <c r="A3805" s="50"/>
    </row>
    <row r="3806" spans="1:1">
      <c r="A3806" s="50"/>
    </row>
    <row r="3807" spans="1:1">
      <c r="A3807" s="50"/>
    </row>
    <row r="3808" spans="1:1">
      <c r="A3808" s="50"/>
    </row>
    <row r="3809" spans="1:1">
      <c r="A3809" s="50"/>
    </row>
    <row r="3810" spans="1:1">
      <c r="A3810" s="50"/>
    </row>
    <row r="3811" spans="1:1">
      <c r="A3811" s="50"/>
    </row>
    <row r="3812" spans="1:1">
      <c r="A3812" s="50"/>
    </row>
    <row r="3813" spans="1:1">
      <c r="A3813" s="50"/>
    </row>
    <row r="3814" spans="1:1">
      <c r="A3814" s="50"/>
    </row>
    <row r="3815" spans="1:1">
      <c r="A3815" s="50"/>
    </row>
    <row r="3816" spans="1:1">
      <c r="A3816" s="50"/>
    </row>
    <row r="3817" spans="1:1">
      <c r="A3817" s="50"/>
    </row>
    <row r="3818" spans="1:1">
      <c r="A3818" s="50"/>
    </row>
    <row r="3819" spans="1:1">
      <c r="A3819" s="50"/>
    </row>
    <row r="3820" spans="1:1">
      <c r="A3820" s="50"/>
    </row>
    <row r="3821" spans="1:1">
      <c r="A3821" s="50"/>
    </row>
    <row r="3822" spans="1:1">
      <c r="A3822" s="50"/>
    </row>
    <row r="3823" spans="1:1">
      <c r="A3823" s="50"/>
    </row>
    <row r="3824" spans="1:1">
      <c r="A3824" s="50"/>
    </row>
    <row r="3825" spans="1:1">
      <c r="A3825" s="50"/>
    </row>
    <row r="3826" spans="1:1">
      <c r="A3826" s="50"/>
    </row>
    <row r="3827" spans="1:1">
      <c r="A3827" s="50"/>
    </row>
    <row r="3828" spans="1:1">
      <c r="A3828" s="50"/>
    </row>
    <row r="3829" spans="1:1">
      <c r="A3829" s="50"/>
    </row>
    <row r="3830" spans="1:1">
      <c r="A3830" s="50"/>
    </row>
    <row r="3831" spans="1:1">
      <c r="A3831" s="50"/>
    </row>
    <row r="3832" spans="1:1">
      <c r="A3832" s="50"/>
    </row>
    <row r="3833" spans="1:1">
      <c r="A3833" s="50"/>
    </row>
    <row r="3834" spans="1:1">
      <c r="A3834" s="50"/>
    </row>
    <row r="3835" spans="1:1">
      <c r="A3835" s="50"/>
    </row>
    <row r="3836" spans="1:1">
      <c r="A3836" s="50"/>
    </row>
    <row r="3837" spans="1:1">
      <c r="A3837" s="50"/>
    </row>
    <row r="3838" spans="1:1">
      <c r="A3838" s="50"/>
    </row>
    <row r="3839" spans="1:1">
      <c r="A3839" s="50"/>
    </row>
    <row r="3840" spans="1:1">
      <c r="A3840" s="50"/>
    </row>
    <row r="3841" spans="1:1">
      <c r="A3841" s="50"/>
    </row>
    <row r="3842" spans="1:1">
      <c r="A3842" s="50"/>
    </row>
    <row r="3843" spans="1:1">
      <c r="A3843" s="50"/>
    </row>
    <row r="3844" spans="1:1">
      <c r="A3844" s="50"/>
    </row>
    <row r="3845" spans="1:1">
      <c r="A3845" s="50"/>
    </row>
    <row r="3846" spans="1:1">
      <c r="A3846" s="50"/>
    </row>
    <row r="3847" spans="1:1">
      <c r="A3847" s="50"/>
    </row>
    <row r="3848" spans="1:1">
      <c r="A3848" s="50"/>
    </row>
    <row r="3849" spans="1:1">
      <c r="A3849" s="50"/>
    </row>
    <row r="3850" spans="1:1">
      <c r="A3850" s="50"/>
    </row>
    <row r="3851" spans="1:1">
      <c r="A3851" s="50"/>
    </row>
    <row r="3852" spans="1:1">
      <c r="A3852" s="50"/>
    </row>
    <row r="3853" spans="1:1">
      <c r="A3853" s="50"/>
    </row>
    <row r="3854" spans="1:1">
      <c r="A3854" s="50"/>
    </row>
    <row r="3855" spans="1:1">
      <c r="A3855" s="50"/>
    </row>
    <row r="3856" spans="1:1">
      <c r="A3856" s="50"/>
    </row>
    <row r="3857" spans="1:1">
      <c r="A3857" s="50"/>
    </row>
    <row r="3858" spans="1:1">
      <c r="A3858" s="50"/>
    </row>
    <row r="3859" spans="1:1">
      <c r="A3859" s="50"/>
    </row>
    <row r="3860" spans="1:1">
      <c r="A3860" s="50"/>
    </row>
    <row r="3861" spans="1:1">
      <c r="A3861" s="50"/>
    </row>
    <row r="3862" spans="1:1">
      <c r="A3862" s="50"/>
    </row>
    <row r="3863" spans="1:1">
      <c r="A3863" s="50"/>
    </row>
    <row r="3864" spans="1:1">
      <c r="A3864" s="50"/>
    </row>
    <row r="3865" spans="1:1">
      <c r="A3865" s="50"/>
    </row>
    <row r="3866" spans="1:1">
      <c r="A3866" s="50"/>
    </row>
    <row r="3867" spans="1:1">
      <c r="A3867" s="50"/>
    </row>
    <row r="3868" spans="1:1">
      <c r="A3868" s="50"/>
    </row>
    <row r="3869" spans="1:1">
      <c r="A3869" s="50"/>
    </row>
    <row r="3870" spans="1:1">
      <c r="A3870" s="50"/>
    </row>
    <row r="3871" spans="1:1">
      <c r="A3871" s="50"/>
    </row>
    <row r="3872" spans="1:1">
      <c r="A3872" s="50"/>
    </row>
    <row r="3873" spans="1:1">
      <c r="A3873" s="50"/>
    </row>
    <row r="3874" spans="1:1">
      <c r="A3874" s="50"/>
    </row>
    <row r="3875" spans="1:1">
      <c r="A3875" s="50"/>
    </row>
    <row r="3876" spans="1:1">
      <c r="A3876" s="50"/>
    </row>
    <row r="3877" spans="1:1">
      <c r="A3877" s="50"/>
    </row>
    <row r="3878" spans="1:1">
      <c r="A3878" s="50"/>
    </row>
    <row r="3879" spans="1:1">
      <c r="A3879" s="50"/>
    </row>
    <row r="3880" spans="1:1">
      <c r="A3880" s="50"/>
    </row>
    <row r="3881" spans="1:1">
      <c r="A3881" s="50"/>
    </row>
    <row r="3882" spans="1:1">
      <c r="A3882" s="50"/>
    </row>
    <row r="3883" spans="1:1">
      <c r="A3883" s="50"/>
    </row>
    <row r="3884" spans="1:1">
      <c r="A3884" s="50"/>
    </row>
    <row r="3885" spans="1:1">
      <c r="A3885" s="50"/>
    </row>
    <row r="3886" spans="1:1">
      <c r="A3886" s="50"/>
    </row>
    <row r="3887" spans="1:1">
      <c r="A3887" s="50"/>
    </row>
    <row r="3888" spans="1:1">
      <c r="A3888" s="50"/>
    </row>
    <row r="3889" spans="1:1">
      <c r="A3889" s="50"/>
    </row>
    <row r="3890" spans="1:1">
      <c r="A3890" s="50"/>
    </row>
    <row r="3891" spans="1:1">
      <c r="A3891" s="50"/>
    </row>
    <row r="3892" spans="1:1">
      <c r="A3892" s="50"/>
    </row>
    <row r="3893" spans="1:1">
      <c r="A3893" s="50"/>
    </row>
    <row r="3894" spans="1:1">
      <c r="A3894" s="50"/>
    </row>
    <row r="3895" spans="1:1">
      <c r="A3895" s="50"/>
    </row>
    <row r="3896" spans="1:1">
      <c r="A3896" s="50"/>
    </row>
    <row r="3897" spans="1:1">
      <c r="A3897" s="50"/>
    </row>
    <row r="3898" spans="1:1">
      <c r="A3898" s="50"/>
    </row>
    <row r="3899" spans="1:1">
      <c r="A3899" s="50"/>
    </row>
    <row r="3900" spans="1:1">
      <c r="A3900" s="50"/>
    </row>
    <row r="3901" spans="1:1">
      <c r="A3901" s="50"/>
    </row>
    <row r="3902" spans="1:1">
      <c r="A3902" s="50"/>
    </row>
    <row r="3903" spans="1:1">
      <c r="A3903" s="50"/>
    </row>
    <row r="3904" spans="1:1">
      <c r="A3904" s="50"/>
    </row>
    <row r="3905" spans="1:1">
      <c r="A3905" s="50"/>
    </row>
    <row r="3906" spans="1:1">
      <c r="A3906" s="50"/>
    </row>
    <row r="3907" spans="1:1">
      <c r="A3907" s="50"/>
    </row>
    <row r="3908" spans="1:1">
      <c r="A3908" s="50"/>
    </row>
    <row r="3909" spans="1:1">
      <c r="A3909" s="50"/>
    </row>
    <row r="3910" spans="1:1">
      <c r="A3910" s="50"/>
    </row>
    <row r="3911" spans="1:1">
      <c r="A3911" s="50"/>
    </row>
    <row r="3912" spans="1:1">
      <c r="A3912" s="50"/>
    </row>
    <row r="3913" spans="1:1">
      <c r="A3913" s="50"/>
    </row>
    <row r="3914" spans="1:1">
      <c r="A3914" s="50"/>
    </row>
    <row r="3915" spans="1:1">
      <c r="A3915" s="50"/>
    </row>
    <row r="3916" spans="1:1">
      <c r="A3916" s="50"/>
    </row>
    <row r="3917" spans="1:1">
      <c r="A3917" s="50"/>
    </row>
    <row r="3918" spans="1:1">
      <c r="A3918" s="50"/>
    </row>
    <row r="3919" spans="1:1">
      <c r="A3919" s="50"/>
    </row>
    <row r="3920" spans="1:1">
      <c r="A3920" s="50"/>
    </row>
    <row r="3921" spans="1:1">
      <c r="A3921" s="50"/>
    </row>
    <row r="3922" spans="1:1">
      <c r="A3922" s="50"/>
    </row>
    <row r="3923" spans="1:1">
      <c r="A3923" s="50"/>
    </row>
    <row r="3924" spans="1:1">
      <c r="A3924" s="50"/>
    </row>
    <row r="3925" spans="1:1">
      <c r="A3925" s="50"/>
    </row>
    <row r="3926" spans="1:1">
      <c r="A3926" s="50"/>
    </row>
    <row r="3927" spans="1:1">
      <c r="A3927" s="50"/>
    </row>
    <row r="3928" spans="1:1">
      <c r="A3928" s="50"/>
    </row>
    <row r="3929" spans="1:1">
      <c r="A3929" s="50"/>
    </row>
    <row r="3930" spans="1:1">
      <c r="A3930" s="50"/>
    </row>
    <row r="3931" spans="1:1">
      <c r="A3931" s="50"/>
    </row>
    <row r="3932" spans="1:1">
      <c r="A3932" s="50"/>
    </row>
    <row r="3933" spans="1:1">
      <c r="A3933" s="50"/>
    </row>
    <row r="3934" spans="1:1">
      <c r="A3934" s="50"/>
    </row>
    <row r="3935" spans="1:1">
      <c r="A3935" s="50"/>
    </row>
    <row r="3936" spans="1:1">
      <c r="A3936" s="50"/>
    </row>
    <row r="3937" spans="1:1">
      <c r="A3937" s="50"/>
    </row>
    <row r="3938" spans="1:1">
      <c r="A3938" s="50"/>
    </row>
    <row r="3939" spans="1:1">
      <c r="A3939" s="50"/>
    </row>
    <row r="3940" spans="1:1">
      <c r="A3940" s="50"/>
    </row>
    <row r="3941" spans="1:1">
      <c r="A3941" s="50"/>
    </row>
    <row r="3942" spans="1:1">
      <c r="A3942" s="50"/>
    </row>
    <row r="3943" spans="1:1">
      <c r="A3943" s="50"/>
    </row>
    <row r="3944" spans="1:1">
      <c r="A3944" s="50"/>
    </row>
    <row r="3945" spans="1:1">
      <c r="A3945" s="50"/>
    </row>
    <row r="3946" spans="1:1">
      <c r="A3946" s="50"/>
    </row>
    <row r="3947" spans="1:1">
      <c r="A3947" s="50"/>
    </row>
    <row r="3948" spans="1:1">
      <c r="A3948" s="50"/>
    </row>
  </sheetData>
  <mergeCells count="1">
    <mergeCell ref="B47:N47"/>
  </mergeCells>
  <printOptions horizontalCentered="1"/>
  <pageMargins left="0" right="0" top="0.5" bottom="0.5" header="0.5" footer="0.3"/>
  <pageSetup scale="57" orientation="landscape" blackAndWhite="1" r:id="rId1"/>
  <headerFooter alignWithMargins="0">
    <oddFooter>&amp;LPrepared By: Annette Moore &amp;D&amp;R&amp;F &amp;A</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946"/>
  <sheetViews>
    <sheetView zoomScale="80" zoomScaleNormal="80" workbookViewId="0">
      <selection activeCell="O10" sqref="O10"/>
    </sheetView>
  </sheetViews>
  <sheetFormatPr defaultColWidth="9.140625" defaultRowHeight="12.75"/>
  <cols>
    <col min="1" max="1" width="5.140625" style="19" customWidth="1"/>
    <col min="2" max="2" width="34" style="21" customWidth="1"/>
    <col min="3" max="3" width="12.5703125" style="21" customWidth="1"/>
    <col min="4" max="4" width="2.5703125" style="21" customWidth="1"/>
    <col min="5" max="5" width="15.5703125" style="21" customWidth="1"/>
    <col min="6" max="6" width="15.42578125" style="21" customWidth="1"/>
    <col min="7" max="7" width="16.140625" style="21" customWidth="1"/>
    <col min="8" max="8" width="14.85546875" style="21" customWidth="1"/>
    <col min="9" max="9" width="15.42578125" style="21" customWidth="1"/>
    <col min="10" max="10" width="14.85546875" style="21" customWidth="1"/>
    <col min="11" max="11" width="16" style="21" customWidth="1"/>
    <col min="12" max="12" width="15.7109375" style="21" customWidth="1"/>
    <col min="13" max="13" width="15.42578125" style="21" customWidth="1"/>
    <col min="14" max="14" width="16" style="21" customWidth="1"/>
    <col min="15" max="16" width="14.85546875" style="21" customWidth="1"/>
    <col min="17" max="17" width="17.42578125" style="21" customWidth="1"/>
    <col min="18" max="18" width="97.28515625" customWidth="1"/>
    <col min="19" max="19" width="6" customWidth="1"/>
    <col min="20" max="20" width="10.7109375" bestFit="1" customWidth="1"/>
    <col min="21" max="21" width="44" bestFit="1" customWidth="1"/>
    <col min="22" max="22" width="14" bestFit="1" customWidth="1"/>
    <col min="23" max="23" width="4.85546875" style="21" bestFit="1" customWidth="1"/>
    <col min="24" max="16384" width="9.140625" style="21"/>
  </cols>
  <sheetData>
    <row r="1" spans="1:22" ht="18">
      <c r="B1" s="20" t="s">
        <v>191</v>
      </c>
      <c r="F1" s="22"/>
    </row>
    <row r="2" spans="1:22" ht="18">
      <c r="B2" s="23" t="s">
        <v>1</v>
      </c>
      <c r="F2" s="174"/>
      <c r="G2" s="24"/>
    </row>
    <row r="3" spans="1:22" ht="15.75">
      <c r="A3" s="25"/>
      <c r="B3" s="23" t="s">
        <v>2</v>
      </c>
      <c r="D3" s="19"/>
      <c r="E3" s="26"/>
      <c r="F3" s="26"/>
      <c r="G3" s="26"/>
      <c r="H3" s="26"/>
      <c r="I3" s="26"/>
      <c r="J3" s="26"/>
      <c r="K3" s="26"/>
      <c r="L3" s="26"/>
      <c r="M3" s="26"/>
      <c r="N3" s="26"/>
      <c r="O3" s="26"/>
      <c r="P3" s="26"/>
      <c r="Q3" s="26"/>
    </row>
    <row r="4" spans="1:22" ht="15.75">
      <c r="A4" s="25"/>
      <c r="B4" s="570" t="s">
        <v>601</v>
      </c>
      <c r="D4" s="19"/>
      <c r="E4" s="26"/>
      <c r="F4" s="28"/>
      <c r="G4" s="28"/>
      <c r="H4" s="28"/>
      <c r="I4" s="28"/>
      <c r="J4" s="28"/>
      <c r="K4" s="28"/>
      <c r="L4" s="28"/>
      <c r="M4" s="28"/>
      <c r="N4" s="28"/>
      <c r="O4" s="28"/>
      <c r="P4" s="28"/>
      <c r="Q4" s="28" t="s">
        <v>3</v>
      </c>
    </row>
    <row r="5" spans="1:22">
      <c r="A5" s="19" t="s">
        <v>4</v>
      </c>
      <c r="B5" s="29"/>
      <c r="D5" s="30"/>
      <c r="E5" s="162">
        <v>43101</v>
      </c>
      <c r="F5" s="163">
        <v>43132</v>
      </c>
      <c r="G5" s="162">
        <v>43160</v>
      </c>
      <c r="H5" s="163">
        <v>43191</v>
      </c>
      <c r="I5" s="162">
        <v>43221</v>
      </c>
      <c r="J5" s="163">
        <v>43252</v>
      </c>
      <c r="K5" s="162">
        <v>43282</v>
      </c>
      <c r="L5" s="163">
        <v>43313</v>
      </c>
      <c r="M5" s="162">
        <v>43344</v>
      </c>
      <c r="N5" s="163">
        <v>43374</v>
      </c>
      <c r="O5" s="162">
        <v>43405</v>
      </c>
      <c r="P5" s="163">
        <v>43435</v>
      </c>
      <c r="Q5" s="163" t="s">
        <v>5</v>
      </c>
    </row>
    <row r="7" spans="1:22" ht="15">
      <c r="A7" s="19">
        <f>ROW()</f>
        <v>7</v>
      </c>
      <c r="B7" s="21" t="s">
        <v>6</v>
      </c>
      <c r="C7" s="52" t="s">
        <v>7</v>
      </c>
      <c r="D7" s="155"/>
      <c r="E7" s="53"/>
      <c r="F7" s="53"/>
      <c r="G7" s="53"/>
      <c r="H7" s="53"/>
      <c r="I7" s="53"/>
      <c r="J7" s="53"/>
      <c r="K7" s="53"/>
      <c r="L7" s="53"/>
      <c r="M7" s="53"/>
      <c r="N7" s="53"/>
      <c r="O7" s="53"/>
      <c r="P7" s="53"/>
      <c r="Q7" s="53"/>
    </row>
    <row r="8" spans="1:22">
      <c r="A8" s="19">
        <f>ROW()</f>
        <v>8</v>
      </c>
      <c r="B8" s="31" t="s">
        <v>487</v>
      </c>
      <c r="C8" s="54">
        <v>501</v>
      </c>
      <c r="D8" s="155"/>
      <c r="E8" s="225">
        <v>7465493</v>
      </c>
      <c r="F8" s="225">
        <v>5629480</v>
      </c>
      <c r="G8" s="225">
        <v>7578249</v>
      </c>
      <c r="H8" s="225">
        <v>3572343</v>
      </c>
      <c r="I8" s="225">
        <v>3095994</v>
      </c>
      <c r="J8" s="225">
        <v>4644305</v>
      </c>
      <c r="K8" s="51">
        <v>0</v>
      </c>
      <c r="L8" s="51">
        <v>0</v>
      </c>
      <c r="M8" s="51">
        <v>0</v>
      </c>
      <c r="N8" s="51">
        <v>0</v>
      </c>
      <c r="O8" s="51">
        <v>0</v>
      </c>
      <c r="P8" s="51">
        <v>0</v>
      </c>
      <c r="Q8" s="51">
        <f t="shared" ref="Q8:Q15" si="0">SUM(E8:P8)</f>
        <v>31985864</v>
      </c>
    </row>
    <row r="9" spans="1:22">
      <c r="A9" s="19">
        <f>ROW()</f>
        <v>9</v>
      </c>
      <c r="B9" s="31" t="s">
        <v>11</v>
      </c>
      <c r="C9" s="54">
        <v>547</v>
      </c>
      <c r="D9" s="155"/>
      <c r="E9" s="56">
        <v>6089754</v>
      </c>
      <c r="F9" s="56">
        <v>7894662</v>
      </c>
      <c r="G9" s="56">
        <v>8829096</v>
      </c>
      <c r="H9" s="56">
        <v>5571062</v>
      </c>
      <c r="I9" s="56">
        <v>5554508</v>
      </c>
      <c r="J9" s="56">
        <v>5529510</v>
      </c>
      <c r="K9" s="56">
        <v>0</v>
      </c>
      <c r="L9" s="56">
        <v>0</v>
      </c>
      <c r="M9" s="56">
        <v>0</v>
      </c>
      <c r="N9" s="56">
        <v>0</v>
      </c>
      <c r="O9" s="56">
        <v>0</v>
      </c>
      <c r="P9" s="56">
        <v>0</v>
      </c>
      <c r="Q9" s="56">
        <f t="shared" si="0"/>
        <v>39468592</v>
      </c>
    </row>
    <row r="10" spans="1:22" s="34" customFormat="1">
      <c r="A10" s="19">
        <f>ROW()</f>
        <v>10</v>
      </c>
      <c r="B10" s="32" t="s">
        <v>488</v>
      </c>
      <c r="C10" s="57">
        <v>555</v>
      </c>
      <c r="D10" s="58"/>
      <c r="E10" s="56">
        <v>46629363</v>
      </c>
      <c r="F10" s="56">
        <v>39231268</v>
      </c>
      <c r="G10" s="56">
        <v>36276926</v>
      </c>
      <c r="H10" s="56">
        <v>35252533</v>
      </c>
      <c r="I10" s="56">
        <v>32176337</v>
      </c>
      <c r="J10" s="56">
        <v>29816192</v>
      </c>
      <c r="K10" s="56">
        <v>0</v>
      </c>
      <c r="L10" s="56">
        <v>0</v>
      </c>
      <c r="M10" s="56">
        <v>0</v>
      </c>
      <c r="N10" s="56">
        <v>0</v>
      </c>
      <c r="O10" s="56">
        <v>0</v>
      </c>
      <c r="P10" s="56">
        <v>0</v>
      </c>
      <c r="Q10" s="56">
        <f t="shared" si="0"/>
        <v>219382619</v>
      </c>
      <c r="R10"/>
      <c r="S10"/>
      <c r="T10"/>
      <c r="U10"/>
      <c r="V10"/>
    </row>
    <row r="11" spans="1:22">
      <c r="A11" s="19">
        <f>ROW()</f>
        <v>11</v>
      </c>
      <c r="B11" s="31" t="s">
        <v>489</v>
      </c>
      <c r="C11" s="57" t="s">
        <v>14</v>
      </c>
      <c r="D11" s="155"/>
      <c r="E11" s="56">
        <v>-1743799</v>
      </c>
      <c r="F11" s="56">
        <v>473555</v>
      </c>
      <c r="G11" s="56">
        <v>601940</v>
      </c>
      <c r="H11" s="56">
        <v>-1057440</v>
      </c>
      <c r="I11" s="56">
        <v>-1853559</v>
      </c>
      <c r="J11" s="56">
        <v>-1801241</v>
      </c>
      <c r="K11" s="56">
        <v>0</v>
      </c>
      <c r="L11" s="56">
        <v>0</v>
      </c>
      <c r="M11" s="56">
        <v>0</v>
      </c>
      <c r="N11" s="56">
        <v>0</v>
      </c>
      <c r="O11" s="56">
        <v>0</v>
      </c>
      <c r="P11" s="56">
        <v>0</v>
      </c>
      <c r="Q11" s="56">
        <f t="shared" si="0"/>
        <v>-5380544</v>
      </c>
    </row>
    <row r="12" spans="1:22">
      <c r="A12" s="19">
        <f>ROW()</f>
        <v>12</v>
      </c>
      <c r="B12" s="31" t="s">
        <v>17</v>
      </c>
      <c r="C12" s="57">
        <v>55700003</v>
      </c>
      <c r="D12" s="155"/>
      <c r="E12" s="56">
        <v>31295</v>
      </c>
      <c r="F12" s="56">
        <v>61045</v>
      </c>
      <c r="G12" s="56">
        <v>24569</v>
      </c>
      <c r="H12" s="56">
        <v>33508</v>
      </c>
      <c r="I12" s="56">
        <v>38958</v>
      </c>
      <c r="J12" s="56">
        <v>33720</v>
      </c>
      <c r="K12" s="56">
        <v>0</v>
      </c>
      <c r="L12" s="56">
        <v>0</v>
      </c>
      <c r="M12" s="56">
        <v>0</v>
      </c>
      <c r="N12" s="56">
        <v>0</v>
      </c>
      <c r="O12" s="56">
        <v>0</v>
      </c>
      <c r="P12" s="56">
        <v>0</v>
      </c>
      <c r="Q12" s="56">
        <f t="shared" si="0"/>
        <v>223095</v>
      </c>
    </row>
    <row r="13" spans="1:22">
      <c r="A13" s="19">
        <f>ROW()</f>
        <v>13</v>
      </c>
      <c r="B13" s="31" t="s">
        <v>490</v>
      </c>
      <c r="C13" s="57">
        <v>447</v>
      </c>
      <c r="D13" s="155"/>
      <c r="E13" s="56">
        <v>-2689153</v>
      </c>
      <c r="F13" s="56">
        <v>-3954384</v>
      </c>
      <c r="G13" s="56">
        <v>-4383362</v>
      </c>
      <c r="H13" s="56">
        <v>-2826175</v>
      </c>
      <c r="I13" s="56">
        <v>-1650704</v>
      </c>
      <c r="J13" s="56">
        <v>-2922238</v>
      </c>
      <c r="K13" s="56">
        <v>0</v>
      </c>
      <c r="L13" s="56">
        <v>0</v>
      </c>
      <c r="M13" s="56">
        <v>0</v>
      </c>
      <c r="N13" s="56">
        <v>0</v>
      </c>
      <c r="O13" s="56">
        <v>0</v>
      </c>
      <c r="P13" s="56">
        <v>0</v>
      </c>
      <c r="Q13" s="56">
        <f t="shared" si="0"/>
        <v>-18426016</v>
      </c>
    </row>
    <row r="14" spans="1:22">
      <c r="A14" s="19">
        <f>ROW()</f>
        <v>14</v>
      </c>
      <c r="B14" s="31" t="s">
        <v>16</v>
      </c>
      <c r="C14" s="57">
        <v>565</v>
      </c>
      <c r="D14" s="155"/>
      <c r="E14" s="56">
        <v>9742317</v>
      </c>
      <c r="F14" s="56">
        <v>9668270</v>
      </c>
      <c r="G14" s="56">
        <v>9531005</v>
      </c>
      <c r="H14" s="56">
        <v>9472832</v>
      </c>
      <c r="I14" s="56">
        <v>9156560</v>
      </c>
      <c r="J14" s="56">
        <v>9392381</v>
      </c>
      <c r="K14" s="56">
        <v>0</v>
      </c>
      <c r="L14" s="56">
        <v>0</v>
      </c>
      <c r="M14" s="56">
        <v>0</v>
      </c>
      <c r="N14" s="56">
        <v>0</v>
      </c>
      <c r="O14" s="56">
        <v>0</v>
      </c>
      <c r="P14" s="56">
        <v>0</v>
      </c>
      <c r="Q14" s="56">
        <f t="shared" si="0"/>
        <v>56963365</v>
      </c>
    </row>
    <row r="15" spans="1:22" s="34" customFormat="1">
      <c r="A15" s="19">
        <f>ROW()</f>
        <v>15</v>
      </c>
      <c r="B15" s="149" t="s">
        <v>18</v>
      </c>
      <c r="C15" s="57">
        <v>40810005</v>
      </c>
      <c r="D15" s="58"/>
      <c r="E15" s="56">
        <v>111694</v>
      </c>
      <c r="F15" s="56">
        <v>127402</v>
      </c>
      <c r="G15" s="56">
        <v>127402</v>
      </c>
      <c r="H15" s="56">
        <v>178554</v>
      </c>
      <c r="I15" s="56">
        <v>127402</v>
      </c>
      <c r="J15" s="56">
        <v>127402</v>
      </c>
      <c r="K15" s="56">
        <v>0</v>
      </c>
      <c r="L15" s="56">
        <v>0</v>
      </c>
      <c r="M15" s="56">
        <v>0</v>
      </c>
      <c r="N15" s="56">
        <v>0</v>
      </c>
      <c r="O15" s="56">
        <v>0</v>
      </c>
      <c r="P15" s="56">
        <v>0</v>
      </c>
      <c r="Q15" s="56">
        <f t="shared" si="0"/>
        <v>799856</v>
      </c>
      <c r="R15"/>
      <c r="S15"/>
      <c r="T15"/>
      <c r="U15"/>
      <c r="V15"/>
    </row>
    <row r="16" spans="1:22">
      <c r="A16" s="19">
        <f>ROW()</f>
        <v>16</v>
      </c>
      <c r="B16" s="31" t="s">
        <v>19</v>
      </c>
      <c r="C16" s="54"/>
      <c r="D16" s="155"/>
      <c r="E16" s="60">
        <f t="shared" ref="E16:Q16" si="1">SUM(E8:E15)</f>
        <v>65636964</v>
      </c>
      <c r="F16" s="60">
        <f t="shared" si="1"/>
        <v>59131298</v>
      </c>
      <c r="G16" s="60">
        <f t="shared" si="1"/>
        <v>58585825</v>
      </c>
      <c r="H16" s="60">
        <f t="shared" si="1"/>
        <v>50197217</v>
      </c>
      <c r="I16" s="60">
        <f t="shared" si="1"/>
        <v>46645496</v>
      </c>
      <c r="J16" s="60">
        <f t="shared" si="1"/>
        <v>44820031</v>
      </c>
      <c r="K16" s="60">
        <f t="shared" si="1"/>
        <v>0</v>
      </c>
      <c r="L16" s="60">
        <f t="shared" si="1"/>
        <v>0</v>
      </c>
      <c r="M16" s="60">
        <f t="shared" si="1"/>
        <v>0</v>
      </c>
      <c r="N16" s="60">
        <f t="shared" si="1"/>
        <v>0</v>
      </c>
      <c r="O16" s="60">
        <f t="shared" si="1"/>
        <v>0</v>
      </c>
      <c r="P16" s="60">
        <f t="shared" si="1"/>
        <v>0</v>
      </c>
      <c r="Q16" s="60">
        <f t="shared" si="1"/>
        <v>325016831</v>
      </c>
    </row>
    <row r="17" spans="1:22">
      <c r="A17" s="19">
        <f>ROW()</f>
        <v>17</v>
      </c>
      <c r="B17" s="31"/>
      <c r="C17" s="54"/>
      <c r="D17" s="155"/>
      <c r="E17" s="61"/>
      <c r="F17" s="61"/>
      <c r="G17" s="61"/>
      <c r="H17" s="61"/>
      <c r="I17" s="61"/>
      <c r="J17" s="61"/>
      <c r="K17" s="61"/>
      <c r="L17" s="61"/>
      <c r="M17" s="61"/>
      <c r="N17" s="61"/>
      <c r="O17" s="61"/>
      <c r="P17" s="61"/>
      <c r="Q17" s="56"/>
    </row>
    <row r="18" spans="1:22">
      <c r="A18" s="19">
        <f>ROW()</f>
        <v>18</v>
      </c>
      <c r="B18" s="114" t="s">
        <v>20</v>
      </c>
      <c r="C18" s="155"/>
      <c r="D18" s="155"/>
      <c r="E18" s="105"/>
      <c r="F18" s="105"/>
      <c r="G18" s="105"/>
      <c r="H18" s="105"/>
      <c r="I18" s="105"/>
      <c r="J18" s="109"/>
      <c r="K18" s="105"/>
      <c r="L18" s="105"/>
      <c r="M18" s="105"/>
      <c r="N18" s="109"/>
      <c r="O18" s="109"/>
      <c r="P18" s="109"/>
      <c r="Q18" s="109"/>
    </row>
    <row r="19" spans="1:22">
      <c r="A19" s="19">
        <f>ROW()</f>
        <v>19</v>
      </c>
      <c r="B19" s="21" t="s">
        <v>21</v>
      </c>
      <c r="C19" s="63"/>
      <c r="D19" s="63"/>
      <c r="E19" s="62">
        <v>421253</v>
      </c>
      <c r="F19" s="62">
        <v>380486</v>
      </c>
      <c r="G19" s="62">
        <v>420687</v>
      </c>
      <c r="H19" s="62">
        <v>407664</v>
      </c>
      <c r="I19" s="62">
        <v>421253</v>
      </c>
      <c r="J19" s="62">
        <v>407664</v>
      </c>
      <c r="K19" s="62"/>
      <c r="L19" s="62"/>
      <c r="M19" s="62"/>
      <c r="N19" s="62"/>
      <c r="O19" s="62"/>
      <c r="P19" s="62"/>
      <c r="Q19" s="65">
        <f>SUM(E19:P19)</f>
        <v>2459007</v>
      </c>
    </row>
    <row r="20" spans="1:22">
      <c r="A20" s="19">
        <v>20</v>
      </c>
      <c r="B20" s="174" t="s">
        <v>186</v>
      </c>
      <c r="C20" s="63"/>
      <c r="D20" s="63"/>
      <c r="E20" s="62">
        <v>0</v>
      </c>
      <c r="F20" s="62">
        <f>704939+704939</f>
        <v>1409878</v>
      </c>
      <c r="G20" s="62">
        <v>704939</v>
      </c>
      <c r="H20" s="62">
        <v>704939</v>
      </c>
      <c r="I20" s="62">
        <v>704939</v>
      </c>
      <c r="J20" s="62">
        <v>176267</v>
      </c>
      <c r="K20" s="62"/>
      <c r="L20" s="62"/>
      <c r="M20" s="62"/>
      <c r="N20" s="62"/>
      <c r="O20" s="62"/>
      <c r="P20" s="62"/>
      <c r="Q20" s="65">
        <f>SUM(E20:P20)</f>
        <v>3700962</v>
      </c>
    </row>
    <row r="21" spans="1:22" ht="18" customHeight="1" thickBot="1">
      <c r="A21" s="19">
        <f>ROW()</f>
        <v>21</v>
      </c>
      <c r="B21" s="114" t="s">
        <v>23</v>
      </c>
      <c r="C21" s="67"/>
      <c r="D21" s="63"/>
      <c r="E21" s="68">
        <f t="shared" ref="E21:Q21" si="2">E16+E19+E20</f>
        <v>66058217</v>
      </c>
      <c r="F21" s="68">
        <f t="shared" si="2"/>
        <v>60921662</v>
      </c>
      <c r="G21" s="68">
        <f t="shared" si="2"/>
        <v>59711451</v>
      </c>
      <c r="H21" s="68">
        <f t="shared" si="2"/>
        <v>51309820</v>
      </c>
      <c r="I21" s="68">
        <f t="shared" si="2"/>
        <v>47771688</v>
      </c>
      <c r="J21" s="68">
        <f t="shared" si="2"/>
        <v>45403962</v>
      </c>
      <c r="K21" s="68">
        <f t="shared" si="2"/>
        <v>0</v>
      </c>
      <c r="L21" s="68">
        <f t="shared" si="2"/>
        <v>0</v>
      </c>
      <c r="M21" s="68">
        <f t="shared" si="2"/>
        <v>0</v>
      </c>
      <c r="N21" s="68">
        <f t="shared" si="2"/>
        <v>0</v>
      </c>
      <c r="O21" s="68">
        <f t="shared" si="2"/>
        <v>0</v>
      </c>
      <c r="P21" s="68">
        <f t="shared" si="2"/>
        <v>0</v>
      </c>
      <c r="Q21" s="68">
        <f t="shared" si="2"/>
        <v>331176800</v>
      </c>
    </row>
    <row r="22" spans="1:22">
      <c r="A22" s="19">
        <f>ROW()</f>
        <v>22</v>
      </c>
      <c r="B22" s="174"/>
      <c r="O22" s="36"/>
    </row>
    <row r="23" spans="1:22">
      <c r="A23" s="19">
        <f>ROW()</f>
        <v>23</v>
      </c>
      <c r="B23" s="37"/>
      <c r="C23" s="63"/>
      <c r="D23" s="63"/>
      <c r="E23" s="123"/>
      <c r="F23" s="123"/>
      <c r="G23" s="123"/>
      <c r="H23" s="123"/>
      <c r="I23" s="123"/>
      <c r="J23" s="123"/>
      <c r="K23" s="123"/>
      <c r="L23" s="123"/>
      <c r="M23" s="123"/>
      <c r="N23" s="123"/>
      <c r="O23" s="123"/>
      <c r="P23" s="123"/>
      <c r="Q23" s="123"/>
    </row>
    <row r="24" spans="1:22">
      <c r="A24" s="19">
        <f>ROW()</f>
        <v>24</v>
      </c>
      <c r="B24" s="38" t="s">
        <v>25</v>
      </c>
      <c r="C24" s="63"/>
      <c r="D24" s="63"/>
      <c r="E24" s="374">
        <v>2043401774</v>
      </c>
      <c r="F24" s="375">
        <v>1989158579</v>
      </c>
      <c r="G24" s="375">
        <v>1870558174</v>
      </c>
      <c r="H24" s="375">
        <v>1653902980</v>
      </c>
      <c r="I24" s="375">
        <v>1504372645</v>
      </c>
      <c r="J24" s="375">
        <v>1471897731</v>
      </c>
      <c r="K24" s="70"/>
      <c r="L24" s="70"/>
      <c r="M24" s="70"/>
      <c r="N24" s="70"/>
      <c r="O24" s="70"/>
      <c r="P24" s="70"/>
      <c r="Q24" s="71">
        <f>SUM(E24:P24)</f>
        <v>10533291883</v>
      </c>
    </row>
    <row r="25" spans="1:22" s="34" customFormat="1">
      <c r="A25" s="19">
        <f>ROW()</f>
        <v>25</v>
      </c>
      <c r="B25" s="39"/>
      <c r="C25" s="40"/>
      <c r="D25" s="40"/>
      <c r="E25" s="70"/>
      <c r="F25" s="70"/>
      <c r="G25" s="70"/>
      <c r="H25" s="70"/>
      <c r="I25" s="70"/>
      <c r="J25" s="41"/>
      <c r="K25" s="41"/>
      <c r="L25" s="70"/>
      <c r="M25" s="70"/>
      <c r="N25" s="70"/>
      <c r="O25" s="70"/>
      <c r="P25" s="70"/>
      <c r="Q25" s="62"/>
      <c r="R25"/>
      <c r="S25"/>
      <c r="T25"/>
      <c r="U25"/>
      <c r="V25"/>
    </row>
    <row r="26" spans="1:22">
      <c r="A26" s="19">
        <f>ROW()</f>
        <v>26</v>
      </c>
      <c r="B26" s="114" t="s">
        <v>27</v>
      </c>
      <c r="C26" s="72"/>
      <c r="D26" s="63"/>
      <c r="M26" s="66"/>
      <c r="P26" s="108"/>
      <c r="Q26" s="66"/>
    </row>
    <row r="27" spans="1:22">
      <c r="A27" s="19">
        <f>ROW()</f>
        <v>27</v>
      </c>
      <c r="B27" s="119" t="s">
        <v>190</v>
      </c>
      <c r="C27" s="72">
        <v>3.2895000000000001E-2</v>
      </c>
      <c r="D27" s="155"/>
      <c r="E27" s="66">
        <f t="shared" ref="E27:P27" si="3">E24*$C$27</f>
        <v>67217701.355729997</v>
      </c>
      <c r="F27" s="66">
        <f t="shared" si="3"/>
        <v>65433371.456205003</v>
      </c>
      <c r="G27" s="66">
        <f t="shared" si="3"/>
        <v>61532011.133730002</v>
      </c>
      <c r="H27" s="66">
        <f t="shared" si="3"/>
        <v>54405138.527100004</v>
      </c>
      <c r="I27" s="66">
        <f t="shared" si="3"/>
        <v>49486338.157274999</v>
      </c>
      <c r="J27" s="66">
        <f t="shared" si="3"/>
        <v>48418075.861244999</v>
      </c>
      <c r="K27" s="66">
        <f t="shared" si="3"/>
        <v>0</v>
      </c>
      <c r="L27" s="66">
        <f t="shared" si="3"/>
        <v>0</v>
      </c>
      <c r="M27" s="66">
        <f t="shared" si="3"/>
        <v>0</v>
      </c>
      <c r="N27" s="66">
        <f t="shared" si="3"/>
        <v>0</v>
      </c>
      <c r="O27" s="66">
        <f t="shared" si="3"/>
        <v>0</v>
      </c>
      <c r="P27" s="66">
        <f t="shared" si="3"/>
        <v>0</v>
      </c>
      <c r="Q27" s="71">
        <f>SUM(E27:P27)</f>
        <v>346492636.49128497</v>
      </c>
    </row>
    <row r="28" spans="1:22">
      <c r="A28" s="19">
        <f>ROW()</f>
        <v>28</v>
      </c>
      <c r="B28" s="42"/>
      <c r="C28" s="72"/>
      <c r="D28" s="155"/>
      <c r="E28" s="66"/>
      <c r="F28" s="66"/>
      <c r="G28" s="66"/>
      <c r="H28" s="66"/>
      <c r="I28" s="66"/>
      <c r="J28" s="66"/>
      <c r="K28" s="66"/>
      <c r="L28" s="66"/>
      <c r="M28" s="66"/>
      <c r="N28" s="66"/>
      <c r="O28" s="66"/>
      <c r="P28" s="66"/>
      <c r="Q28" s="71"/>
    </row>
    <row r="29" spans="1:22" ht="17.25" customHeight="1" thickBot="1">
      <c r="A29" s="19">
        <f>ROW()</f>
        <v>29</v>
      </c>
      <c r="B29" s="37" t="s">
        <v>30</v>
      </c>
      <c r="D29" s="155"/>
      <c r="E29" s="68">
        <f t="shared" ref="E29:Q29" si="4">E21-E27</f>
        <v>-1159484.3557299972</v>
      </c>
      <c r="F29" s="68">
        <f t="shared" si="4"/>
        <v>-4511709.456205003</v>
      </c>
      <c r="G29" s="68">
        <f t="shared" si="4"/>
        <v>-1820560.1337300017</v>
      </c>
      <c r="H29" s="68">
        <f t="shared" si="4"/>
        <v>-3095318.5271000043</v>
      </c>
      <c r="I29" s="68">
        <f t="shared" si="4"/>
        <v>-1714650.1572749987</v>
      </c>
      <c r="J29" s="68">
        <f t="shared" si="4"/>
        <v>-3014113.8612449989</v>
      </c>
      <c r="K29" s="68">
        <f t="shared" si="4"/>
        <v>0</v>
      </c>
      <c r="L29" s="68">
        <f t="shared" si="4"/>
        <v>0</v>
      </c>
      <c r="M29" s="68">
        <f t="shared" si="4"/>
        <v>0</v>
      </c>
      <c r="N29" s="68">
        <f t="shared" si="4"/>
        <v>0</v>
      </c>
      <c r="O29" s="68">
        <f t="shared" si="4"/>
        <v>0</v>
      </c>
      <c r="P29" s="68">
        <f t="shared" si="4"/>
        <v>0</v>
      </c>
      <c r="Q29" s="68">
        <f t="shared" si="4"/>
        <v>-15315836.491284966</v>
      </c>
    </row>
    <row r="30" spans="1:22" ht="15.75" customHeight="1">
      <c r="A30" s="19">
        <f>ROW()</f>
        <v>30</v>
      </c>
      <c r="B30" s="43" t="s">
        <v>31</v>
      </c>
      <c r="E30" s="44">
        <f t="shared" ref="E30:Q30" si="5">+E29</f>
        <v>-1159484.3557299972</v>
      </c>
      <c r="F30" s="44">
        <f t="shared" si="5"/>
        <v>-4511709.456205003</v>
      </c>
      <c r="G30" s="44">
        <f t="shared" si="5"/>
        <v>-1820560.1337300017</v>
      </c>
      <c r="H30" s="44">
        <f t="shared" si="5"/>
        <v>-3095318.5271000043</v>
      </c>
      <c r="I30" s="44">
        <f t="shared" si="5"/>
        <v>-1714650.1572749987</v>
      </c>
      <c r="J30" s="44">
        <f t="shared" si="5"/>
        <v>-3014113.8612449989</v>
      </c>
      <c r="K30" s="44">
        <f t="shared" si="5"/>
        <v>0</v>
      </c>
      <c r="L30" s="44">
        <f t="shared" si="5"/>
        <v>0</v>
      </c>
      <c r="M30" s="44">
        <f t="shared" si="5"/>
        <v>0</v>
      </c>
      <c r="N30" s="44">
        <f t="shared" si="5"/>
        <v>0</v>
      </c>
      <c r="O30" s="44">
        <f t="shared" si="5"/>
        <v>0</v>
      </c>
      <c r="P30" s="44">
        <f t="shared" si="5"/>
        <v>0</v>
      </c>
      <c r="Q30" s="44">
        <f t="shared" si="5"/>
        <v>-15315836.491284966</v>
      </c>
    </row>
    <row r="31" spans="1:22">
      <c r="A31" s="19">
        <f>ROW()</f>
        <v>31</v>
      </c>
      <c r="M31" s="155"/>
      <c r="N31" s="155"/>
      <c r="O31" s="155"/>
    </row>
    <row r="32" spans="1:22">
      <c r="A32" s="19">
        <f>ROW()</f>
        <v>32</v>
      </c>
      <c r="B32" s="33" t="s">
        <v>34</v>
      </c>
      <c r="C32" s="45"/>
      <c r="E32" s="51"/>
      <c r="F32" s="66"/>
      <c r="G32" s="51"/>
      <c r="H32" s="66"/>
      <c r="I32" s="66"/>
      <c r="J32" s="66"/>
      <c r="K32" s="66"/>
      <c r="L32" s="66"/>
      <c r="M32" s="66"/>
      <c r="N32" s="66"/>
      <c r="O32" s="66"/>
      <c r="P32" s="66"/>
      <c r="Q32" s="64"/>
    </row>
    <row r="33" spans="1:22" s="34" customFormat="1">
      <c r="A33" s="19">
        <f>ROW()</f>
        <v>33</v>
      </c>
      <c r="B33" s="116" t="s">
        <v>189</v>
      </c>
      <c r="C33" s="164">
        <v>3.344E-4</v>
      </c>
      <c r="D33" s="164"/>
      <c r="E33" s="51">
        <f t="shared" ref="E33:P33" si="6">E30*(1-$C$33)</f>
        <v>-1159096.6241614411</v>
      </c>
      <c r="F33" s="51">
        <f t="shared" si="6"/>
        <v>-4510200.7405628478</v>
      </c>
      <c r="G33" s="51">
        <f t="shared" si="6"/>
        <v>-1819951.3384212826</v>
      </c>
      <c r="H33" s="51">
        <f t="shared" si="6"/>
        <v>-3094283.4525845423</v>
      </c>
      <c r="I33" s="51">
        <f t="shared" si="6"/>
        <v>-1714076.7782624061</v>
      </c>
      <c r="J33" s="51">
        <f t="shared" si="6"/>
        <v>-3013105.9415697986</v>
      </c>
      <c r="K33" s="51">
        <f t="shared" si="6"/>
        <v>0</v>
      </c>
      <c r="L33" s="51">
        <f t="shared" si="6"/>
        <v>0</v>
      </c>
      <c r="M33" s="51">
        <f t="shared" si="6"/>
        <v>0</v>
      </c>
      <c r="N33" s="51">
        <f t="shared" si="6"/>
        <v>0</v>
      </c>
      <c r="O33" s="51">
        <f t="shared" si="6"/>
        <v>0</v>
      </c>
      <c r="P33" s="51">
        <f t="shared" si="6"/>
        <v>0</v>
      </c>
      <c r="Q33" s="51">
        <f>SUM(E33:P33)</f>
        <v>-15310714.875562318</v>
      </c>
      <c r="R33"/>
      <c r="S33"/>
      <c r="T33"/>
      <c r="U33"/>
      <c r="V33"/>
    </row>
    <row r="34" spans="1:22" s="34" customFormat="1">
      <c r="A34" s="19">
        <f>ROW()</f>
        <v>34</v>
      </c>
      <c r="B34" s="116"/>
      <c r="C34" s="164"/>
      <c r="D34" s="164"/>
      <c r="E34" s="51"/>
      <c r="F34" s="51"/>
      <c r="G34" s="51"/>
      <c r="H34" s="51"/>
      <c r="I34" s="51"/>
      <c r="J34" s="51"/>
      <c r="K34" s="51"/>
      <c r="L34" s="51"/>
      <c r="M34" s="51"/>
      <c r="N34" s="51"/>
      <c r="O34" s="51"/>
      <c r="P34" s="51"/>
      <c r="Q34" s="51"/>
      <c r="R34"/>
      <c r="S34"/>
      <c r="T34"/>
      <c r="U34"/>
      <c r="V34"/>
    </row>
    <row r="35" spans="1:22" s="34" customFormat="1">
      <c r="A35" s="19">
        <f>ROW()</f>
        <v>35</v>
      </c>
      <c r="B35" s="108"/>
      <c r="C35" s="164"/>
      <c r="D35" s="164"/>
      <c r="E35" s="51"/>
      <c r="F35" s="51"/>
      <c r="G35" s="51"/>
      <c r="H35" s="51"/>
      <c r="I35" s="51"/>
      <c r="J35" s="51"/>
      <c r="K35" s="51"/>
      <c r="L35" s="51"/>
      <c r="M35" s="51"/>
      <c r="N35" s="51"/>
      <c r="O35" s="51"/>
      <c r="P35" s="51"/>
      <c r="Q35" s="51"/>
      <c r="R35"/>
      <c r="S35"/>
      <c r="T35"/>
      <c r="U35"/>
      <c r="V35"/>
    </row>
    <row r="36" spans="1:22">
      <c r="A36" s="19">
        <f>ROW()</f>
        <v>36</v>
      </c>
      <c r="B36" s="27" t="s">
        <v>36</v>
      </c>
      <c r="C36" s="34"/>
      <c r="D36" s="155"/>
      <c r="E36" s="51">
        <f t="shared" ref="E36:Q36" si="7">+E33</f>
        <v>-1159096.6241614411</v>
      </c>
      <c r="F36" s="51">
        <f t="shared" si="7"/>
        <v>-4510200.7405628478</v>
      </c>
      <c r="G36" s="51">
        <f t="shared" si="7"/>
        <v>-1819951.3384212826</v>
      </c>
      <c r="H36" s="66">
        <f t="shared" si="7"/>
        <v>-3094283.4525845423</v>
      </c>
      <c r="I36" s="66">
        <f t="shared" si="7"/>
        <v>-1714076.7782624061</v>
      </c>
      <c r="J36" s="66">
        <f t="shared" si="7"/>
        <v>-3013105.9415697986</v>
      </c>
      <c r="K36" s="66">
        <f t="shared" si="7"/>
        <v>0</v>
      </c>
      <c r="L36" s="66">
        <f t="shared" si="7"/>
        <v>0</v>
      </c>
      <c r="M36" s="66">
        <f t="shared" si="7"/>
        <v>0</v>
      </c>
      <c r="N36" s="66">
        <f t="shared" si="7"/>
        <v>0</v>
      </c>
      <c r="O36" s="66">
        <f t="shared" si="7"/>
        <v>0</v>
      </c>
      <c r="P36" s="66">
        <f t="shared" si="7"/>
        <v>0</v>
      </c>
      <c r="Q36" s="66">
        <f t="shared" si="7"/>
        <v>-15310714.875562318</v>
      </c>
    </row>
    <row r="37" spans="1:22">
      <c r="A37" s="19">
        <f>ROW()</f>
        <v>37</v>
      </c>
      <c r="B37" s="27" t="s">
        <v>37</v>
      </c>
      <c r="D37" s="155"/>
      <c r="E37" s="51">
        <f t="shared" ref="E37:Q37" si="8">-E36</f>
        <v>1159096.6241614411</v>
      </c>
      <c r="F37" s="51">
        <f t="shared" si="8"/>
        <v>4510200.7405628478</v>
      </c>
      <c r="G37" s="51">
        <f t="shared" si="8"/>
        <v>1819951.3384212826</v>
      </c>
      <c r="H37" s="66">
        <f t="shared" si="8"/>
        <v>3094283.4525845423</v>
      </c>
      <c r="I37" s="66">
        <f t="shared" si="8"/>
        <v>1714076.7782624061</v>
      </c>
      <c r="J37" s="66">
        <f t="shared" si="8"/>
        <v>3013105.9415697986</v>
      </c>
      <c r="K37" s="66">
        <f t="shared" si="8"/>
        <v>0</v>
      </c>
      <c r="L37" s="66">
        <f t="shared" si="8"/>
        <v>0</v>
      </c>
      <c r="M37" s="66">
        <f t="shared" si="8"/>
        <v>0</v>
      </c>
      <c r="N37" s="66">
        <f t="shared" si="8"/>
        <v>0</v>
      </c>
      <c r="O37" s="66">
        <f t="shared" si="8"/>
        <v>0</v>
      </c>
      <c r="P37" s="66">
        <f t="shared" si="8"/>
        <v>0</v>
      </c>
      <c r="Q37" s="66">
        <f t="shared" si="8"/>
        <v>15310714.875562318</v>
      </c>
    </row>
    <row r="38" spans="1:22">
      <c r="A38" s="19">
        <f>ROW()</f>
        <v>38</v>
      </c>
      <c r="B38" s="27"/>
      <c r="D38" s="155"/>
      <c r="E38" s="51"/>
      <c r="F38" s="51"/>
      <c r="G38" s="51"/>
      <c r="H38" s="66"/>
      <c r="I38" s="66"/>
      <c r="J38" s="66"/>
      <c r="K38" s="66"/>
      <c r="L38" s="66"/>
      <c r="M38" s="66"/>
      <c r="N38" s="66"/>
      <c r="O38" s="66"/>
      <c r="P38" s="66"/>
      <c r="Q38" s="66"/>
    </row>
    <row r="39" spans="1:22">
      <c r="A39" s="19">
        <f>ROW()</f>
        <v>39</v>
      </c>
      <c r="B39" s="27" t="s">
        <v>38</v>
      </c>
      <c r="D39" s="155"/>
      <c r="E39" s="51">
        <f>+E36</f>
        <v>-1159096.6241614411</v>
      </c>
      <c r="F39" s="51">
        <f t="shared" ref="F39:P39" si="9">+E39+F36</f>
        <v>-5669297.3647242887</v>
      </c>
      <c r="G39" s="51">
        <f t="shared" si="9"/>
        <v>-7489248.7031455711</v>
      </c>
      <c r="H39" s="66">
        <f t="shared" si="9"/>
        <v>-10583532.155730113</v>
      </c>
      <c r="I39" s="66">
        <f t="shared" si="9"/>
        <v>-12297608.93399252</v>
      </c>
      <c r="J39" s="66">
        <f t="shared" si="9"/>
        <v>-15310714.875562318</v>
      </c>
      <c r="K39" s="66">
        <f t="shared" si="9"/>
        <v>-15310714.875562318</v>
      </c>
      <c r="L39" s="66">
        <f t="shared" si="9"/>
        <v>-15310714.875562318</v>
      </c>
      <c r="M39" s="66">
        <f t="shared" si="9"/>
        <v>-15310714.875562318</v>
      </c>
      <c r="N39" s="66">
        <f t="shared" si="9"/>
        <v>-15310714.875562318</v>
      </c>
      <c r="O39" s="66">
        <f t="shared" si="9"/>
        <v>-15310714.875562318</v>
      </c>
      <c r="P39" s="66">
        <f t="shared" si="9"/>
        <v>-15310714.875562318</v>
      </c>
      <c r="Q39" s="66">
        <f>+Q36</f>
        <v>-15310714.875562318</v>
      </c>
    </row>
    <row r="40" spans="1:22">
      <c r="A40" s="19">
        <f>ROW()</f>
        <v>40</v>
      </c>
      <c r="B40" s="27" t="s">
        <v>40</v>
      </c>
      <c r="D40" s="155"/>
      <c r="E40" s="51">
        <f>+E37</f>
        <v>1159096.6241614411</v>
      </c>
      <c r="F40" s="51">
        <f t="shared" ref="F40:P40" si="10">+E40+F37</f>
        <v>5669297.3647242887</v>
      </c>
      <c r="G40" s="66">
        <f t="shared" si="10"/>
        <v>7489248.7031455711</v>
      </c>
      <c r="H40" s="66">
        <f t="shared" si="10"/>
        <v>10583532.155730113</v>
      </c>
      <c r="I40" s="66">
        <f t="shared" si="10"/>
        <v>12297608.93399252</v>
      </c>
      <c r="J40" s="66">
        <f t="shared" si="10"/>
        <v>15310714.875562318</v>
      </c>
      <c r="K40" s="66">
        <f t="shared" si="10"/>
        <v>15310714.875562318</v>
      </c>
      <c r="L40" s="66">
        <f t="shared" si="10"/>
        <v>15310714.875562318</v>
      </c>
      <c r="M40" s="66">
        <f t="shared" si="10"/>
        <v>15310714.875562318</v>
      </c>
      <c r="N40" s="66">
        <f t="shared" si="10"/>
        <v>15310714.875562318</v>
      </c>
      <c r="O40" s="66">
        <f t="shared" si="10"/>
        <v>15310714.875562318</v>
      </c>
      <c r="P40" s="66">
        <f t="shared" si="10"/>
        <v>15310714.875562318</v>
      </c>
      <c r="Q40" s="66">
        <f>+Q37</f>
        <v>15310714.875562318</v>
      </c>
    </row>
    <row r="41" spans="1:22">
      <c r="A41" s="19">
        <f>ROW()</f>
        <v>41</v>
      </c>
      <c r="B41" s="27"/>
      <c r="D41" s="155"/>
      <c r="E41" s="66"/>
      <c r="F41" s="66"/>
      <c r="G41" s="66"/>
      <c r="H41" s="66"/>
      <c r="I41" s="66"/>
      <c r="J41" s="66"/>
      <c r="K41" s="66"/>
      <c r="L41" s="66"/>
      <c r="M41" s="66"/>
      <c r="N41" s="66"/>
      <c r="O41" s="66"/>
      <c r="P41" s="66"/>
      <c r="Q41" s="66"/>
    </row>
    <row r="42" spans="1:22" ht="12" customHeight="1">
      <c r="A42" s="19">
        <f>ROW()</f>
        <v>42</v>
      </c>
      <c r="B42" s="49"/>
      <c r="C42" s="49"/>
      <c r="D42" s="49"/>
      <c r="E42" s="49"/>
      <c r="F42" s="49"/>
      <c r="G42" s="49"/>
      <c r="H42" s="49"/>
      <c r="I42" s="66"/>
      <c r="J42" s="66"/>
      <c r="K42" s="66"/>
      <c r="L42" s="66"/>
      <c r="M42" s="66"/>
      <c r="N42" s="66"/>
      <c r="O42" s="66"/>
      <c r="P42" s="66"/>
      <c r="Q42" s="66"/>
    </row>
    <row r="43" spans="1:22" s="174" customFormat="1" hidden="1">
      <c r="A43" s="19">
        <f>ROW()</f>
        <v>43</v>
      </c>
      <c r="B43" s="174" t="s">
        <v>188</v>
      </c>
      <c r="D43" s="63"/>
      <c r="E43" s="66"/>
      <c r="F43" s="66"/>
      <c r="G43" s="66"/>
      <c r="H43" s="66"/>
      <c r="I43" s="66"/>
      <c r="J43" s="66"/>
      <c r="K43" s="66"/>
      <c r="L43" s="66"/>
      <c r="M43" s="66"/>
      <c r="N43" s="66"/>
      <c r="O43" s="66"/>
      <c r="P43" s="66"/>
      <c r="Q43" s="66"/>
      <c r="R43"/>
      <c r="S43"/>
      <c r="T43"/>
      <c r="U43"/>
      <c r="V43"/>
    </row>
    <row r="44" spans="1:22" s="174" customFormat="1">
      <c r="A44" s="19"/>
      <c r="D44" s="63"/>
      <c r="E44" s="66"/>
      <c r="F44" s="66"/>
      <c r="G44" s="66"/>
      <c r="H44" s="66"/>
      <c r="I44" s="66"/>
      <c r="J44" s="66"/>
      <c r="K44" s="66"/>
      <c r="L44" s="66"/>
      <c r="M44" s="66"/>
      <c r="N44" s="66"/>
      <c r="O44" s="66"/>
      <c r="P44" s="66"/>
      <c r="Q44" s="66"/>
      <c r="R44"/>
      <c r="S44"/>
      <c r="T44"/>
      <c r="U44"/>
      <c r="V44"/>
    </row>
    <row r="45" spans="1:22" ht="29.25" customHeight="1">
      <c r="B45" s="703" t="s">
        <v>187</v>
      </c>
      <c r="C45" s="703"/>
      <c r="D45" s="703"/>
      <c r="E45" s="703"/>
      <c r="F45" s="703"/>
      <c r="G45" s="703"/>
      <c r="H45" s="703"/>
      <c r="I45" s="108"/>
      <c r="J45" s="108"/>
      <c r="K45" s="108"/>
      <c r="L45" s="108"/>
      <c r="M45" s="108"/>
      <c r="P45" s="180"/>
    </row>
    <row r="46" spans="1:22" ht="18">
      <c r="E46" s="24"/>
      <c r="P46" s="44"/>
    </row>
    <row r="47" spans="1:22">
      <c r="A47" s="21"/>
      <c r="P47" s="16"/>
    </row>
    <row r="48" spans="1:22">
      <c r="A48" s="21"/>
      <c r="P48" s="44"/>
    </row>
    <row r="49" spans="1:16">
      <c r="A49" s="21"/>
      <c r="F49" s="17"/>
      <c r="P49" s="17"/>
    </row>
    <row r="50" spans="1:16">
      <c r="A50" s="21"/>
      <c r="F50" s="17"/>
    </row>
    <row r="51" spans="1:16">
      <c r="A51" s="21"/>
      <c r="E51" s="44"/>
    </row>
    <row r="52" spans="1:16">
      <c r="A52" s="21"/>
    </row>
    <row r="53" spans="1:16">
      <c r="A53" s="21"/>
    </row>
    <row r="54" spans="1:16">
      <c r="A54" s="21"/>
    </row>
    <row r="55" spans="1:16">
      <c r="A55" s="21"/>
    </row>
    <row r="56" spans="1:16">
      <c r="A56" s="21"/>
    </row>
    <row r="57" spans="1:16">
      <c r="A57" s="21"/>
    </row>
    <row r="58" spans="1:16">
      <c r="A58" s="21"/>
    </row>
    <row r="59" spans="1:16">
      <c r="A59" s="21"/>
    </row>
    <row r="60" spans="1:16">
      <c r="A60" s="21"/>
    </row>
    <row r="61" spans="1:16">
      <c r="A61" s="21"/>
    </row>
    <row r="62" spans="1:16">
      <c r="A62" s="21"/>
    </row>
    <row r="63" spans="1:16">
      <c r="A63" s="21"/>
    </row>
    <row r="64" spans="1:16">
      <c r="A64" s="21"/>
    </row>
    <row r="65" spans="1:1">
      <c r="A65" s="21"/>
    </row>
    <row r="66" spans="1:1">
      <c r="A66" s="21"/>
    </row>
    <row r="67" spans="1:1">
      <c r="A67" s="21"/>
    </row>
    <row r="68" spans="1:1">
      <c r="A68" s="50"/>
    </row>
    <row r="69" spans="1:1">
      <c r="A69" s="50"/>
    </row>
    <row r="70" spans="1:1">
      <c r="A70" s="50"/>
    </row>
    <row r="71" spans="1:1">
      <c r="A71" s="50"/>
    </row>
    <row r="72" spans="1:1">
      <c r="A72" s="50"/>
    </row>
    <row r="73" spans="1:1">
      <c r="A73" s="50"/>
    </row>
    <row r="74" spans="1:1">
      <c r="A74" s="50"/>
    </row>
    <row r="75" spans="1:1">
      <c r="A75" s="50"/>
    </row>
    <row r="76" spans="1:1">
      <c r="A76" s="50"/>
    </row>
    <row r="77" spans="1:1">
      <c r="A77" s="50"/>
    </row>
    <row r="78" spans="1:1">
      <c r="A78" s="50"/>
    </row>
    <row r="79" spans="1:1">
      <c r="A79" s="50"/>
    </row>
    <row r="80" spans="1:1">
      <c r="A80" s="50"/>
    </row>
    <row r="81" spans="1:1">
      <c r="A81" s="50"/>
    </row>
    <row r="82" spans="1:1">
      <c r="A82" s="50"/>
    </row>
    <row r="83" spans="1:1">
      <c r="A83" s="50"/>
    </row>
    <row r="84" spans="1:1">
      <c r="A84" s="50"/>
    </row>
    <row r="85" spans="1:1">
      <c r="A85" s="50"/>
    </row>
    <row r="86" spans="1:1">
      <c r="A86" s="50"/>
    </row>
    <row r="87" spans="1:1">
      <c r="A87" s="50"/>
    </row>
    <row r="88" spans="1:1">
      <c r="A88" s="50"/>
    </row>
    <row r="89" spans="1:1">
      <c r="A89" s="50"/>
    </row>
    <row r="90" spans="1:1">
      <c r="A90" s="50"/>
    </row>
    <row r="91" spans="1:1">
      <c r="A91" s="50"/>
    </row>
    <row r="92" spans="1:1">
      <c r="A92" s="50"/>
    </row>
    <row r="93" spans="1:1">
      <c r="A93" s="50"/>
    </row>
    <row r="94" spans="1:1">
      <c r="A94" s="50"/>
    </row>
    <row r="95" spans="1:1">
      <c r="A95" s="50"/>
    </row>
    <row r="96" spans="1:1">
      <c r="A96" s="50"/>
    </row>
    <row r="97" spans="1:1">
      <c r="A97" s="50"/>
    </row>
    <row r="98" spans="1:1">
      <c r="A98" s="50"/>
    </row>
    <row r="99" spans="1:1">
      <c r="A99" s="50"/>
    </row>
    <row r="100" spans="1:1">
      <c r="A100" s="50"/>
    </row>
    <row r="101" spans="1:1">
      <c r="A101" s="50"/>
    </row>
    <row r="102" spans="1:1">
      <c r="A102" s="50"/>
    </row>
    <row r="103" spans="1:1">
      <c r="A103" s="50"/>
    </row>
    <row r="104" spans="1:1">
      <c r="A104" s="50"/>
    </row>
    <row r="105" spans="1:1">
      <c r="A105" s="50"/>
    </row>
    <row r="106" spans="1:1">
      <c r="A106" s="50"/>
    </row>
    <row r="107" spans="1:1">
      <c r="A107" s="50"/>
    </row>
    <row r="108" spans="1:1">
      <c r="A108" s="50"/>
    </row>
    <row r="109" spans="1:1">
      <c r="A109" s="50"/>
    </row>
    <row r="110" spans="1:1">
      <c r="A110" s="50"/>
    </row>
    <row r="111" spans="1:1">
      <c r="A111" s="50"/>
    </row>
    <row r="112" spans="1:1">
      <c r="A112" s="50"/>
    </row>
    <row r="113" spans="1:1">
      <c r="A113" s="50"/>
    </row>
    <row r="114" spans="1:1">
      <c r="A114" s="50"/>
    </row>
    <row r="115" spans="1:1">
      <c r="A115" s="50"/>
    </row>
    <row r="116" spans="1:1">
      <c r="A116" s="50"/>
    </row>
    <row r="117" spans="1:1">
      <c r="A117" s="50"/>
    </row>
    <row r="118" spans="1:1">
      <c r="A118" s="50"/>
    </row>
    <row r="119" spans="1:1">
      <c r="A119" s="50"/>
    </row>
    <row r="120" spans="1:1">
      <c r="A120" s="50"/>
    </row>
    <row r="121" spans="1:1">
      <c r="A121" s="50"/>
    </row>
    <row r="122" spans="1:1">
      <c r="A122" s="50"/>
    </row>
    <row r="123" spans="1:1">
      <c r="A123" s="50"/>
    </row>
    <row r="124" spans="1:1">
      <c r="A124" s="50"/>
    </row>
    <row r="125" spans="1:1">
      <c r="A125" s="50"/>
    </row>
    <row r="126" spans="1:1">
      <c r="A126" s="50"/>
    </row>
    <row r="127" spans="1:1">
      <c r="A127" s="50"/>
    </row>
    <row r="128" spans="1:1">
      <c r="A128" s="50"/>
    </row>
    <row r="129" spans="1:1">
      <c r="A129" s="50"/>
    </row>
    <row r="130" spans="1:1">
      <c r="A130" s="50"/>
    </row>
    <row r="131" spans="1:1">
      <c r="A131" s="50"/>
    </row>
    <row r="132" spans="1:1">
      <c r="A132" s="50"/>
    </row>
    <row r="133" spans="1:1">
      <c r="A133" s="50"/>
    </row>
    <row r="134" spans="1:1">
      <c r="A134" s="50"/>
    </row>
    <row r="135" spans="1:1">
      <c r="A135" s="50"/>
    </row>
    <row r="136" spans="1:1">
      <c r="A136" s="50"/>
    </row>
    <row r="137" spans="1:1">
      <c r="A137" s="50"/>
    </row>
    <row r="138" spans="1:1">
      <c r="A138" s="50"/>
    </row>
    <row r="139" spans="1:1">
      <c r="A139" s="50"/>
    </row>
    <row r="140" spans="1:1">
      <c r="A140" s="50"/>
    </row>
    <row r="141" spans="1:1">
      <c r="A141" s="50"/>
    </row>
    <row r="142" spans="1:1">
      <c r="A142" s="50"/>
    </row>
    <row r="143" spans="1:1">
      <c r="A143" s="50"/>
    </row>
    <row r="144" spans="1:1">
      <c r="A144" s="50"/>
    </row>
    <row r="145" spans="1:1">
      <c r="A145" s="50"/>
    </row>
    <row r="146" spans="1:1">
      <c r="A146" s="50"/>
    </row>
    <row r="147" spans="1:1">
      <c r="A147" s="50"/>
    </row>
    <row r="148" spans="1:1">
      <c r="A148" s="50"/>
    </row>
    <row r="149" spans="1:1">
      <c r="A149" s="50"/>
    </row>
    <row r="150" spans="1:1">
      <c r="A150" s="50"/>
    </row>
    <row r="151" spans="1:1">
      <c r="A151" s="50"/>
    </row>
    <row r="152" spans="1:1">
      <c r="A152" s="50"/>
    </row>
    <row r="153" spans="1:1">
      <c r="A153" s="50"/>
    </row>
    <row r="154" spans="1:1">
      <c r="A154" s="50"/>
    </row>
    <row r="155" spans="1:1">
      <c r="A155" s="50"/>
    </row>
    <row r="156" spans="1:1">
      <c r="A156" s="50"/>
    </row>
    <row r="157" spans="1:1">
      <c r="A157" s="50"/>
    </row>
    <row r="158" spans="1:1">
      <c r="A158" s="50"/>
    </row>
    <row r="159" spans="1:1">
      <c r="A159" s="50"/>
    </row>
    <row r="160" spans="1:1">
      <c r="A160" s="50"/>
    </row>
    <row r="161" spans="1:1">
      <c r="A161" s="50"/>
    </row>
    <row r="162" spans="1:1">
      <c r="A162" s="50"/>
    </row>
    <row r="163" spans="1:1">
      <c r="A163" s="50"/>
    </row>
    <row r="164" spans="1:1">
      <c r="A164" s="50"/>
    </row>
    <row r="165" spans="1:1">
      <c r="A165" s="50"/>
    </row>
    <row r="166" spans="1:1">
      <c r="A166" s="50"/>
    </row>
    <row r="167" spans="1:1">
      <c r="A167" s="50"/>
    </row>
    <row r="168" spans="1:1">
      <c r="A168" s="50"/>
    </row>
    <row r="169" spans="1:1">
      <c r="A169" s="50"/>
    </row>
    <row r="170" spans="1:1">
      <c r="A170" s="50"/>
    </row>
    <row r="171" spans="1:1">
      <c r="A171" s="50"/>
    </row>
    <row r="172" spans="1:1">
      <c r="A172" s="50"/>
    </row>
    <row r="173" spans="1:1">
      <c r="A173" s="50"/>
    </row>
    <row r="174" spans="1:1">
      <c r="A174" s="50"/>
    </row>
    <row r="175" spans="1:1">
      <c r="A175" s="50"/>
    </row>
    <row r="176" spans="1:1">
      <c r="A176" s="50"/>
    </row>
    <row r="177" spans="1:1">
      <c r="A177" s="50"/>
    </row>
    <row r="178" spans="1:1">
      <c r="A178" s="50"/>
    </row>
    <row r="179" spans="1:1">
      <c r="A179" s="50"/>
    </row>
    <row r="180" spans="1:1">
      <c r="A180" s="50"/>
    </row>
    <row r="181" spans="1:1">
      <c r="A181" s="50"/>
    </row>
    <row r="182" spans="1:1">
      <c r="A182" s="50"/>
    </row>
    <row r="183" spans="1:1">
      <c r="A183" s="50"/>
    </row>
    <row r="184" spans="1:1">
      <c r="A184" s="50"/>
    </row>
    <row r="185" spans="1:1">
      <c r="A185" s="50"/>
    </row>
    <row r="186" spans="1:1">
      <c r="A186" s="50"/>
    </row>
    <row r="187" spans="1:1">
      <c r="A187" s="50"/>
    </row>
    <row r="188" spans="1:1">
      <c r="A188" s="50"/>
    </row>
    <row r="189" spans="1:1">
      <c r="A189" s="50"/>
    </row>
    <row r="190" spans="1:1">
      <c r="A190" s="50"/>
    </row>
    <row r="191" spans="1:1">
      <c r="A191" s="50"/>
    </row>
    <row r="192" spans="1:1">
      <c r="A192" s="50"/>
    </row>
    <row r="193" spans="1:1">
      <c r="A193" s="50"/>
    </row>
    <row r="194" spans="1:1">
      <c r="A194" s="50"/>
    </row>
    <row r="195" spans="1:1">
      <c r="A195" s="50"/>
    </row>
    <row r="196" spans="1:1">
      <c r="A196" s="50"/>
    </row>
    <row r="197" spans="1:1">
      <c r="A197" s="50"/>
    </row>
    <row r="198" spans="1:1">
      <c r="A198" s="50"/>
    </row>
    <row r="199" spans="1:1">
      <c r="A199" s="50"/>
    </row>
    <row r="200" spans="1:1">
      <c r="A200" s="50"/>
    </row>
    <row r="201" spans="1:1">
      <c r="A201" s="50"/>
    </row>
    <row r="202" spans="1:1">
      <c r="A202" s="50"/>
    </row>
    <row r="203" spans="1:1">
      <c r="A203" s="50"/>
    </row>
    <row r="204" spans="1:1">
      <c r="A204" s="50"/>
    </row>
    <row r="205" spans="1:1">
      <c r="A205" s="50"/>
    </row>
    <row r="206" spans="1:1">
      <c r="A206" s="50"/>
    </row>
    <row r="207" spans="1:1">
      <c r="A207" s="50"/>
    </row>
    <row r="208" spans="1:1">
      <c r="A208" s="50"/>
    </row>
    <row r="209" spans="1:1">
      <c r="A209" s="50"/>
    </row>
    <row r="210" spans="1:1">
      <c r="A210" s="50"/>
    </row>
    <row r="211" spans="1:1">
      <c r="A211" s="50"/>
    </row>
    <row r="212" spans="1:1">
      <c r="A212" s="50"/>
    </row>
    <row r="213" spans="1:1">
      <c r="A213" s="50"/>
    </row>
    <row r="214" spans="1:1">
      <c r="A214" s="50"/>
    </row>
    <row r="215" spans="1:1">
      <c r="A215" s="50"/>
    </row>
    <row r="216" spans="1:1">
      <c r="A216" s="50"/>
    </row>
    <row r="217" spans="1:1">
      <c r="A217" s="50"/>
    </row>
    <row r="218" spans="1:1">
      <c r="A218" s="50"/>
    </row>
    <row r="219" spans="1:1">
      <c r="A219" s="50"/>
    </row>
    <row r="220" spans="1:1">
      <c r="A220" s="50"/>
    </row>
    <row r="221" spans="1:1">
      <c r="A221" s="50"/>
    </row>
    <row r="222" spans="1:1">
      <c r="A222" s="50"/>
    </row>
    <row r="223" spans="1:1">
      <c r="A223" s="50"/>
    </row>
    <row r="224" spans="1:1">
      <c r="A224" s="50"/>
    </row>
    <row r="225" spans="1:1">
      <c r="A225" s="50"/>
    </row>
    <row r="226" spans="1:1">
      <c r="A226" s="50"/>
    </row>
    <row r="227" spans="1:1">
      <c r="A227" s="50"/>
    </row>
    <row r="228" spans="1:1">
      <c r="A228" s="50"/>
    </row>
    <row r="229" spans="1:1">
      <c r="A229" s="50"/>
    </row>
    <row r="230" spans="1:1">
      <c r="A230" s="50"/>
    </row>
    <row r="231" spans="1:1">
      <c r="A231" s="50"/>
    </row>
    <row r="232" spans="1:1">
      <c r="A232" s="50"/>
    </row>
    <row r="233" spans="1:1">
      <c r="A233" s="50"/>
    </row>
    <row r="234" spans="1:1">
      <c r="A234" s="50"/>
    </row>
    <row r="235" spans="1:1">
      <c r="A235" s="50"/>
    </row>
    <row r="236" spans="1:1">
      <c r="A236" s="50"/>
    </row>
    <row r="237" spans="1:1">
      <c r="A237" s="50"/>
    </row>
    <row r="238" spans="1:1">
      <c r="A238" s="50"/>
    </row>
    <row r="239" spans="1:1">
      <c r="A239" s="50"/>
    </row>
    <row r="240" spans="1:1">
      <c r="A240" s="50"/>
    </row>
    <row r="241" spans="1:1">
      <c r="A241" s="50"/>
    </row>
    <row r="242" spans="1:1">
      <c r="A242" s="50"/>
    </row>
    <row r="243" spans="1:1">
      <c r="A243" s="50"/>
    </row>
    <row r="244" spans="1:1">
      <c r="A244" s="50"/>
    </row>
    <row r="245" spans="1:1">
      <c r="A245" s="50"/>
    </row>
    <row r="246" spans="1:1">
      <c r="A246" s="50"/>
    </row>
    <row r="247" spans="1:1">
      <c r="A247" s="50"/>
    </row>
    <row r="248" spans="1:1">
      <c r="A248" s="50"/>
    </row>
    <row r="249" spans="1:1">
      <c r="A249" s="50"/>
    </row>
    <row r="250" spans="1:1">
      <c r="A250" s="50"/>
    </row>
    <row r="251" spans="1:1">
      <c r="A251" s="50"/>
    </row>
    <row r="252" spans="1:1">
      <c r="A252" s="50"/>
    </row>
    <row r="253" spans="1:1">
      <c r="A253" s="50"/>
    </row>
    <row r="254" spans="1:1">
      <c r="A254" s="50"/>
    </row>
    <row r="255" spans="1:1">
      <c r="A255" s="50"/>
    </row>
    <row r="256" spans="1:1">
      <c r="A256" s="50"/>
    </row>
    <row r="257" spans="1:1">
      <c r="A257" s="50"/>
    </row>
    <row r="258" spans="1:1">
      <c r="A258" s="50"/>
    </row>
    <row r="259" spans="1:1">
      <c r="A259" s="50"/>
    </row>
    <row r="260" spans="1:1">
      <c r="A260" s="50"/>
    </row>
    <row r="261" spans="1:1">
      <c r="A261" s="50"/>
    </row>
    <row r="262" spans="1:1">
      <c r="A262" s="50"/>
    </row>
    <row r="263" spans="1:1">
      <c r="A263" s="50"/>
    </row>
    <row r="264" spans="1:1">
      <c r="A264" s="50"/>
    </row>
    <row r="265" spans="1:1">
      <c r="A265" s="50"/>
    </row>
    <row r="266" spans="1:1">
      <c r="A266" s="50"/>
    </row>
    <row r="267" spans="1:1">
      <c r="A267" s="50"/>
    </row>
    <row r="268" spans="1:1">
      <c r="A268" s="50"/>
    </row>
    <row r="269" spans="1:1">
      <c r="A269" s="50"/>
    </row>
    <row r="270" spans="1:1">
      <c r="A270" s="50"/>
    </row>
    <row r="271" spans="1:1">
      <c r="A271" s="50"/>
    </row>
    <row r="272" spans="1:1">
      <c r="A272" s="50"/>
    </row>
    <row r="273" spans="1:1">
      <c r="A273" s="50"/>
    </row>
    <row r="274" spans="1:1">
      <c r="A274" s="50"/>
    </row>
    <row r="275" spans="1:1">
      <c r="A275" s="50"/>
    </row>
    <row r="276" spans="1:1">
      <c r="A276" s="50"/>
    </row>
    <row r="277" spans="1:1">
      <c r="A277" s="50"/>
    </row>
    <row r="278" spans="1:1">
      <c r="A278" s="50"/>
    </row>
    <row r="279" spans="1:1">
      <c r="A279" s="50"/>
    </row>
    <row r="280" spans="1:1">
      <c r="A280" s="50"/>
    </row>
    <row r="281" spans="1:1">
      <c r="A281" s="50"/>
    </row>
    <row r="282" spans="1:1">
      <c r="A282" s="50"/>
    </row>
    <row r="283" spans="1:1">
      <c r="A283" s="50"/>
    </row>
    <row r="284" spans="1:1">
      <c r="A284" s="50"/>
    </row>
    <row r="285" spans="1:1">
      <c r="A285" s="50"/>
    </row>
    <row r="286" spans="1:1">
      <c r="A286" s="50"/>
    </row>
    <row r="287" spans="1:1">
      <c r="A287" s="50"/>
    </row>
    <row r="288" spans="1:1">
      <c r="A288" s="50"/>
    </row>
    <row r="289" spans="1:1">
      <c r="A289" s="50"/>
    </row>
    <row r="290" spans="1:1">
      <c r="A290" s="50"/>
    </row>
    <row r="291" spans="1:1">
      <c r="A291" s="50"/>
    </row>
    <row r="292" spans="1:1">
      <c r="A292" s="50"/>
    </row>
    <row r="293" spans="1:1">
      <c r="A293" s="50"/>
    </row>
    <row r="294" spans="1:1">
      <c r="A294" s="50"/>
    </row>
    <row r="295" spans="1:1">
      <c r="A295" s="50"/>
    </row>
    <row r="296" spans="1:1">
      <c r="A296" s="50"/>
    </row>
    <row r="297" spans="1:1">
      <c r="A297" s="50"/>
    </row>
    <row r="298" spans="1:1">
      <c r="A298" s="50"/>
    </row>
    <row r="299" spans="1:1">
      <c r="A299" s="50"/>
    </row>
    <row r="300" spans="1:1">
      <c r="A300" s="50"/>
    </row>
    <row r="301" spans="1:1">
      <c r="A301" s="50"/>
    </row>
    <row r="302" spans="1:1">
      <c r="A302" s="50"/>
    </row>
    <row r="303" spans="1:1">
      <c r="A303" s="50"/>
    </row>
    <row r="304" spans="1:1">
      <c r="A304" s="50"/>
    </row>
    <row r="305" spans="1:1">
      <c r="A305" s="50"/>
    </row>
    <row r="306" spans="1:1">
      <c r="A306" s="50"/>
    </row>
    <row r="307" spans="1:1">
      <c r="A307" s="50"/>
    </row>
    <row r="308" spans="1:1">
      <c r="A308" s="50"/>
    </row>
    <row r="309" spans="1:1">
      <c r="A309" s="50"/>
    </row>
    <row r="310" spans="1:1">
      <c r="A310" s="50"/>
    </row>
    <row r="311" spans="1:1">
      <c r="A311" s="50"/>
    </row>
    <row r="312" spans="1:1">
      <c r="A312" s="50"/>
    </row>
    <row r="313" spans="1:1">
      <c r="A313" s="50"/>
    </row>
    <row r="314" spans="1:1">
      <c r="A314" s="50"/>
    </row>
    <row r="315" spans="1:1">
      <c r="A315" s="50"/>
    </row>
    <row r="316" spans="1:1">
      <c r="A316" s="50"/>
    </row>
    <row r="317" spans="1:1">
      <c r="A317" s="50"/>
    </row>
    <row r="318" spans="1:1">
      <c r="A318" s="50"/>
    </row>
    <row r="319" spans="1:1">
      <c r="A319" s="50"/>
    </row>
    <row r="320" spans="1:1">
      <c r="A320" s="50"/>
    </row>
    <row r="321" spans="1:1">
      <c r="A321" s="50"/>
    </row>
    <row r="322" spans="1:1">
      <c r="A322" s="50"/>
    </row>
    <row r="323" spans="1:1">
      <c r="A323" s="50"/>
    </row>
    <row r="324" spans="1:1">
      <c r="A324" s="50"/>
    </row>
    <row r="325" spans="1:1">
      <c r="A325" s="50"/>
    </row>
    <row r="326" spans="1:1">
      <c r="A326" s="50"/>
    </row>
    <row r="327" spans="1:1">
      <c r="A327" s="50"/>
    </row>
    <row r="328" spans="1:1">
      <c r="A328" s="50"/>
    </row>
    <row r="329" spans="1:1">
      <c r="A329" s="50"/>
    </row>
    <row r="330" spans="1:1">
      <c r="A330" s="50"/>
    </row>
    <row r="331" spans="1:1">
      <c r="A331" s="50"/>
    </row>
    <row r="332" spans="1:1">
      <c r="A332" s="50"/>
    </row>
    <row r="333" spans="1:1">
      <c r="A333" s="50"/>
    </row>
    <row r="334" spans="1:1">
      <c r="A334" s="50"/>
    </row>
    <row r="335" spans="1:1">
      <c r="A335" s="50"/>
    </row>
    <row r="336" spans="1:1">
      <c r="A336" s="50"/>
    </row>
    <row r="337" spans="1:1">
      <c r="A337" s="50"/>
    </row>
    <row r="338" spans="1:1">
      <c r="A338" s="50"/>
    </row>
    <row r="339" spans="1:1">
      <c r="A339" s="50"/>
    </row>
    <row r="340" spans="1:1">
      <c r="A340" s="50"/>
    </row>
    <row r="341" spans="1:1">
      <c r="A341" s="50"/>
    </row>
    <row r="342" spans="1:1">
      <c r="A342" s="50"/>
    </row>
    <row r="343" spans="1:1">
      <c r="A343" s="50"/>
    </row>
    <row r="344" spans="1:1">
      <c r="A344" s="50"/>
    </row>
    <row r="345" spans="1:1">
      <c r="A345" s="50"/>
    </row>
    <row r="346" spans="1:1">
      <c r="A346" s="50"/>
    </row>
    <row r="347" spans="1:1">
      <c r="A347" s="50"/>
    </row>
    <row r="348" spans="1:1">
      <c r="A348" s="50"/>
    </row>
    <row r="349" spans="1:1">
      <c r="A349" s="50"/>
    </row>
    <row r="350" spans="1:1">
      <c r="A350" s="50"/>
    </row>
    <row r="351" spans="1:1">
      <c r="A351" s="50"/>
    </row>
    <row r="352" spans="1:1">
      <c r="A352" s="50"/>
    </row>
    <row r="353" spans="1:1">
      <c r="A353" s="50"/>
    </row>
    <row r="354" spans="1:1">
      <c r="A354" s="50"/>
    </row>
    <row r="355" spans="1:1">
      <c r="A355" s="50"/>
    </row>
    <row r="356" spans="1:1">
      <c r="A356" s="50"/>
    </row>
    <row r="357" spans="1:1">
      <c r="A357" s="50"/>
    </row>
    <row r="358" spans="1:1">
      <c r="A358" s="50"/>
    </row>
    <row r="359" spans="1:1">
      <c r="A359" s="50"/>
    </row>
    <row r="360" spans="1:1">
      <c r="A360" s="50"/>
    </row>
    <row r="361" spans="1:1">
      <c r="A361" s="50"/>
    </row>
    <row r="362" spans="1:1">
      <c r="A362" s="50"/>
    </row>
    <row r="363" spans="1:1">
      <c r="A363" s="50"/>
    </row>
    <row r="364" spans="1:1">
      <c r="A364" s="50"/>
    </row>
    <row r="365" spans="1:1">
      <c r="A365" s="50"/>
    </row>
    <row r="366" spans="1:1">
      <c r="A366" s="50"/>
    </row>
    <row r="367" spans="1:1">
      <c r="A367" s="50"/>
    </row>
    <row r="368" spans="1:1">
      <c r="A368" s="50"/>
    </row>
    <row r="369" spans="1:1">
      <c r="A369" s="50"/>
    </row>
    <row r="370" spans="1:1">
      <c r="A370" s="50"/>
    </row>
    <row r="371" spans="1:1">
      <c r="A371" s="50"/>
    </row>
    <row r="372" spans="1:1">
      <c r="A372" s="50"/>
    </row>
    <row r="373" spans="1:1">
      <c r="A373" s="50"/>
    </row>
    <row r="374" spans="1:1">
      <c r="A374" s="50"/>
    </row>
    <row r="375" spans="1:1">
      <c r="A375" s="50"/>
    </row>
    <row r="376" spans="1:1">
      <c r="A376" s="50"/>
    </row>
    <row r="377" spans="1:1">
      <c r="A377" s="50"/>
    </row>
    <row r="378" spans="1:1">
      <c r="A378" s="50"/>
    </row>
    <row r="379" spans="1:1">
      <c r="A379" s="50"/>
    </row>
    <row r="380" spans="1:1">
      <c r="A380" s="50"/>
    </row>
    <row r="381" spans="1:1">
      <c r="A381" s="50"/>
    </row>
    <row r="382" spans="1:1">
      <c r="A382" s="50"/>
    </row>
    <row r="383" spans="1:1">
      <c r="A383" s="50"/>
    </row>
    <row r="384" spans="1:1">
      <c r="A384" s="50"/>
    </row>
    <row r="385" spans="1:1">
      <c r="A385" s="50"/>
    </row>
    <row r="386" spans="1:1">
      <c r="A386" s="50"/>
    </row>
    <row r="387" spans="1:1">
      <c r="A387" s="50"/>
    </row>
    <row r="388" spans="1:1">
      <c r="A388" s="50"/>
    </row>
    <row r="389" spans="1:1">
      <c r="A389" s="50"/>
    </row>
    <row r="390" spans="1:1">
      <c r="A390" s="50"/>
    </row>
    <row r="391" spans="1:1">
      <c r="A391" s="50"/>
    </row>
    <row r="392" spans="1:1">
      <c r="A392" s="50"/>
    </row>
    <row r="393" spans="1:1">
      <c r="A393" s="50"/>
    </row>
    <row r="394" spans="1:1">
      <c r="A394" s="50"/>
    </row>
    <row r="395" spans="1:1">
      <c r="A395" s="50"/>
    </row>
    <row r="396" spans="1:1">
      <c r="A396" s="50"/>
    </row>
    <row r="397" spans="1:1">
      <c r="A397" s="50"/>
    </row>
    <row r="398" spans="1:1">
      <c r="A398" s="50"/>
    </row>
    <row r="399" spans="1:1">
      <c r="A399" s="50"/>
    </row>
    <row r="400" spans="1:1">
      <c r="A400" s="50"/>
    </row>
    <row r="401" spans="1:1">
      <c r="A401" s="50"/>
    </row>
    <row r="402" spans="1:1">
      <c r="A402" s="50"/>
    </row>
    <row r="403" spans="1:1">
      <c r="A403" s="50"/>
    </row>
    <row r="404" spans="1:1">
      <c r="A404" s="50"/>
    </row>
    <row r="405" spans="1:1">
      <c r="A405" s="50"/>
    </row>
    <row r="406" spans="1:1">
      <c r="A406" s="50"/>
    </row>
    <row r="407" spans="1:1">
      <c r="A407" s="50"/>
    </row>
    <row r="408" spans="1:1">
      <c r="A408" s="50"/>
    </row>
    <row r="409" spans="1:1">
      <c r="A409" s="50"/>
    </row>
    <row r="410" spans="1:1">
      <c r="A410" s="50"/>
    </row>
    <row r="411" spans="1:1">
      <c r="A411" s="50"/>
    </row>
    <row r="412" spans="1:1">
      <c r="A412" s="50"/>
    </row>
    <row r="413" spans="1:1">
      <c r="A413" s="50"/>
    </row>
    <row r="414" spans="1:1">
      <c r="A414" s="50"/>
    </row>
    <row r="415" spans="1:1">
      <c r="A415" s="50"/>
    </row>
    <row r="416" spans="1:1">
      <c r="A416" s="50"/>
    </row>
    <row r="417" spans="1:1">
      <c r="A417" s="50"/>
    </row>
    <row r="418" spans="1:1">
      <c r="A418" s="50"/>
    </row>
    <row r="419" spans="1:1">
      <c r="A419" s="50"/>
    </row>
    <row r="420" spans="1:1">
      <c r="A420" s="50"/>
    </row>
    <row r="421" spans="1:1">
      <c r="A421" s="50"/>
    </row>
    <row r="422" spans="1:1">
      <c r="A422" s="50"/>
    </row>
    <row r="423" spans="1:1">
      <c r="A423" s="50"/>
    </row>
    <row r="424" spans="1:1">
      <c r="A424" s="50"/>
    </row>
    <row r="425" spans="1:1">
      <c r="A425" s="50"/>
    </row>
    <row r="426" spans="1:1">
      <c r="A426" s="50"/>
    </row>
    <row r="427" spans="1:1">
      <c r="A427" s="50"/>
    </row>
    <row r="428" spans="1:1">
      <c r="A428" s="50"/>
    </row>
    <row r="429" spans="1:1">
      <c r="A429" s="50"/>
    </row>
    <row r="430" spans="1:1">
      <c r="A430" s="50"/>
    </row>
    <row r="431" spans="1:1">
      <c r="A431" s="50"/>
    </row>
    <row r="432" spans="1:1">
      <c r="A432" s="50"/>
    </row>
    <row r="433" spans="1:1">
      <c r="A433" s="50"/>
    </row>
    <row r="434" spans="1:1">
      <c r="A434" s="50"/>
    </row>
    <row r="435" spans="1:1">
      <c r="A435" s="50"/>
    </row>
    <row r="436" spans="1:1">
      <c r="A436" s="50"/>
    </row>
    <row r="437" spans="1:1">
      <c r="A437" s="50"/>
    </row>
    <row r="438" spans="1:1">
      <c r="A438" s="50"/>
    </row>
    <row r="439" spans="1:1">
      <c r="A439" s="50"/>
    </row>
    <row r="440" spans="1:1">
      <c r="A440" s="50"/>
    </row>
    <row r="441" spans="1:1">
      <c r="A441" s="50"/>
    </row>
    <row r="442" spans="1:1">
      <c r="A442" s="50"/>
    </row>
    <row r="443" spans="1:1">
      <c r="A443" s="50"/>
    </row>
    <row r="444" spans="1:1">
      <c r="A444" s="50"/>
    </row>
    <row r="445" spans="1:1">
      <c r="A445" s="50"/>
    </row>
    <row r="446" spans="1:1">
      <c r="A446" s="50"/>
    </row>
    <row r="447" spans="1:1">
      <c r="A447" s="50"/>
    </row>
    <row r="448" spans="1:1">
      <c r="A448" s="50"/>
    </row>
    <row r="449" spans="1:1">
      <c r="A449" s="50"/>
    </row>
    <row r="450" spans="1:1">
      <c r="A450" s="50"/>
    </row>
    <row r="451" spans="1:1">
      <c r="A451" s="50"/>
    </row>
    <row r="452" spans="1:1">
      <c r="A452" s="50"/>
    </row>
    <row r="453" spans="1:1">
      <c r="A453" s="50"/>
    </row>
    <row r="454" spans="1:1">
      <c r="A454" s="50"/>
    </row>
    <row r="455" spans="1:1">
      <c r="A455" s="50"/>
    </row>
    <row r="456" spans="1:1">
      <c r="A456" s="50"/>
    </row>
    <row r="457" spans="1:1">
      <c r="A457" s="50"/>
    </row>
    <row r="458" spans="1:1">
      <c r="A458" s="50"/>
    </row>
    <row r="459" spans="1:1">
      <c r="A459" s="50"/>
    </row>
    <row r="460" spans="1:1">
      <c r="A460" s="50"/>
    </row>
    <row r="461" spans="1:1">
      <c r="A461" s="50"/>
    </row>
    <row r="462" spans="1:1">
      <c r="A462" s="50"/>
    </row>
    <row r="463" spans="1:1">
      <c r="A463" s="50"/>
    </row>
    <row r="464" spans="1:1">
      <c r="A464" s="50"/>
    </row>
    <row r="465" spans="1:1">
      <c r="A465" s="50"/>
    </row>
    <row r="466" spans="1:1">
      <c r="A466" s="50"/>
    </row>
    <row r="467" spans="1:1">
      <c r="A467" s="50"/>
    </row>
    <row r="468" spans="1:1">
      <c r="A468" s="50"/>
    </row>
    <row r="469" spans="1:1">
      <c r="A469" s="50"/>
    </row>
    <row r="470" spans="1:1">
      <c r="A470" s="50"/>
    </row>
    <row r="471" spans="1:1">
      <c r="A471" s="50"/>
    </row>
    <row r="472" spans="1:1">
      <c r="A472" s="50"/>
    </row>
    <row r="473" spans="1:1">
      <c r="A473" s="50"/>
    </row>
    <row r="474" spans="1:1">
      <c r="A474" s="50"/>
    </row>
    <row r="475" spans="1:1">
      <c r="A475" s="50"/>
    </row>
    <row r="476" spans="1:1">
      <c r="A476" s="50"/>
    </row>
    <row r="477" spans="1:1">
      <c r="A477" s="50"/>
    </row>
    <row r="478" spans="1:1">
      <c r="A478" s="50"/>
    </row>
    <row r="479" spans="1:1">
      <c r="A479" s="50"/>
    </row>
    <row r="480" spans="1:1">
      <c r="A480" s="50"/>
    </row>
    <row r="481" spans="1:1">
      <c r="A481" s="50"/>
    </row>
    <row r="482" spans="1:1">
      <c r="A482" s="50"/>
    </row>
    <row r="483" spans="1:1">
      <c r="A483" s="50"/>
    </row>
    <row r="484" spans="1:1">
      <c r="A484" s="50"/>
    </row>
    <row r="485" spans="1:1">
      <c r="A485" s="50"/>
    </row>
    <row r="486" spans="1:1">
      <c r="A486" s="50"/>
    </row>
    <row r="487" spans="1:1">
      <c r="A487" s="50"/>
    </row>
    <row r="488" spans="1:1">
      <c r="A488" s="50"/>
    </row>
    <row r="489" spans="1:1">
      <c r="A489" s="50"/>
    </row>
    <row r="490" spans="1:1">
      <c r="A490" s="50"/>
    </row>
    <row r="491" spans="1:1">
      <c r="A491" s="50"/>
    </row>
    <row r="492" spans="1:1">
      <c r="A492" s="50"/>
    </row>
    <row r="493" spans="1:1">
      <c r="A493" s="50"/>
    </row>
    <row r="494" spans="1:1">
      <c r="A494" s="50"/>
    </row>
    <row r="495" spans="1:1">
      <c r="A495" s="50"/>
    </row>
    <row r="496" spans="1:1">
      <c r="A496" s="50"/>
    </row>
    <row r="497" spans="1:1">
      <c r="A497" s="50"/>
    </row>
    <row r="498" spans="1:1">
      <c r="A498" s="50"/>
    </row>
    <row r="499" spans="1:1">
      <c r="A499" s="50"/>
    </row>
    <row r="500" spans="1:1">
      <c r="A500" s="50"/>
    </row>
    <row r="501" spans="1:1">
      <c r="A501" s="50"/>
    </row>
    <row r="502" spans="1:1">
      <c r="A502" s="50"/>
    </row>
    <row r="503" spans="1:1">
      <c r="A503" s="50"/>
    </row>
    <row r="504" spans="1:1">
      <c r="A504" s="50"/>
    </row>
    <row r="505" spans="1:1">
      <c r="A505" s="50"/>
    </row>
    <row r="506" spans="1:1">
      <c r="A506" s="50"/>
    </row>
    <row r="507" spans="1:1">
      <c r="A507" s="50"/>
    </row>
    <row r="508" spans="1:1">
      <c r="A508" s="50"/>
    </row>
    <row r="509" spans="1:1">
      <c r="A509" s="50"/>
    </row>
    <row r="510" spans="1:1">
      <c r="A510" s="50"/>
    </row>
    <row r="511" spans="1:1">
      <c r="A511" s="50"/>
    </row>
    <row r="512" spans="1:1">
      <c r="A512" s="50"/>
    </row>
    <row r="513" spans="1:1">
      <c r="A513" s="50"/>
    </row>
    <row r="514" spans="1:1">
      <c r="A514" s="50"/>
    </row>
    <row r="515" spans="1:1">
      <c r="A515" s="50"/>
    </row>
    <row r="516" spans="1:1">
      <c r="A516" s="50"/>
    </row>
    <row r="517" spans="1:1">
      <c r="A517" s="50"/>
    </row>
    <row r="518" spans="1:1">
      <c r="A518" s="50"/>
    </row>
    <row r="519" spans="1:1">
      <c r="A519" s="50"/>
    </row>
    <row r="520" spans="1:1">
      <c r="A520" s="50"/>
    </row>
    <row r="521" spans="1:1">
      <c r="A521" s="50"/>
    </row>
    <row r="522" spans="1:1">
      <c r="A522" s="50"/>
    </row>
    <row r="523" spans="1:1">
      <c r="A523" s="50"/>
    </row>
    <row r="524" spans="1:1">
      <c r="A524" s="50"/>
    </row>
    <row r="525" spans="1:1">
      <c r="A525" s="50"/>
    </row>
    <row r="526" spans="1:1">
      <c r="A526" s="50"/>
    </row>
    <row r="527" spans="1:1">
      <c r="A527" s="50"/>
    </row>
    <row r="528" spans="1:1">
      <c r="A528" s="50"/>
    </row>
    <row r="529" spans="1:1">
      <c r="A529" s="50"/>
    </row>
    <row r="530" spans="1:1">
      <c r="A530" s="50"/>
    </row>
    <row r="531" spans="1:1">
      <c r="A531" s="50"/>
    </row>
    <row r="532" spans="1:1">
      <c r="A532" s="50"/>
    </row>
    <row r="533" spans="1:1">
      <c r="A533" s="50"/>
    </row>
    <row r="534" spans="1:1">
      <c r="A534" s="50"/>
    </row>
    <row r="535" spans="1:1">
      <c r="A535" s="50"/>
    </row>
    <row r="536" spans="1:1">
      <c r="A536" s="50"/>
    </row>
    <row r="537" spans="1:1">
      <c r="A537" s="50"/>
    </row>
    <row r="538" spans="1:1">
      <c r="A538" s="50"/>
    </row>
    <row r="539" spans="1:1">
      <c r="A539" s="50"/>
    </row>
    <row r="540" spans="1:1">
      <c r="A540" s="50"/>
    </row>
    <row r="541" spans="1:1">
      <c r="A541" s="50"/>
    </row>
    <row r="542" spans="1:1">
      <c r="A542" s="50"/>
    </row>
    <row r="543" spans="1:1">
      <c r="A543" s="50"/>
    </row>
    <row r="544" spans="1:1">
      <c r="A544" s="50"/>
    </row>
    <row r="545" spans="1:1">
      <c r="A545" s="50"/>
    </row>
    <row r="546" spans="1:1">
      <c r="A546" s="50"/>
    </row>
    <row r="547" spans="1:1">
      <c r="A547" s="50"/>
    </row>
    <row r="548" spans="1:1">
      <c r="A548" s="50"/>
    </row>
    <row r="549" spans="1:1">
      <c r="A549" s="50"/>
    </row>
    <row r="550" spans="1:1">
      <c r="A550" s="50"/>
    </row>
    <row r="551" spans="1:1">
      <c r="A551" s="50"/>
    </row>
    <row r="552" spans="1:1">
      <c r="A552" s="50"/>
    </row>
    <row r="553" spans="1:1">
      <c r="A553" s="50"/>
    </row>
    <row r="554" spans="1:1">
      <c r="A554" s="50"/>
    </row>
    <row r="555" spans="1:1">
      <c r="A555" s="50"/>
    </row>
    <row r="556" spans="1:1">
      <c r="A556" s="50"/>
    </row>
    <row r="557" spans="1:1">
      <c r="A557" s="50"/>
    </row>
    <row r="558" spans="1:1">
      <c r="A558" s="50"/>
    </row>
    <row r="559" spans="1:1">
      <c r="A559" s="50"/>
    </row>
    <row r="560" spans="1:1">
      <c r="A560" s="50"/>
    </row>
    <row r="561" spans="1:1">
      <c r="A561" s="50"/>
    </row>
    <row r="562" spans="1:1">
      <c r="A562" s="50"/>
    </row>
    <row r="563" spans="1:1">
      <c r="A563" s="50"/>
    </row>
    <row r="564" spans="1:1">
      <c r="A564" s="50"/>
    </row>
    <row r="565" spans="1:1">
      <c r="A565" s="50"/>
    </row>
    <row r="566" spans="1:1">
      <c r="A566" s="50"/>
    </row>
    <row r="567" spans="1:1">
      <c r="A567" s="50"/>
    </row>
    <row r="568" spans="1:1">
      <c r="A568" s="50"/>
    </row>
    <row r="569" spans="1:1">
      <c r="A569" s="50"/>
    </row>
    <row r="570" spans="1:1">
      <c r="A570" s="50"/>
    </row>
    <row r="571" spans="1:1">
      <c r="A571" s="50"/>
    </row>
    <row r="572" spans="1:1">
      <c r="A572" s="50"/>
    </row>
    <row r="573" spans="1:1">
      <c r="A573" s="50"/>
    </row>
    <row r="574" spans="1:1">
      <c r="A574" s="50"/>
    </row>
    <row r="575" spans="1:1">
      <c r="A575" s="50"/>
    </row>
    <row r="576" spans="1:1">
      <c r="A576" s="50"/>
    </row>
    <row r="577" spans="1:1">
      <c r="A577" s="50"/>
    </row>
    <row r="578" spans="1:1">
      <c r="A578" s="50"/>
    </row>
    <row r="579" spans="1:1">
      <c r="A579" s="50"/>
    </row>
    <row r="580" spans="1:1">
      <c r="A580" s="50"/>
    </row>
    <row r="581" spans="1:1">
      <c r="A581" s="50"/>
    </row>
    <row r="582" spans="1:1">
      <c r="A582" s="50"/>
    </row>
    <row r="583" spans="1:1">
      <c r="A583" s="50"/>
    </row>
    <row r="584" spans="1:1">
      <c r="A584" s="50"/>
    </row>
    <row r="585" spans="1:1">
      <c r="A585" s="50"/>
    </row>
    <row r="586" spans="1:1">
      <c r="A586" s="50"/>
    </row>
    <row r="587" spans="1:1">
      <c r="A587" s="50"/>
    </row>
    <row r="588" spans="1:1">
      <c r="A588" s="50"/>
    </row>
    <row r="589" spans="1:1">
      <c r="A589" s="50"/>
    </row>
    <row r="590" spans="1:1">
      <c r="A590" s="50"/>
    </row>
    <row r="591" spans="1:1">
      <c r="A591" s="50"/>
    </row>
    <row r="592" spans="1:1">
      <c r="A592" s="50"/>
    </row>
    <row r="593" spans="1:1">
      <c r="A593" s="50"/>
    </row>
    <row r="594" spans="1:1">
      <c r="A594" s="50"/>
    </row>
    <row r="595" spans="1:1">
      <c r="A595" s="50"/>
    </row>
    <row r="596" spans="1:1">
      <c r="A596" s="50"/>
    </row>
    <row r="597" spans="1:1">
      <c r="A597" s="50"/>
    </row>
    <row r="598" spans="1:1">
      <c r="A598" s="50"/>
    </row>
    <row r="599" spans="1:1">
      <c r="A599" s="50"/>
    </row>
    <row r="600" spans="1:1">
      <c r="A600" s="50"/>
    </row>
    <row r="601" spans="1:1">
      <c r="A601" s="50"/>
    </row>
    <row r="602" spans="1:1">
      <c r="A602" s="50"/>
    </row>
    <row r="603" spans="1:1">
      <c r="A603" s="50"/>
    </row>
    <row r="604" spans="1:1">
      <c r="A604" s="50"/>
    </row>
    <row r="605" spans="1:1">
      <c r="A605" s="50"/>
    </row>
    <row r="606" spans="1:1">
      <c r="A606" s="50"/>
    </row>
    <row r="607" spans="1:1">
      <c r="A607" s="50"/>
    </row>
    <row r="608" spans="1:1">
      <c r="A608" s="50"/>
    </row>
    <row r="609" spans="1:1">
      <c r="A609" s="50"/>
    </row>
    <row r="610" spans="1:1">
      <c r="A610" s="50"/>
    </row>
    <row r="611" spans="1:1">
      <c r="A611" s="50"/>
    </row>
    <row r="612" spans="1:1">
      <c r="A612" s="50"/>
    </row>
    <row r="613" spans="1:1">
      <c r="A613" s="50"/>
    </row>
    <row r="614" spans="1:1">
      <c r="A614" s="50"/>
    </row>
    <row r="615" spans="1:1">
      <c r="A615" s="50"/>
    </row>
    <row r="616" spans="1:1">
      <c r="A616" s="50"/>
    </row>
    <row r="617" spans="1:1">
      <c r="A617" s="50"/>
    </row>
    <row r="618" spans="1:1">
      <c r="A618" s="50"/>
    </row>
    <row r="619" spans="1:1">
      <c r="A619" s="50"/>
    </row>
    <row r="620" spans="1:1">
      <c r="A620" s="50"/>
    </row>
    <row r="621" spans="1:1">
      <c r="A621" s="50"/>
    </row>
    <row r="622" spans="1:1">
      <c r="A622" s="50"/>
    </row>
    <row r="623" spans="1:1">
      <c r="A623" s="50"/>
    </row>
    <row r="624" spans="1:1">
      <c r="A624" s="50"/>
    </row>
    <row r="625" spans="1:1">
      <c r="A625" s="50"/>
    </row>
    <row r="626" spans="1:1">
      <c r="A626" s="50"/>
    </row>
    <row r="627" spans="1:1">
      <c r="A627" s="50"/>
    </row>
    <row r="628" spans="1:1">
      <c r="A628" s="50"/>
    </row>
    <row r="629" spans="1:1">
      <c r="A629" s="50"/>
    </row>
    <row r="630" spans="1:1">
      <c r="A630" s="50"/>
    </row>
    <row r="631" spans="1:1">
      <c r="A631" s="50"/>
    </row>
    <row r="632" spans="1:1">
      <c r="A632" s="50"/>
    </row>
    <row r="633" spans="1:1">
      <c r="A633" s="50"/>
    </row>
    <row r="634" spans="1:1">
      <c r="A634" s="50"/>
    </row>
    <row r="635" spans="1:1">
      <c r="A635" s="50"/>
    </row>
    <row r="636" spans="1:1">
      <c r="A636" s="50"/>
    </row>
    <row r="637" spans="1:1">
      <c r="A637" s="50"/>
    </row>
    <row r="638" spans="1:1">
      <c r="A638" s="50"/>
    </row>
    <row r="639" spans="1:1">
      <c r="A639" s="50"/>
    </row>
    <row r="640" spans="1:1">
      <c r="A640" s="50"/>
    </row>
    <row r="641" spans="1:1">
      <c r="A641" s="50"/>
    </row>
    <row r="642" spans="1:1">
      <c r="A642" s="50"/>
    </row>
    <row r="643" spans="1:1">
      <c r="A643" s="50"/>
    </row>
    <row r="644" spans="1:1">
      <c r="A644" s="50"/>
    </row>
    <row r="645" spans="1:1">
      <c r="A645" s="50"/>
    </row>
    <row r="646" spans="1:1">
      <c r="A646" s="50"/>
    </row>
    <row r="647" spans="1:1">
      <c r="A647" s="50"/>
    </row>
    <row r="648" spans="1:1">
      <c r="A648" s="50"/>
    </row>
    <row r="649" spans="1:1">
      <c r="A649" s="50"/>
    </row>
    <row r="650" spans="1:1">
      <c r="A650" s="50"/>
    </row>
    <row r="651" spans="1:1">
      <c r="A651" s="50"/>
    </row>
    <row r="652" spans="1:1">
      <c r="A652" s="50"/>
    </row>
    <row r="653" spans="1:1">
      <c r="A653" s="50"/>
    </row>
    <row r="654" spans="1:1">
      <c r="A654" s="50"/>
    </row>
    <row r="655" spans="1:1">
      <c r="A655" s="50"/>
    </row>
    <row r="656" spans="1:1">
      <c r="A656" s="50"/>
    </row>
    <row r="657" spans="1:1">
      <c r="A657" s="50"/>
    </row>
    <row r="658" spans="1:1">
      <c r="A658" s="50"/>
    </row>
    <row r="659" spans="1:1">
      <c r="A659" s="50"/>
    </row>
    <row r="660" spans="1:1">
      <c r="A660" s="50"/>
    </row>
    <row r="661" spans="1:1">
      <c r="A661" s="50"/>
    </row>
    <row r="662" spans="1:1">
      <c r="A662" s="50"/>
    </row>
    <row r="663" spans="1:1">
      <c r="A663" s="50"/>
    </row>
    <row r="664" spans="1:1">
      <c r="A664" s="50"/>
    </row>
    <row r="665" spans="1:1">
      <c r="A665" s="50"/>
    </row>
    <row r="666" spans="1:1">
      <c r="A666" s="50"/>
    </row>
    <row r="667" spans="1:1">
      <c r="A667" s="50"/>
    </row>
    <row r="668" spans="1:1">
      <c r="A668" s="50"/>
    </row>
    <row r="669" spans="1:1">
      <c r="A669" s="50"/>
    </row>
    <row r="670" spans="1:1">
      <c r="A670" s="50"/>
    </row>
    <row r="671" spans="1:1">
      <c r="A671" s="50"/>
    </row>
    <row r="672" spans="1:1">
      <c r="A672" s="50"/>
    </row>
    <row r="673" spans="1:1">
      <c r="A673" s="50"/>
    </row>
    <row r="674" spans="1:1">
      <c r="A674" s="50"/>
    </row>
    <row r="675" spans="1:1">
      <c r="A675" s="50"/>
    </row>
    <row r="676" spans="1:1">
      <c r="A676" s="50"/>
    </row>
    <row r="677" spans="1:1">
      <c r="A677" s="50"/>
    </row>
    <row r="678" spans="1:1">
      <c r="A678" s="50"/>
    </row>
    <row r="679" spans="1:1">
      <c r="A679" s="50"/>
    </row>
    <row r="680" spans="1:1">
      <c r="A680" s="50"/>
    </row>
    <row r="681" spans="1:1">
      <c r="A681" s="50"/>
    </row>
    <row r="682" spans="1:1">
      <c r="A682" s="50"/>
    </row>
    <row r="683" spans="1:1">
      <c r="A683" s="50"/>
    </row>
    <row r="684" spans="1:1">
      <c r="A684" s="50"/>
    </row>
    <row r="685" spans="1:1">
      <c r="A685" s="50"/>
    </row>
    <row r="686" spans="1:1">
      <c r="A686" s="50"/>
    </row>
    <row r="687" spans="1:1">
      <c r="A687" s="50"/>
    </row>
    <row r="688" spans="1:1">
      <c r="A688" s="50"/>
    </row>
    <row r="689" spans="1:1">
      <c r="A689" s="50"/>
    </row>
    <row r="690" spans="1:1">
      <c r="A690" s="50"/>
    </row>
    <row r="691" spans="1:1">
      <c r="A691" s="50"/>
    </row>
    <row r="692" spans="1:1">
      <c r="A692" s="50"/>
    </row>
    <row r="693" spans="1:1">
      <c r="A693" s="50"/>
    </row>
    <row r="694" spans="1:1">
      <c r="A694" s="50"/>
    </row>
    <row r="695" spans="1:1">
      <c r="A695" s="50"/>
    </row>
    <row r="696" spans="1:1">
      <c r="A696" s="50"/>
    </row>
    <row r="697" spans="1:1">
      <c r="A697" s="50"/>
    </row>
    <row r="698" spans="1:1">
      <c r="A698" s="50"/>
    </row>
    <row r="699" spans="1:1">
      <c r="A699" s="50"/>
    </row>
    <row r="700" spans="1:1">
      <c r="A700" s="50"/>
    </row>
    <row r="701" spans="1:1">
      <c r="A701" s="50"/>
    </row>
    <row r="702" spans="1:1">
      <c r="A702" s="50"/>
    </row>
    <row r="703" spans="1:1">
      <c r="A703" s="50"/>
    </row>
    <row r="704" spans="1:1">
      <c r="A704" s="50"/>
    </row>
    <row r="705" spans="1:1">
      <c r="A705" s="50"/>
    </row>
    <row r="706" spans="1:1">
      <c r="A706" s="50"/>
    </row>
    <row r="707" spans="1:1">
      <c r="A707" s="50"/>
    </row>
    <row r="708" spans="1:1">
      <c r="A708" s="50"/>
    </row>
    <row r="709" spans="1:1">
      <c r="A709" s="50"/>
    </row>
    <row r="710" spans="1:1">
      <c r="A710" s="50"/>
    </row>
    <row r="711" spans="1:1">
      <c r="A711" s="50"/>
    </row>
    <row r="712" spans="1:1">
      <c r="A712" s="50"/>
    </row>
    <row r="713" spans="1:1">
      <c r="A713" s="50"/>
    </row>
    <row r="714" spans="1:1">
      <c r="A714" s="50"/>
    </row>
    <row r="715" spans="1:1">
      <c r="A715" s="50"/>
    </row>
    <row r="716" spans="1:1">
      <c r="A716" s="50"/>
    </row>
    <row r="717" spans="1:1">
      <c r="A717" s="50"/>
    </row>
    <row r="718" spans="1:1">
      <c r="A718" s="50"/>
    </row>
    <row r="719" spans="1:1">
      <c r="A719" s="50"/>
    </row>
    <row r="720" spans="1:1">
      <c r="A720" s="50"/>
    </row>
    <row r="721" spans="1:1">
      <c r="A721" s="50"/>
    </row>
    <row r="722" spans="1:1">
      <c r="A722" s="50"/>
    </row>
    <row r="723" spans="1:1">
      <c r="A723" s="50"/>
    </row>
    <row r="724" spans="1:1">
      <c r="A724" s="50"/>
    </row>
    <row r="725" spans="1:1">
      <c r="A725" s="50"/>
    </row>
    <row r="726" spans="1:1">
      <c r="A726" s="50"/>
    </row>
    <row r="727" spans="1:1">
      <c r="A727" s="50"/>
    </row>
    <row r="728" spans="1:1">
      <c r="A728" s="50"/>
    </row>
    <row r="729" spans="1:1">
      <c r="A729" s="50"/>
    </row>
    <row r="730" spans="1:1">
      <c r="A730" s="50"/>
    </row>
    <row r="731" spans="1:1">
      <c r="A731" s="50"/>
    </row>
    <row r="732" spans="1:1">
      <c r="A732" s="50"/>
    </row>
    <row r="733" spans="1:1">
      <c r="A733" s="50"/>
    </row>
    <row r="734" spans="1:1">
      <c r="A734" s="50"/>
    </row>
    <row r="735" spans="1:1">
      <c r="A735" s="50"/>
    </row>
    <row r="736" spans="1:1">
      <c r="A736" s="50"/>
    </row>
    <row r="737" spans="1:1">
      <c r="A737" s="50"/>
    </row>
    <row r="738" spans="1:1">
      <c r="A738" s="50"/>
    </row>
    <row r="739" spans="1:1">
      <c r="A739" s="50"/>
    </row>
    <row r="740" spans="1:1">
      <c r="A740" s="50"/>
    </row>
    <row r="741" spans="1:1">
      <c r="A741" s="50"/>
    </row>
    <row r="742" spans="1:1">
      <c r="A742" s="50"/>
    </row>
    <row r="743" spans="1:1">
      <c r="A743" s="50"/>
    </row>
    <row r="744" spans="1:1">
      <c r="A744" s="50"/>
    </row>
    <row r="745" spans="1:1">
      <c r="A745" s="50"/>
    </row>
    <row r="746" spans="1:1">
      <c r="A746" s="50"/>
    </row>
    <row r="747" spans="1:1">
      <c r="A747" s="50"/>
    </row>
    <row r="748" spans="1:1">
      <c r="A748" s="50"/>
    </row>
    <row r="749" spans="1:1">
      <c r="A749" s="50"/>
    </row>
    <row r="750" spans="1:1">
      <c r="A750" s="50"/>
    </row>
    <row r="751" spans="1:1">
      <c r="A751" s="50"/>
    </row>
    <row r="752" spans="1:1">
      <c r="A752" s="50"/>
    </row>
    <row r="753" spans="1:1">
      <c r="A753" s="50"/>
    </row>
    <row r="754" spans="1:1">
      <c r="A754" s="50"/>
    </row>
    <row r="755" spans="1:1">
      <c r="A755" s="50"/>
    </row>
    <row r="756" spans="1:1">
      <c r="A756" s="50"/>
    </row>
    <row r="757" spans="1:1">
      <c r="A757" s="50"/>
    </row>
    <row r="758" spans="1:1">
      <c r="A758" s="50"/>
    </row>
    <row r="759" spans="1:1">
      <c r="A759" s="50"/>
    </row>
    <row r="760" spans="1:1">
      <c r="A760" s="50"/>
    </row>
    <row r="761" spans="1:1">
      <c r="A761" s="50"/>
    </row>
    <row r="762" spans="1:1">
      <c r="A762" s="50"/>
    </row>
    <row r="763" spans="1:1">
      <c r="A763" s="50"/>
    </row>
    <row r="764" spans="1:1">
      <c r="A764" s="50"/>
    </row>
    <row r="765" spans="1:1">
      <c r="A765" s="50"/>
    </row>
    <row r="766" spans="1:1">
      <c r="A766" s="50"/>
    </row>
    <row r="767" spans="1:1">
      <c r="A767" s="50"/>
    </row>
    <row r="768" spans="1:1">
      <c r="A768" s="50"/>
    </row>
    <row r="769" spans="1:1">
      <c r="A769" s="50"/>
    </row>
    <row r="770" spans="1:1">
      <c r="A770" s="50"/>
    </row>
    <row r="771" spans="1:1">
      <c r="A771" s="50"/>
    </row>
    <row r="772" spans="1:1">
      <c r="A772" s="50"/>
    </row>
    <row r="773" spans="1:1">
      <c r="A773" s="50"/>
    </row>
    <row r="774" spans="1:1">
      <c r="A774" s="50"/>
    </row>
    <row r="775" spans="1:1">
      <c r="A775" s="50"/>
    </row>
    <row r="776" spans="1:1">
      <c r="A776" s="50"/>
    </row>
    <row r="777" spans="1:1">
      <c r="A777" s="50"/>
    </row>
    <row r="778" spans="1:1">
      <c r="A778" s="50"/>
    </row>
    <row r="779" spans="1:1">
      <c r="A779" s="50"/>
    </row>
    <row r="780" spans="1:1">
      <c r="A780" s="50"/>
    </row>
    <row r="781" spans="1:1">
      <c r="A781" s="50"/>
    </row>
    <row r="782" spans="1:1">
      <c r="A782" s="50"/>
    </row>
    <row r="783" spans="1:1">
      <c r="A783" s="50"/>
    </row>
    <row r="784" spans="1:1">
      <c r="A784" s="50"/>
    </row>
    <row r="785" spans="1:1">
      <c r="A785" s="50"/>
    </row>
    <row r="786" spans="1:1">
      <c r="A786" s="50"/>
    </row>
    <row r="787" spans="1:1">
      <c r="A787" s="50"/>
    </row>
    <row r="788" spans="1:1">
      <c r="A788" s="50"/>
    </row>
    <row r="789" spans="1:1">
      <c r="A789" s="50"/>
    </row>
    <row r="790" spans="1:1">
      <c r="A790" s="50"/>
    </row>
    <row r="791" spans="1:1">
      <c r="A791" s="50"/>
    </row>
    <row r="792" spans="1:1">
      <c r="A792" s="50"/>
    </row>
    <row r="793" spans="1:1">
      <c r="A793" s="50"/>
    </row>
    <row r="794" spans="1:1">
      <c r="A794" s="50"/>
    </row>
    <row r="795" spans="1:1">
      <c r="A795" s="50"/>
    </row>
    <row r="796" spans="1:1">
      <c r="A796" s="50"/>
    </row>
    <row r="797" spans="1:1">
      <c r="A797" s="50"/>
    </row>
    <row r="798" spans="1:1">
      <c r="A798" s="50"/>
    </row>
    <row r="799" spans="1:1">
      <c r="A799" s="50"/>
    </row>
    <row r="800" spans="1:1">
      <c r="A800" s="50"/>
    </row>
    <row r="801" spans="1:1">
      <c r="A801" s="50"/>
    </row>
    <row r="802" spans="1:1">
      <c r="A802" s="50"/>
    </row>
    <row r="803" spans="1:1">
      <c r="A803" s="50"/>
    </row>
    <row r="804" spans="1:1">
      <c r="A804" s="50"/>
    </row>
    <row r="805" spans="1:1">
      <c r="A805" s="50"/>
    </row>
    <row r="806" spans="1:1">
      <c r="A806" s="50"/>
    </row>
    <row r="807" spans="1:1">
      <c r="A807" s="50"/>
    </row>
    <row r="808" spans="1:1">
      <c r="A808" s="50"/>
    </row>
    <row r="809" spans="1:1">
      <c r="A809" s="50"/>
    </row>
    <row r="810" spans="1:1">
      <c r="A810" s="50"/>
    </row>
    <row r="811" spans="1:1">
      <c r="A811" s="50"/>
    </row>
    <row r="812" spans="1:1">
      <c r="A812" s="50"/>
    </row>
    <row r="813" spans="1:1">
      <c r="A813" s="50"/>
    </row>
    <row r="814" spans="1:1">
      <c r="A814" s="50"/>
    </row>
    <row r="815" spans="1:1">
      <c r="A815" s="50"/>
    </row>
    <row r="816" spans="1:1">
      <c r="A816" s="50"/>
    </row>
    <row r="817" spans="1:1">
      <c r="A817" s="50"/>
    </row>
    <row r="818" spans="1:1">
      <c r="A818" s="50"/>
    </row>
    <row r="819" spans="1:1">
      <c r="A819" s="50"/>
    </row>
    <row r="820" spans="1:1">
      <c r="A820" s="50"/>
    </row>
    <row r="821" spans="1:1">
      <c r="A821" s="50"/>
    </row>
    <row r="822" spans="1:1">
      <c r="A822" s="50"/>
    </row>
    <row r="823" spans="1:1">
      <c r="A823" s="50"/>
    </row>
    <row r="824" spans="1:1">
      <c r="A824" s="50"/>
    </row>
    <row r="825" spans="1:1">
      <c r="A825" s="50"/>
    </row>
    <row r="826" spans="1:1">
      <c r="A826" s="50"/>
    </row>
    <row r="827" spans="1:1">
      <c r="A827" s="50"/>
    </row>
    <row r="828" spans="1:1">
      <c r="A828" s="50"/>
    </row>
    <row r="829" spans="1:1">
      <c r="A829" s="50"/>
    </row>
    <row r="830" spans="1:1">
      <c r="A830" s="50"/>
    </row>
    <row r="831" spans="1:1">
      <c r="A831" s="50"/>
    </row>
    <row r="832" spans="1:1">
      <c r="A832" s="50"/>
    </row>
    <row r="833" spans="1:1">
      <c r="A833" s="50"/>
    </row>
    <row r="834" spans="1:1">
      <c r="A834" s="50"/>
    </row>
    <row r="835" spans="1:1">
      <c r="A835" s="50"/>
    </row>
    <row r="836" spans="1:1">
      <c r="A836" s="50"/>
    </row>
    <row r="837" spans="1:1">
      <c r="A837" s="50"/>
    </row>
    <row r="838" spans="1:1">
      <c r="A838" s="50"/>
    </row>
    <row r="839" spans="1:1">
      <c r="A839" s="50"/>
    </row>
    <row r="840" spans="1:1">
      <c r="A840" s="50"/>
    </row>
    <row r="841" spans="1:1">
      <c r="A841" s="50"/>
    </row>
    <row r="842" spans="1:1">
      <c r="A842" s="50"/>
    </row>
    <row r="843" spans="1:1">
      <c r="A843" s="50"/>
    </row>
    <row r="844" spans="1:1">
      <c r="A844" s="50"/>
    </row>
    <row r="845" spans="1:1">
      <c r="A845" s="50"/>
    </row>
    <row r="846" spans="1:1">
      <c r="A846" s="50"/>
    </row>
    <row r="847" spans="1:1">
      <c r="A847" s="50"/>
    </row>
    <row r="848" spans="1:1">
      <c r="A848" s="50"/>
    </row>
    <row r="849" spans="1:1">
      <c r="A849" s="50"/>
    </row>
    <row r="850" spans="1:1">
      <c r="A850" s="50"/>
    </row>
    <row r="851" spans="1:1">
      <c r="A851" s="50"/>
    </row>
    <row r="852" spans="1:1">
      <c r="A852" s="50"/>
    </row>
    <row r="853" spans="1:1">
      <c r="A853" s="50"/>
    </row>
    <row r="854" spans="1:1">
      <c r="A854" s="50"/>
    </row>
    <row r="855" spans="1:1">
      <c r="A855" s="50"/>
    </row>
    <row r="856" spans="1:1">
      <c r="A856" s="50"/>
    </row>
    <row r="857" spans="1:1">
      <c r="A857" s="50"/>
    </row>
    <row r="858" spans="1:1">
      <c r="A858" s="50"/>
    </row>
    <row r="859" spans="1:1">
      <c r="A859" s="50"/>
    </row>
    <row r="860" spans="1:1">
      <c r="A860" s="50"/>
    </row>
    <row r="861" spans="1:1">
      <c r="A861" s="50"/>
    </row>
    <row r="862" spans="1:1">
      <c r="A862" s="50"/>
    </row>
    <row r="863" spans="1:1">
      <c r="A863" s="50"/>
    </row>
    <row r="864" spans="1:1">
      <c r="A864" s="50"/>
    </row>
    <row r="865" spans="1:1">
      <c r="A865" s="50"/>
    </row>
    <row r="866" spans="1:1">
      <c r="A866" s="50"/>
    </row>
    <row r="867" spans="1:1">
      <c r="A867" s="50"/>
    </row>
    <row r="868" spans="1:1">
      <c r="A868" s="50"/>
    </row>
    <row r="869" spans="1:1">
      <c r="A869" s="50"/>
    </row>
    <row r="870" spans="1:1">
      <c r="A870" s="50"/>
    </row>
    <row r="871" spans="1:1">
      <c r="A871" s="50"/>
    </row>
    <row r="872" spans="1:1">
      <c r="A872" s="50"/>
    </row>
    <row r="873" spans="1:1">
      <c r="A873" s="50"/>
    </row>
    <row r="874" spans="1:1">
      <c r="A874" s="50"/>
    </row>
    <row r="875" spans="1:1">
      <c r="A875" s="50"/>
    </row>
    <row r="876" spans="1:1">
      <c r="A876" s="50"/>
    </row>
    <row r="877" spans="1:1">
      <c r="A877" s="50"/>
    </row>
    <row r="878" spans="1:1">
      <c r="A878" s="50"/>
    </row>
    <row r="879" spans="1:1">
      <c r="A879" s="50"/>
    </row>
    <row r="880" spans="1:1">
      <c r="A880" s="50"/>
    </row>
    <row r="881" spans="1:1">
      <c r="A881" s="50"/>
    </row>
    <row r="882" spans="1:1">
      <c r="A882" s="50"/>
    </row>
    <row r="883" spans="1:1">
      <c r="A883" s="50"/>
    </row>
    <row r="884" spans="1:1">
      <c r="A884" s="50"/>
    </row>
    <row r="885" spans="1:1">
      <c r="A885" s="50"/>
    </row>
    <row r="886" spans="1:1">
      <c r="A886" s="50"/>
    </row>
    <row r="887" spans="1:1">
      <c r="A887" s="50"/>
    </row>
    <row r="888" spans="1:1">
      <c r="A888" s="50"/>
    </row>
    <row r="889" spans="1:1">
      <c r="A889" s="50"/>
    </row>
    <row r="890" spans="1:1">
      <c r="A890" s="50"/>
    </row>
    <row r="891" spans="1:1">
      <c r="A891" s="50"/>
    </row>
    <row r="892" spans="1:1">
      <c r="A892" s="50"/>
    </row>
    <row r="893" spans="1:1">
      <c r="A893" s="50"/>
    </row>
    <row r="894" spans="1:1">
      <c r="A894" s="50"/>
    </row>
    <row r="895" spans="1:1">
      <c r="A895" s="50"/>
    </row>
    <row r="896" spans="1:1">
      <c r="A896" s="50"/>
    </row>
    <row r="897" spans="1:1">
      <c r="A897" s="50"/>
    </row>
    <row r="898" spans="1:1">
      <c r="A898" s="50"/>
    </row>
    <row r="899" spans="1:1">
      <c r="A899" s="50"/>
    </row>
    <row r="900" spans="1:1">
      <c r="A900" s="50"/>
    </row>
    <row r="901" spans="1:1">
      <c r="A901" s="50"/>
    </row>
    <row r="902" spans="1:1">
      <c r="A902" s="50"/>
    </row>
    <row r="903" spans="1:1">
      <c r="A903" s="50"/>
    </row>
    <row r="904" spans="1:1">
      <c r="A904" s="50"/>
    </row>
    <row r="905" spans="1:1">
      <c r="A905" s="50"/>
    </row>
    <row r="906" spans="1:1">
      <c r="A906" s="50"/>
    </row>
    <row r="907" spans="1:1">
      <c r="A907" s="50"/>
    </row>
    <row r="908" spans="1:1">
      <c r="A908" s="50"/>
    </row>
    <row r="909" spans="1:1">
      <c r="A909" s="50"/>
    </row>
    <row r="910" spans="1:1">
      <c r="A910" s="50"/>
    </row>
    <row r="911" spans="1:1">
      <c r="A911" s="50"/>
    </row>
    <row r="912" spans="1:1">
      <c r="A912" s="50"/>
    </row>
    <row r="913" spans="1:1">
      <c r="A913" s="50"/>
    </row>
    <row r="914" spans="1:1">
      <c r="A914" s="50"/>
    </row>
    <row r="915" spans="1:1">
      <c r="A915" s="50"/>
    </row>
    <row r="916" spans="1:1">
      <c r="A916" s="50"/>
    </row>
    <row r="917" spans="1:1">
      <c r="A917" s="50"/>
    </row>
    <row r="918" spans="1:1">
      <c r="A918" s="50"/>
    </row>
    <row r="919" spans="1:1">
      <c r="A919" s="50"/>
    </row>
    <row r="920" spans="1:1">
      <c r="A920" s="50"/>
    </row>
    <row r="921" spans="1:1">
      <c r="A921" s="50"/>
    </row>
    <row r="922" spans="1:1">
      <c r="A922" s="50"/>
    </row>
    <row r="923" spans="1:1">
      <c r="A923" s="50"/>
    </row>
    <row r="924" spans="1:1">
      <c r="A924" s="50"/>
    </row>
    <row r="925" spans="1:1">
      <c r="A925" s="50"/>
    </row>
    <row r="926" spans="1:1">
      <c r="A926" s="50"/>
    </row>
    <row r="927" spans="1:1">
      <c r="A927" s="50"/>
    </row>
    <row r="928" spans="1:1">
      <c r="A928" s="50"/>
    </row>
    <row r="929" spans="1:1">
      <c r="A929" s="50"/>
    </row>
    <row r="930" spans="1:1">
      <c r="A930" s="50"/>
    </row>
    <row r="931" spans="1:1">
      <c r="A931" s="50"/>
    </row>
    <row r="932" spans="1:1">
      <c r="A932" s="50"/>
    </row>
    <row r="933" spans="1:1">
      <c r="A933" s="50"/>
    </row>
    <row r="934" spans="1:1">
      <c r="A934" s="50"/>
    </row>
    <row r="935" spans="1:1">
      <c r="A935" s="50"/>
    </row>
    <row r="936" spans="1:1">
      <c r="A936" s="50"/>
    </row>
    <row r="937" spans="1:1">
      <c r="A937" s="50"/>
    </row>
    <row r="938" spans="1:1">
      <c r="A938" s="50"/>
    </row>
    <row r="939" spans="1:1">
      <c r="A939" s="50"/>
    </row>
    <row r="940" spans="1:1">
      <c r="A940" s="50"/>
    </row>
    <row r="941" spans="1:1">
      <c r="A941" s="50"/>
    </row>
    <row r="942" spans="1:1">
      <c r="A942" s="50"/>
    </row>
    <row r="943" spans="1:1">
      <c r="A943" s="50"/>
    </row>
    <row r="944" spans="1:1">
      <c r="A944" s="50"/>
    </row>
    <row r="945" spans="1:1">
      <c r="A945" s="50"/>
    </row>
    <row r="946" spans="1:1">
      <c r="A946" s="50"/>
    </row>
    <row r="947" spans="1:1">
      <c r="A947" s="50"/>
    </row>
    <row r="948" spans="1:1">
      <c r="A948" s="50"/>
    </row>
    <row r="949" spans="1:1">
      <c r="A949" s="50"/>
    </row>
    <row r="950" spans="1:1">
      <c r="A950" s="50"/>
    </row>
    <row r="951" spans="1:1">
      <c r="A951" s="50"/>
    </row>
    <row r="952" spans="1:1">
      <c r="A952" s="50"/>
    </row>
    <row r="953" spans="1:1">
      <c r="A953" s="50"/>
    </row>
    <row r="954" spans="1:1">
      <c r="A954" s="50"/>
    </row>
    <row r="955" spans="1:1">
      <c r="A955" s="50"/>
    </row>
    <row r="956" spans="1:1">
      <c r="A956" s="50"/>
    </row>
    <row r="957" spans="1:1">
      <c r="A957" s="50"/>
    </row>
    <row r="958" spans="1:1">
      <c r="A958" s="50"/>
    </row>
    <row r="959" spans="1:1">
      <c r="A959" s="50"/>
    </row>
    <row r="960" spans="1:1">
      <c r="A960" s="50"/>
    </row>
    <row r="961" spans="1:1">
      <c r="A961" s="50"/>
    </row>
    <row r="962" spans="1:1">
      <c r="A962" s="50"/>
    </row>
    <row r="963" spans="1:1">
      <c r="A963" s="50"/>
    </row>
    <row r="964" spans="1:1">
      <c r="A964" s="50"/>
    </row>
    <row r="965" spans="1:1">
      <c r="A965" s="50"/>
    </row>
    <row r="966" spans="1:1">
      <c r="A966" s="50"/>
    </row>
    <row r="967" spans="1:1">
      <c r="A967" s="50"/>
    </row>
    <row r="968" spans="1:1">
      <c r="A968" s="50"/>
    </row>
    <row r="969" spans="1:1">
      <c r="A969" s="50"/>
    </row>
    <row r="970" spans="1:1">
      <c r="A970" s="50"/>
    </row>
    <row r="971" spans="1:1">
      <c r="A971" s="50"/>
    </row>
    <row r="972" spans="1:1">
      <c r="A972" s="50"/>
    </row>
    <row r="973" spans="1:1">
      <c r="A973" s="50"/>
    </row>
    <row r="974" spans="1:1">
      <c r="A974" s="50"/>
    </row>
    <row r="975" spans="1:1">
      <c r="A975" s="50"/>
    </row>
    <row r="976" spans="1:1">
      <c r="A976" s="50"/>
    </row>
    <row r="977" spans="1:1">
      <c r="A977" s="50"/>
    </row>
    <row r="978" spans="1:1">
      <c r="A978" s="50"/>
    </row>
    <row r="979" spans="1:1">
      <c r="A979" s="50"/>
    </row>
    <row r="980" spans="1:1">
      <c r="A980" s="50"/>
    </row>
    <row r="981" spans="1:1">
      <c r="A981" s="50"/>
    </row>
    <row r="982" spans="1:1">
      <c r="A982" s="50"/>
    </row>
    <row r="983" spans="1:1">
      <c r="A983" s="50"/>
    </row>
    <row r="984" spans="1:1">
      <c r="A984" s="50"/>
    </row>
    <row r="985" spans="1:1">
      <c r="A985" s="50"/>
    </row>
    <row r="986" spans="1:1">
      <c r="A986" s="50"/>
    </row>
    <row r="987" spans="1:1">
      <c r="A987" s="50"/>
    </row>
    <row r="988" spans="1:1">
      <c r="A988" s="50"/>
    </row>
    <row r="989" spans="1:1">
      <c r="A989" s="50"/>
    </row>
    <row r="990" spans="1:1">
      <c r="A990" s="50"/>
    </row>
    <row r="991" spans="1:1">
      <c r="A991" s="50"/>
    </row>
    <row r="992" spans="1:1">
      <c r="A992" s="50"/>
    </row>
    <row r="993" spans="1:1">
      <c r="A993" s="50"/>
    </row>
    <row r="994" spans="1:1">
      <c r="A994" s="50"/>
    </row>
    <row r="995" spans="1:1">
      <c r="A995" s="50"/>
    </row>
    <row r="996" spans="1:1">
      <c r="A996" s="50"/>
    </row>
    <row r="997" spans="1:1">
      <c r="A997" s="50"/>
    </row>
    <row r="998" spans="1:1">
      <c r="A998" s="50"/>
    </row>
    <row r="999" spans="1:1">
      <c r="A999" s="50"/>
    </row>
    <row r="1000" spans="1:1">
      <c r="A1000" s="50"/>
    </row>
    <row r="1001" spans="1:1">
      <c r="A1001" s="50"/>
    </row>
    <row r="1002" spans="1:1">
      <c r="A1002" s="50"/>
    </row>
    <row r="1003" spans="1:1">
      <c r="A1003" s="50"/>
    </row>
    <row r="1004" spans="1:1">
      <c r="A1004" s="50"/>
    </row>
    <row r="1005" spans="1:1">
      <c r="A1005" s="50"/>
    </row>
    <row r="1006" spans="1:1">
      <c r="A1006" s="50"/>
    </row>
    <row r="1007" spans="1:1">
      <c r="A1007" s="50"/>
    </row>
    <row r="1008" spans="1:1">
      <c r="A1008" s="50"/>
    </row>
    <row r="1009" spans="1:1">
      <c r="A1009" s="50"/>
    </row>
    <row r="1010" spans="1:1">
      <c r="A1010" s="50"/>
    </row>
    <row r="1011" spans="1:1">
      <c r="A1011" s="50"/>
    </row>
    <row r="1012" spans="1:1">
      <c r="A1012" s="50"/>
    </row>
    <row r="1013" spans="1:1">
      <c r="A1013" s="50"/>
    </row>
    <row r="1014" spans="1:1">
      <c r="A1014" s="50"/>
    </row>
    <row r="1015" spans="1:1">
      <c r="A1015" s="50"/>
    </row>
    <row r="1016" spans="1:1">
      <c r="A1016" s="50"/>
    </row>
    <row r="1017" spans="1:1">
      <c r="A1017" s="50"/>
    </row>
    <row r="1018" spans="1:1">
      <c r="A1018" s="50"/>
    </row>
    <row r="1019" spans="1:1">
      <c r="A1019" s="50"/>
    </row>
    <row r="1020" spans="1:1">
      <c r="A1020" s="50"/>
    </row>
    <row r="1021" spans="1:1">
      <c r="A1021" s="50"/>
    </row>
    <row r="1022" spans="1:1">
      <c r="A1022" s="50"/>
    </row>
    <row r="1023" spans="1:1">
      <c r="A1023" s="50"/>
    </row>
    <row r="1024" spans="1:1">
      <c r="A1024" s="50"/>
    </row>
    <row r="1025" spans="1:1">
      <c r="A1025" s="50"/>
    </row>
    <row r="1026" spans="1:1">
      <c r="A1026" s="50"/>
    </row>
    <row r="1027" spans="1:1">
      <c r="A1027" s="50"/>
    </row>
    <row r="1028" spans="1:1">
      <c r="A1028" s="50"/>
    </row>
    <row r="1029" spans="1:1">
      <c r="A1029" s="50"/>
    </row>
    <row r="1030" spans="1:1">
      <c r="A1030" s="50"/>
    </row>
    <row r="1031" spans="1:1">
      <c r="A1031" s="50"/>
    </row>
    <row r="1032" spans="1:1">
      <c r="A1032" s="50"/>
    </row>
    <row r="1033" spans="1:1">
      <c r="A1033" s="50"/>
    </row>
    <row r="1034" spans="1:1">
      <c r="A1034" s="50"/>
    </row>
    <row r="1035" spans="1:1">
      <c r="A1035" s="50"/>
    </row>
    <row r="1036" spans="1:1">
      <c r="A1036" s="50"/>
    </row>
    <row r="1037" spans="1:1">
      <c r="A1037" s="50"/>
    </row>
    <row r="1038" spans="1:1">
      <c r="A1038" s="50"/>
    </row>
    <row r="1039" spans="1:1">
      <c r="A1039" s="50"/>
    </row>
    <row r="1040" spans="1:1">
      <c r="A1040" s="50"/>
    </row>
    <row r="1041" spans="1:1">
      <c r="A1041" s="50"/>
    </row>
    <row r="1042" spans="1:1">
      <c r="A1042" s="50"/>
    </row>
    <row r="1043" spans="1:1">
      <c r="A1043" s="50"/>
    </row>
    <row r="1044" spans="1:1">
      <c r="A1044" s="50"/>
    </row>
    <row r="1045" spans="1:1">
      <c r="A1045" s="50"/>
    </row>
    <row r="1046" spans="1:1">
      <c r="A1046" s="50"/>
    </row>
    <row r="1047" spans="1:1">
      <c r="A1047" s="50"/>
    </row>
    <row r="1048" spans="1:1">
      <c r="A1048" s="50"/>
    </row>
    <row r="1049" spans="1:1">
      <c r="A1049" s="50"/>
    </row>
    <row r="1050" spans="1:1">
      <c r="A1050" s="50"/>
    </row>
    <row r="1051" spans="1:1">
      <c r="A1051" s="50"/>
    </row>
    <row r="1052" spans="1:1">
      <c r="A1052" s="50"/>
    </row>
    <row r="1053" spans="1:1">
      <c r="A1053" s="50"/>
    </row>
    <row r="1054" spans="1:1">
      <c r="A1054" s="50"/>
    </row>
    <row r="1055" spans="1:1">
      <c r="A1055" s="50"/>
    </row>
    <row r="1056" spans="1:1">
      <c r="A1056" s="50"/>
    </row>
    <row r="1057" spans="1:1">
      <c r="A1057" s="50"/>
    </row>
    <row r="1058" spans="1:1">
      <c r="A1058" s="50"/>
    </row>
    <row r="1059" spans="1:1">
      <c r="A1059" s="50"/>
    </row>
    <row r="1060" spans="1:1">
      <c r="A1060" s="50"/>
    </row>
    <row r="1061" spans="1:1">
      <c r="A1061" s="50"/>
    </row>
    <row r="1062" spans="1:1">
      <c r="A1062" s="50"/>
    </row>
    <row r="1063" spans="1:1">
      <c r="A1063" s="50"/>
    </row>
    <row r="1064" spans="1:1">
      <c r="A1064" s="50"/>
    </row>
    <row r="1065" spans="1:1">
      <c r="A1065" s="50"/>
    </row>
    <row r="1066" spans="1:1">
      <c r="A1066" s="50"/>
    </row>
    <row r="1067" spans="1:1">
      <c r="A1067" s="50"/>
    </row>
    <row r="1068" spans="1:1">
      <c r="A1068" s="50"/>
    </row>
    <row r="1069" spans="1:1">
      <c r="A1069" s="50"/>
    </row>
    <row r="1070" spans="1:1">
      <c r="A1070" s="50"/>
    </row>
    <row r="1071" spans="1:1">
      <c r="A1071" s="50"/>
    </row>
    <row r="1072" spans="1:1">
      <c r="A1072" s="50"/>
    </row>
    <row r="1073" spans="1:1">
      <c r="A1073" s="50"/>
    </row>
    <row r="1074" spans="1:1">
      <c r="A1074" s="50"/>
    </row>
    <row r="1075" spans="1:1">
      <c r="A1075" s="50"/>
    </row>
    <row r="1076" spans="1:1">
      <c r="A1076" s="50"/>
    </row>
    <row r="1077" spans="1:1">
      <c r="A1077" s="50"/>
    </row>
    <row r="1078" spans="1:1">
      <c r="A1078" s="50"/>
    </row>
    <row r="1079" spans="1:1">
      <c r="A1079" s="50"/>
    </row>
    <row r="1080" spans="1:1">
      <c r="A1080" s="50"/>
    </row>
    <row r="1081" spans="1:1">
      <c r="A1081" s="50"/>
    </row>
    <row r="1082" spans="1:1">
      <c r="A1082" s="50"/>
    </row>
    <row r="1083" spans="1:1">
      <c r="A1083" s="50"/>
    </row>
    <row r="1084" spans="1:1">
      <c r="A1084" s="50"/>
    </row>
    <row r="1085" spans="1:1">
      <c r="A1085" s="50"/>
    </row>
    <row r="1086" spans="1:1">
      <c r="A1086" s="50"/>
    </row>
    <row r="1087" spans="1:1">
      <c r="A1087" s="50"/>
    </row>
    <row r="1088" spans="1:1">
      <c r="A1088" s="50"/>
    </row>
    <row r="1089" spans="1:1">
      <c r="A1089" s="50"/>
    </row>
    <row r="1090" spans="1:1">
      <c r="A1090" s="50"/>
    </row>
    <row r="1091" spans="1:1">
      <c r="A1091" s="50"/>
    </row>
    <row r="1092" spans="1:1">
      <c r="A1092" s="50"/>
    </row>
    <row r="1093" spans="1:1">
      <c r="A1093" s="50"/>
    </row>
    <row r="1094" spans="1:1">
      <c r="A1094" s="50"/>
    </row>
    <row r="1095" spans="1:1">
      <c r="A1095" s="50"/>
    </row>
    <row r="1096" spans="1:1">
      <c r="A1096" s="50"/>
    </row>
    <row r="1097" spans="1:1">
      <c r="A1097" s="50"/>
    </row>
    <row r="1098" spans="1:1">
      <c r="A1098" s="50"/>
    </row>
    <row r="1099" spans="1:1">
      <c r="A1099" s="50"/>
    </row>
    <row r="1100" spans="1:1">
      <c r="A1100" s="50"/>
    </row>
    <row r="1101" spans="1:1">
      <c r="A1101" s="50"/>
    </row>
    <row r="1102" spans="1:1">
      <c r="A1102" s="50"/>
    </row>
    <row r="1103" spans="1:1">
      <c r="A1103" s="50"/>
    </row>
    <row r="1104" spans="1:1">
      <c r="A1104" s="50"/>
    </row>
    <row r="1105" spans="1:1">
      <c r="A1105" s="50"/>
    </row>
    <row r="1106" spans="1:1">
      <c r="A1106" s="50"/>
    </row>
    <row r="1107" spans="1:1">
      <c r="A1107" s="50"/>
    </row>
    <row r="1108" spans="1:1">
      <c r="A1108" s="50"/>
    </row>
    <row r="1109" spans="1:1">
      <c r="A1109" s="50"/>
    </row>
    <row r="1110" spans="1:1">
      <c r="A1110" s="50"/>
    </row>
    <row r="1111" spans="1:1">
      <c r="A1111" s="50"/>
    </row>
    <row r="1112" spans="1:1">
      <c r="A1112" s="50"/>
    </row>
    <row r="1113" spans="1:1">
      <c r="A1113" s="50"/>
    </row>
    <row r="1114" spans="1:1">
      <c r="A1114" s="50"/>
    </row>
    <row r="1115" spans="1:1">
      <c r="A1115" s="50"/>
    </row>
    <row r="1116" spans="1:1">
      <c r="A1116" s="50"/>
    </row>
    <row r="1117" spans="1:1">
      <c r="A1117" s="50"/>
    </row>
    <row r="1118" spans="1:1">
      <c r="A1118" s="50"/>
    </row>
    <row r="1119" spans="1:1">
      <c r="A1119" s="50"/>
    </row>
    <row r="1120" spans="1:1">
      <c r="A1120" s="50"/>
    </row>
    <row r="1121" spans="1:1">
      <c r="A1121" s="50"/>
    </row>
    <row r="1122" spans="1:1">
      <c r="A1122" s="50"/>
    </row>
    <row r="1123" spans="1:1">
      <c r="A1123" s="50"/>
    </row>
    <row r="1124" spans="1:1">
      <c r="A1124" s="50"/>
    </row>
    <row r="1125" spans="1:1">
      <c r="A1125" s="50"/>
    </row>
    <row r="1126" spans="1:1">
      <c r="A1126" s="50"/>
    </row>
    <row r="1127" spans="1:1">
      <c r="A1127" s="50"/>
    </row>
    <row r="1128" spans="1:1">
      <c r="A1128" s="50"/>
    </row>
    <row r="1129" spans="1:1">
      <c r="A1129" s="50"/>
    </row>
    <row r="1130" spans="1:1">
      <c r="A1130" s="50"/>
    </row>
    <row r="1131" spans="1:1">
      <c r="A1131" s="50"/>
    </row>
    <row r="1132" spans="1:1">
      <c r="A1132" s="50"/>
    </row>
    <row r="1133" spans="1:1">
      <c r="A1133" s="50"/>
    </row>
    <row r="1134" spans="1:1">
      <c r="A1134" s="50"/>
    </row>
    <row r="1135" spans="1:1">
      <c r="A1135" s="50"/>
    </row>
    <row r="1136" spans="1:1">
      <c r="A1136" s="50"/>
    </row>
    <row r="1137" spans="1:1">
      <c r="A1137" s="50"/>
    </row>
    <row r="1138" spans="1:1">
      <c r="A1138" s="50"/>
    </row>
    <row r="1139" spans="1:1">
      <c r="A1139" s="50"/>
    </row>
    <row r="1140" spans="1:1">
      <c r="A1140" s="50"/>
    </row>
    <row r="1141" spans="1:1">
      <c r="A1141" s="50"/>
    </row>
    <row r="1142" spans="1:1">
      <c r="A1142" s="50"/>
    </row>
    <row r="1143" spans="1:1">
      <c r="A1143" s="50"/>
    </row>
    <row r="1144" spans="1:1">
      <c r="A1144" s="50"/>
    </row>
    <row r="1145" spans="1:1">
      <c r="A1145" s="50"/>
    </row>
    <row r="1146" spans="1:1">
      <c r="A1146" s="50"/>
    </row>
    <row r="1147" spans="1:1">
      <c r="A1147" s="50"/>
    </row>
    <row r="1148" spans="1:1">
      <c r="A1148" s="50"/>
    </row>
    <row r="1149" spans="1:1">
      <c r="A1149" s="50"/>
    </row>
    <row r="1150" spans="1:1">
      <c r="A1150" s="50"/>
    </row>
    <row r="1151" spans="1:1">
      <c r="A1151" s="50"/>
    </row>
    <row r="1152" spans="1:1">
      <c r="A1152" s="50"/>
    </row>
    <row r="1153" spans="1:1">
      <c r="A1153" s="50"/>
    </row>
    <row r="1154" spans="1:1">
      <c r="A1154" s="50"/>
    </row>
    <row r="1155" spans="1:1">
      <c r="A1155" s="50"/>
    </row>
    <row r="1156" spans="1:1">
      <c r="A1156" s="50"/>
    </row>
    <row r="1157" spans="1:1">
      <c r="A1157" s="50"/>
    </row>
    <row r="1158" spans="1:1">
      <c r="A1158" s="50"/>
    </row>
    <row r="1159" spans="1:1">
      <c r="A1159" s="50"/>
    </row>
    <row r="1160" spans="1:1">
      <c r="A1160" s="50"/>
    </row>
    <row r="1161" spans="1:1">
      <c r="A1161" s="50"/>
    </row>
    <row r="1162" spans="1:1">
      <c r="A1162" s="50"/>
    </row>
    <row r="1163" spans="1:1">
      <c r="A1163" s="50"/>
    </row>
    <row r="1164" spans="1:1">
      <c r="A1164" s="50"/>
    </row>
    <row r="1165" spans="1:1">
      <c r="A1165" s="50"/>
    </row>
    <row r="1166" spans="1:1">
      <c r="A1166" s="50"/>
    </row>
    <row r="1167" spans="1:1">
      <c r="A1167" s="50"/>
    </row>
    <row r="1168" spans="1:1">
      <c r="A1168" s="50"/>
    </row>
    <row r="1169" spans="1:1">
      <c r="A1169" s="50"/>
    </row>
    <row r="1170" spans="1:1">
      <c r="A1170" s="50"/>
    </row>
    <row r="1171" spans="1:1">
      <c r="A1171" s="50"/>
    </row>
    <row r="1172" spans="1:1">
      <c r="A1172" s="50"/>
    </row>
    <row r="1173" spans="1:1">
      <c r="A1173" s="50"/>
    </row>
    <row r="1174" spans="1:1">
      <c r="A1174" s="50"/>
    </row>
    <row r="1175" spans="1:1">
      <c r="A1175" s="50"/>
    </row>
    <row r="1176" spans="1:1">
      <c r="A1176" s="50"/>
    </row>
    <row r="1177" spans="1:1">
      <c r="A1177" s="50"/>
    </row>
    <row r="1178" spans="1:1">
      <c r="A1178" s="50"/>
    </row>
    <row r="1179" spans="1:1">
      <c r="A1179" s="50"/>
    </row>
    <row r="1180" spans="1:1">
      <c r="A1180" s="50"/>
    </row>
    <row r="1181" spans="1:1">
      <c r="A1181" s="50"/>
    </row>
    <row r="1182" spans="1:1">
      <c r="A1182" s="50"/>
    </row>
    <row r="1183" spans="1:1">
      <c r="A1183" s="50"/>
    </row>
    <row r="1184" spans="1:1">
      <c r="A1184" s="50"/>
    </row>
    <row r="1185" spans="1:1">
      <c r="A1185" s="50"/>
    </row>
    <row r="1186" spans="1:1">
      <c r="A1186" s="50"/>
    </row>
    <row r="1187" spans="1:1">
      <c r="A1187" s="50"/>
    </row>
    <row r="1188" spans="1:1">
      <c r="A1188" s="50"/>
    </row>
    <row r="1189" spans="1:1">
      <c r="A1189" s="50"/>
    </row>
    <row r="1190" spans="1:1">
      <c r="A1190" s="50"/>
    </row>
    <row r="1191" spans="1:1">
      <c r="A1191" s="50"/>
    </row>
    <row r="1192" spans="1:1">
      <c r="A1192" s="50"/>
    </row>
    <row r="1193" spans="1:1">
      <c r="A1193" s="50"/>
    </row>
    <row r="1194" spans="1:1">
      <c r="A1194" s="50"/>
    </row>
    <row r="1195" spans="1:1">
      <c r="A1195" s="50"/>
    </row>
    <row r="1196" spans="1:1">
      <c r="A1196" s="50"/>
    </row>
    <row r="1197" spans="1:1">
      <c r="A1197" s="50"/>
    </row>
    <row r="1198" spans="1:1">
      <c r="A1198" s="50"/>
    </row>
    <row r="1199" spans="1:1">
      <c r="A1199" s="50"/>
    </row>
    <row r="1200" spans="1:1">
      <c r="A1200" s="50"/>
    </row>
    <row r="1201" spans="1:1">
      <c r="A1201" s="50"/>
    </row>
    <row r="1202" spans="1:1">
      <c r="A1202" s="50"/>
    </row>
    <row r="1203" spans="1:1">
      <c r="A1203" s="50"/>
    </row>
    <row r="1204" spans="1:1">
      <c r="A1204" s="50"/>
    </row>
    <row r="1205" spans="1:1">
      <c r="A1205" s="50"/>
    </row>
    <row r="1206" spans="1:1">
      <c r="A1206" s="50"/>
    </row>
    <row r="1207" spans="1:1">
      <c r="A1207" s="50"/>
    </row>
    <row r="1208" spans="1:1">
      <c r="A1208" s="50"/>
    </row>
    <row r="1209" spans="1:1">
      <c r="A1209" s="50"/>
    </row>
    <row r="1210" spans="1:1">
      <c r="A1210" s="50"/>
    </row>
    <row r="1211" spans="1:1">
      <c r="A1211" s="50"/>
    </row>
    <row r="1212" spans="1:1">
      <c r="A1212" s="50"/>
    </row>
    <row r="1213" spans="1:1">
      <c r="A1213" s="50"/>
    </row>
    <row r="1214" spans="1:1">
      <c r="A1214" s="50"/>
    </row>
    <row r="1215" spans="1:1">
      <c r="A1215" s="50"/>
    </row>
    <row r="1216" spans="1:1">
      <c r="A1216" s="50"/>
    </row>
    <row r="1217" spans="1:1">
      <c r="A1217" s="50"/>
    </row>
    <row r="1218" spans="1:1">
      <c r="A1218" s="50"/>
    </row>
    <row r="1219" spans="1:1">
      <c r="A1219" s="50"/>
    </row>
    <row r="1220" spans="1:1">
      <c r="A1220" s="50"/>
    </row>
    <row r="1221" spans="1:1">
      <c r="A1221" s="50"/>
    </row>
    <row r="1222" spans="1:1">
      <c r="A1222" s="50"/>
    </row>
    <row r="1223" spans="1:1">
      <c r="A1223" s="50"/>
    </row>
    <row r="1224" spans="1:1">
      <c r="A1224" s="50"/>
    </row>
    <row r="1225" spans="1:1">
      <c r="A1225" s="50"/>
    </row>
    <row r="1226" spans="1:1">
      <c r="A1226" s="50"/>
    </row>
    <row r="1227" spans="1:1">
      <c r="A1227" s="50"/>
    </row>
    <row r="1228" spans="1:1">
      <c r="A1228" s="50"/>
    </row>
    <row r="1229" spans="1:1">
      <c r="A1229" s="50"/>
    </row>
    <row r="1230" spans="1:1">
      <c r="A1230" s="50"/>
    </row>
    <row r="1231" spans="1:1">
      <c r="A1231" s="50"/>
    </row>
    <row r="1232" spans="1:1">
      <c r="A1232" s="50"/>
    </row>
    <row r="1233" spans="1:1">
      <c r="A1233" s="50"/>
    </row>
    <row r="1234" spans="1:1">
      <c r="A1234" s="50"/>
    </row>
    <row r="1235" spans="1:1">
      <c r="A1235" s="50"/>
    </row>
    <row r="1236" spans="1:1">
      <c r="A1236" s="50"/>
    </row>
    <row r="1237" spans="1:1">
      <c r="A1237" s="50"/>
    </row>
    <row r="1238" spans="1:1">
      <c r="A1238" s="50"/>
    </row>
    <row r="1239" spans="1:1">
      <c r="A1239" s="50"/>
    </row>
    <row r="1240" spans="1:1">
      <c r="A1240" s="50"/>
    </row>
    <row r="1241" spans="1:1">
      <c r="A1241" s="50"/>
    </row>
    <row r="1242" spans="1:1">
      <c r="A1242" s="50"/>
    </row>
    <row r="1243" spans="1:1">
      <c r="A1243" s="50"/>
    </row>
    <row r="1244" spans="1:1">
      <c r="A1244" s="50"/>
    </row>
    <row r="1245" spans="1:1">
      <c r="A1245" s="50"/>
    </row>
    <row r="1246" spans="1:1">
      <c r="A1246" s="50"/>
    </row>
    <row r="1247" spans="1:1">
      <c r="A1247" s="50"/>
    </row>
    <row r="1248" spans="1:1">
      <c r="A1248" s="50"/>
    </row>
    <row r="1249" spans="1:1">
      <c r="A1249" s="50"/>
    </row>
    <row r="1250" spans="1:1">
      <c r="A1250" s="50"/>
    </row>
    <row r="1251" spans="1:1">
      <c r="A1251" s="50"/>
    </row>
    <row r="1252" spans="1:1">
      <c r="A1252" s="50"/>
    </row>
    <row r="1253" spans="1:1">
      <c r="A1253" s="50"/>
    </row>
    <row r="1254" spans="1:1">
      <c r="A1254" s="50"/>
    </row>
    <row r="1255" spans="1:1">
      <c r="A1255" s="50"/>
    </row>
    <row r="1256" spans="1:1">
      <c r="A1256" s="50"/>
    </row>
    <row r="1257" spans="1:1">
      <c r="A1257" s="50"/>
    </row>
    <row r="1258" spans="1:1">
      <c r="A1258" s="50"/>
    </row>
    <row r="1259" spans="1:1">
      <c r="A1259" s="50"/>
    </row>
    <row r="1260" spans="1:1">
      <c r="A1260" s="50"/>
    </row>
    <row r="1261" spans="1:1">
      <c r="A1261" s="50"/>
    </row>
    <row r="1262" spans="1:1">
      <c r="A1262" s="50"/>
    </row>
    <row r="1263" spans="1:1">
      <c r="A1263" s="50"/>
    </row>
    <row r="1264" spans="1:1">
      <c r="A1264" s="50"/>
    </row>
    <row r="1265" spans="1:1">
      <c r="A1265" s="50"/>
    </row>
    <row r="1266" spans="1:1">
      <c r="A1266" s="50"/>
    </row>
    <row r="1267" spans="1:1">
      <c r="A1267" s="50"/>
    </row>
    <row r="1268" spans="1:1">
      <c r="A1268" s="50"/>
    </row>
    <row r="1269" spans="1:1">
      <c r="A1269" s="50"/>
    </row>
    <row r="1270" spans="1:1">
      <c r="A1270" s="50"/>
    </row>
    <row r="1271" spans="1:1">
      <c r="A1271" s="50"/>
    </row>
    <row r="1272" spans="1:1">
      <c r="A1272" s="50"/>
    </row>
    <row r="1273" spans="1:1">
      <c r="A1273" s="50"/>
    </row>
    <row r="1274" spans="1:1">
      <c r="A1274" s="50"/>
    </row>
    <row r="1275" spans="1:1">
      <c r="A1275" s="50"/>
    </row>
    <row r="1276" spans="1:1">
      <c r="A1276" s="50"/>
    </row>
    <row r="1277" spans="1:1">
      <c r="A1277" s="50"/>
    </row>
    <row r="1278" spans="1:1">
      <c r="A1278" s="50"/>
    </row>
    <row r="1279" spans="1:1">
      <c r="A1279" s="50"/>
    </row>
    <row r="1280" spans="1:1">
      <c r="A1280" s="50"/>
    </row>
    <row r="1281" spans="1:1">
      <c r="A1281" s="50"/>
    </row>
    <row r="1282" spans="1:1">
      <c r="A1282" s="50"/>
    </row>
    <row r="1283" spans="1:1">
      <c r="A1283" s="50"/>
    </row>
    <row r="1284" spans="1:1">
      <c r="A1284" s="50"/>
    </row>
    <row r="1285" spans="1:1">
      <c r="A1285" s="50"/>
    </row>
    <row r="1286" spans="1:1">
      <c r="A1286" s="50"/>
    </row>
    <row r="1287" spans="1:1">
      <c r="A1287" s="50"/>
    </row>
    <row r="1288" spans="1:1">
      <c r="A1288" s="50"/>
    </row>
    <row r="1289" spans="1:1">
      <c r="A1289" s="50"/>
    </row>
    <row r="1290" spans="1:1">
      <c r="A1290" s="50"/>
    </row>
    <row r="1291" spans="1:1">
      <c r="A1291" s="50"/>
    </row>
    <row r="1292" spans="1:1">
      <c r="A1292" s="50"/>
    </row>
    <row r="1293" spans="1:1">
      <c r="A1293" s="50"/>
    </row>
    <row r="1294" spans="1:1">
      <c r="A1294" s="50"/>
    </row>
    <row r="1295" spans="1:1">
      <c r="A1295" s="50"/>
    </row>
    <row r="1296" spans="1:1">
      <c r="A1296" s="50"/>
    </row>
    <row r="1297" spans="1:1">
      <c r="A1297" s="50"/>
    </row>
    <row r="1298" spans="1:1">
      <c r="A1298" s="50"/>
    </row>
    <row r="1299" spans="1:1">
      <c r="A1299" s="50"/>
    </row>
    <row r="1300" spans="1:1">
      <c r="A1300" s="50"/>
    </row>
    <row r="1301" spans="1:1">
      <c r="A1301" s="50"/>
    </row>
    <row r="1302" spans="1:1">
      <c r="A1302" s="50"/>
    </row>
    <row r="1303" spans="1:1">
      <c r="A1303" s="50"/>
    </row>
    <row r="1304" spans="1:1">
      <c r="A1304" s="50"/>
    </row>
    <row r="1305" spans="1:1">
      <c r="A1305" s="50"/>
    </row>
    <row r="1306" spans="1:1">
      <c r="A1306" s="50"/>
    </row>
    <row r="1307" spans="1:1">
      <c r="A1307" s="50"/>
    </row>
    <row r="1308" spans="1:1">
      <c r="A1308" s="50"/>
    </row>
    <row r="1309" spans="1:1">
      <c r="A1309" s="50"/>
    </row>
    <row r="1310" spans="1:1">
      <c r="A1310" s="50"/>
    </row>
    <row r="1311" spans="1:1">
      <c r="A1311" s="50"/>
    </row>
    <row r="1312" spans="1:1">
      <c r="A1312" s="50"/>
    </row>
    <row r="1313" spans="1:1">
      <c r="A1313" s="50"/>
    </row>
    <row r="1314" spans="1:1">
      <c r="A1314" s="50"/>
    </row>
    <row r="1315" spans="1:1">
      <c r="A1315" s="50"/>
    </row>
    <row r="1316" spans="1:1">
      <c r="A1316" s="50"/>
    </row>
    <row r="1317" spans="1:1">
      <c r="A1317" s="50"/>
    </row>
    <row r="1318" spans="1:1">
      <c r="A1318" s="50"/>
    </row>
    <row r="1319" spans="1:1">
      <c r="A1319" s="50"/>
    </row>
    <row r="1320" spans="1:1">
      <c r="A1320" s="50"/>
    </row>
    <row r="1321" spans="1:1">
      <c r="A1321" s="50"/>
    </row>
    <row r="1322" spans="1:1">
      <c r="A1322" s="50"/>
    </row>
    <row r="1323" spans="1:1">
      <c r="A1323" s="50"/>
    </row>
    <row r="1324" spans="1:1">
      <c r="A1324" s="50"/>
    </row>
    <row r="1325" spans="1:1">
      <c r="A1325" s="50"/>
    </row>
    <row r="1326" spans="1:1">
      <c r="A1326" s="50"/>
    </row>
    <row r="1327" spans="1:1">
      <c r="A1327" s="50"/>
    </row>
    <row r="1328" spans="1:1">
      <c r="A1328" s="50"/>
    </row>
    <row r="1329" spans="1:1">
      <c r="A1329" s="50"/>
    </row>
    <row r="1330" spans="1:1">
      <c r="A1330" s="50"/>
    </row>
    <row r="1331" spans="1:1">
      <c r="A1331" s="50"/>
    </row>
    <row r="1332" spans="1:1">
      <c r="A1332" s="50"/>
    </row>
    <row r="1333" spans="1:1">
      <c r="A1333" s="50"/>
    </row>
    <row r="1334" spans="1:1">
      <c r="A1334" s="50"/>
    </row>
    <row r="1335" spans="1:1">
      <c r="A1335" s="50"/>
    </row>
    <row r="1336" spans="1:1">
      <c r="A1336" s="50"/>
    </row>
    <row r="1337" spans="1:1">
      <c r="A1337" s="50"/>
    </row>
    <row r="1338" spans="1:1">
      <c r="A1338" s="50"/>
    </row>
    <row r="1339" spans="1:1">
      <c r="A1339" s="50"/>
    </row>
    <row r="1340" spans="1:1">
      <c r="A1340" s="50"/>
    </row>
    <row r="1341" spans="1:1">
      <c r="A1341" s="50"/>
    </row>
    <row r="1342" spans="1:1">
      <c r="A1342" s="50"/>
    </row>
    <row r="1343" spans="1:1">
      <c r="A1343" s="50"/>
    </row>
    <row r="1344" spans="1:1">
      <c r="A1344" s="50"/>
    </row>
    <row r="1345" spans="1:1">
      <c r="A1345" s="50"/>
    </row>
    <row r="1346" spans="1:1">
      <c r="A1346" s="50"/>
    </row>
    <row r="1347" spans="1:1">
      <c r="A1347" s="50"/>
    </row>
    <row r="1348" spans="1:1">
      <c r="A1348" s="50"/>
    </row>
    <row r="1349" spans="1:1">
      <c r="A1349" s="50"/>
    </row>
    <row r="1350" spans="1:1">
      <c r="A1350" s="50"/>
    </row>
    <row r="1351" spans="1:1">
      <c r="A1351" s="50"/>
    </row>
    <row r="1352" spans="1:1">
      <c r="A1352" s="50"/>
    </row>
    <row r="1353" spans="1:1">
      <c r="A1353" s="50"/>
    </row>
    <row r="1354" spans="1:1">
      <c r="A1354" s="50"/>
    </row>
    <row r="1355" spans="1:1">
      <c r="A1355" s="50"/>
    </row>
    <row r="1356" spans="1:1">
      <c r="A1356" s="50"/>
    </row>
    <row r="1357" spans="1:1">
      <c r="A1357" s="50"/>
    </row>
    <row r="1358" spans="1:1">
      <c r="A1358" s="50"/>
    </row>
    <row r="1359" spans="1:1">
      <c r="A1359" s="50"/>
    </row>
    <row r="1360" spans="1:1">
      <c r="A1360" s="50"/>
    </row>
    <row r="1361" spans="1:1">
      <c r="A1361" s="50"/>
    </row>
    <row r="1362" spans="1:1">
      <c r="A1362" s="50"/>
    </row>
    <row r="1363" spans="1:1">
      <c r="A1363" s="50"/>
    </row>
    <row r="1364" spans="1:1">
      <c r="A1364" s="50"/>
    </row>
    <row r="1365" spans="1:1">
      <c r="A1365" s="50"/>
    </row>
    <row r="1366" spans="1:1">
      <c r="A1366" s="50"/>
    </row>
    <row r="1367" spans="1:1">
      <c r="A1367" s="50"/>
    </row>
    <row r="1368" spans="1:1">
      <c r="A1368" s="50"/>
    </row>
    <row r="1369" spans="1:1">
      <c r="A1369" s="50"/>
    </row>
    <row r="1370" spans="1:1">
      <c r="A1370" s="50"/>
    </row>
    <row r="1371" spans="1:1">
      <c r="A1371" s="50"/>
    </row>
    <row r="1372" spans="1:1">
      <c r="A1372" s="50"/>
    </row>
    <row r="1373" spans="1:1">
      <c r="A1373" s="50"/>
    </row>
    <row r="1374" spans="1:1">
      <c r="A1374" s="50"/>
    </row>
    <row r="1375" spans="1:1">
      <c r="A1375" s="50"/>
    </row>
    <row r="1376" spans="1:1">
      <c r="A1376" s="50"/>
    </row>
    <row r="1377" spans="1:1">
      <c r="A1377" s="50"/>
    </row>
    <row r="1378" spans="1:1">
      <c r="A1378" s="50"/>
    </row>
    <row r="1379" spans="1:1">
      <c r="A1379" s="50"/>
    </row>
    <row r="1380" spans="1:1">
      <c r="A1380" s="50"/>
    </row>
    <row r="1381" spans="1:1">
      <c r="A1381" s="50"/>
    </row>
    <row r="1382" spans="1:1">
      <c r="A1382" s="50"/>
    </row>
    <row r="1383" spans="1:1">
      <c r="A1383" s="50"/>
    </row>
    <row r="1384" spans="1:1">
      <c r="A1384" s="50"/>
    </row>
    <row r="1385" spans="1:1">
      <c r="A1385" s="50"/>
    </row>
    <row r="1386" spans="1:1">
      <c r="A1386" s="50"/>
    </row>
    <row r="1387" spans="1:1">
      <c r="A1387" s="50"/>
    </row>
    <row r="1388" spans="1:1">
      <c r="A1388" s="50"/>
    </row>
    <row r="1389" spans="1:1">
      <c r="A1389" s="50"/>
    </row>
    <row r="1390" spans="1:1">
      <c r="A1390" s="50"/>
    </row>
    <row r="1391" spans="1:1">
      <c r="A1391" s="50"/>
    </row>
    <row r="1392" spans="1:1">
      <c r="A1392" s="50"/>
    </row>
    <row r="1393" spans="1:1">
      <c r="A1393" s="50"/>
    </row>
    <row r="1394" spans="1:1">
      <c r="A1394" s="50"/>
    </row>
    <row r="1395" spans="1:1">
      <c r="A1395" s="50"/>
    </row>
    <row r="1396" spans="1:1">
      <c r="A1396" s="50"/>
    </row>
    <row r="1397" spans="1:1">
      <c r="A1397" s="50"/>
    </row>
    <row r="1398" spans="1:1">
      <c r="A1398" s="50"/>
    </row>
    <row r="1399" spans="1:1">
      <c r="A1399" s="50"/>
    </row>
    <row r="1400" spans="1:1">
      <c r="A1400" s="50"/>
    </row>
    <row r="1401" spans="1:1">
      <c r="A1401" s="50"/>
    </row>
    <row r="1402" spans="1:1">
      <c r="A1402" s="50"/>
    </row>
    <row r="1403" spans="1:1">
      <c r="A1403" s="50"/>
    </row>
    <row r="1404" spans="1:1">
      <c r="A1404" s="50"/>
    </row>
    <row r="1405" spans="1:1">
      <c r="A1405" s="50"/>
    </row>
    <row r="1406" spans="1:1">
      <c r="A1406" s="50"/>
    </row>
    <row r="1407" spans="1:1">
      <c r="A1407" s="50"/>
    </row>
    <row r="1408" spans="1:1">
      <c r="A1408" s="50"/>
    </row>
    <row r="1409" spans="1:1">
      <c r="A1409" s="50"/>
    </row>
    <row r="1410" spans="1:1">
      <c r="A1410" s="50"/>
    </row>
    <row r="1411" spans="1:1">
      <c r="A1411" s="50"/>
    </row>
    <row r="1412" spans="1:1">
      <c r="A1412" s="50"/>
    </row>
    <row r="1413" spans="1:1">
      <c r="A1413" s="50"/>
    </row>
    <row r="1414" spans="1:1">
      <c r="A1414" s="50"/>
    </row>
    <row r="1415" spans="1:1">
      <c r="A1415" s="50"/>
    </row>
    <row r="1416" spans="1:1">
      <c r="A1416" s="50"/>
    </row>
    <row r="1417" spans="1:1">
      <c r="A1417" s="50"/>
    </row>
    <row r="1418" spans="1:1">
      <c r="A1418" s="50"/>
    </row>
    <row r="1419" spans="1:1">
      <c r="A1419" s="50"/>
    </row>
    <row r="1420" spans="1:1">
      <c r="A1420" s="50"/>
    </row>
    <row r="1421" spans="1:1">
      <c r="A1421" s="50"/>
    </row>
    <row r="1422" spans="1:1">
      <c r="A1422" s="50"/>
    </row>
    <row r="1423" spans="1:1">
      <c r="A1423" s="50"/>
    </row>
    <row r="1424" spans="1:1">
      <c r="A1424" s="50"/>
    </row>
    <row r="1425" spans="1:1">
      <c r="A1425" s="50"/>
    </row>
    <row r="1426" spans="1:1">
      <c r="A1426" s="50"/>
    </row>
    <row r="1427" spans="1:1">
      <c r="A1427" s="50"/>
    </row>
    <row r="1428" spans="1:1">
      <c r="A1428" s="50"/>
    </row>
    <row r="1429" spans="1:1">
      <c r="A1429" s="50"/>
    </row>
    <row r="1430" spans="1:1">
      <c r="A1430" s="50"/>
    </row>
    <row r="1431" spans="1:1">
      <c r="A1431" s="50"/>
    </row>
    <row r="1432" spans="1:1">
      <c r="A1432" s="50"/>
    </row>
    <row r="1433" spans="1:1">
      <c r="A1433" s="50"/>
    </row>
    <row r="1434" spans="1:1">
      <c r="A1434" s="50"/>
    </row>
    <row r="1435" spans="1:1">
      <c r="A1435" s="50"/>
    </row>
    <row r="1436" spans="1:1">
      <c r="A1436" s="50"/>
    </row>
    <row r="1437" spans="1:1">
      <c r="A1437" s="50"/>
    </row>
    <row r="1438" spans="1:1">
      <c r="A1438" s="50"/>
    </row>
    <row r="1439" spans="1:1">
      <c r="A1439" s="50"/>
    </row>
    <row r="1440" spans="1:1">
      <c r="A1440" s="50"/>
    </row>
    <row r="1441" spans="1:1">
      <c r="A1441" s="50"/>
    </row>
    <row r="1442" spans="1:1">
      <c r="A1442" s="50"/>
    </row>
    <row r="1443" spans="1:1">
      <c r="A1443" s="50"/>
    </row>
    <row r="1444" spans="1:1">
      <c r="A1444" s="50"/>
    </row>
    <row r="1445" spans="1:1">
      <c r="A1445" s="50"/>
    </row>
    <row r="1446" spans="1:1">
      <c r="A1446" s="50"/>
    </row>
    <row r="1447" spans="1:1">
      <c r="A1447" s="50"/>
    </row>
    <row r="1448" spans="1:1">
      <c r="A1448" s="50"/>
    </row>
    <row r="1449" spans="1:1">
      <c r="A1449" s="50"/>
    </row>
    <row r="1450" spans="1:1">
      <c r="A1450" s="50"/>
    </row>
    <row r="1451" spans="1:1">
      <c r="A1451" s="50"/>
    </row>
    <row r="1452" spans="1:1">
      <c r="A1452" s="50"/>
    </row>
    <row r="1453" spans="1:1">
      <c r="A1453" s="50"/>
    </row>
    <row r="1454" spans="1:1">
      <c r="A1454" s="50"/>
    </row>
    <row r="1455" spans="1:1">
      <c r="A1455" s="50"/>
    </row>
    <row r="1456" spans="1:1">
      <c r="A1456" s="50"/>
    </row>
    <row r="1457" spans="1:1">
      <c r="A1457" s="50"/>
    </row>
    <row r="1458" spans="1:1">
      <c r="A1458" s="50"/>
    </row>
    <row r="1459" spans="1:1">
      <c r="A1459" s="50"/>
    </row>
    <row r="1460" spans="1:1">
      <c r="A1460" s="50"/>
    </row>
    <row r="1461" spans="1:1">
      <c r="A1461" s="50"/>
    </row>
    <row r="1462" spans="1:1">
      <c r="A1462" s="50"/>
    </row>
    <row r="1463" spans="1:1">
      <c r="A1463" s="50"/>
    </row>
    <row r="1464" spans="1:1">
      <c r="A1464" s="50"/>
    </row>
    <row r="1465" spans="1:1">
      <c r="A1465" s="50"/>
    </row>
    <row r="1466" spans="1:1">
      <c r="A1466" s="50"/>
    </row>
    <row r="1467" spans="1:1">
      <c r="A1467" s="50"/>
    </row>
    <row r="1468" spans="1:1">
      <c r="A1468" s="50"/>
    </row>
    <row r="1469" spans="1:1">
      <c r="A1469" s="50"/>
    </row>
    <row r="1470" spans="1:1">
      <c r="A1470" s="50"/>
    </row>
    <row r="1471" spans="1:1">
      <c r="A1471" s="50"/>
    </row>
    <row r="1472" spans="1:1">
      <c r="A1472" s="50"/>
    </row>
    <row r="1473" spans="1:1">
      <c r="A1473" s="50"/>
    </row>
    <row r="1474" spans="1:1">
      <c r="A1474" s="50"/>
    </row>
    <row r="1475" spans="1:1">
      <c r="A1475" s="50"/>
    </row>
    <row r="1476" spans="1:1">
      <c r="A1476" s="50"/>
    </row>
    <row r="1477" spans="1:1">
      <c r="A1477" s="50"/>
    </row>
    <row r="1478" spans="1:1">
      <c r="A1478" s="50"/>
    </row>
    <row r="1479" spans="1:1">
      <c r="A1479" s="50"/>
    </row>
    <row r="1480" spans="1:1">
      <c r="A1480" s="50"/>
    </row>
    <row r="1481" spans="1:1">
      <c r="A1481" s="50"/>
    </row>
    <row r="1482" spans="1:1">
      <c r="A1482" s="50"/>
    </row>
    <row r="1483" spans="1:1">
      <c r="A1483" s="50"/>
    </row>
    <row r="1484" spans="1:1">
      <c r="A1484" s="50"/>
    </row>
    <row r="1485" spans="1:1">
      <c r="A1485" s="50"/>
    </row>
    <row r="1486" spans="1:1">
      <c r="A1486" s="50"/>
    </row>
    <row r="1487" spans="1:1">
      <c r="A1487" s="50"/>
    </row>
    <row r="1488" spans="1:1">
      <c r="A1488" s="50"/>
    </row>
    <row r="1489" spans="1:1">
      <c r="A1489" s="50"/>
    </row>
    <row r="1490" spans="1:1">
      <c r="A1490" s="50"/>
    </row>
    <row r="1491" spans="1:1">
      <c r="A1491" s="50"/>
    </row>
    <row r="1492" spans="1:1">
      <c r="A1492" s="50"/>
    </row>
    <row r="1493" spans="1:1">
      <c r="A1493" s="50"/>
    </row>
    <row r="1494" spans="1:1">
      <c r="A1494" s="50"/>
    </row>
    <row r="1495" spans="1:1">
      <c r="A1495" s="50"/>
    </row>
    <row r="1496" spans="1:1">
      <c r="A1496" s="50"/>
    </row>
    <row r="1497" spans="1:1">
      <c r="A1497" s="50"/>
    </row>
    <row r="1498" spans="1:1">
      <c r="A1498" s="50"/>
    </row>
    <row r="1499" spans="1:1">
      <c r="A1499" s="50"/>
    </row>
    <row r="1500" spans="1:1">
      <c r="A1500" s="50"/>
    </row>
    <row r="1501" spans="1:1">
      <c r="A1501" s="50"/>
    </row>
    <row r="1502" spans="1:1">
      <c r="A1502" s="50"/>
    </row>
    <row r="1503" spans="1:1">
      <c r="A1503" s="50"/>
    </row>
    <row r="1504" spans="1:1">
      <c r="A1504" s="50"/>
    </row>
    <row r="1505" spans="1:1">
      <c r="A1505" s="50"/>
    </row>
    <row r="1506" spans="1:1">
      <c r="A1506" s="50"/>
    </row>
    <row r="1507" spans="1:1">
      <c r="A1507" s="50"/>
    </row>
    <row r="1508" spans="1:1">
      <c r="A1508" s="50"/>
    </row>
    <row r="1509" spans="1:1">
      <c r="A1509" s="50"/>
    </row>
    <row r="1510" spans="1:1">
      <c r="A1510" s="50"/>
    </row>
    <row r="1511" spans="1:1">
      <c r="A1511" s="50"/>
    </row>
    <row r="1512" spans="1:1">
      <c r="A1512" s="50"/>
    </row>
    <row r="1513" spans="1:1">
      <c r="A1513" s="50"/>
    </row>
    <row r="1514" spans="1:1">
      <c r="A1514" s="50"/>
    </row>
    <row r="1515" spans="1:1">
      <c r="A1515" s="50"/>
    </row>
    <row r="1516" spans="1:1">
      <c r="A1516" s="50"/>
    </row>
    <row r="1517" spans="1:1">
      <c r="A1517" s="50"/>
    </row>
    <row r="1518" spans="1:1">
      <c r="A1518" s="50"/>
    </row>
    <row r="1519" spans="1:1">
      <c r="A1519" s="50"/>
    </row>
    <row r="1520" spans="1:1">
      <c r="A1520" s="50"/>
    </row>
    <row r="1521" spans="1:1">
      <c r="A1521" s="50"/>
    </row>
    <row r="1522" spans="1:1">
      <c r="A1522" s="50"/>
    </row>
    <row r="1523" spans="1:1">
      <c r="A1523" s="50"/>
    </row>
    <row r="1524" spans="1:1">
      <c r="A1524" s="50"/>
    </row>
    <row r="1525" spans="1:1">
      <c r="A1525" s="50"/>
    </row>
    <row r="1526" spans="1:1">
      <c r="A1526" s="50"/>
    </row>
    <row r="1527" spans="1:1">
      <c r="A1527" s="50"/>
    </row>
    <row r="1528" spans="1:1">
      <c r="A1528" s="50"/>
    </row>
    <row r="1529" spans="1:1">
      <c r="A1529" s="50"/>
    </row>
    <row r="1530" spans="1:1">
      <c r="A1530" s="50"/>
    </row>
    <row r="1531" spans="1:1">
      <c r="A1531" s="50"/>
    </row>
    <row r="1532" spans="1:1">
      <c r="A1532" s="50"/>
    </row>
    <row r="1533" spans="1:1">
      <c r="A1533" s="50"/>
    </row>
    <row r="1534" spans="1:1">
      <c r="A1534" s="50"/>
    </row>
    <row r="1535" spans="1:1">
      <c r="A1535" s="50"/>
    </row>
    <row r="1536" spans="1:1">
      <c r="A1536" s="50"/>
    </row>
    <row r="1537" spans="1:1">
      <c r="A1537" s="50"/>
    </row>
    <row r="1538" spans="1:1">
      <c r="A1538" s="50"/>
    </row>
    <row r="1539" spans="1:1">
      <c r="A1539" s="50"/>
    </row>
    <row r="1540" spans="1:1">
      <c r="A1540" s="50"/>
    </row>
    <row r="1541" spans="1:1">
      <c r="A1541" s="50"/>
    </row>
    <row r="1542" spans="1:1">
      <c r="A1542" s="50"/>
    </row>
    <row r="1543" spans="1:1">
      <c r="A1543" s="50"/>
    </row>
    <row r="1544" spans="1:1">
      <c r="A1544" s="50"/>
    </row>
    <row r="1545" spans="1:1">
      <c r="A1545" s="50"/>
    </row>
    <row r="1546" spans="1:1">
      <c r="A1546" s="50"/>
    </row>
    <row r="1547" spans="1:1">
      <c r="A1547" s="50"/>
    </row>
    <row r="1548" spans="1:1">
      <c r="A1548" s="50"/>
    </row>
    <row r="1549" spans="1:1">
      <c r="A1549" s="50"/>
    </row>
    <row r="1550" spans="1:1">
      <c r="A1550" s="50"/>
    </row>
    <row r="1551" spans="1:1">
      <c r="A1551" s="50"/>
    </row>
    <row r="1552" spans="1:1">
      <c r="A1552" s="50"/>
    </row>
    <row r="1553" spans="1:1">
      <c r="A1553" s="50"/>
    </row>
    <row r="1554" spans="1:1">
      <c r="A1554" s="50"/>
    </row>
    <row r="1555" spans="1:1">
      <c r="A1555" s="50"/>
    </row>
    <row r="1556" spans="1:1">
      <c r="A1556" s="50"/>
    </row>
    <row r="1557" spans="1:1">
      <c r="A1557" s="50"/>
    </row>
    <row r="1558" spans="1:1">
      <c r="A1558" s="50"/>
    </row>
    <row r="1559" spans="1:1">
      <c r="A1559" s="50"/>
    </row>
    <row r="1560" spans="1:1">
      <c r="A1560" s="50"/>
    </row>
    <row r="1561" spans="1:1">
      <c r="A1561" s="50"/>
    </row>
    <row r="1562" spans="1:1">
      <c r="A1562" s="50"/>
    </row>
    <row r="1563" spans="1:1">
      <c r="A1563" s="50"/>
    </row>
    <row r="1564" spans="1:1">
      <c r="A1564" s="50"/>
    </row>
    <row r="1565" spans="1:1">
      <c r="A1565" s="50"/>
    </row>
    <row r="1566" spans="1:1">
      <c r="A1566" s="50"/>
    </row>
    <row r="1567" spans="1:1">
      <c r="A1567" s="50"/>
    </row>
    <row r="1568" spans="1:1">
      <c r="A1568" s="50"/>
    </row>
    <row r="1569" spans="1:1">
      <c r="A1569" s="50"/>
    </row>
    <row r="1570" spans="1:1">
      <c r="A1570" s="50"/>
    </row>
    <row r="1571" spans="1:1">
      <c r="A1571" s="50"/>
    </row>
    <row r="1572" spans="1:1">
      <c r="A1572" s="50"/>
    </row>
    <row r="1573" spans="1:1">
      <c r="A1573" s="50"/>
    </row>
    <row r="1574" spans="1:1">
      <c r="A1574" s="50"/>
    </row>
    <row r="1575" spans="1:1">
      <c r="A1575" s="50"/>
    </row>
    <row r="1576" spans="1:1">
      <c r="A1576" s="50"/>
    </row>
    <row r="1577" spans="1:1">
      <c r="A1577" s="50"/>
    </row>
    <row r="1578" spans="1:1">
      <c r="A1578" s="50"/>
    </row>
    <row r="1579" spans="1:1">
      <c r="A1579" s="50"/>
    </row>
    <row r="1580" spans="1:1">
      <c r="A1580" s="50"/>
    </row>
    <row r="1581" spans="1:1">
      <c r="A1581" s="50"/>
    </row>
    <row r="1582" spans="1:1">
      <c r="A1582" s="50"/>
    </row>
    <row r="1583" spans="1:1">
      <c r="A1583" s="50"/>
    </row>
    <row r="1584" spans="1:1">
      <c r="A1584" s="50"/>
    </row>
    <row r="1585" spans="1:1">
      <c r="A1585" s="50"/>
    </row>
    <row r="1586" spans="1:1">
      <c r="A1586" s="50"/>
    </row>
    <row r="1587" spans="1:1">
      <c r="A1587" s="50"/>
    </row>
    <row r="1588" spans="1:1">
      <c r="A1588" s="50"/>
    </row>
    <row r="1589" spans="1:1">
      <c r="A1589" s="50"/>
    </row>
    <row r="1590" spans="1:1">
      <c r="A1590" s="50"/>
    </row>
    <row r="1591" spans="1:1">
      <c r="A1591" s="50"/>
    </row>
    <row r="1592" spans="1:1">
      <c r="A1592" s="50"/>
    </row>
    <row r="1593" spans="1:1">
      <c r="A1593" s="50"/>
    </row>
    <row r="1594" spans="1:1">
      <c r="A1594" s="50"/>
    </row>
    <row r="1595" spans="1:1">
      <c r="A1595" s="50"/>
    </row>
    <row r="1596" spans="1:1">
      <c r="A1596" s="50"/>
    </row>
    <row r="1597" spans="1:1">
      <c r="A1597" s="50"/>
    </row>
    <row r="1598" spans="1:1">
      <c r="A1598" s="50"/>
    </row>
    <row r="1599" spans="1:1">
      <c r="A1599" s="50"/>
    </row>
    <row r="1600" spans="1:1">
      <c r="A1600" s="50"/>
    </row>
    <row r="1601" spans="1:1">
      <c r="A1601" s="50"/>
    </row>
    <row r="1602" spans="1:1">
      <c r="A1602" s="50"/>
    </row>
    <row r="1603" spans="1:1">
      <c r="A1603" s="50"/>
    </row>
    <row r="1604" spans="1:1">
      <c r="A1604" s="50"/>
    </row>
    <row r="1605" spans="1:1">
      <c r="A1605" s="50"/>
    </row>
    <row r="1606" spans="1:1">
      <c r="A1606" s="50"/>
    </row>
    <row r="1607" spans="1:1">
      <c r="A1607" s="50"/>
    </row>
    <row r="1608" spans="1:1">
      <c r="A1608" s="50"/>
    </row>
    <row r="1609" spans="1:1">
      <c r="A1609" s="50"/>
    </row>
    <row r="1610" spans="1:1">
      <c r="A1610" s="50"/>
    </row>
    <row r="1611" spans="1:1">
      <c r="A1611" s="50"/>
    </row>
    <row r="1612" spans="1:1">
      <c r="A1612" s="50"/>
    </row>
    <row r="1613" spans="1:1">
      <c r="A1613" s="50"/>
    </row>
    <row r="1614" spans="1:1">
      <c r="A1614" s="50"/>
    </row>
    <row r="1615" spans="1:1">
      <c r="A1615" s="50"/>
    </row>
    <row r="1616" spans="1:1">
      <c r="A1616" s="50"/>
    </row>
    <row r="1617" spans="1:1">
      <c r="A1617" s="50"/>
    </row>
    <row r="1618" spans="1:1">
      <c r="A1618" s="50"/>
    </row>
    <row r="1619" spans="1:1">
      <c r="A1619" s="50"/>
    </row>
    <row r="1620" spans="1:1">
      <c r="A1620" s="50"/>
    </row>
    <row r="1621" spans="1:1">
      <c r="A1621" s="50"/>
    </row>
    <row r="1622" spans="1:1">
      <c r="A1622" s="50"/>
    </row>
    <row r="1623" spans="1:1">
      <c r="A1623" s="50"/>
    </row>
    <row r="1624" spans="1:1">
      <c r="A1624" s="50"/>
    </row>
    <row r="1625" spans="1:1">
      <c r="A1625" s="50"/>
    </row>
    <row r="1626" spans="1:1">
      <c r="A1626" s="50"/>
    </row>
    <row r="1627" spans="1:1">
      <c r="A1627" s="50"/>
    </row>
    <row r="1628" spans="1:1">
      <c r="A1628" s="50"/>
    </row>
    <row r="1629" spans="1:1">
      <c r="A1629" s="50"/>
    </row>
    <row r="1630" spans="1:1">
      <c r="A1630" s="50"/>
    </row>
    <row r="1631" spans="1:1">
      <c r="A1631" s="50"/>
    </row>
    <row r="1632" spans="1:1">
      <c r="A1632" s="50"/>
    </row>
    <row r="1633" spans="1:1">
      <c r="A1633" s="50"/>
    </row>
    <row r="1634" spans="1:1">
      <c r="A1634" s="50"/>
    </row>
    <row r="1635" spans="1:1">
      <c r="A1635" s="50"/>
    </row>
    <row r="1636" spans="1:1">
      <c r="A1636" s="50"/>
    </row>
    <row r="1637" spans="1:1">
      <c r="A1637" s="50"/>
    </row>
    <row r="1638" spans="1:1">
      <c r="A1638" s="50"/>
    </row>
    <row r="1639" spans="1:1">
      <c r="A1639" s="50"/>
    </row>
    <row r="1640" spans="1:1">
      <c r="A1640" s="50"/>
    </row>
    <row r="1641" spans="1:1">
      <c r="A1641" s="50"/>
    </row>
    <row r="1642" spans="1:1">
      <c r="A1642" s="50"/>
    </row>
    <row r="1643" spans="1:1">
      <c r="A1643" s="50"/>
    </row>
    <row r="1644" spans="1:1">
      <c r="A1644" s="50"/>
    </row>
    <row r="1645" spans="1:1">
      <c r="A1645" s="50"/>
    </row>
    <row r="1646" spans="1:1">
      <c r="A1646" s="50"/>
    </row>
    <row r="1647" spans="1:1">
      <c r="A1647" s="50"/>
    </row>
    <row r="1648" spans="1:1">
      <c r="A1648" s="50"/>
    </row>
    <row r="1649" spans="1:1">
      <c r="A1649" s="50"/>
    </row>
    <row r="1650" spans="1:1">
      <c r="A1650" s="50"/>
    </row>
    <row r="1651" spans="1:1">
      <c r="A1651" s="50"/>
    </row>
    <row r="1652" spans="1:1">
      <c r="A1652" s="50"/>
    </row>
    <row r="1653" spans="1:1">
      <c r="A1653" s="50"/>
    </row>
    <row r="1654" spans="1:1">
      <c r="A1654" s="50"/>
    </row>
    <row r="1655" spans="1:1">
      <c r="A1655" s="50"/>
    </row>
    <row r="1656" spans="1:1">
      <c r="A1656" s="50"/>
    </row>
    <row r="1657" spans="1:1">
      <c r="A1657" s="50"/>
    </row>
    <row r="1658" spans="1:1">
      <c r="A1658" s="50"/>
    </row>
    <row r="1659" spans="1:1">
      <c r="A1659" s="50"/>
    </row>
    <row r="1660" spans="1:1">
      <c r="A1660" s="50"/>
    </row>
    <row r="1661" spans="1:1">
      <c r="A1661" s="50"/>
    </row>
    <row r="1662" spans="1:1">
      <c r="A1662" s="50"/>
    </row>
    <row r="1663" spans="1:1">
      <c r="A1663" s="50"/>
    </row>
    <row r="1664" spans="1:1">
      <c r="A1664" s="50"/>
    </row>
    <row r="1665" spans="1:1">
      <c r="A1665" s="50"/>
    </row>
    <row r="1666" spans="1:1">
      <c r="A1666" s="50"/>
    </row>
    <row r="1667" spans="1:1">
      <c r="A1667" s="50"/>
    </row>
    <row r="1668" spans="1:1">
      <c r="A1668" s="50"/>
    </row>
    <row r="1669" spans="1:1">
      <c r="A1669" s="50"/>
    </row>
    <row r="1670" spans="1:1">
      <c r="A1670" s="50"/>
    </row>
    <row r="1671" spans="1:1">
      <c r="A1671" s="50"/>
    </row>
    <row r="1672" spans="1:1">
      <c r="A1672" s="50"/>
    </row>
    <row r="1673" spans="1:1">
      <c r="A1673" s="50"/>
    </row>
    <row r="1674" spans="1:1">
      <c r="A1674" s="50"/>
    </row>
    <row r="1675" spans="1:1">
      <c r="A1675" s="50"/>
    </row>
    <row r="1676" spans="1:1">
      <c r="A1676" s="50"/>
    </row>
    <row r="1677" spans="1:1">
      <c r="A1677" s="50"/>
    </row>
    <row r="1678" spans="1:1">
      <c r="A1678" s="50"/>
    </row>
    <row r="1679" spans="1:1">
      <c r="A1679" s="50"/>
    </row>
    <row r="1680" spans="1:1">
      <c r="A1680" s="50"/>
    </row>
    <row r="1681" spans="1:1">
      <c r="A1681" s="50"/>
    </row>
    <row r="1682" spans="1:1">
      <c r="A1682" s="50"/>
    </row>
    <row r="1683" spans="1:1">
      <c r="A1683" s="50"/>
    </row>
    <row r="1684" spans="1:1">
      <c r="A1684" s="50"/>
    </row>
    <row r="1685" spans="1:1">
      <c r="A1685" s="50"/>
    </row>
    <row r="1686" spans="1:1">
      <c r="A1686" s="50"/>
    </row>
    <row r="1687" spans="1:1">
      <c r="A1687" s="50"/>
    </row>
    <row r="1688" spans="1:1">
      <c r="A1688" s="50"/>
    </row>
    <row r="1689" spans="1:1">
      <c r="A1689" s="50"/>
    </row>
    <row r="1690" spans="1:1">
      <c r="A1690" s="50"/>
    </row>
    <row r="1691" spans="1:1">
      <c r="A1691" s="50"/>
    </row>
    <row r="1692" spans="1:1">
      <c r="A1692" s="50"/>
    </row>
    <row r="1693" spans="1:1">
      <c r="A1693" s="50"/>
    </row>
    <row r="1694" spans="1:1">
      <c r="A1694" s="50"/>
    </row>
    <row r="1695" spans="1:1">
      <c r="A1695" s="50"/>
    </row>
    <row r="1696" spans="1:1">
      <c r="A1696" s="50"/>
    </row>
    <row r="1697" spans="1:1">
      <c r="A1697" s="50"/>
    </row>
    <row r="1698" spans="1:1">
      <c r="A1698" s="50"/>
    </row>
    <row r="1699" spans="1:1">
      <c r="A1699" s="50"/>
    </row>
    <row r="1700" spans="1:1">
      <c r="A1700" s="50"/>
    </row>
    <row r="1701" spans="1:1">
      <c r="A1701" s="50"/>
    </row>
    <row r="1702" spans="1:1">
      <c r="A1702" s="50"/>
    </row>
    <row r="1703" spans="1:1">
      <c r="A1703" s="50"/>
    </row>
    <row r="1704" spans="1:1">
      <c r="A1704" s="50"/>
    </row>
    <row r="1705" spans="1:1">
      <c r="A1705" s="50"/>
    </row>
    <row r="1706" spans="1:1">
      <c r="A1706" s="50"/>
    </row>
    <row r="1707" spans="1:1">
      <c r="A1707" s="50"/>
    </row>
    <row r="1708" spans="1:1">
      <c r="A1708" s="50"/>
    </row>
    <row r="1709" spans="1:1">
      <c r="A1709" s="50"/>
    </row>
    <row r="1710" spans="1:1">
      <c r="A1710" s="50"/>
    </row>
    <row r="1711" spans="1:1">
      <c r="A1711" s="50"/>
    </row>
    <row r="1712" spans="1:1">
      <c r="A1712" s="50"/>
    </row>
    <row r="1713" spans="1:1">
      <c r="A1713" s="50"/>
    </row>
    <row r="1714" spans="1:1">
      <c r="A1714" s="50"/>
    </row>
    <row r="1715" spans="1:1">
      <c r="A1715" s="50"/>
    </row>
    <row r="1716" spans="1:1">
      <c r="A1716" s="50"/>
    </row>
    <row r="1717" spans="1:1">
      <c r="A1717" s="50"/>
    </row>
    <row r="1718" spans="1:1">
      <c r="A1718" s="50"/>
    </row>
    <row r="1719" spans="1:1">
      <c r="A1719" s="50"/>
    </row>
    <row r="1720" spans="1:1">
      <c r="A1720" s="50"/>
    </row>
    <row r="1721" spans="1:1">
      <c r="A1721" s="50"/>
    </row>
    <row r="1722" spans="1:1">
      <c r="A1722" s="50"/>
    </row>
    <row r="1723" spans="1:1">
      <c r="A1723" s="50"/>
    </row>
    <row r="1724" spans="1:1">
      <c r="A1724" s="50"/>
    </row>
    <row r="1725" spans="1:1">
      <c r="A1725" s="50"/>
    </row>
    <row r="1726" spans="1:1">
      <c r="A1726" s="50"/>
    </row>
    <row r="1727" spans="1:1">
      <c r="A1727" s="50"/>
    </row>
    <row r="1728" spans="1:1">
      <c r="A1728" s="50"/>
    </row>
    <row r="1729" spans="1:1">
      <c r="A1729" s="50"/>
    </row>
    <row r="1730" spans="1:1">
      <c r="A1730" s="50"/>
    </row>
    <row r="1731" spans="1:1">
      <c r="A1731" s="50"/>
    </row>
    <row r="1732" spans="1:1">
      <c r="A1732" s="50"/>
    </row>
    <row r="1733" spans="1:1">
      <c r="A1733" s="50"/>
    </row>
    <row r="1734" spans="1:1">
      <c r="A1734" s="50"/>
    </row>
    <row r="1735" spans="1:1">
      <c r="A1735" s="50"/>
    </row>
    <row r="1736" spans="1:1">
      <c r="A1736" s="50"/>
    </row>
    <row r="1737" spans="1:1">
      <c r="A1737" s="50"/>
    </row>
    <row r="1738" spans="1:1">
      <c r="A1738" s="50"/>
    </row>
    <row r="1739" spans="1:1">
      <c r="A1739" s="50"/>
    </row>
    <row r="1740" spans="1:1">
      <c r="A1740" s="50"/>
    </row>
    <row r="1741" spans="1:1">
      <c r="A1741" s="50"/>
    </row>
    <row r="1742" spans="1:1">
      <c r="A1742" s="50"/>
    </row>
    <row r="1743" spans="1:1">
      <c r="A1743" s="50"/>
    </row>
    <row r="1744" spans="1:1">
      <c r="A1744" s="50"/>
    </row>
    <row r="1745" spans="1:1">
      <c r="A1745" s="50"/>
    </row>
    <row r="1746" spans="1:1">
      <c r="A1746" s="50"/>
    </row>
    <row r="1747" spans="1:1">
      <c r="A1747" s="50"/>
    </row>
    <row r="1748" spans="1:1">
      <c r="A1748" s="50"/>
    </row>
    <row r="1749" spans="1:1">
      <c r="A1749" s="50"/>
    </row>
    <row r="1750" spans="1:1">
      <c r="A1750" s="50"/>
    </row>
    <row r="1751" spans="1:1">
      <c r="A1751" s="50"/>
    </row>
    <row r="1752" spans="1:1">
      <c r="A1752" s="50"/>
    </row>
    <row r="1753" spans="1:1">
      <c r="A1753" s="50"/>
    </row>
    <row r="1754" spans="1:1">
      <c r="A1754" s="50"/>
    </row>
    <row r="1755" spans="1:1">
      <c r="A1755" s="50"/>
    </row>
    <row r="1756" spans="1:1">
      <c r="A1756" s="50"/>
    </row>
    <row r="1757" spans="1:1">
      <c r="A1757" s="50"/>
    </row>
    <row r="1758" spans="1:1">
      <c r="A1758" s="50"/>
    </row>
    <row r="1759" spans="1:1">
      <c r="A1759" s="50"/>
    </row>
    <row r="1760" spans="1:1">
      <c r="A1760" s="50"/>
    </row>
    <row r="1761" spans="1:1">
      <c r="A1761" s="50"/>
    </row>
    <row r="1762" spans="1:1">
      <c r="A1762" s="50"/>
    </row>
    <row r="1763" spans="1:1">
      <c r="A1763" s="50"/>
    </row>
    <row r="1764" spans="1:1">
      <c r="A1764" s="50"/>
    </row>
    <row r="1765" spans="1:1">
      <c r="A1765" s="50"/>
    </row>
    <row r="1766" spans="1:1">
      <c r="A1766" s="50"/>
    </row>
    <row r="1767" spans="1:1">
      <c r="A1767" s="50"/>
    </row>
    <row r="1768" spans="1:1">
      <c r="A1768" s="50"/>
    </row>
    <row r="1769" spans="1:1">
      <c r="A1769" s="50"/>
    </row>
    <row r="1770" spans="1:1">
      <c r="A1770" s="50"/>
    </row>
    <row r="1771" spans="1:1">
      <c r="A1771" s="50"/>
    </row>
    <row r="1772" spans="1:1">
      <c r="A1772" s="50"/>
    </row>
    <row r="1773" spans="1:1">
      <c r="A1773" s="50"/>
    </row>
    <row r="1774" spans="1:1">
      <c r="A1774" s="50"/>
    </row>
    <row r="1775" spans="1:1">
      <c r="A1775" s="50"/>
    </row>
    <row r="1776" spans="1:1">
      <c r="A1776" s="50"/>
    </row>
    <row r="1777" spans="1:1">
      <c r="A1777" s="50"/>
    </row>
    <row r="1778" spans="1:1">
      <c r="A1778" s="50"/>
    </row>
    <row r="1779" spans="1:1">
      <c r="A1779" s="50"/>
    </row>
    <row r="1780" spans="1:1">
      <c r="A1780" s="50"/>
    </row>
    <row r="1781" spans="1:1">
      <c r="A1781" s="50"/>
    </row>
    <row r="1782" spans="1:1">
      <c r="A1782" s="50"/>
    </row>
    <row r="1783" spans="1:1">
      <c r="A1783" s="50"/>
    </row>
    <row r="1784" spans="1:1">
      <c r="A1784" s="50"/>
    </row>
    <row r="1785" spans="1:1">
      <c r="A1785" s="50"/>
    </row>
    <row r="1786" spans="1:1">
      <c r="A1786" s="50"/>
    </row>
    <row r="1787" spans="1:1">
      <c r="A1787" s="50"/>
    </row>
    <row r="1788" spans="1:1">
      <c r="A1788" s="50"/>
    </row>
    <row r="1789" spans="1:1">
      <c r="A1789" s="50"/>
    </row>
    <row r="1790" spans="1:1">
      <c r="A1790" s="50"/>
    </row>
    <row r="1791" spans="1:1">
      <c r="A1791" s="50"/>
    </row>
    <row r="1792" spans="1:1">
      <c r="A1792" s="50"/>
    </row>
    <row r="1793" spans="1:1">
      <c r="A1793" s="50"/>
    </row>
    <row r="1794" spans="1:1">
      <c r="A1794" s="50"/>
    </row>
    <row r="1795" spans="1:1">
      <c r="A1795" s="50"/>
    </row>
    <row r="1796" spans="1:1">
      <c r="A1796" s="50"/>
    </row>
    <row r="1797" spans="1:1">
      <c r="A1797" s="50"/>
    </row>
    <row r="1798" spans="1:1">
      <c r="A1798" s="50"/>
    </row>
    <row r="1799" spans="1:1">
      <c r="A1799" s="50"/>
    </row>
    <row r="1800" spans="1:1">
      <c r="A1800" s="50"/>
    </row>
    <row r="1801" spans="1:1">
      <c r="A1801" s="50"/>
    </row>
    <row r="1802" spans="1:1">
      <c r="A1802" s="50"/>
    </row>
    <row r="1803" spans="1:1">
      <c r="A1803" s="50"/>
    </row>
    <row r="1804" spans="1:1">
      <c r="A1804" s="50"/>
    </row>
    <row r="1805" spans="1:1">
      <c r="A1805" s="50"/>
    </row>
    <row r="1806" spans="1:1">
      <c r="A1806" s="50"/>
    </row>
    <row r="1807" spans="1:1">
      <c r="A1807" s="50"/>
    </row>
    <row r="1808" spans="1:1">
      <c r="A1808" s="50"/>
    </row>
    <row r="1809" spans="1:1">
      <c r="A1809" s="50"/>
    </row>
    <row r="1810" spans="1:1">
      <c r="A1810" s="50"/>
    </row>
    <row r="1811" spans="1:1">
      <c r="A1811" s="50"/>
    </row>
    <row r="1812" spans="1:1">
      <c r="A1812" s="50"/>
    </row>
    <row r="1813" spans="1:1">
      <c r="A1813" s="50"/>
    </row>
    <row r="1814" spans="1:1">
      <c r="A1814" s="50"/>
    </row>
    <row r="1815" spans="1:1">
      <c r="A1815" s="50"/>
    </row>
    <row r="1816" spans="1:1">
      <c r="A1816" s="50"/>
    </row>
    <row r="1817" spans="1:1">
      <c r="A1817" s="50"/>
    </row>
    <row r="1818" spans="1:1">
      <c r="A1818" s="50"/>
    </row>
    <row r="1819" spans="1:1">
      <c r="A1819" s="50"/>
    </row>
    <row r="1820" spans="1:1">
      <c r="A1820" s="50"/>
    </row>
    <row r="1821" spans="1:1">
      <c r="A1821" s="50"/>
    </row>
    <row r="1822" spans="1:1">
      <c r="A1822" s="50"/>
    </row>
    <row r="1823" spans="1:1">
      <c r="A1823" s="50"/>
    </row>
    <row r="1824" spans="1:1">
      <c r="A1824" s="50"/>
    </row>
    <row r="1825" spans="1:1">
      <c r="A1825" s="50"/>
    </row>
    <row r="1826" spans="1:1">
      <c r="A1826" s="50"/>
    </row>
    <row r="1827" spans="1:1">
      <c r="A1827" s="50"/>
    </row>
    <row r="1828" spans="1:1">
      <c r="A1828" s="50"/>
    </row>
    <row r="1829" spans="1:1">
      <c r="A1829" s="50"/>
    </row>
    <row r="1830" spans="1:1">
      <c r="A1830" s="50"/>
    </row>
    <row r="1831" spans="1:1">
      <c r="A1831" s="50"/>
    </row>
    <row r="1832" spans="1:1">
      <c r="A1832" s="50"/>
    </row>
    <row r="1833" spans="1:1">
      <c r="A1833" s="50"/>
    </row>
    <row r="1834" spans="1:1">
      <c r="A1834" s="50"/>
    </row>
    <row r="1835" spans="1:1">
      <c r="A1835" s="50"/>
    </row>
    <row r="1836" spans="1:1">
      <c r="A1836" s="50"/>
    </row>
    <row r="1837" spans="1:1">
      <c r="A1837" s="50"/>
    </row>
    <row r="1838" spans="1:1">
      <c r="A1838" s="50"/>
    </row>
    <row r="1839" spans="1:1">
      <c r="A1839" s="50"/>
    </row>
    <row r="1840" spans="1:1">
      <c r="A1840" s="50"/>
    </row>
    <row r="1841" spans="1:1">
      <c r="A1841" s="50"/>
    </row>
    <row r="1842" spans="1:1">
      <c r="A1842" s="50"/>
    </row>
    <row r="1843" spans="1:1">
      <c r="A1843" s="50"/>
    </row>
    <row r="1844" spans="1:1">
      <c r="A1844" s="50"/>
    </row>
    <row r="1845" spans="1:1">
      <c r="A1845" s="50"/>
    </row>
    <row r="1846" spans="1:1">
      <c r="A1846" s="50"/>
    </row>
    <row r="1847" spans="1:1">
      <c r="A1847" s="50"/>
    </row>
    <row r="1848" spans="1:1">
      <c r="A1848" s="50"/>
    </row>
    <row r="1849" spans="1:1">
      <c r="A1849" s="50"/>
    </row>
    <row r="1850" spans="1:1">
      <c r="A1850" s="50"/>
    </row>
    <row r="1851" spans="1:1">
      <c r="A1851" s="50"/>
    </row>
    <row r="1852" spans="1:1">
      <c r="A1852" s="50"/>
    </row>
    <row r="1853" spans="1:1">
      <c r="A1853" s="50"/>
    </row>
    <row r="1854" spans="1:1">
      <c r="A1854" s="50"/>
    </row>
    <row r="1855" spans="1:1">
      <c r="A1855" s="50"/>
    </row>
    <row r="1856" spans="1:1">
      <c r="A1856" s="50"/>
    </row>
    <row r="1857" spans="1:1">
      <c r="A1857" s="50"/>
    </row>
    <row r="1858" spans="1:1">
      <c r="A1858" s="50"/>
    </row>
    <row r="1859" spans="1:1">
      <c r="A1859" s="50"/>
    </row>
    <row r="1860" spans="1:1">
      <c r="A1860" s="50"/>
    </row>
    <row r="1861" spans="1:1">
      <c r="A1861" s="50"/>
    </row>
    <row r="1862" spans="1:1">
      <c r="A1862" s="50"/>
    </row>
    <row r="1863" spans="1:1">
      <c r="A1863" s="50"/>
    </row>
    <row r="1864" spans="1:1">
      <c r="A1864" s="50"/>
    </row>
    <row r="1865" spans="1:1">
      <c r="A1865" s="50"/>
    </row>
    <row r="1866" spans="1:1">
      <c r="A1866" s="50"/>
    </row>
    <row r="1867" spans="1:1">
      <c r="A1867" s="50"/>
    </row>
    <row r="1868" spans="1:1">
      <c r="A1868" s="50"/>
    </row>
    <row r="1869" spans="1:1">
      <c r="A1869" s="50"/>
    </row>
    <row r="1870" spans="1:1">
      <c r="A1870" s="50"/>
    </row>
    <row r="1871" spans="1:1">
      <c r="A1871" s="50"/>
    </row>
    <row r="1872" spans="1:1">
      <c r="A1872" s="50"/>
    </row>
    <row r="1873" spans="1:1">
      <c r="A1873" s="50"/>
    </row>
    <row r="1874" spans="1:1">
      <c r="A1874" s="50"/>
    </row>
    <row r="1875" spans="1:1">
      <c r="A1875" s="50"/>
    </row>
    <row r="1876" spans="1:1">
      <c r="A1876" s="50"/>
    </row>
    <row r="1877" spans="1:1">
      <c r="A1877" s="50"/>
    </row>
    <row r="1878" spans="1:1">
      <c r="A1878" s="50"/>
    </row>
    <row r="1879" spans="1:1">
      <c r="A1879" s="50"/>
    </row>
    <row r="1880" spans="1:1">
      <c r="A1880" s="50"/>
    </row>
    <row r="1881" spans="1:1">
      <c r="A1881" s="50"/>
    </row>
    <row r="1882" spans="1:1">
      <c r="A1882" s="50"/>
    </row>
    <row r="1883" spans="1:1">
      <c r="A1883" s="50"/>
    </row>
    <row r="1884" spans="1:1">
      <c r="A1884" s="50"/>
    </row>
    <row r="1885" spans="1:1">
      <c r="A1885" s="50"/>
    </row>
    <row r="1886" spans="1:1">
      <c r="A1886" s="50"/>
    </row>
    <row r="1887" spans="1:1">
      <c r="A1887" s="50"/>
    </row>
    <row r="1888" spans="1:1">
      <c r="A1888" s="50"/>
    </row>
    <row r="1889" spans="1:1">
      <c r="A1889" s="50"/>
    </row>
    <row r="1890" spans="1:1">
      <c r="A1890" s="50"/>
    </row>
    <row r="1891" spans="1:1">
      <c r="A1891" s="50"/>
    </row>
    <row r="1892" spans="1:1">
      <c r="A1892" s="50"/>
    </row>
    <row r="1893" spans="1:1">
      <c r="A1893" s="50"/>
    </row>
    <row r="1894" spans="1:1">
      <c r="A1894" s="50"/>
    </row>
    <row r="1895" spans="1:1">
      <c r="A1895" s="50"/>
    </row>
    <row r="1896" spans="1:1">
      <c r="A1896" s="50"/>
    </row>
    <row r="1897" spans="1:1">
      <c r="A1897" s="50"/>
    </row>
    <row r="1898" spans="1:1">
      <c r="A1898" s="50"/>
    </row>
    <row r="1899" spans="1:1">
      <c r="A1899" s="50"/>
    </row>
    <row r="1900" spans="1:1">
      <c r="A1900" s="50"/>
    </row>
    <row r="1901" spans="1:1">
      <c r="A1901" s="50"/>
    </row>
    <row r="1902" spans="1:1">
      <c r="A1902" s="50"/>
    </row>
    <row r="1903" spans="1:1">
      <c r="A1903" s="50"/>
    </row>
    <row r="1904" spans="1:1">
      <c r="A1904" s="50"/>
    </row>
    <row r="1905" spans="1:1">
      <c r="A1905" s="50"/>
    </row>
    <row r="1906" spans="1:1">
      <c r="A1906" s="50"/>
    </row>
    <row r="1907" spans="1:1">
      <c r="A1907" s="50"/>
    </row>
    <row r="1908" spans="1:1">
      <c r="A1908" s="50"/>
    </row>
    <row r="1909" spans="1:1">
      <c r="A1909" s="50"/>
    </row>
    <row r="1910" spans="1:1">
      <c r="A1910" s="50"/>
    </row>
    <row r="1911" spans="1:1">
      <c r="A1911" s="50"/>
    </row>
    <row r="1912" spans="1:1">
      <c r="A1912" s="50"/>
    </row>
    <row r="1913" spans="1:1">
      <c r="A1913" s="50"/>
    </row>
    <row r="1914" spans="1:1">
      <c r="A1914" s="50"/>
    </row>
    <row r="1915" spans="1:1">
      <c r="A1915" s="50"/>
    </row>
    <row r="1916" spans="1:1">
      <c r="A1916" s="50"/>
    </row>
    <row r="1917" spans="1:1">
      <c r="A1917" s="50"/>
    </row>
    <row r="1918" spans="1:1">
      <c r="A1918" s="50"/>
    </row>
    <row r="1919" spans="1:1">
      <c r="A1919" s="50"/>
    </row>
    <row r="1920" spans="1:1">
      <c r="A1920" s="50"/>
    </row>
    <row r="1921" spans="1:1">
      <c r="A1921" s="50"/>
    </row>
    <row r="1922" spans="1:1">
      <c r="A1922" s="50"/>
    </row>
    <row r="1923" spans="1:1">
      <c r="A1923" s="50"/>
    </row>
    <row r="1924" spans="1:1">
      <c r="A1924" s="50"/>
    </row>
    <row r="1925" spans="1:1">
      <c r="A1925" s="50"/>
    </row>
    <row r="1926" spans="1:1">
      <c r="A1926" s="50"/>
    </row>
    <row r="1927" spans="1:1">
      <c r="A1927" s="50"/>
    </row>
    <row r="1928" spans="1:1">
      <c r="A1928" s="50"/>
    </row>
    <row r="1929" spans="1:1">
      <c r="A1929" s="50"/>
    </row>
    <row r="1930" spans="1:1">
      <c r="A1930" s="50"/>
    </row>
    <row r="1931" spans="1:1">
      <c r="A1931" s="50"/>
    </row>
    <row r="1932" spans="1:1">
      <c r="A1932" s="50"/>
    </row>
    <row r="1933" spans="1:1">
      <c r="A1933" s="50"/>
    </row>
    <row r="1934" spans="1:1">
      <c r="A1934" s="50"/>
    </row>
    <row r="1935" spans="1:1">
      <c r="A1935" s="50"/>
    </row>
    <row r="1936" spans="1:1">
      <c r="A1936" s="50"/>
    </row>
    <row r="1937" spans="1:1">
      <c r="A1937" s="50"/>
    </row>
    <row r="1938" spans="1:1">
      <c r="A1938" s="50"/>
    </row>
    <row r="1939" spans="1:1">
      <c r="A1939" s="50"/>
    </row>
    <row r="1940" spans="1:1">
      <c r="A1940" s="50"/>
    </row>
    <row r="1941" spans="1:1">
      <c r="A1941" s="50"/>
    </row>
    <row r="1942" spans="1:1">
      <c r="A1942" s="50"/>
    </row>
    <row r="1943" spans="1:1">
      <c r="A1943" s="50"/>
    </row>
    <row r="1944" spans="1:1">
      <c r="A1944" s="50"/>
    </row>
    <row r="1945" spans="1:1">
      <c r="A1945" s="50"/>
    </row>
    <row r="1946" spans="1:1">
      <c r="A1946" s="50"/>
    </row>
    <row r="1947" spans="1:1">
      <c r="A1947" s="50"/>
    </row>
    <row r="1948" spans="1:1">
      <c r="A1948" s="50"/>
    </row>
    <row r="1949" spans="1:1">
      <c r="A1949" s="50"/>
    </row>
    <row r="1950" spans="1:1">
      <c r="A1950" s="50"/>
    </row>
    <row r="1951" spans="1:1">
      <c r="A1951" s="50"/>
    </row>
    <row r="1952" spans="1:1">
      <c r="A1952" s="50"/>
    </row>
    <row r="1953" spans="1:1">
      <c r="A1953" s="50"/>
    </row>
    <row r="1954" spans="1:1">
      <c r="A1954" s="50"/>
    </row>
    <row r="1955" spans="1:1">
      <c r="A1955" s="50"/>
    </row>
    <row r="1956" spans="1:1">
      <c r="A1956" s="50"/>
    </row>
    <row r="1957" spans="1:1">
      <c r="A1957" s="50"/>
    </row>
    <row r="1958" spans="1:1">
      <c r="A1958" s="50"/>
    </row>
    <row r="1959" spans="1:1">
      <c r="A1959" s="50"/>
    </row>
    <row r="1960" spans="1:1">
      <c r="A1960" s="50"/>
    </row>
    <row r="1961" spans="1:1">
      <c r="A1961" s="50"/>
    </row>
    <row r="1962" spans="1:1">
      <c r="A1962" s="50"/>
    </row>
    <row r="1963" spans="1:1">
      <c r="A1963" s="50"/>
    </row>
    <row r="1964" spans="1:1">
      <c r="A1964" s="50"/>
    </row>
    <row r="1965" spans="1:1">
      <c r="A1965" s="50"/>
    </row>
    <row r="1966" spans="1:1">
      <c r="A1966" s="50"/>
    </row>
    <row r="1967" spans="1:1">
      <c r="A1967" s="50"/>
    </row>
    <row r="1968" spans="1:1">
      <c r="A1968" s="50"/>
    </row>
    <row r="1969" spans="1:1">
      <c r="A1969" s="50"/>
    </row>
    <row r="1970" spans="1:1">
      <c r="A1970" s="50"/>
    </row>
    <row r="1971" spans="1:1">
      <c r="A1971" s="50"/>
    </row>
    <row r="1972" spans="1:1">
      <c r="A1972" s="50"/>
    </row>
    <row r="1973" spans="1:1">
      <c r="A1973" s="50"/>
    </row>
    <row r="1974" spans="1:1">
      <c r="A1974" s="50"/>
    </row>
    <row r="1975" spans="1:1">
      <c r="A1975" s="50"/>
    </row>
    <row r="1976" spans="1:1">
      <c r="A1976" s="50"/>
    </row>
    <row r="1977" spans="1:1">
      <c r="A1977" s="50"/>
    </row>
    <row r="1978" spans="1:1">
      <c r="A1978" s="50"/>
    </row>
    <row r="1979" spans="1:1">
      <c r="A1979" s="50"/>
    </row>
    <row r="1980" spans="1:1">
      <c r="A1980" s="50"/>
    </row>
    <row r="1981" spans="1:1">
      <c r="A1981" s="50"/>
    </row>
    <row r="1982" spans="1:1">
      <c r="A1982" s="50"/>
    </row>
    <row r="1983" spans="1:1">
      <c r="A1983" s="50"/>
    </row>
    <row r="1984" spans="1:1">
      <c r="A1984" s="50"/>
    </row>
    <row r="1985" spans="1:1">
      <c r="A1985" s="50"/>
    </row>
    <row r="1986" spans="1:1">
      <c r="A1986" s="50"/>
    </row>
    <row r="1987" spans="1:1">
      <c r="A1987" s="50"/>
    </row>
    <row r="1988" spans="1:1">
      <c r="A1988" s="50"/>
    </row>
    <row r="1989" spans="1:1">
      <c r="A1989" s="50"/>
    </row>
    <row r="1990" spans="1:1">
      <c r="A1990" s="50"/>
    </row>
    <row r="1991" spans="1:1">
      <c r="A1991" s="50"/>
    </row>
    <row r="1992" spans="1:1">
      <c r="A1992" s="50"/>
    </row>
    <row r="1993" spans="1:1">
      <c r="A1993" s="50"/>
    </row>
    <row r="1994" spans="1:1">
      <c r="A1994" s="50"/>
    </row>
    <row r="1995" spans="1:1">
      <c r="A1995" s="50"/>
    </row>
    <row r="1996" spans="1:1">
      <c r="A1996" s="50"/>
    </row>
    <row r="1997" spans="1:1">
      <c r="A1997" s="50"/>
    </row>
    <row r="1998" spans="1:1">
      <c r="A1998" s="50"/>
    </row>
    <row r="1999" spans="1:1">
      <c r="A1999" s="50"/>
    </row>
    <row r="2000" spans="1:1">
      <c r="A2000" s="50"/>
    </row>
    <row r="2001" spans="1:1">
      <c r="A2001" s="50"/>
    </row>
    <row r="2002" spans="1:1">
      <c r="A2002" s="50"/>
    </row>
    <row r="2003" spans="1:1">
      <c r="A2003" s="50"/>
    </row>
    <row r="2004" spans="1:1">
      <c r="A2004" s="50"/>
    </row>
    <row r="2005" spans="1:1">
      <c r="A2005" s="50"/>
    </row>
    <row r="2006" spans="1:1">
      <c r="A2006" s="50"/>
    </row>
    <row r="2007" spans="1:1">
      <c r="A2007" s="50"/>
    </row>
    <row r="2008" spans="1:1">
      <c r="A2008" s="50"/>
    </row>
    <row r="2009" spans="1:1">
      <c r="A2009" s="50"/>
    </row>
    <row r="2010" spans="1:1">
      <c r="A2010" s="50"/>
    </row>
    <row r="2011" spans="1:1">
      <c r="A2011" s="50"/>
    </row>
    <row r="2012" spans="1:1">
      <c r="A2012" s="50"/>
    </row>
    <row r="2013" spans="1:1">
      <c r="A2013" s="50"/>
    </row>
    <row r="2014" spans="1:1">
      <c r="A2014" s="50"/>
    </row>
    <row r="2015" spans="1:1">
      <c r="A2015" s="50"/>
    </row>
    <row r="2016" spans="1:1">
      <c r="A2016" s="50"/>
    </row>
    <row r="2017" spans="1:1">
      <c r="A2017" s="50"/>
    </row>
    <row r="2018" spans="1:1">
      <c r="A2018" s="50"/>
    </row>
    <row r="2019" spans="1:1">
      <c r="A2019" s="50"/>
    </row>
    <row r="2020" spans="1:1">
      <c r="A2020" s="50"/>
    </row>
    <row r="2021" spans="1:1">
      <c r="A2021" s="50"/>
    </row>
    <row r="2022" spans="1:1">
      <c r="A2022" s="50"/>
    </row>
    <row r="2023" spans="1:1">
      <c r="A2023" s="50"/>
    </row>
    <row r="2024" spans="1:1">
      <c r="A2024" s="50"/>
    </row>
    <row r="2025" spans="1:1">
      <c r="A2025" s="50"/>
    </row>
    <row r="2026" spans="1:1">
      <c r="A2026" s="50"/>
    </row>
    <row r="2027" spans="1:1">
      <c r="A2027" s="50"/>
    </row>
    <row r="2028" spans="1:1">
      <c r="A2028" s="50"/>
    </row>
    <row r="2029" spans="1:1">
      <c r="A2029" s="50"/>
    </row>
    <row r="2030" spans="1:1">
      <c r="A2030" s="50"/>
    </row>
    <row r="2031" spans="1:1">
      <c r="A2031" s="50"/>
    </row>
    <row r="2032" spans="1:1">
      <c r="A2032" s="50"/>
    </row>
    <row r="2033" spans="1:1">
      <c r="A2033" s="50"/>
    </row>
    <row r="2034" spans="1:1">
      <c r="A2034" s="50"/>
    </row>
    <row r="2035" spans="1:1">
      <c r="A2035" s="50"/>
    </row>
    <row r="2036" spans="1:1">
      <c r="A2036" s="50"/>
    </row>
    <row r="2037" spans="1:1">
      <c r="A2037" s="50"/>
    </row>
    <row r="2038" spans="1:1">
      <c r="A2038" s="50"/>
    </row>
    <row r="2039" spans="1:1">
      <c r="A2039" s="50"/>
    </row>
    <row r="2040" spans="1:1">
      <c r="A2040" s="50"/>
    </row>
    <row r="2041" spans="1:1">
      <c r="A2041" s="50"/>
    </row>
    <row r="2042" spans="1:1">
      <c r="A2042" s="50"/>
    </row>
    <row r="2043" spans="1:1">
      <c r="A2043" s="50"/>
    </row>
    <row r="2044" spans="1:1">
      <c r="A2044" s="50"/>
    </row>
    <row r="2045" spans="1:1">
      <c r="A2045" s="50"/>
    </row>
    <row r="2046" spans="1:1">
      <c r="A2046" s="50"/>
    </row>
    <row r="2047" spans="1:1">
      <c r="A2047" s="50"/>
    </row>
    <row r="2048" spans="1:1">
      <c r="A2048" s="50"/>
    </row>
    <row r="2049" spans="1:1">
      <c r="A2049" s="50"/>
    </row>
    <row r="2050" spans="1:1">
      <c r="A2050" s="50"/>
    </row>
    <row r="2051" spans="1:1">
      <c r="A2051" s="50"/>
    </row>
    <row r="2052" spans="1:1">
      <c r="A2052" s="50"/>
    </row>
    <row r="2053" spans="1:1">
      <c r="A2053" s="50"/>
    </row>
    <row r="2054" spans="1:1">
      <c r="A2054" s="50"/>
    </row>
    <row r="2055" spans="1:1">
      <c r="A2055" s="50"/>
    </row>
    <row r="2056" spans="1:1">
      <c r="A2056" s="50"/>
    </row>
    <row r="2057" spans="1:1">
      <c r="A2057" s="50"/>
    </row>
    <row r="2058" spans="1:1">
      <c r="A2058" s="50"/>
    </row>
    <row r="2059" spans="1:1">
      <c r="A2059" s="50"/>
    </row>
    <row r="2060" spans="1:1">
      <c r="A2060" s="50"/>
    </row>
    <row r="2061" spans="1:1">
      <c r="A2061" s="50"/>
    </row>
    <row r="2062" spans="1:1">
      <c r="A2062" s="50"/>
    </row>
    <row r="2063" spans="1:1">
      <c r="A2063" s="50"/>
    </row>
    <row r="2064" spans="1:1">
      <c r="A2064" s="50"/>
    </row>
    <row r="2065" spans="1:1">
      <c r="A2065" s="50"/>
    </row>
    <row r="2066" spans="1:1">
      <c r="A2066" s="50"/>
    </row>
    <row r="2067" spans="1:1">
      <c r="A2067" s="50"/>
    </row>
    <row r="2068" spans="1:1">
      <c r="A2068" s="50"/>
    </row>
    <row r="2069" spans="1:1">
      <c r="A2069" s="50"/>
    </row>
    <row r="2070" spans="1:1">
      <c r="A2070" s="50"/>
    </row>
    <row r="2071" spans="1:1">
      <c r="A2071" s="50"/>
    </row>
    <row r="2072" spans="1:1">
      <c r="A2072" s="50"/>
    </row>
    <row r="2073" spans="1:1">
      <c r="A2073" s="50"/>
    </row>
    <row r="2074" spans="1:1">
      <c r="A2074" s="50"/>
    </row>
    <row r="2075" spans="1:1">
      <c r="A2075" s="50"/>
    </row>
    <row r="2076" spans="1:1">
      <c r="A2076" s="50"/>
    </row>
    <row r="2077" spans="1:1">
      <c r="A2077" s="50"/>
    </row>
    <row r="2078" spans="1:1">
      <c r="A2078" s="50"/>
    </row>
    <row r="2079" spans="1:1">
      <c r="A2079" s="50"/>
    </row>
    <row r="2080" spans="1:1">
      <c r="A2080" s="50"/>
    </row>
    <row r="2081" spans="1:1">
      <c r="A2081" s="50"/>
    </row>
    <row r="2082" spans="1:1">
      <c r="A2082" s="50"/>
    </row>
    <row r="2083" spans="1:1">
      <c r="A2083" s="50"/>
    </row>
    <row r="2084" spans="1:1">
      <c r="A2084" s="50"/>
    </row>
    <row r="2085" spans="1:1">
      <c r="A2085" s="50"/>
    </row>
    <row r="2086" spans="1:1">
      <c r="A2086" s="50"/>
    </row>
    <row r="2087" spans="1:1">
      <c r="A2087" s="50"/>
    </row>
    <row r="2088" spans="1:1">
      <c r="A2088" s="50"/>
    </row>
    <row r="2089" spans="1:1">
      <c r="A2089" s="50"/>
    </row>
    <row r="2090" spans="1:1">
      <c r="A2090" s="50"/>
    </row>
    <row r="2091" spans="1:1">
      <c r="A2091" s="50"/>
    </row>
    <row r="2092" spans="1:1">
      <c r="A2092" s="50"/>
    </row>
    <row r="2093" spans="1:1">
      <c r="A2093" s="50"/>
    </row>
    <row r="2094" spans="1:1">
      <c r="A2094" s="50"/>
    </row>
    <row r="2095" spans="1:1">
      <c r="A2095" s="50"/>
    </row>
    <row r="2096" spans="1:1">
      <c r="A2096" s="50"/>
    </row>
    <row r="2097" spans="1:1">
      <c r="A2097" s="50"/>
    </row>
    <row r="2098" spans="1:1">
      <c r="A2098" s="50"/>
    </row>
    <row r="2099" spans="1:1">
      <c r="A2099" s="50"/>
    </row>
    <row r="2100" spans="1:1">
      <c r="A2100" s="50"/>
    </row>
    <row r="2101" spans="1:1">
      <c r="A2101" s="50"/>
    </row>
    <row r="2102" spans="1:1">
      <c r="A2102" s="50"/>
    </row>
    <row r="2103" spans="1:1">
      <c r="A2103" s="50"/>
    </row>
    <row r="2104" spans="1:1">
      <c r="A2104" s="50"/>
    </row>
    <row r="2105" spans="1:1">
      <c r="A2105" s="50"/>
    </row>
    <row r="2106" spans="1:1">
      <c r="A2106" s="50"/>
    </row>
    <row r="2107" spans="1:1">
      <c r="A2107" s="50"/>
    </row>
    <row r="2108" spans="1:1">
      <c r="A2108" s="50"/>
    </row>
    <row r="2109" spans="1:1">
      <c r="A2109" s="50"/>
    </row>
    <row r="2110" spans="1:1">
      <c r="A2110" s="50"/>
    </row>
    <row r="2111" spans="1:1">
      <c r="A2111" s="50"/>
    </row>
    <row r="2112" spans="1:1">
      <c r="A2112" s="50"/>
    </row>
    <row r="2113" spans="1:1">
      <c r="A2113" s="50"/>
    </row>
    <row r="2114" spans="1:1">
      <c r="A2114" s="50"/>
    </row>
    <row r="2115" spans="1:1">
      <c r="A2115" s="50"/>
    </row>
    <row r="2116" spans="1:1">
      <c r="A2116" s="50"/>
    </row>
    <row r="2117" spans="1:1">
      <c r="A2117" s="50"/>
    </row>
    <row r="2118" spans="1:1">
      <c r="A2118" s="50"/>
    </row>
    <row r="2119" spans="1:1">
      <c r="A2119" s="50"/>
    </row>
    <row r="2120" spans="1:1">
      <c r="A2120" s="50"/>
    </row>
    <row r="2121" spans="1:1">
      <c r="A2121" s="50"/>
    </row>
    <row r="2122" spans="1:1">
      <c r="A2122" s="50"/>
    </row>
    <row r="2123" spans="1:1">
      <c r="A2123" s="50"/>
    </row>
    <row r="2124" spans="1:1">
      <c r="A2124" s="50"/>
    </row>
    <row r="2125" spans="1:1">
      <c r="A2125" s="50"/>
    </row>
    <row r="2126" spans="1:1">
      <c r="A2126" s="50"/>
    </row>
    <row r="2127" spans="1:1">
      <c r="A2127" s="50"/>
    </row>
    <row r="2128" spans="1:1">
      <c r="A2128" s="50"/>
    </row>
    <row r="2129" spans="1:1">
      <c r="A2129" s="50"/>
    </row>
    <row r="2130" spans="1:1">
      <c r="A2130" s="50"/>
    </row>
    <row r="2131" spans="1:1">
      <c r="A2131" s="50"/>
    </row>
    <row r="2132" spans="1:1">
      <c r="A2132" s="50"/>
    </row>
    <row r="2133" spans="1:1">
      <c r="A2133" s="50"/>
    </row>
    <row r="2134" spans="1:1">
      <c r="A2134" s="50"/>
    </row>
    <row r="2135" spans="1:1">
      <c r="A2135" s="50"/>
    </row>
    <row r="2136" spans="1:1">
      <c r="A2136" s="50"/>
    </row>
    <row r="2137" spans="1:1">
      <c r="A2137" s="50"/>
    </row>
    <row r="2138" spans="1:1">
      <c r="A2138" s="50"/>
    </row>
    <row r="2139" spans="1:1">
      <c r="A2139" s="50"/>
    </row>
    <row r="2140" spans="1:1">
      <c r="A2140" s="50"/>
    </row>
    <row r="2141" spans="1:1">
      <c r="A2141" s="50"/>
    </row>
    <row r="2142" spans="1:1">
      <c r="A2142" s="50"/>
    </row>
    <row r="2143" spans="1:1">
      <c r="A2143" s="50"/>
    </row>
    <row r="2144" spans="1:1">
      <c r="A2144" s="50"/>
    </row>
    <row r="2145" spans="1:1">
      <c r="A2145" s="50"/>
    </row>
    <row r="2146" spans="1:1">
      <c r="A2146" s="50"/>
    </row>
    <row r="2147" spans="1:1">
      <c r="A2147" s="50"/>
    </row>
    <row r="2148" spans="1:1">
      <c r="A2148" s="50"/>
    </row>
    <row r="2149" spans="1:1">
      <c r="A2149" s="50"/>
    </row>
    <row r="2150" spans="1:1">
      <c r="A2150" s="50"/>
    </row>
    <row r="2151" spans="1:1">
      <c r="A2151" s="50"/>
    </row>
    <row r="2152" spans="1:1">
      <c r="A2152" s="50"/>
    </row>
    <row r="2153" spans="1:1">
      <c r="A2153" s="50"/>
    </row>
    <row r="2154" spans="1:1">
      <c r="A2154" s="50"/>
    </row>
    <row r="2155" spans="1:1">
      <c r="A2155" s="50"/>
    </row>
    <row r="2156" spans="1:1">
      <c r="A2156" s="50"/>
    </row>
    <row r="2157" spans="1:1">
      <c r="A2157" s="50"/>
    </row>
    <row r="2158" spans="1:1">
      <c r="A2158" s="50"/>
    </row>
    <row r="2159" spans="1:1">
      <c r="A2159" s="50"/>
    </row>
    <row r="2160" spans="1:1">
      <c r="A2160" s="50"/>
    </row>
    <row r="2161" spans="1:1">
      <c r="A2161" s="50"/>
    </row>
    <row r="2162" spans="1:1">
      <c r="A2162" s="50"/>
    </row>
    <row r="2163" spans="1:1">
      <c r="A2163" s="50"/>
    </row>
    <row r="2164" spans="1:1">
      <c r="A2164" s="50"/>
    </row>
    <row r="2165" spans="1:1">
      <c r="A2165" s="50"/>
    </row>
    <row r="2166" spans="1:1">
      <c r="A2166" s="50"/>
    </row>
    <row r="2167" spans="1:1">
      <c r="A2167" s="50"/>
    </row>
    <row r="2168" spans="1:1">
      <c r="A2168" s="50"/>
    </row>
    <row r="2169" spans="1:1">
      <c r="A2169" s="50"/>
    </row>
    <row r="2170" spans="1:1">
      <c r="A2170" s="50"/>
    </row>
    <row r="2171" spans="1:1">
      <c r="A2171" s="50"/>
    </row>
    <row r="2172" spans="1:1">
      <c r="A2172" s="50"/>
    </row>
    <row r="2173" spans="1:1">
      <c r="A2173" s="50"/>
    </row>
    <row r="2174" spans="1:1">
      <c r="A2174" s="50"/>
    </row>
    <row r="2175" spans="1:1">
      <c r="A2175" s="50"/>
    </row>
    <row r="2176" spans="1:1">
      <c r="A2176" s="50"/>
    </row>
    <row r="2177" spans="1:1">
      <c r="A2177" s="50"/>
    </row>
    <row r="2178" spans="1:1">
      <c r="A2178" s="50"/>
    </row>
    <row r="2179" spans="1:1">
      <c r="A2179" s="50"/>
    </row>
    <row r="2180" spans="1:1">
      <c r="A2180" s="50"/>
    </row>
    <row r="2181" spans="1:1">
      <c r="A2181" s="50"/>
    </row>
    <row r="2182" spans="1:1">
      <c r="A2182" s="50"/>
    </row>
    <row r="2183" spans="1:1">
      <c r="A2183" s="50"/>
    </row>
    <row r="2184" spans="1:1">
      <c r="A2184" s="50"/>
    </row>
    <row r="2185" spans="1:1">
      <c r="A2185" s="50"/>
    </row>
    <row r="2186" spans="1:1">
      <c r="A2186" s="50"/>
    </row>
    <row r="2187" spans="1:1">
      <c r="A2187" s="50"/>
    </row>
    <row r="2188" spans="1:1">
      <c r="A2188" s="50"/>
    </row>
    <row r="2189" spans="1:1">
      <c r="A2189" s="50"/>
    </row>
    <row r="2190" spans="1:1">
      <c r="A2190" s="50"/>
    </row>
    <row r="2191" spans="1:1">
      <c r="A2191" s="50"/>
    </row>
    <row r="2192" spans="1:1">
      <c r="A2192" s="50"/>
    </row>
    <row r="2193" spans="1:1">
      <c r="A2193" s="50"/>
    </row>
    <row r="2194" spans="1:1">
      <c r="A2194" s="50"/>
    </row>
    <row r="2195" spans="1:1">
      <c r="A2195" s="50"/>
    </row>
    <row r="2196" spans="1:1">
      <c r="A2196" s="50"/>
    </row>
    <row r="2197" spans="1:1">
      <c r="A2197" s="50"/>
    </row>
    <row r="2198" spans="1:1">
      <c r="A2198" s="50"/>
    </row>
    <row r="2199" spans="1:1">
      <c r="A2199" s="50"/>
    </row>
    <row r="2200" spans="1:1">
      <c r="A2200" s="50"/>
    </row>
    <row r="2201" spans="1:1">
      <c r="A2201" s="50"/>
    </row>
    <row r="2202" spans="1:1">
      <c r="A2202" s="50"/>
    </row>
    <row r="2203" spans="1:1">
      <c r="A2203" s="50"/>
    </row>
    <row r="2204" spans="1:1">
      <c r="A2204" s="50"/>
    </row>
    <row r="2205" spans="1:1">
      <c r="A2205" s="50"/>
    </row>
    <row r="2206" spans="1:1">
      <c r="A2206" s="50"/>
    </row>
    <row r="2207" spans="1:1">
      <c r="A2207" s="50"/>
    </row>
    <row r="2208" spans="1:1">
      <c r="A2208" s="50"/>
    </row>
    <row r="2209" spans="1:1">
      <c r="A2209" s="50"/>
    </row>
    <row r="2210" spans="1:1">
      <c r="A2210" s="50"/>
    </row>
    <row r="2211" spans="1:1">
      <c r="A2211" s="50"/>
    </row>
    <row r="2212" spans="1:1">
      <c r="A2212" s="50"/>
    </row>
    <row r="2213" spans="1:1">
      <c r="A2213" s="50"/>
    </row>
    <row r="2214" spans="1:1">
      <c r="A2214" s="50"/>
    </row>
    <row r="2215" spans="1:1">
      <c r="A2215" s="50"/>
    </row>
    <row r="2216" spans="1:1">
      <c r="A2216" s="50"/>
    </row>
    <row r="2217" spans="1:1">
      <c r="A2217" s="50"/>
    </row>
    <row r="2218" spans="1:1">
      <c r="A2218" s="50"/>
    </row>
    <row r="2219" spans="1:1">
      <c r="A2219" s="50"/>
    </row>
    <row r="2220" spans="1:1">
      <c r="A2220" s="50"/>
    </row>
    <row r="2221" spans="1:1">
      <c r="A2221" s="50"/>
    </row>
    <row r="2222" spans="1:1">
      <c r="A2222" s="50"/>
    </row>
    <row r="2223" spans="1:1">
      <c r="A2223" s="50"/>
    </row>
    <row r="2224" spans="1:1">
      <c r="A2224" s="50"/>
    </row>
    <row r="2225" spans="1:1">
      <c r="A2225" s="50"/>
    </row>
    <row r="2226" spans="1:1">
      <c r="A2226" s="50"/>
    </row>
    <row r="2227" spans="1:1">
      <c r="A2227" s="50"/>
    </row>
    <row r="2228" spans="1:1">
      <c r="A2228" s="50"/>
    </row>
    <row r="2229" spans="1:1">
      <c r="A2229" s="50"/>
    </row>
    <row r="2230" spans="1:1">
      <c r="A2230" s="50"/>
    </row>
    <row r="2231" spans="1:1">
      <c r="A2231" s="50"/>
    </row>
    <row r="2232" spans="1:1">
      <c r="A2232" s="50"/>
    </row>
    <row r="2233" spans="1:1">
      <c r="A2233" s="50"/>
    </row>
    <row r="2234" spans="1:1">
      <c r="A2234" s="50"/>
    </row>
    <row r="2235" spans="1:1">
      <c r="A2235" s="50"/>
    </row>
    <row r="2236" spans="1:1">
      <c r="A2236" s="50"/>
    </row>
    <row r="2237" spans="1:1">
      <c r="A2237" s="50"/>
    </row>
    <row r="2238" spans="1:1">
      <c r="A2238" s="50"/>
    </row>
    <row r="2239" spans="1:1">
      <c r="A2239" s="50"/>
    </row>
    <row r="2240" spans="1:1">
      <c r="A2240" s="50"/>
    </row>
    <row r="2241" spans="1:1">
      <c r="A2241" s="50"/>
    </row>
    <row r="2242" spans="1:1">
      <c r="A2242" s="50"/>
    </row>
    <row r="2243" spans="1:1">
      <c r="A2243" s="50"/>
    </row>
    <row r="2244" spans="1:1">
      <c r="A2244" s="50"/>
    </row>
    <row r="2245" spans="1:1">
      <c r="A2245" s="50"/>
    </row>
    <row r="2246" spans="1:1">
      <c r="A2246" s="50"/>
    </row>
    <row r="2247" spans="1:1">
      <c r="A2247" s="50"/>
    </row>
    <row r="2248" spans="1:1">
      <c r="A2248" s="50"/>
    </row>
    <row r="2249" spans="1:1">
      <c r="A2249" s="50"/>
    </row>
    <row r="2250" spans="1:1">
      <c r="A2250" s="50"/>
    </row>
    <row r="2251" spans="1:1">
      <c r="A2251" s="50"/>
    </row>
    <row r="2252" spans="1:1">
      <c r="A2252" s="50"/>
    </row>
    <row r="2253" spans="1:1">
      <c r="A2253" s="50"/>
    </row>
    <row r="2254" spans="1:1">
      <c r="A2254" s="50"/>
    </row>
    <row r="2255" spans="1:1">
      <c r="A2255" s="50"/>
    </row>
    <row r="2256" spans="1:1">
      <c r="A2256" s="50"/>
    </row>
    <row r="2257" spans="1:1">
      <c r="A2257" s="50"/>
    </row>
    <row r="2258" spans="1:1">
      <c r="A2258" s="50"/>
    </row>
    <row r="2259" spans="1:1">
      <c r="A2259" s="50"/>
    </row>
    <row r="2260" spans="1:1">
      <c r="A2260" s="50"/>
    </row>
    <row r="2261" spans="1:1">
      <c r="A2261" s="50"/>
    </row>
    <row r="2262" spans="1:1">
      <c r="A2262" s="50"/>
    </row>
    <row r="2263" spans="1:1">
      <c r="A2263" s="50"/>
    </row>
    <row r="2264" spans="1:1">
      <c r="A2264" s="50"/>
    </row>
    <row r="2265" spans="1:1">
      <c r="A2265" s="50"/>
    </row>
    <row r="2266" spans="1:1">
      <c r="A2266" s="50"/>
    </row>
    <row r="2267" spans="1:1">
      <c r="A2267" s="50"/>
    </row>
    <row r="2268" spans="1:1">
      <c r="A2268" s="50"/>
    </row>
    <row r="2269" spans="1:1">
      <c r="A2269" s="50"/>
    </row>
    <row r="2270" spans="1:1">
      <c r="A2270" s="50"/>
    </row>
    <row r="2271" spans="1:1">
      <c r="A2271" s="50"/>
    </row>
    <row r="2272" spans="1:1">
      <c r="A2272" s="50"/>
    </row>
    <row r="2273" spans="1:1">
      <c r="A2273" s="50"/>
    </row>
    <row r="2274" spans="1:1">
      <c r="A2274" s="50"/>
    </row>
    <row r="2275" spans="1:1">
      <c r="A2275" s="50"/>
    </row>
    <row r="2276" spans="1:1">
      <c r="A2276" s="50"/>
    </row>
    <row r="2277" spans="1:1">
      <c r="A2277" s="50"/>
    </row>
    <row r="2278" spans="1:1">
      <c r="A2278" s="50"/>
    </row>
    <row r="2279" spans="1:1">
      <c r="A2279" s="50"/>
    </row>
    <row r="2280" spans="1:1">
      <c r="A2280" s="50"/>
    </row>
    <row r="2281" spans="1:1">
      <c r="A2281" s="50"/>
    </row>
    <row r="2282" spans="1:1">
      <c r="A2282" s="50"/>
    </row>
    <row r="2283" spans="1:1">
      <c r="A2283" s="50"/>
    </row>
    <row r="2284" spans="1:1">
      <c r="A2284" s="50"/>
    </row>
    <row r="2285" spans="1:1">
      <c r="A2285" s="50"/>
    </row>
    <row r="2286" spans="1:1">
      <c r="A2286" s="50"/>
    </row>
    <row r="2287" spans="1:1">
      <c r="A2287" s="50"/>
    </row>
    <row r="2288" spans="1:1">
      <c r="A2288" s="50"/>
    </row>
    <row r="2289" spans="1:1">
      <c r="A2289" s="50"/>
    </row>
    <row r="2290" spans="1:1">
      <c r="A2290" s="50"/>
    </row>
    <row r="2291" spans="1:1">
      <c r="A2291" s="50"/>
    </row>
    <row r="2292" spans="1:1">
      <c r="A2292" s="50"/>
    </row>
    <row r="2293" spans="1:1">
      <c r="A2293" s="50"/>
    </row>
    <row r="2294" spans="1:1">
      <c r="A2294" s="50"/>
    </row>
    <row r="2295" spans="1:1">
      <c r="A2295" s="50"/>
    </row>
    <row r="2296" spans="1:1">
      <c r="A2296" s="50"/>
    </row>
    <row r="2297" spans="1:1">
      <c r="A2297" s="50"/>
    </row>
    <row r="2298" spans="1:1">
      <c r="A2298" s="50"/>
    </row>
    <row r="2299" spans="1:1">
      <c r="A2299" s="50"/>
    </row>
    <row r="2300" spans="1:1">
      <c r="A2300" s="50"/>
    </row>
    <row r="2301" spans="1:1">
      <c r="A2301" s="50"/>
    </row>
    <row r="2302" spans="1:1">
      <c r="A2302" s="50"/>
    </row>
    <row r="2303" spans="1:1">
      <c r="A2303" s="50"/>
    </row>
    <row r="2304" spans="1:1">
      <c r="A2304" s="50"/>
    </row>
    <row r="2305" spans="1:1">
      <c r="A2305" s="50"/>
    </row>
    <row r="2306" spans="1:1">
      <c r="A2306" s="50"/>
    </row>
    <row r="2307" spans="1:1">
      <c r="A2307" s="50"/>
    </row>
    <row r="2308" spans="1:1">
      <c r="A2308" s="50"/>
    </row>
    <row r="2309" spans="1:1">
      <c r="A2309" s="50"/>
    </row>
    <row r="2310" spans="1:1">
      <c r="A2310" s="50"/>
    </row>
    <row r="2311" spans="1:1">
      <c r="A2311" s="50"/>
    </row>
    <row r="2312" spans="1:1">
      <c r="A2312" s="50"/>
    </row>
    <row r="2313" spans="1:1">
      <c r="A2313" s="50"/>
    </row>
    <row r="2314" spans="1:1">
      <c r="A2314" s="50"/>
    </row>
    <row r="2315" spans="1:1">
      <c r="A2315" s="50"/>
    </row>
    <row r="2316" spans="1:1">
      <c r="A2316" s="50"/>
    </row>
    <row r="2317" spans="1:1">
      <c r="A2317" s="50"/>
    </row>
    <row r="2318" spans="1:1">
      <c r="A2318" s="50"/>
    </row>
    <row r="2319" spans="1:1">
      <c r="A2319" s="50"/>
    </row>
    <row r="2320" spans="1:1">
      <c r="A2320" s="50"/>
    </row>
    <row r="2321" spans="1:1">
      <c r="A2321" s="50"/>
    </row>
    <row r="2322" spans="1:1">
      <c r="A2322" s="50"/>
    </row>
    <row r="2323" spans="1:1">
      <c r="A2323" s="50"/>
    </row>
    <row r="2324" spans="1:1">
      <c r="A2324" s="50"/>
    </row>
    <row r="2325" spans="1:1">
      <c r="A2325" s="50"/>
    </row>
    <row r="2326" spans="1:1">
      <c r="A2326" s="50"/>
    </row>
    <row r="2327" spans="1:1">
      <c r="A2327" s="50"/>
    </row>
    <row r="2328" spans="1:1">
      <c r="A2328" s="50"/>
    </row>
    <row r="2329" spans="1:1">
      <c r="A2329" s="50"/>
    </row>
    <row r="2330" spans="1:1">
      <c r="A2330" s="50"/>
    </row>
    <row r="2331" spans="1:1">
      <c r="A2331" s="50"/>
    </row>
    <row r="2332" spans="1:1">
      <c r="A2332" s="50"/>
    </row>
    <row r="2333" spans="1:1">
      <c r="A2333" s="50"/>
    </row>
    <row r="2334" spans="1:1">
      <c r="A2334" s="50"/>
    </row>
    <row r="2335" spans="1:1">
      <c r="A2335" s="50"/>
    </row>
    <row r="2336" spans="1:1">
      <c r="A2336" s="50"/>
    </row>
    <row r="2337" spans="1:1">
      <c r="A2337" s="50"/>
    </row>
    <row r="2338" spans="1:1">
      <c r="A2338" s="50"/>
    </row>
    <row r="2339" spans="1:1">
      <c r="A2339" s="50"/>
    </row>
    <row r="2340" spans="1:1">
      <c r="A2340" s="50"/>
    </row>
    <row r="2341" spans="1:1">
      <c r="A2341" s="50"/>
    </row>
    <row r="2342" spans="1:1">
      <c r="A2342" s="50"/>
    </row>
    <row r="2343" spans="1:1">
      <c r="A2343" s="50"/>
    </row>
    <row r="2344" spans="1:1">
      <c r="A2344" s="50"/>
    </row>
    <row r="2345" spans="1:1">
      <c r="A2345" s="50"/>
    </row>
    <row r="2346" spans="1:1">
      <c r="A2346" s="50"/>
    </row>
    <row r="2347" spans="1:1">
      <c r="A2347" s="50"/>
    </row>
    <row r="2348" spans="1:1">
      <c r="A2348" s="50"/>
    </row>
    <row r="2349" spans="1:1">
      <c r="A2349" s="50"/>
    </row>
    <row r="2350" spans="1:1">
      <c r="A2350" s="50"/>
    </row>
    <row r="2351" spans="1:1">
      <c r="A2351" s="50"/>
    </row>
    <row r="2352" spans="1:1">
      <c r="A2352" s="50"/>
    </row>
    <row r="2353" spans="1:1">
      <c r="A2353" s="50"/>
    </row>
    <row r="2354" spans="1:1">
      <c r="A2354" s="50"/>
    </row>
    <row r="2355" spans="1:1">
      <c r="A2355" s="50"/>
    </row>
    <row r="2356" spans="1:1">
      <c r="A2356" s="50"/>
    </row>
    <row r="2357" spans="1:1">
      <c r="A2357" s="50"/>
    </row>
    <row r="2358" spans="1:1">
      <c r="A2358" s="50"/>
    </row>
    <row r="2359" spans="1:1">
      <c r="A2359" s="50"/>
    </row>
    <row r="2360" spans="1:1">
      <c r="A2360" s="50"/>
    </row>
    <row r="2361" spans="1:1">
      <c r="A2361" s="50"/>
    </row>
    <row r="2362" spans="1:1">
      <c r="A2362" s="50"/>
    </row>
    <row r="2363" spans="1:1">
      <c r="A2363" s="50"/>
    </row>
    <row r="2364" spans="1:1">
      <c r="A2364" s="50"/>
    </row>
    <row r="2365" spans="1:1">
      <c r="A2365" s="50"/>
    </row>
    <row r="2366" spans="1:1">
      <c r="A2366" s="50"/>
    </row>
    <row r="2367" spans="1:1">
      <c r="A2367" s="50"/>
    </row>
    <row r="2368" spans="1:1">
      <c r="A2368" s="50"/>
    </row>
    <row r="2369" spans="1:1">
      <c r="A2369" s="50"/>
    </row>
    <row r="2370" spans="1:1">
      <c r="A2370" s="50"/>
    </row>
    <row r="2371" spans="1:1">
      <c r="A2371" s="50"/>
    </row>
    <row r="2372" spans="1:1">
      <c r="A2372" s="50"/>
    </row>
    <row r="2373" spans="1:1">
      <c r="A2373" s="50"/>
    </row>
    <row r="2374" spans="1:1">
      <c r="A2374" s="50"/>
    </row>
    <row r="2375" spans="1:1">
      <c r="A2375" s="50"/>
    </row>
    <row r="2376" spans="1:1">
      <c r="A2376" s="50"/>
    </row>
    <row r="2377" spans="1:1">
      <c r="A2377" s="50"/>
    </row>
    <row r="2378" spans="1:1">
      <c r="A2378" s="50"/>
    </row>
    <row r="2379" spans="1:1">
      <c r="A2379" s="50"/>
    </row>
    <row r="2380" spans="1:1">
      <c r="A2380" s="50"/>
    </row>
    <row r="2381" spans="1:1">
      <c r="A2381" s="50"/>
    </row>
    <row r="2382" spans="1:1">
      <c r="A2382" s="50"/>
    </row>
    <row r="2383" spans="1:1">
      <c r="A2383" s="50"/>
    </row>
    <row r="2384" spans="1:1">
      <c r="A2384" s="50"/>
    </row>
    <row r="2385" spans="1:1">
      <c r="A2385" s="50"/>
    </row>
    <row r="2386" spans="1:1">
      <c r="A2386" s="50"/>
    </row>
    <row r="2387" spans="1:1">
      <c r="A2387" s="50"/>
    </row>
    <row r="2388" spans="1:1">
      <c r="A2388" s="50"/>
    </row>
    <row r="2389" spans="1:1">
      <c r="A2389" s="50"/>
    </row>
    <row r="2390" spans="1:1">
      <c r="A2390" s="50"/>
    </row>
    <row r="2391" spans="1:1">
      <c r="A2391" s="50"/>
    </row>
    <row r="2392" spans="1:1">
      <c r="A2392" s="50"/>
    </row>
    <row r="2393" spans="1:1">
      <c r="A2393" s="50"/>
    </row>
    <row r="2394" spans="1:1">
      <c r="A2394" s="50"/>
    </row>
    <row r="2395" spans="1:1">
      <c r="A2395" s="50"/>
    </row>
    <row r="2396" spans="1:1">
      <c r="A2396" s="50"/>
    </row>
    <row r="2397" spans="1:1">
      <c r="A2397" s="50"/>
    </row>
    <row r="2398" spans="1:1">
      <c r="A2398" s="50"/>
    </row>
    <row r="2399" spans="1:1">
      <c r="A2399" s="50"/>
    </row>
    <row r="2400" spans="1:1">
      <c r="A2400" s="50"/>
    </row>
    <row r="2401" spans="1:1">
      <c r="A2401" s="50"/>
    </row>
    <row r="2402" spans="1:1">
      <c r="A2402" s="50"/>
    </row>
    <row r="2403" spans="1:1">
      <c r="A2403" s="50"/>
    </row>
    <row r="2404" spans="1:1">
      <c r="A2404" s="50"/>
    </row>
    <row r="2405" spans="1:1">
      <c r="A2405" s="50"/>
    </row>
    <row r="2406" spans="1:1">
      <c r="A2406" s="50"/>
    </row>
    <row r="2407" spans="1:1">
      <c r="A2407" s="50"/>
    </row>
    <row r="2408" spans="1:1">
      <c r="A2408" s="50"/>
    </row>
    <row r="2409" spans="1:1">
      <c r="A2409" s="50"/>
    </row>
    <row r="2410" spans="1:1">
      <c r="A2410" s="50"/>
    </row>
    <row r="2411" spans="1:1">
      <c r="A2411" s="50"/>
    </row>
    <row r="2412" spans="1:1">
      <c r="A2412" s="50"/>
    </row>
    <row r="2413" spans="1:1">
      <c r="A2413" s="50"/>
    </row>
    <row r="2414" spans="1:1">
      <c r="A2414" s="50"/>
    </row>
    <row r="2415" spans="1:1">
      <c r="A2415" s="50"/>
    </row>
    <row r="2416" spans="1:1">
      <c r="A2416" s="50"/>
    </row>
    <row r="2417" spans="1:1">
      <c r="A2417" s="50"/>
    </row>
    <row r="2418" spans="1:1">
      <c r="A2418" s="50"/>
    </row>
    <row r="2419" spans="1:1">
      <c r="A2419" s="50"/>
    </row>
    <row r="2420" spans="1:1">
      <c r="A2420" s="50"/>
    </row>
    <row r="2421" spans="1:1">
      <c r="A2421" s="50"/>
    </row>
    <row r="2422" spans="1:1">
      <c r="A2422" s="50"/>
    </row>
    <row r="2423" spans="1:1">
      <c r="A2423" s="50"/>
    </row>
    <row r="2424" spans="1:1">
      <c r="A2424" s="50"/>
    </row>
    <row r="2425" spans="1:1">
      <c r="A2425" s="50"/>
    </row>
    <row r="2426" spans="1:1">
      <c r="A2426" s="50"/>
    </row>
    <row r="2427" spans="1:1">
      <c r="A2427" s="50"/>
    </row>
    <row r="2428" spans="1:1">
      <c r="A2428" s="50"/>
    </row>
    <row r="2429" spans="1:1">
      <c r="A2429" s="50"/>
    </row>
    <row r="2430" spans="1:1">
      <c r="A2430" s="50"/>
    </row>
    <row r="2431" spans="1:1">
      <c r="A2431" s="50"/>
    </row>
    <row r="2432" spans="1:1">
      <c r="A2432" s="50"/>
    </row>
    <row r="2433" spans="1:1">
      <c r="A2433" s="50"/>
    </row>
    <row r="2434" spans="1:1">
      <c r="A2434" s="50"/>
    </row>
    <row r="2435" spans="1:1">
      <c r="A2435" s="50"/>
    </row>
    <row r="2436" spans="1:1">
      <c r="A2436" s="50"/>
    </row>
    <row r="2437" spans="1:1">
      <c r="A2437" s="50"/>
    </row>
    <row r="2438" spans="1:1">
      <c r="A2438" s="50"/>
    </row>
    <row r="2439" spans="1:1">
      <c r="A2439" s="50"/>
    </row>
    <row r="2440" spans="1:1">
      <c r="A2440" s="50"/>
    </row>
    <row r="2441" spans="1:1">
      <c r="A2441" s="50"/>
    </row>
    <row r="2442" spans="1:1">
      <c r="A2442" s="50"/>
    </row>
    <row r="2443" spans="1:1">
      <c r="A2443" s="50"/>
    </row>
    <row r="2444" spans="1:1">
      <c r="A2444" s="50"/>
    </row>
    <row r="2445" spans="1:1">
      <c r="A2445" s="50"/>
    </row>
    <row r="2446" spans="1:1">
      <c r="A2446" s="50"/>
    </row>
    <row r="2447" spans="1:1">
      <c r="A2447" s="50"/>
    </row>
    <row r="2448" spans="1:1">
      <c r="A2448" s="50"/>
    </row>
    <row r="2449" spans="1:1">
      <c r="A2449" s="50"/>
    </row>
    <row r="2450" spans="1:1">
      <c r="A2450" s="50"/>
    </row>
    <row r="2451" spans="1:1">
      <c r="A2451" s="50"/>
    </row>
    <row r="2452" spans="1:1">
      <c r="A2452" s="50"/>
    </row>
    <row r="2453" spans="1:1">
      <c r="A2453" s="50"/>
    </row>
    <row r="2454" spans="1:1">
      <c r="A2454" s="50"/>
    </row>
    <row r="2455" spans="1:1">
      <c r="A2455" s="50"/>
    </row>
    <row r="2456" spans="1:1">
      <c r="A2456" s="50"/>
    </row>
    <row r="2457" spans="1:1">
      <c r="A2457" s="50"/>
    </row>
    <row r="2458" spans="1:1">
      <c r="A2458" s="50"/>
    </row>
    <row r="2459" spans="1:1">
      <c r="A2459" s="50"/>
    </row>
    <row r="2460" spans="1:1">
      <c r="A2460" s="50"/>
    </row>
    <row r="2461" spans="1:1">
      <c r="A2461" s="50"/>
    </row>
    <row r="2462" spans="1:1">
      <c r="A2462" s="50"/>
    </row>
    <row r="2463" spans="1:1">
      <c r="A2463" s="50"/>
    </row>
    <row r="2464" spans="1:1">
      <c r="A2464" s="50"/>
    </row>
    <row r="2465" spans="1:1">
      <c r="A2465" s="50"/>
    </row>
    <row r="2466" spans="1:1">
      <c r="A2466" s="50"/>
    </row>
    <row r="2467" spans="1:1">
      <c r="A2467" s="50"/>
    </row>
    <row r="2468" spans="1:1">
      <c r="A2468" s="50"/>
    </row>
    <row r="2469" spans="1:1">
      <c r="A2469" s="50"/>
    </row>
    <row r="2470" spans="1:1">
      <c r="A2470" s="50"/>
    </row>
    <row r="2471" spans="1:1">
      <c r="A2471" s="50"/>
    </row>
    <row r="2472" spans="1:1">
      <c r="A2472" s="50"/>
    </row>
    <row r="2473" spans="1:1">
      <c r="A2473" s="50"/>
    </row>
    <row r="2474" spans="1:1">
      <c r="A2474" s="50"/>
    </row>
    <row r="2475" spans="1:1">
      <c r="A2475" s="50"/>
    </row>
    <row r="2476" spans="1:1">
      <c r="A2476" s="50"/>
    </row>
    <row r="2477" spans="1:1">
      <c r="A2477" s="50"/>
    </row>
    <row r="2478" spans="1:1">
      <c r="A2478" s="50"/>
    </row>
    <row r="2479" spans="1:1">
      <c r="A2479" s="50"/>
    </row>
    <row r="2480" spans="1:1">
      <c r="A2480" s="50"/>
    </row>
    <row r="2481" spans="1:1">
      <c r="A2481" s="50"/>
    </row>
    <row r="2482" spans="1:1">
      <c r="A2482" s="50"/>
    </row>
    <row r="2483" spans="1:1">
      <c r="A2483" s="50"/>
    </row>
    <row r="2484" spans="1:1">
      <c r="A2484" s="50"/>
    </row>
    <row r="2485" spans="1:1">
      <c r="A2485" s="50"/>
    </row>
    <row r="2486" spans="1:1">
      <c r="A2486" s="50"/>
    </row>
    <row r="2487" spans="1:1">
      <c r="A2487" s="50"/>
    </row>
    <row r="2488" spans="1:1">
      <c r="A2488" s="50"/>
    </row>
    <row r="2489" spans="1:1">
      <c r="A2489" s="50"/>
    </row>
    <row r="2490" spans="1:1">
      <c r="A2490" s="50"/>
    </row>
    <row r="2491" spans="1:1">
      <c r="A2491" s="50"/>
    </row>
    <row r="2492" spans="1:1">
      <c r="A2492" s="50"/>
    </row>
    <row r="2493" spans="1:1">
      <c r="A2493" s="50"/>
    </row>
    <row r="2494" spans="1:1">
      <c r="A2494" s="50"/>
    </row>
    <row r="2495" spans="1:1">
      <c r="A2495" s="50"/>
    </row>
    <row r="2496" spans="1:1">
      <c r="A2496" s="50"/>
    </row>
    <row r="2497" spans="1:1">
      <c r="A2497" s="50"/>
    </row>
    <row r="2498" spans="1:1">
      <c r="A2498" s="50"/>
    </row>
    <row r="2499" spans="1:1">
      <c r="A2499" s="50"/>
    </row>
    <row r="2500" spans="1:1">
      <c r="A2500" s="50"/>
    </row>
    <row r="2501" spans="1:1">
      <c r="A2501" s="50"/>
    </row>
    <row r="2502" spans="1:1">
      <c r="A2502" s="50"/>
    </row>
    <row r="2503" spans="1:1">
      <c r="A2503" s="50"/>
    </row>
    <row r="2504" spans="1:1">
      <c r="A2504" s="50"/>
    </row>
    <row r="2505" spans="1:1">
      <c r="A2505" s="50"/>
    </row>
    <row r="2506" spans="1:1">
      <c r="A2506" s="50"/>
    </row>
    <row r="2507" spans="1:1">
      <c r="A2507" s="50"/>
    </row>
    <row r="2508" spans="1:1">
      <c r="A2508" s="50"/>
    </row>
    <row r="2509" spans="1:1">
      <c r="A2509" s="50"/>
    </row>
    <row r="2510" spans="1:1">
      <c r="A2510" s="50"/>
    </row>
    <row r="2511" spans="1:1">
      <c r="A2511" s="50"/>
    </row>
    <row r="2512" spans="1:1">
      <c r="A2512" s="50"/>
    </row>
    <row r="2513" spans="1:1">
      <c r="A2513" s="50"/>
    </row>
    <row r="2514" spans="1:1">
      <c r="A2514" s="50"/>
    </row>
    <row r="2515" spans="1:1">
      <c r="A2515" s="50"/>
    </row>
    <row r="2516" spans="1:1">
      <c r="A2516" s="50"/>
    </row>
    <row r="2517" spans="1:1">
      <c r="A2517" s="50"/>
    </row>
    <row r="2518" spans="1:1">
      <c r="A2518" s="50"/>
    </row>
    <row r="2519" spans="1:1">
      <c r="A2519" s="50"/>
    </row>
    <row r="2520" spans="1:1">
      <c r="A2520" s="50"/>
    </row>
    <row r="2521" spans="1:1">
      <c r="A2521" s="50"/>
    </row>
    <row r="2522" spans="1:1">
      <c r="A2522" s="50"/>
    </row>
    <row r="2523" spans="1:1">
      <c r="A2523" s="50"/>
    </row>
    <row r="2524" spans="1:1">
      <c r="A2524" s="50"/>
    </row>
    <row r="2525" spans="1:1">
      <c r="A2525" s="50"/>
    </row>
    <row r="2526" spans="1:1">
      <c r="A2526" s="50"/>
    </row>
    <row r="2527" spans="1:1">
      <c r="A2527" s="50"/>
    </row>
    <row r="2528" spans="1:1">
      <c r="A2528" s="50"/>
    </row>
    <row r="2529" spans="1:1">
      <c r="A2529" s="50"/>
    </row>
    <row r="2530" spans="1:1">
      <c r="A2530" s="50"/>
    </row>
    <row r="2531" spans="1:1">
      <c r="A2531" s="50"/>
    </row>
    <row r="2532" spans="1:1">
      <c r="A2532" s="50"/>
    </row>
    <row r="2533" spans="1:1">
      <c r="A2533" s="50"/>
    </row>
    <row r="2534" spans="1:1">
      <c r="A2534" s="50"/>
    </row>
    <row r="2535" spans="1:1">
      <c r="A2535" s="50"/>
    </row>
    <row r="2536" spans="1:1">
      <c r="A2536" s="50"/>
    </row>
    <row r="2537" spans="1:1">
      <c r="A2537" s="50"/>
    </row>
    <row r="2538" spans="1:1">
      <c r="A2538" s="50"/>
    </row>
    <row r="2539" spans="1:1">
      <c r="A2539" s="50"/>
    </row>
    <row r="2540" spans="1:1">
      <c r="A2540" s="50"/>
    </row>
    <row r="2541" spans="1:1">
      <c r="A2541" s="50"/>
    </row>
    <row r="2542" spans="1:1">
      <c r="A2542" s="50"/>
    </row>
    <row r="2543" spans="1:1">
      <c r="A2543" s="50"/>
    </row>
    <row r="2544" spans="1:1">
      <c r="A2544" s="50"/>
    </row>
    <row r="2545" spans="1:1">
      <c r="A2545" s="50"/>
    </row>
    <row r="2546" spans="1:1">
      <c r="A2546" s="50"/>
    </row>
    <row r="2547" spans="1:1">
      <c r="A2547" s="50"/>
    </row>
    <row r="2548" spans="1:1">
      <c r="A2548" s="50"/>
    </row>
    <row r="2549" spans="1:1">
      <c r="A2549" s="50"/>
    </row>
    <row r="2550" spans="1:1">
      <c r="A2550" s="50"/>
    </row>
    <row r="2551" spans="1:1">
      <c r="A2551" s="50"/>
    </row>
    <row r="2552" spans="1:1">
      <c r="A2552" s="50"/>
    </row>
    <row r="2553" spans="1:1">
      <c r="A2553" s="50"/>
    </row>
    <row r="2554" spans="1:1">
      <c r="A2554" s="50"/>
    </row>
    <row r="2555" spans="1:1">
      <c r="A2555" s="50"/>
    </row>
    <row r="2556" spans="1:1">
      <c r="A2556" s="50"/>
    </row>
    <row r="2557" spans="1:1">
      <c r="A2557" s="50"/>
    </row>
    <row r="2558" spans="1:1">
      <c r="A2558" s="50"/>
    </row>
    <row r="2559" spans="1:1">
      <c r="A2559" s="50"/>
    </row>
    <row r="2560" spans="1:1">
      <c r="A2560" s="50"/>
    </row>
    <row r="2561" spans="1:1">
      <c r="A2561" s="50"/>
    </row>
    <row r="2562" spans="1:1">
      <c r="A2562" s="50"/>
    </row>
    <row r="2563" spans="1:1">
      <c r="A2563" s="50"/>
    </row>
    <row r="2564" spans="1:1">
      <c r="A2564" s="50"/>
    </row>
    <row r="2565" spans="1:1">
      <c r="A2565" s="50"/>
    </row>
    <row r="2566" spans="1:1">
      <c r="A2566" s="50"/>
    </row>
    <row r="2567" spans="1:1">
      <c r="A2567" s="50"/>
    </row>
    <row r="2568" spans="1:1">
      <c r="A2568" s="50"/>
    </row>
    <row r="2569" spans="1:1">
      <c r="A2569" s="50"/>
    </row>
    <row r="2570" spans="1:1">
      <c r="A2570" s="50"/>
    </row>
    <row r="2571" spans="1:1">
      <c r="A2571" s="50"/>
    </row>
    <row r="2572" spans="1:1">
      <c r="A2572" s="50"/>
    </row>
    <row r="2573" spans="1:1">
      <c r="A2573" s="50"/>
    </row>
    <row r="2574" spans="1:1">
      <c r="A2574" s="50"/>
    </row>
    <row r="2575" spans="1:1">
      <c r="A2575" s="50"/>
    </row>
    <row r="2576" spans="1:1">
      <c r="A2576" s="50"/>
    </row>
    <row r="2577" spans="1:1">
      <c r="A2577" s="50"/>
    </row>
    <row r="2578" spans="1:1">
      <c r="A2578" s="50"/>
    </row>
    <row r="2579" spans="1:1">
      <c r="A2579" s="50"/>
    </row>
    <row r="2580" spans="1:1">
      <c r="A2580" s="50"/>
    </row>
    <row r="2581" spans="1:1">
      <c r="A2581" s="50"/>
    </row>
    <row r="2582" spans="1:1">
      <c r="A2582" s="50"/>
    </row>
    <row r="2583" spans="1:1">
      <c r="A2583" s="50"/>
    </row>
    <row r="2584" spans="1:1">
      <c r="A2584" s="50"/>
    </row>
    <row r="2585" spans="1:1">
      <c r="A2585" s="50"/>
    </row>
    <row r="2586" spans="1:1">
      <c r="A2586" s="50"/>
    </row>
    <row r="2587" spans="1:1">
      <c r="A2587" s="50"/>
    </row>
    <row r="2588" spans="1:1">
      <c r="A2588" s="50"/>
    </row>
    <row r="2589" spans="1:1">
      <c r="A2589" s="50"/>
    </row>
    <row r="2590" spans="1:1">
      <c r="A2590" s="50"/>
    </row>
    <row r="2591" spans="1:1">
      <c r="A2591" s="50"/>
    </row>
    <row r="2592" spans="1:1">
      <c r="A2592" s="50"/>
    </row>
    <row r="2593" spans="1:1">
      <c r="A2593" s="50"/>
    </row>
    <row r="2594" spans="1:1">
      <c r="A2594" s="50"/>
    </row>
    <row r="2595" spans="1:1">
      <c r="A2595" s="50"/>
    </row>
    <row r="2596" spans="1:1">
      <c r="A2596" s="50"/>
    </row>
    <row r="2597" spans="1:1">
      <c r="A2597" s="50"/>
    </row>
    <row r="2598" spans="1:1">
      <c r="A2598" s="50"/>
    </row>
    <row r="2599" spans="1:1">
      <c r="A2599" s="50"/>
    </row>
    <row r="2600" spans="1:1">
      <c r="A2600" s="50"/>
    </row>
    <row r="2601" spans="1:1">
      <c r="A2601" s="50"/>
    </row>
    <row r="2602" spans="1:1">
      <c r="A2602" s="50"/>
    </row>
    <row r="2603" spans="1:1">
      <c r="A2603" s="50"/>
    </row>
    <row r="2604" spans="1:1">
      <c r="A2604" s="50"/>
    </row>
    <row r="2605" spans="1:1">
      <c r="A2605" s="50"/>
    </row>
    <row r="2606" spans="1:1">
      <c r="A2606" s="50"/>
    </row>
    <row r="2607" spans="1:1">
      <c r="A2607" s="50"/>
    </row>
    <row r="2608" spans="1:1">
      <c r="A2608" s="50"/>
    </row>
    <row r="2609" spans="1:1">
      <c r="A2609" s="50"/>
    </row>
    <row r="2610" spans="1:1">
      <c r="A2610" s="50"/>
    </row>
    <row r="2611" spans="1:1">
      <c r="A2611" s="50"/>
    </row>
    <row r="2612" spans="1:1">
      <c r="A2612" s="50"/>
    </row>
    <row r="2613" spans="1:1">
      <c r="A2613" s="50"/>
    </row>
    <row r="2614" spans="1:1">
      <c r="A2614" s="50"/>
    </row>
    <row r="2615" spans="1:1">
      <c r="A2615" s="50"/>
    </row>
    <row r="2616" spans="1:1">
      <c r="A2616" s="50"/>
    </row>
    <row r="2617" spans="1:1">
      <c r="A2617" s="50"/>
    </row>
    <row r="2618" spans="1:1">
      <c r="A2618" s="50"/>
    </row>
    <row r="2619" spans="1:1">
      <c r="A2619" s="50"/>
    </row>
    <row r="2620" spans="1:1">
      <c r="A2620" s="50"/>
    </row>
    <row r="2621" spans="1:1">
      <c r="A2621" s="50"/>
    </row>
    <row r="2622" spans="1:1">
      <c r="A2622" s="50"/>
    </row>
    <row r="2623" spans="1:1">
      <c r="A2623" s="50"/>
    </row>
    <row r="2624" spans="1:1">
      <c r="A2624" s="50"/>
    </row>
    <row r="2625" spans="1:1">
      <c r="A2625" s="50"/>
    </row>
    <row r="2626" spans="1:1">
      <c r="A2626" s="50"/>
    </row>
    <row r="2627" spans="1:1">
      <c r="A2627" s="50"/>
    </row>
    <row r="2628" spans="1:1">
      <c r="A2628" s="50"/>
    </row>
    <row r="2629" spans="1:1">
      <c r="A2629" s="50"/>
    </row>
    <row r="2630" spans="1:1">
      <c r="A2630" s="50"/>
    </row>
    <row r="2631" spans="1:1">
      <c r="A2631" s="50"/>
    </row>
    <row r="2632" spans="1:1">
      <c r="A2632" s="50"/>
    </row>
    <row r="2633" spans="1:1">
      <c r="A2633" s="50"/>
    </row>
    <row r="2634" spans="1:1">
      <c r="A2634" s="50"/>
    </row>
    <row r="2635" spans="1:1">
      <c r="A2635" s="50"/>
    </row>
    <row r="2636" spans="1:1">
      <c r="A2636" s="50"/>
    </row>
    <row r="2637" spans="1:1">
      <c r="A2637" s="50"/>
    </row>
    <row r="2638" spans="1:1">
      <c r="A2638" s="50"/>
    </row>
    <row r="2639" spans="1:1">
      <c r="A2639" s="50"/>
    </row>
    <row r="2640" spans="1:1">
      <c r="A2640" s="50"/>
    </row>
    <row r="2641" spans="1:1">
      <c r="A2641" s="50"/>
    </row>
    <row r="2642" spans="1:1">
      <c r="A2642" s="50"/>
    </row>
    <row r="2643" spans="1:1">
      <c r="A2643" s="50"/>
    </row>
    <row r="2644" spans="1:1">
      <c r="A2644" s="50"/>
    </row>
    <row r="2645" spans="1:1">
      <c r="A2645" s="50"/>
    </row>
    <row r="2646" spans="1:1">
      <c r="A2646" s="50"/>
    </row>
    <row r="2647" spans="1:1">
      <c r="A2647" s="50"/>
    </row>
    <row r="2648" spans="1:1">
      <c r="A2648" s="50"/>
    </row>
    <row r="2649" spans="1:1">
      <c r="A2649" s="50"/>
    </row>
    <row r="2650" spans="1:1">
      <c r="A2650" s="50"/>
    </row>
    <row r="2651" spans="1:1">
      <c r="A2651" s="50"/>
    </row>
    <row r="2652" spans="1:1">
      <c r="A2652" s="50"/>
    </row>
    <row r="2653" spans="1:1">
      <c r="A2653" s="50"/>
    </row>
    <row r="2654" spans="1:1">
      <c r="A2654" s="50"/>
    </row>
    <row r="2655" spans="1:1">
      <c r="A2655" s="50"/>
    </row>
    <row r="2656" spans="1:1">
      <c r="A2656" s="50"/>
    </row>
    <row r="2657" spans="1:1">
      <c r="A2657" s="50"/>
    </row>
    <row r="2658" spans="1:1">
      <c r="A2658" s="50"/>
    </row>
    <row r="2659" spans="1:1">
      <c r="A2659" s="50"/>
    </row>
    <row r="2660" spans="1:1">
      <c r="A2660" s="50"/>
    </row>
    <row r="2661" spans="1:1">
      <c r="A2661" s="50"/>
    </row>
    <row r="2662" spans="1:1">
      <c r="A2662" s="50"/>
    </row>
    <row r="2663" spans="1:1">
      <c r="A2663" s="50"/>
    </row>
    <row r="2664" spans="1:1">
      <c r="A2664" s="50"/>
    </row>
    <row r="2665" spans="1:1">
      <c r="A2665" s="50"/>
    </row>
    <row r="2666" spans="1:1">
      <c r="A2666" s="50"/>
    </row>
    <row r="2667" spans="1:1">
      <c r="A2667" s="50"/>
    </row>
    <row r="2668" spans="1:1">
      <c r="A2668" s="50"/>
    </row>
    <row r="2669" spans="1:1">
      <c r="A2669" s="50"/>
    </row>
    <row r="2670" spans="1:1">
      <c r="A2670" s="50"/>
    </row>
    <row r="2671" spans="1:1">
      <c r="A2671" s="50"/>
    </row>
    <row r="2672" spans="1:1">
      <c r="A2672" s="50"/>
    </row>
    <row r="2673" spans="1:1">
      <c r="A2673" s="50"/>
    </row>
    <row r="2674" spans="1:1">
      <c r="A2674" s="50"/>
    </row>
    <row r="2675" spans="1:1">
      <c r="A2675" s="50"/>
    </row>
    <row r="2676" spans="1:1">
      <c r="A2676" s="50"/>
    </row>
    <row r="2677" spans="1:1">
      <c r="A2677" s="50"/>
    </row>
    <row r="2678" spans="1:1">
      <c r="A2678" s="50"/>
    </row>
    <row r="2679" spans="1:1">
      <c r="A2679" s="50"/>
    </row>
    <row r="2680" spans="1:1">
      <c r="A2680" s="50"/>
    </row>
    <row r="2681" spans="1:1">
      <c r="A2681" s="50"/>
    </row>
    <row r="2682" spans="1:1">
      <c r="A2682" s="50"/>
    </row>
    <row r="2683" spans="1:1">
      <c r="A2683" s="50"/>
    </row>
    <row r="2684" spans="1:1">
      <c r="A2684" s="50"/>
    </row>
    <row r="2685" spans="1:1">
      <c r="A2685" s="50"/>
    </row>
    <row r="2686" spans="1:1">
      <c r="A2686" s="50"/>
    </row>
    <row r="2687" spans="1:1">
      <c r="A2687" s="50"/>
    </row>
    <row r="2688" spans="1:1">
      <c r="A2688" s="50"/>
    </row>
    <row r="2689" spans="1:1">
      <c r="A2689" s="50"/>
    </row>
    <row r="2690" spans="1:1">
      <c r="A2690" s="50"/>
    </row>
    <row r="2691" spans="1:1">
      <c r="A2691" s="50"/>
    </row>
    <row r="2692" spans="1:1">
      <c r="A2692" s="50"/>
    </row>
    <row r="2693" spans="1:1">
      <c r="A2693" s="50"/>
    </row>
    <row r="2694" spans="1:1">
      <c r="A2694" s="50"/>
    </row>
    <row r="2695" spans="1:1">
      <c r="A2695" s="50"/>
    </row>
    <row r="2696" spans="1:1">
      <c r="A2696" s="50"/>
    </row>
    <row r="2697" spans="1:1">
      <c r="A2697" s="50"/>
    </row>
    <row r="2698" spans="1:1">
      <c r="A2698" s="50"/>
    </row>
    <row r="2699" spans="1:1">
      <c r="A2699" s="50"/>
    </row>
    <row r="2700" spans="1:1">
      <c r="A2700" s="50"/>
    </row>
    <row r="2701" spans="1:1">
      <c r="A2701" s="50"/>
    </row>
    <row r="2702" spans="1:1">
      <c r="A2702" s="50"/>
    </row>
    <row r="2703" spans="1:1">
      <c r="A2703" s="50"/>
    </row>
    <row r="2704" spans="1:1">
      <c r="A2704" s="50"/>
    </row>
    <row r="2705" spans="1:1">
      <c r="A2705" s="50"/>
    </row>
    <row r="2706" spans="1:1">
      <c r="A2706" s="50"/>
    </row>
    <row r="2707" spans="1:1">
      <c r="A2707" s="50"/>
    </row>
    <row r="2708" spans="1:1">
      <c r="A2708" s="50"/>
    </row>
    <row r="2709" spans="1:1">
      <c r="A2709" s="50"/>
    </row>
    <row r="2710" spans="1:1">
      <c r="A2710" s="50"/>
    </row>
    <row r="2711" spans="1:1">
      <c r="A2711" s="50"/>
    </row>
    <row r="2712" spans="1:1">
      <c r="A2712" s="50"/>
    </row>
    <row r="2713" spans="1:1">
      <c r="A2713" s="50"/>
    </row>
    <row r="2714" spans="1:1">
      <c r="A2714" s="50"/>
    </row>
    <row r="2715" spans="1:1">
      <c r="A2715" s="50"/>
    </row>
    <row r="2716" spans="1:1">
      <c r="A2716" s="50"/>
    </row>
    <row r="2717" spans="1:1">
      <c r="A2717" s="50"/>
    </row>
    <row r="2718" spans="1:1">
      <c r="A2718" s="50"/>
    </row>
    <row r="2719" spans="1:1">
      <c r="A2719" s="50"/>
    </row>
    <row r="2720" spans="1:1">
      <c r="A2720" s="50"/>
    </row>
    <row r="2721" spans="1:1">
      <c r="A2721" s="50"/>
    </row>
    <row r="2722" spans="1:1">
      <c r="A2722" s="50"/>
    </row>
    <row r="2723" spans="1:1">
      <c r="A2723" s="50"/>
    </row>
    <row r="2724" spans="1:1">
      <c r="A2724" s="50"/>
    </row>
    <row r="2725" spans="1:1">
      <c r="A2725" s="50"/>
    </row>
    <row r="2726" spans="1:1">
      <c r="A2726" s="50"/>
    </row>
    <row r="2727" spans="1:1">
      <c r="A2727" s="50"/>
    </row>
    <row r="2728" spans="1:1">
      <c r="A2728" s="50"/>
    </row>
    <row r="2729" spans="1:1">
      <c r="A2729" s="50"/>
    </row>
    <row r="2730" spans="1:1">
      <c r="A2730" s="50"/>
    </row>
    <row r="2731" spans="1:1">
      <c r="A2731" s="50"/>
    </row>
    <row r="2732" spans="1:1">
      <c r="A2732" s="50"/>
    </row>
    <row r="2733" spans="1:1">
      <c r="A2733" s="50"/>
    </row>
    <row r="2734" spans="1:1">
      <c r="A2734" s="50"/>
    </row>
    <row r="2735" spans="1:1">
      <c r="A2735" s="50"/>
    </row>
    <row r="2736" spans="1:1">
      <c r="A2736" s="50"/>
    </row>
    <row r="2737" spans="1:1">
      <c r="A2737" s="50"/>
    </row>
    <row r="2738" spans="1:1">
      <c r="A2738" s="50"/>
    </row>
    <row r="2739" spans="1:1">
      <c r="A2739" s="50"/>
    </row>
    <row r="2740" spans="1:1">
      <c r="A2740" s="50"/>
    </row>
    <row r="2741" spans="1:1">
      <c r="A2741" s="50"/>
    </row>
    <row r="2742" spans="1:1">
      <c r="A2742" s="50"/>
    </row>
    <row r="2743" spans="1:1">
      <c r="A2743" s="50"/>
    </row>
    <row r="2744" spans="1:1">
      <c r="A2744" s="50"/>
    </row>
    <row r="2745" spans="1:1">
      <c r="A2745" s="50"/>
    </row>
    <row r="2746" spans="1:1">
      <c r="A2746" s="50"/>
    </row>
    <row r="2747" spans="1:1">
      <c r="A2747" s="50"/>
    </row>
    <row r="2748" spans="1:1">
      <c r="A2748" s="50"/>
    </row>
    <row r="2749" spans="1:1">
      <c r="A2749" s="50"/>
    </row>
    <row r="2750" spans="1:1">
      <c r="A2750" s="50"/>
    </row>
    <row r="2751" spans="1:1">
      <c r="A2751" s="50"/>
    </row>
    <row r="2752" spans="1:1">
      <c r="A2752" s="50"/>
    </row>
    <row r="2753" spans="1:1">
      <c r="A2753" s="50"/>
    </row>
    <row r="2754" spans="1:1">
      <c r="A2754" s="50"/>
    </row>
    <row r="2755" spans="1:1">
      <c r="A2755" s="50"/>
    </row>
    <row r="2756" spans="1:1">
      <c r="A2756" s="50"/>
    </row>
    <row r="2757" spans="1:1">
      <c r="A2757" s="50"/>
    </row>
    <row r="2758" spans="1:1">
      <c r="A2758" s="50"/>
    </row>
    <row r="2759" spans="1:1">
      <c r="A2759" s="50"/>
    </row>
    <row r="2760" spans="1:1">
      <c r="A2760" s="50"/>
    </row>
    <row r="2761" spans="1:1">
      <c r="A2761" s="50"/>
    </row>
    <row r="2762" spans="1:1">
      <c r="A2762" s="50"/>
    </row>
    <row r="2763" spans="1:1">
      <c r="A2763" s="50"/>
    </row>
    <row r="2764" spans="1:1">
      <c r="A2764" s="50"/>
    </row>
    <row r="2765" spans="1:1">
      <c r="A2765" s="50"/>
    </row>
    <row r="2766" spans="1:1">
      <c r="A2766" s="50"/>
    </row>
    <row r="2767" spans="1:1">
      <c r="A2767" s="50"/>
    </row>
    <row r="2768" spans="1:1">
      <c r="A2768" s="50"/>
    </row>
    <row r="2769" spans="1:1">
      <c r="A2769" s="50"/>
    </row>
    <row r="2770" spans="1:1">
      <c r="A2770" s="50"/>
    </row>
    <row r="2771" spans="1:1">
      <c r="A2771" s="50"/>
    </row>
    <row r="2772" spans="1:1">
      <c r="A2772" s="50"/>
    </row>
    <row r="2773" spans="1:1">
      <c r="A2773" s="50"/>
    </row>
    <row r="2774" spans="1:1">
      <c r="A2774" s="50"/>
    </row>
    <row r="2775" spans="1:1">
      <c r="A2775" s="50"/>
    </row>
    <row r="2776" spans="1:1">
      <c r="A2776" s="50"/>
    </row>
    <row r="2777" spans="1:1">
      <c r="A2777" s="50"/>
    </row>
    <row r="2778" spans="1:1">
      <c r="A2778" s="50"/>
    </row>
    <row r="2779" spans="1:1">
      <c r="A2779" s="50"/>
    </row>
    <row r="2780" spans="1:1">
      <c r="A2780" s="50"/>
    </row>
    <row r="2781" spans="1:1">
      <c r="A2781" s="50"/>
    </row>
    <row r="2782" spans="1:1">
      <c r="A2782" s="50"/>
    </row>
    <row r="2783" spans="1:1">
      <c r="A2783" s="50"/>
    </row>
    <row r="2784" spans="1:1">
      <c r="A2784" s="50"/>
    </row>
    <row r="2785" spans="1:1">
      <c r="A2785" s="50"/>
    </row>
    <row r="2786" spans="1:1">
      <c r="A2786" s="50"/>
    </row>
    <row r="2787" spans="1:1">
      <c r="A2787" s="50"/>
    </row>
    <row r="2788" spans="1:1">
      <c r="A2788" s="50"/>
    </row>
    <row r="2789" spans="1:1">
      <c r="A2789" s="50"/>
    </row>
    <row r="2790" spans="1:1">
      <c r="A2790" s="50"/>
    </row>
    <row r="2791" spans="1:1">
      <c r="A2791" s="50"/>
    </row>
    <row r="2792" spans="1:1">
      <c r="A2792" s="50"/>
    </row>
    <row r="2793" spans="1:1">
      <c r="A2793" s="50"/>
    </row>
    <row r="2794" spans="1:1">
      <c r="A2794" s="50"/>
    </row>
    <row r="2795" spans="1:1">
      <c r="A2795" s="50"/>
    </row>
    <row r="2796" spans="1:1">
      <c r="A2796" s="50"/>
    </row>
    <row r="2797" spans="1:1">
      <c r="A2797" s="50"/>
    </row>
    <row r="2798" spans="1:1">
      <c r="A2798" s="50"/>
    </row>
    <row r="2799" spans="1:1">
      <c r="A2799" s="50"/>
    </row>
    <row r="2800" spans="1:1">
      <c r="A2800" s="50"/>
    </row>
    <row r="2801" spans="1:1">
      <c r="A2801" s="50"/>
    </row>
    <row r="2802" spans="1:1">
      <c r="A2802" s="50"/>
    </row>
    <row r="2803" spans="1:1">
      <c r="A2803" s="50"/>
    </row>
    <row r="2804" spans="1:1">
      <c r="A2804" s="50"/>
    </row>
    <row r="2805" spans="1:1">
      <c r="A2805" s="50"/>
    </row>
    <row r="2806" spans="1:1">
      <c r="A2806" s="50"/>
    </row>
    <row r="2807" spans="1:1">
      <c r="A2807" s="50"/>
    </row>
    <row r="2808" spans="1:1">
      <c r="A2808" s="50"/>
    </row>
    <row r="2809" spans="1:1">
      <c r="A2809" s="50"/>
    </row>
    <row r="2810" spans="1:1">
      <c r="A2810" s="50"/>
    </row>
    <row r="2811" spans="1:1">
      <c r="A2811" s="50"/>
    </row>
    <row r="2812" spans="1:1">
      <c r="A2812" s="50"/>
    </row>
    <row r="2813" spans="1:1">
      <c r="A2813" s="50"/>
    </row>
    <row r="2814" spans="1:1">
      <c r="A2814" s="50"/>
    </row>
    <row r="2815" spans="1:1">
      <c r="A2815" s="50"/>
    </row>
    <row r="2816" spans="1:1">
      <c r="A2816" s="50"/>
    </row>
    <row r="2817" spans="1:1">
      <c r="A2817" s="50"/>
    </row>
    <row r="2818" spans="1:1">
      <c r="A2818" s="50"/>
    </row>
    <row r="2819" spans="1:1">
      <c r="A2819" s="50"/>
    </row>
    <row r="2820" spans="1:1">
      <c r="A2820" s="50"/>
    </row>
    <row r="2821" spans="1:1">
      <c r="A2821" s="50"/>
    </row>
    <row r="2822" spans="1:1">
      <c r="A2822" s="50"/>
    </row>
    <row r="2823" spans="1:1">
      <c r="A2823" s="50"/>
    </row>
    <row r="2824" spans="1:1">
      <c r="A2824" s="50"/>
    </row>
    <row r="2825" spans="1:1">
      <c r="A2825" s="50"/>
    </row>
    <row r="2826" spans="1:1">
      <c r="A2826" s="50"/>
    </row>
    <row r="2827" spans="1:1">
      <c r="A2827" s="50"/>
    </row>
    <row r="2828" spans="1:1">
      <c r="A2828" s="50"/>
    </row>
    <row r="2829" spans="1:1">
      <c r="A2829" s="50"/>
    </row>
    <row r="2830" spans="1:1">
      <c r="A2830" s="50"/>
    </row>
    <row r="2831" spans="1:1">
      <c r="A2831" s="50"/>
    </row>
    <row r="2832" spans="1:1">
      <c r="A2832" s="50"/>
    </row>
    <row r="2833" spans="1:1">
      <c r="A2833" s="50"/>
    </row>
    <row r="2834" spans="1:1">
      <c r="A2834" s="50"/>
    </row>
    <row r="2835" spans="1:1">
      <c r="A2835" s="50"/>
    </row>
    <row r="2836" spans="1:1">
      <c r="A2836" s="50"/>
    </row>
    <row r="2837" spans="1:1">
      <c r="A2837" s="50"/>
    </row>
    <row r="2838" spans="1:1">
      <c r="A2838" s="50"/>
    </row>
    <row r="2839" spans="1:1">
      <c r="A2839" s="50"/>
    </row>
    <row r="2840" spans="1:1">
      <c r="A2840" s="50"/>
    </row>
    <row r="2841" spans="1:1">
      <c r="A2841" s="50"/>
    </row>
    <row r="2842" spans="1:1">
      <c r="A2842" s="50"/>
    </row>
    <row r="2843" spans="1:1">
      <c r="A2843" s="50"/>
    </row>
    <row r="2844" spans="1:1">
      <c r="A2844" s="50"/>
    </row>
    <row r="2845" spans="1:1">
      <c r="A2845" s="50"/>
    </row>
    <row r="2846" spans="1:1">
      <c r="A2846" s="50"/>
    </row>
    <row r="2847" spans="1:1">
      <c r="A2847" s="50"/>
    </row>
    <row r="2848" spans="1:1">
      <c r="A2848" s="50"/>
    </row>
    <row r="2849" spans="1:1">
      <c r="A2849" s="50"/>
    </row>
    <row r="2850" spans="1:1">
      <c r="A2850" s="50"/>
    </row>
    <row r="2851" spans="1:1">
      <c r="A2851" s="50"/>
    </row>
    <row r="2852" spans="1:1">
      <c r="A2852" s="50"/>
    </row>
    <row r="2853" spans="1:1">
      <c r="A2853" s="50"/>
    </row>
    <row r="2854" spans="1:1">
      <c r="A2854" s="50"/>
    </row>
    <row r="2855" spans="1:1">
      <c r="A2855" s="50"/>
    </row>
    <row r="2856" spans="1:1">
      <c r="A2856" s="50"/>
    </row>
    <row r="2857" spans="1:1">
      <c r="A2857" s="50"/>
    </row>
    <row r="2858" spans="1:1">
      <c r="A2858" s="50"/>
    </row>
    <row r="2859" spans="1:1">
      <c r="A2859" s="50"/>
    </row>
    <row r="2860" spans="1:1">
      <c r="A2860" s="50"/>
    </row>
    <row r="2861" spans="1:1">
      <c r="A2861" s="50"/>
    </row>
    <row r="2862" spans="1:1">
      <c r="A2862" s="50"/>
    </row>
    <row r="2863" spans="1:1">
      <c r="A2863" s="50"/>
    </row>
    <row r="2864" spans="1:1">
      <c r="A2864" s="50"/>
    </row>
    <row r="2865" spans="1:1">
      <c r="A2865" s="50"/>
    </row>
    <row r="2866" spans="1:1">
      <c r="A2866" s="50"/>
    </row>
    <row r="2867" spans="1:1">
      <c r="A2867" s="50"/>
    </row>
    <row r="2868" spans="1:1">
      <c r="A2868" s="50"/>
    </row>
    <row r="2869" spans="1:1">
      <c r="A2869" s="50"/>
    </row>
    <row r="2870" spans="1:1">
      <c r="A2870" s="50"/>
    </row>
    <row r="2871" spans="1:1">
      <c r="A2871" s="50"/>
    </row>
    <row r="2872" spans="1:1">
      <c r="A2872" s="50"/>
    </row>
    <row r="2873" spans="1:1">
      <c r="A2873" s="50"/>
    </row>
    <row r="2874" spans="1:1">
      <c r="A2874" s="50"/>
    </row>
    <row r="2875" spans="1:1">
      <c r="A2875" s="50"/>
    </row>
    <row r="2876" spans="1:1">
      <c r="A2876" s="50"/>
    </row>
    <row r="2877" spans="1:1">
      <c r="A2877" s="50"/>
    </row>
    <row r="2878" spans="1:1">
      <c r="A2878" s="50"/>
    </row>
    <row r="2879" spans="1:1">
      <c r="A2879" s="50"/>
    </row>
    <row r="2880" spans="1:1">
      <c r="A2880" s="50"/>
    </row>
    <row r="2881" spans="1:1">
      <c r="A2881" s="50"/>
    </row>
    <row r="2882" spans="1:1">
      <c r="A2882" s="50"/>
    </row>
    <row r="2883" spans="1:1">
      <c r="A2883" s="50"/>
    </row>
    <row r="2884" spans="1:1">
      <c r="A2884" s="50"/>
    </row>
    <row r="2885" spans="1:1">
      <c r="A2885" s="50"/>
    </row>
    <row r="2886" spans="1:1">
      <c r="A2886" s="50"/>
    </row>
    <row r="2887" spans="1:1">
      <c r="A2887" s="50"/>
    </row>
    <row r="2888" spans="1:1">
      <c r="A2888" s="50"/>
    </row>
    <row r="2889" spans="1:1">
      <c r="A2889" s="50"/>
    </row>
    <row r="2890" spans="1:1">
      <c r="A2890" s="50"/>
    </row>
    <row r="2891" spans="1:1">
      <c r="A2891" s="50"/>
    </row>
    <row r="2892" spans="1:1">
      <c r="A2892" s="50"/>
    </row>
    <row r="2893" spans="1:1">
      <c r="A2893" s="50"/>
    </row>
    <row r="2894" spans="1:1">
      <c r="A2894" s="50"/>
    </row>
    <row r="2895" spans="1:1">
      <c r="A2895" s="50"/>
    </row>
    <row r="2896" spans="1:1">
      <c r="A2896" s="50"/>
    </row>
    <row r="2897" spans="1:1">
      <c r="A2897" s="50"/>
    </row>
    <row r="2898" spans="1:1">
      <c r="A2898" s="50"/>
    </row>
    <row r="2899" spans="1:1">
      <c r="A2899" s="50"/>
    </row>
    <row r="2900" spans="1:1">
      <c r="A2900" s="50"/>
    </row>
    <row r="2901" spans="1:1">
      <c r="A2901" s="50"/>
    </row>
    <row r="2902" spans="1:1">
      <c r="A2902" s="50"/>
    </row>
    <row r="2903" spans="1:1">
      <c r="A2903" s="50"/>
    </row>
    <row r="2904" spans="1:1">
      <c r="A2904" s="50"/>
    </row>
    <row r="2905" spans="1:1">
      <c r="A2905" s="50"/>
    </row>
    <row r="2906" spans="1:1">
      <c r="A2906" s="50"/>
    </row>
    <row r="2907" spans="1:1">
      <c r="A2907" s="50"/>
    </row>
    <row r="2908" spans="1:1">
      <c r="A2908" s="50"/>
    </row>
    <row r="2909" spans="1:1">
      <c r="A2909" s="50"/>
    </row>
    <row r="2910" spans="1:1">
      <c r="A2910" s="50"/>
    </row>
    <row r="2911" spans="1:1">
      <c r="A2911" s="50"/>
    </row>
    <row r="2912" spans="1:1">
      <c r="A2912" s="50"/>
    </row>
    <row r="2913" spans="1:1">
      <c r="A2913" s="50"/>
    </row>
    <row r="2914" spans="1:1">
      <c r="A2914" s="50"/>
    </row>
    <row r="2915" spans="1:1">
      <c r="A2915" s="50"/>
    </row>
    <row r="2916" spans="1:1">
      <c r="A2916" s="50"/>
    </row>
    <row r="2917" spans="1:1">
      <c r="A2917" s="50"/>
    </row>
    <row r="2918" spans="1:1">
      <c r="A2918" s="50"/>
    </row>
    <row r="2919" spans="1:1">
      <c r="A2919" s="50"/>
    </row>
    <row r="2920" spans="1:1">
      <c r="A2920" s="50"/>
    </row>
    <row r="2921" spans="1:1">
      <c r="A2921" s="50"/>
    </row>
    <row r="2922" spans="1:1">
      <c r="A2922" s="50"/>
    </row>
    <row r="2923" spans="1:1">
      <c r="A2923" s="50"/>
    </row>
    <row r="2924" spans="1:1">
      <c r="A2924" s="50"/>
    </row>
    <row r="2925" spans="1:1">
      <c r="A2925" s="50"/>
    </row>
    <row r="2926" spans="1:1">
      <c r="A2926" s="50"/>
    </row>
    <row r="2927" spans="1:1">
      <c r="A2927" s="50"/>
    </row>
    <row r="2928" spans="1:1">
      <c r="A2928" s="50"/>
    </row>
    <row r="2929" spans="1:1">
      <c r="A2929" s="50"/>
    </row>
    <row r="2930" spans="1:1">
      <c r="A2930" s="50"/>
    </row>
    <row r="2931" spans="1:1">
      <c r="A2931" s="50"/>
    </row>
    <row r="2932" spans="1:1">
      <c r="A2932" s="50"/>
    </row>
    <row r="2933" spans="1:1">
      <c r="A2933" s="50"/>
    </row>
    <row r="2934" spans="1:1">
      <c r="A2934" s="50"/>
    </row>
    <row r="2935" spans="1:1">
      <c r="A2935" s="50"/>
    </row>
    <row r="2936" spans="1:1">
      <c r="A2936" s="50"/>
    </row>
    <row r="2937" spans="1:1">
      <c r="A2937" s="50"/>
    </row>
    <row r="2938" spans="1:1">
      <c r="A2938" s="50"/>
    </row>
    <row r="2939" spans="1:1">
      <c r="A2939" s="50"/>
    </row>
    <row r="2940" spans="1:1">
      <c r="A2940" s="50"/>
    </row>
    <row r="2941" spans="1:1">
      <c r="A2941" s="50"/>
    </row>
    <row r="2942" spans="1:1">
      <c r="A2942" s="50"/>
    </row>
    <row r="2943" spans="1:1">
      <c r="A2943" s="50"/>
    </row>
    <row r="2944" spans="1:1">
      <c r="A2944" s="50"/>
    </row>
    <row r="2945" spans="1:1">
      <c r="A2945" s="50"/>
    </row>
    <row r="2946" spans="1:1">
      <c r="A2946" s="50"/>
    </row>
    <row r="2947" spans="1:1">
      <c r="A2947" s="50"/>
    </row>
    <row r="2948" spans="1:1">
      <c r="A2948" s="50"/>
    </row>
    <row r="2949" spans="1:1">
      <c r="A2949" s="50"/>
    </row>
    <row r="2950" spans="1:1">
      <c r="A2950" s="50"/>
    </row>
    <row r="2951" spans="1:1">
      <c r="A2951" s="50"/>
    </row>
    <row r="2952" spans="1:1">
      <c r="A2952" s="50"/>
    </row>
    <row r="2953" spans="1:1">
      <c r="A2953" s="50"/>
    </row>
    <row r="2954" spans="1:1">
      <c r="A2954" s="50"/>
    </row>
    <row r="2955" spans="1:1">
      <c r="A2955" s="50"/>
    </row>
    <row r="2956" spans="1:1">
      <c r="A2956" s="50"/>
    </row>
    <row r="2957" spans="1:1">
      <c r="A2957" s="50"/>
    </row>
    <row r="2958" spans="1:1">
      <c r="A2958" s="50"/>
    </row>
    <row r="2959" spans="1:1">
      <c r="A2959" s="50"/>
    </row>
    <row r="2960" spans="1:1">
      <c r="A2960" s="50"/>
    </row>
    <row r="2961" spans="1:1">
      <c r="A2961" s="50"/>
    </row>
    <row r="2962" spans="1:1">
      <c r="A2962" s="50"/>
    </row>
    <row r="2963" spans="1:1">
      <c r="A2963" s="50"/>
    </row>
    <row r="2964" spans="1:1">
      <c r="A2964" s="50"/>
    </row>
    <row r="2965" spans="1:1">
      <c r="A2965" s="50"/>
    </row>
    <row r="2966" spans="1:1">
      <c r="A2966" s="50"/>
    </row>
    <row r="2967" spans="1:1">
      <c r="A2967" s="50"/>
    </row>
    <row r="2968" spans="1:1">
      <c r="A2968" s="50"/>
    </row>
    <row r="2969" spans="1:1">
      <c r="A2969" s="50"/>
    </row>
    <row r="2970" spans="1:1">
      <c r="A2970" s="50"/>
    </row>
    <row r="2971" spans="1:1">
      <c r="A2971" s="50"/>
    </row>
    <row r="2972" spans="1:1">
      <c r="A2972" s="50"/>
    </row>
    <row r="2973" spans="1:1">
      <c r="A2973" s="50"/>
    </row>
    <row r="2974" spans="1:1">
      <c r="A2974" s="50"/>
    </row>
    <row r="2975" spans="1:1">
      <c r="A2975" s="50"/>
    </row>
    <row r="2976" spans="1:1">
      <c r="A2976" s="50"/>
    </row>
    <row r="2977" spans="1:1">
      <c r="A2977" s="50"/>
    </row>
    <row r="2978" spans="1:1">
      <c r="A2978" s="50"/>
    </row>
    <row r="2979" spans="1:1">
      <c r="A2979" s="50"/>
    </row>
    <row r="2980" spans="1:1">
      <c r="A2980" s="50"/>
    </row>
    <row r="2981" spans="1:1">
      <c r="A2981" s="50"/>
    </row>
    <row r="2982" spans="1:1">
      <c r="A2982" s="50"/>
    </row>
    <row r="2983" spans="1:1">
      <c r="A2983" s="50"/>
    </row>
    <row r="2984" spans="1:1">
      <c r="A2984" s="50"/>
    </row>
    <row r="2985" spans="1:1">
      <c r="A2985" s="50"/>
    </row>
    <row r="2986" spans="1:1">
      <c r="A2986" s="50"/>
    </row>
    <row r="2987" spans="1:1">
      <c r="A2987" s="50"/>
    </row>
    <row r="2988" spans="1:1">
      <c r="A2988" s="50"/>
    </row>
    <row r="2989" spans="1:1">
      <c r="A2989" s="50"/>
    </row>
    <row r="2990" spans="1:1">
      <c r="A2990" s="50"/>
    </row>
    <row r="2991" spans="1:1">
      <c r="A2991" s="50"/>
    </row>
    <row r="2992" spans="1:1">
      <c r="A2992" s="50"/>
    </row>
    <row r="2993" spans="1:1">
      <c r="A2993" s="50"/>
    </row>
    <row r="2994" spans="1:1">
      <c r="A2994" s="50"/>
    </row>
    <row r="2995" spans="1:1">
      <c r="A2995" s="50"/>
    </row>
    <row r="2996" spans="1:1">
      <c r="A2996" s="50"/>
    </row>
    <row r="2997" spans="1:1">
      <c r="A2997" s="50"/>
    </row>
    <row r="2998" spans="1:1">
      <c r="A2998" s="50"/>
    </row>
    <row r="2999" spans="1:1">
      <c r="A2999" s="50"/>
    </row>
    <row r="3000" spans="1:1">
      <c r="A3000" s="50"/>
    </row>
    <row r="3001" spans="1:1">
      <c r="A3001" s="50"/>
    </row>
    <row r="3002" spans="1:1">
      <c r="A3002" s="50"/>
    </row>
    <row r="3003" spans="1:1">
      <c r="A3003" s="50"/>
    </row>
    <row r="3004" spans="1:1">
      <c r="A3004" s="50"/>
    </row>
    <row r="3005" spans="1:1">
      <c r="A3005" s="50"/>
    </row>
    <row r="3006" spans="1:1">
      <c r="A3006" s="50"/>
    </row>
    <row r="3007" spans="1:1">
      <c r="A3007" s="50"/>
    </row>
    <row r="3008" spans="1:1">
      <c r="A3008" s="50"/>
    </row>
    <row r="3009" spans="1:1">
      <c r="A3009" s="50"/>
    </row>
    <row r="3010" spans="1:1">
      <c r="A3010" s="50"/>
    </row>
    <row r="3011" spans="1:1">
      <c r="A3011" s="50"/>
    </row>
    <row r="3012" spans="1:1">
      <c r="A3012" s="50"/>
    </row>
    <row r="3013" spans="1:1">
      <c r="A3013" s="50"/>
    </row>
    <row r="3014" spans="1:1">
      <c r="A3014" s="50"/>
    </row>
    <row r="3015" spans="1:1">
      <c r="A3015" s="50"/>
    </row>
    <row r="3016" spans="1:1">
      <c r="A3016" s="50"/>
    </row>
    <row r="3017" spans="1:1">
      <c r="A3017" s="50"/>
    </row>
    <row r="3018" spans="1:1">
      <c r="A3018" s="50"/>
    </row>
    <row r="3019" spans="1:1">
      <c r="A3019" s="50"/>
    </row>
    <row r="3020" spans="1:1">
      <c r="A3020" s="50"/>
    </row>
    <row r="3021" spans="1:1">
      <c r="A3021" s="50"/>
    </row>
    <row r="3022" spans="1:1">
      <c r="A3022" s="50"/>
    </row>
    <row r="3023" spans="1:1">
      <c r="A3023" s="50"/>
    </row>
    <row r="3024" spans="1:1">
      <c r="A3024" s="50"/>
    </row>
    <row r="3025" spans="1:1">
      <c r="A3025" s="50"/>
    </row>
    <row r="3026" spans="1:1">
      <c r="A3026" s="50"/>
    </row>
    <row r="3027" spans="1:1">
      <c r="A3027" s="50"/>
    </row>
    <row r="3028" spans="1:1">
      <c r="A3028" s="50"/>
    </row>
    <row r="3029" spans="1:1">
      <c r="A3029" s="50"/>
    </row>
    <row r="3030" spans="1:1">
      <c r="A3030" s="50"/>
    </row>
    <row r="3031" spans="1:1">
      <c r="A3031" s="50"/>
    </row>
    <row r="3032" spans="1:1">
      <c r="A3032" s="50"/>
    </row>
    <row r="3033" spans="1:1">
      <c r="A3033" s="50"/>
    </row>
    <row r="3034" spans="1:1">
      <c r="A3034" s="50"/>
    </row>
    <row r="3035" spans="1:1">
      <c r="A3035" s="50"/>
    </row>
    <row r="3036" spans="1:1">
      <c r="A3036" s="50"/>
    </row>
    <row r="3037" spans="1:1">
      <c r="A3037" s="50"/>
    </row>
    <row r="3038" spans="1:1">
      <c r="A3038" s="50"/>
    </row>
    <row r="3039" spans="1:1">
      <c r="A3039" s="50"/>
    </row>
    <row r="3040" spans="1:1">
      <c r="A3040" s="50"/>
    </row>
    <row r="3041" spans="1:1">
      <c r="A3041" s="50"/>
    </row>
    <row r="3042" spans="1:1">
      <c r="A3042" s="50"/>
    </row>
    <row r="3043" spans="1:1">
      <c r="A3043" s="50"/>
    </row>
    <row r="3044" spans="1:1">
      <c r="A3044" s="50"/>
    </row>
    <row r="3045" spans="1:1">
      <c r="A3045" s="50"/>
    </row>
    <row r="3046" spans="1:1">
      <c r="A3046" s="50"/>
    </row>
    <row r="3047" spans="1:1">
      <c r="A3047" s="50"/>
    </row>
    <row r="3048" spans="1:1">
      <c r="A3048" s="50"/>
    </row>
    <row r="3049" spans="1:1">
      <c r="A3049" s="50"/>
    </row>
    <row r="3050" spans="1:1">
      <c r="A3050" s="50"/>
    </row>
    <row r="3051" spans="1:1">
      <c r="A3051" s="50"/>
    </row>
    <row r="3052" spans="1:1">
      <c r="A3052" s="50"/>
    </row>
    <row r="3053" spans="1:1">
      <c r="A3053" s="50"/>
    </row>
    <row r="3054" spans="1:1">
      <c r="A3054" s="50"/>
    </row>
    <row r="3055" spans="1:1">
      <c r="A3055" s="50"/>
    </row>
    <row r="3056" spans="1:1">
      <c r="A3056" s="50"/>
    </row>
    <row r="3057" spans="1:1">
      <c r="A3057" s="50"/>
    </row>
    <row r="3058" spans="1:1">
      <c r="A3058" s="50"/>
    </row>
    <row r="3059" spans="1:1">
      <c r="A3059" s="50"/>
    </row>
    <row r="3060" spans="1:1">
      <c r="A3060" s="50"/>
    </row>
    <row r="3061" spans="1:1">
      <c r="A3061" s="50"/>
    </row>
    <row r="3062" spans="1:1">
      <c r="A3062" s="50"/>
    </row>
    <row r="3063" spans="1:1">
      <c r="A3063" s="50"/>
    </row>
    <row r="3064" spans="1:1">
      <c r="A3064" s="50"/>
    </row>
    <row r="3065" spans="1:1">
      <c r="A3065" s="50"/>
    </row>
    <row r="3066" spans="1:1">
      <c r="A3066" s="50"/>
    </row>
    <row r="3067" spans="1:1">
      <c r="A3067" s="50"/>
    </row>
    <row r="3068" spans="1:1">
      <c r="A3068" s="50"/>
    </row>
    <row r="3069" spans="1:1">
      <c r="A3069" s="50"/>
    </row>
    <row r="3070" spans="1:1">
      <c r="A3070" s="50"/>
    </row>
    <row r="3071" spans="1:1">
      <c r="A3071" s="50"/>
    </row>
    <row r="3072" spans="1:1">
      <c r="A3072" s="50"/>
    </row>
    <row r="3073" spans="1:1">
      <c r="A3073" s="50"/>
    </row>
    <row r="3074" spans="1:1">
      <c r="A3074" s="50"/>
    </row>
    <row r="3075" spans="1:1">
      <c r="A3075" s="50"/>
    </row>
    <row r="3076" spans="1:1">
      <c r="A3076" s="50"/>
    </row>
    <row r="3077" spans="1:1">
      <c r="A3077" s="50"/>
    </row>
    <row r="3078" spans="1:1">
      <c r="A3078" s="50"/>
    </row>
    <row r="3079" spans="1:1">
      <c r="A3079" s="50"/>
    </row>
    <row r="3080" spans="1:1">
      <c r="A3080" s="50"/>
    </row>
    <row r="3081" spans="1:1">
      <c r="A3081" s="50"/>
    </row>
    <row r="3082" spans="1:1">
      <c r="A3082" s="50"/>
    </row>
    <row r="3083" spans="1:1">
      <c r="A3083" s="50"/>
    </row>
    <row r="3084" spans="1:1">
      <c r="A3084" s="50"/>
    </row>
    <row r="3085" spans="1:1">
      <c r="A3085" s="50"/>
    </row>
    <row r="3086" spans="1:1">
      <c r="A3086" s="50"/>
    </row>
    <row r="3087" spans="1:1">
      <c r="A3087" s="50"/>
    </row>
    <row r="3088" spans="1:1">
      <c r="A3088" s="50"/>
    </row>
    <row r="3089" spans="1:1">
      <c r="A3089" s="50"/>
    </row>
    <row r="3090" spans="1:1">
      <c r="A3090" s="50"/>
    </row>
    <row r="3091" spans="1:1">
      <c r="A3091" s="50"/>
    </row>
    <row r="3092" spans="1:1">
      <c r="A3092" s="50"/>
    </row>
    <row r="3093" spans="1:1">
      <c r="A3093" s="50"/>
    </row>
    <row r="3094" spans="1:1">
      <c r="A3094" s="50"/>
    </row>
    <row r="3095" spans="1:1">
      <c r="A3095" s="50"/>
    </row>
    <row r="3096" spans="1:1">
      <c r="A3096" s="50"/>
    </row>
    <row r="3097" spans="1:1">
      <c r="A3097" s="50"/>
    </row>
    <row r="3098" spans="1:1">
      <c r="A3098" s="50"/>
    </row>
    <row r="3099" spans="1:1">
      <c r="A3099" s="50"/>
    </row>
    <row r="3100" spans="1:1">
      <c r="A3100" s="50"/>
    </row>
    <row r="3101" spans="1:1">
      <c r="A3101" s="50"/>
    </row>
    <row r="3102" spans="1:1">
      <c r="A3102" s="50"/>
    </row>
    <row r="3103" spans="1:1">
      <c r="A3103" s="50"/>
    </row>
    <row r="3104" spans="1:1">
      <c r="A3104" s="50"/>
    </row>
    <row r="3105" spans="1:1">
      <c r="A3105" s="50"/>
    </row>
    <row r="3106" spans="1:1">
      <c r="A3106" s="50"/>
    </row>
    <row r="3107" spans="1:1">
      <c r="A3107" s="50"/>
    </row>
    <row r="3108" spans="1:1">
      <c r="A3108" s="50"/>
    </row>
    <row r="3109" spans="1:1">
      <c r="A3109" s="50"/>
    </row>
    <row r="3110" spans="1:1">
      <c r="A3110" s="50"/>
    </row>
    <row r="3111" spans="1:1">
      <c r="A3111" s="50"/>
    </row>
    <row r="3112" spans="1:1">
      <c r="A3112" s="50"/>
    </row>
    <row r="3113" spans="1:1">
      <c r="A3113" s="50"/>
    </row>
    <row r="3114" spans="1:1">
      <c r="A3114" s="50"/>
    </row>
    <row r="3115" spans="1:1">
      <c r="A3115" s="50"/>
    </row>
    <row r="3116" spans="1:1">
      <c r="A3116" s="50"/>
    </row>
    <row r="3117" spans="1:1">
      <c r="A3117" s="50"/>
    </row>
    <row r="3118" spans="1:1">
      <c r="A3118" s="50"/>
    </row>
    <row r="3119" spans="1:1">
      <c r="A3119" s="50"/>
    </row>
    <row r="3120" spans="1:1">
      <c r="A3120" s="50"/>
    </row>
    <row r="3121" spans="1:1">
      <c r="A3121" s="50"/>
    </row>
    <row r="3122" spans="1:1">
      <c r="A3122" s="50"/>
    </row>
    <row r="3123" spans="1:1">
      <c r="A3123" s="50"/>
    </row>
    <row r="3124" spans="1:1">
      <c r="A3124" s="50"/>
    </row>
    <row r="3125" spans="1:1">
      <c r="A3125" s="50"/>
    </row>
    <row r="3126" spans="1:1">
      <c r="A3126" s="50"/>
    </row>
    <row r="3127" spans="1:1">
      <c r="A3127" s="50"/>
    </row>
    <row r="3128" spans="1:1">
      <c r="A3128" s="50"/>
    </row>
    <row r="3129" spans="1:1">
      <c r="A3129" s="50"/>
    </row>
    <row r="3130" spans="1:1">
      <c r="A3130" s="50"/>
    </row>
    <row r="3131" spans="1:1">
      <c r="A3131" s="50"/>
    </row>
    <row r="3132" spans="1:1">
      <c r="A3132" s="50"/>
    </row>
    <row r="3133" spans="1:1">
      <c r="A3133" s="50"/>
    </row>
    <row r="3134" spans="1:1">
      <c r="A3134" s="50"/>
    </row>
    <row r="3135" spans="1:1">
      <c r="A3135" s="50"/>
    </row>
    <row r="3136" spans="1:1">
      <c r="A3136" s="50"/>
    </row>
    <row r="3137" spans="1:1">
      <c r="A3137" s="50"/>
    </row>
    <row r="3138" spans="1:1">
      <c r="A3138" s="50"/>
    </row>
    <row r="3139" spans="1:1">
      <c r="A3139" s="50"/>
    </row>
    <row r="3140" spans="1:1">
      <c r="A3140" s="50"/>
    </row>
    <row r="3141" spans="1:1">
      <c r="A3141" s="50"/>
    </row>
    <row r="3142" spans="1:1">
      <c r="A3142" s="50"/>
    </row>
    <row r="3143" spans="1:1">
      <c r="A3143" s="50"/>
    </row>
    <row r="3144" spans="1:1">
      <c r="A3144" s="50"/>
    </row>
    <row r="3145" spans="1:1">
      <c r="A3145" s="50"/>
    </row>
    <row r="3146" spans="1:1">
      <c r="A3146" s="50"/>
    </row>
    <row r="3147" spans="1:1">
      <c r="A3147" s="50"/>
    </row>
    <row r="3148" spans="1:1">
      <c r="A3148" s="50"/>
    </row>
    <row r="3149" spans="1:1">
      <c r="A3149" s="50"/>
    </row>
    <row r="3150" spans="1:1">
      <c r="A3150" s="50"/>
    </row>
    <row r="3151" spans="1:1">
      <c r="A3151" s="50"/>
    </row>
    <row r="3152" spans="1:1">
      <c r="A3152" s="50"/>
    </row>
    <row r="3153" spans="1:1">
      <c r="A3153" s="50"/>
    </row>
    <row r="3154" spans="1:1">
      <c r="A3154" s="50"/>
    </row>
    <row r="3155" spans="1:1">
      <c r="A3155" s="50"/>
    </row>
    <row r="3156" spans="1:1">
      <c r="A3156" s="50"/>
    </row>
    <row r="3157" spans="1:1">
      <c r="A3157" s="50"/>
    </row>
    <row r="3158" spans="1:1">
      <c r="A3158" s="50"/>
    </row>
    <row r="3159" spans="1:1">
      <c r="A3159" s="50"/>
    </row>
    <row r="3160" spans="1:1">
      <c r="A3160" s="50"/>
    </row>
    <row r="3161" spans="1:1">
      <c r="A3161" s="50"/>
    </row>
    <row r="3162" spans="1:1">
      <c r="A3162" s="50"/>
    </row>
    <row r="3163" spans="1:1">
      <c r="A3163" s="50"/>
    </row>
    <row r="3164" spans="1:1">
      <c r="A3164" s="50"/>
    </row>
    <row r="3165" spans="1:1">
      <c r="A3165" s="50"/>
    </row>
    <row r="3166" spans="1:1">
      <c r="A3166" s="50"/>
    </row>
    <row r="3167" spans="1:1">
      <c r="A3167" s="50"/>
    </row>
    <row r="3168" spans="1:1">
      <c r="A3168" s="50"/>
    </row>
    <row r="3169" spans="1:1">
      <c r="A3169" s="50"/>
    </row>
    <row r="3170" spans="1:1">
      <c r="A3170" s="50"/>
    </row>
    <row r="3171" spans="1:1">
      <c r="A3171" s="50"/>
    </row>
    <row r="3172" spans="1:1">
      <c r="A3172" s="50"/>
    </row>
    <row r="3173" spans="1:1">
      <c r="A3173" s="50"/>
    </row>
    <row r="3174" spans="1:1">
      <c r="A3174" s="50"/>
    </row>
    <row r="3175" spans="1:1">
      <c r="A3175" s="50"/>
    </row>
    <row r="3176" spans="1:1">
      <c r="A3176" s="50"/>
    </row>
    <row r="3177" spans="1:1">
      <c r="A3177" s="50"/>
    </row>
    <row r="3178" spans="1:1">
      <c r="A3178" s="50"/>
    </row>
    <row r="3179" spans="1:1">
      <c r="A3179" s="50"/>
    </row>
    <row r="3180" spans="1:1">
      <c r="A3180" s="50"/>
    </row>
    <row r="3181" spans="1:1">
      <c r="A3181" s="50"/>
    </row>
    <row r="3182" spans="1:1">
      <c r="A3182" s="50"/>
    </row>
    <row r="3183" spans="1:1">
      <c r="A3183" s="50"/>
    </row>
    <row r="3184" spans="1:1">
      <c r="A3184" s="50"/>
    </row>
    <row r="3185" spans="1:1">
      <c r="A3185" s="50"/>
    </row>
    <row r="3186" spans="1:1">
      <c r="A3186" s="50"/>
    </row>
    <row r="3187" spans="1:1">
      <c r="A3187" s="50"/>
    </row>
    <row r="3188" spans="1:1">
      <c r="A3188" s="50"/>
    </row>
    <row r="3189" spans="1:1">
      <c r="A3189" s="50"/>
    </row>
    <row r="3190" spans="1:1">
      <c r="A3190" s="50"/>
    </row>
    <row r="3191" spans="1:1">
      <c r="A3191" s="50"/>
    </row>
    <row r="3192" spans="1:1">
      <c r="A3192" s="50"/>
    </row>
    <row r="3193" spans="1:1">
      <c r="A3193" s="50"/>
    </row>
    <row r="3194" spans="1:1">
      <c r="A3194" s="50"/>
    </row>
    <row r="3195" spans="1:1">
      <c r="A3195" s="50"/>
    </row>
    <row r="3196" spans="1:1">
      <c r="A3196" s="50"/>
    </row>
    <row r="3197" spans="1:1">
      <c r="A3197" s="50"/>
    </row>
    <row r="3198" spans="1:1">
      <c r="A3198" s="50"/>
    </row>
    <row r="3199" spans="1:1">
      <c r="A3199" s="50"/>
    </row>
    <row r="3200" spans="1:1">
      <c r="A3200" s="50"/>
    </row>
    <row r="3201" spans="1:1">
      <c r="A3201" s="50"/>
    </row>
    <row r="3202" spans="1:1">
      <c r="A3202" s="50"/>
    </row>
    <row r="3203" spans="1:1">
      <c r="A3203" s="50"/>
    </row>
    <row r="3204" spans="1:1">
      <c r="A3204" s="50"/>
    </row>
    <row r="3205" spans="1:1">
      <c r="A3205" s="50"/>
    </row>
    <row r="3206" spans="1:1">
      <c r="A3206" s="50"/>
    </row>
    <row r="3207" spans="1:1">
      <c r="A3207" s="50"/>
    </row>
    <row r="3208" spans="1:1">
      <c r="A3208" s="50"/>
    </row>
    <row r="3209" spans="1:1">
      <c r="A3209" s="50"/>
    </row>
    <row r="3210" spans="1:1">
      <c r="A3210" s="50"/>
    </row>
    <row r="3211" spans="1:1">
      <c r="A3211" s="50"/>
    </row>
    <row r="3212" spans="1:1">
      <c r="A3212" s="50"/>
    </row>
    <row r="3213" spans="1:1">
      <c r="A3213" s="50"/>
    </row>
    <row r="3214" spans="1:1">
      <c r="A3214" s="50"/>
    </row>
    <row r="3215" spans="1:1">
      <c r="A3215" s="50"/>
    </row>
    <row r="3216" spans="1:1">
      <c r="A3216" s="50"/>
    </row>
    <row r="3217" spans="1:1">
      <c r="A3217" s="50"/>
    </row>
    <row r="3218" spans="1:1">
      <c r="A3218" s="50"/>
    </row>
    <row r="3219" spans="1:1">
      <c r="A3219" s="50"/>
    </row>
    <row r="3220" spans="1:1">
      <c r="A3220" s="50"/>
    </row>
    <row r="3221" spans="1:1">
      <c r="A3221" s="50"/>
    </row>
    <row r="3222" spans="1:1">
      <c r="A3222" s="50"/>
    </row>
    <row r="3223" spans="1:1">
      <c r="A3223" s="50"/>
    </row>
    <row r="3224" spans="1:1">
      <c r="A3224" s="50"/>
    </row>
    <row r="3225" spans="1:1">
      <c r="A3225" s="50"/>
    </row>
    <row r="3226" spans="1:1">
      <c r="A3226" s="50"/>
    </row>
    <row r="3227" spans="1:1">
      <c r="A3227" s="50"/>
    </row>
    <row r="3228" spans="1:1">
      <c r="A3228" s="50"/>
    </row>
    <row r="3229" spans="1:1">
      <c r="A3229" s="50"/>
    </row>
    <row r="3230" spans="1:1">
      <c r="A3230" s="50"/>
    </row>
    <row r="3231" spans="1:1">
      <c r="A3231" s="50"/>
    </row>
    <row r="3232" spans="1:1">
      <c r="A3232" s="50"/>
    </row>
    <row r="3233" spans="1:1">
      <c r="A3233" s="50"/>
    </row>
    <row r="3234" spans="1:1">
      <c r="A3234" s="50"/>
    </row>
    <row r="3235" spans="1:1">
      <c r="A3235" s="50"/>
    </row>
    <row r="3236" spans="1:1">
      <c r="A3236" s="50"/>
    </row>
    <row r="3237" spans="1:1">
      <c r="A3237" s="50"/>
    </row>
    <row r="3238" spans="1:1">
      <c r="A3238" s="50"/>
    </row>
    <row r="3239" spans="1:1">
      <c r="A3239" s="50"/>
    </row>
    <row r="3240" spans="1:1">
      <c r="A3240" s="50"/>
    </row>
    <row r="3241" spans="1:1">
      <c r="A3241" s="50"/>
    </row>
    <row r="3242" spans="1:1">
      <c r="A3242" s="50"/>
    </row>
    <row r="3243" spans="1:1">
      <c r="A3243" s="50"/>
    </row>
    <row r="3244" spans="1:1">
      <c r="A3244" s="50"/>
    </row>
    <row r="3245" spans="1:1">
      <c r="A3245" s="50"/>
    </row>
    <row r="3246" spans="1:1">
      <c r="A3246" s="50"/>
    </row>
    <row r="3247" spans="1:1">
      <c r="A3247" s="50"/>
    </row>
    <row r="3248" spans="1:1">
      <c r="A3248" s="50"/>
    </row>
    <row r="3249" spans="1:1">
      <c r="A3249" s="50"/>
    </row>
    <row r="3250" spans="1:1">
      <c r="A3250" s="50"/>
    </row>
    <row r="3251" spans="1:1">
      <c r="A3251" s="50"/>
    </row>
    <row r="3252" spans="1:1">
      <c r="A3252" s="50"/>
    </row>
    <row r="3253" spans="1:1">
      <c r="A3253" s="50"/>
    </row>
    <row r="3254" spans="1:1">
      <c r="A3254" s="50"/>
    </row>
    <row r="3255" spans="1:1">
      <c r="A3255" s="50"/>
    </row>
    <row r="3256" spans="1:1">
      <c r="A3256" s="50"/>
    </row>
    <row r="3257" spans="1:1">
      <c r="A3257" s="50"/>
    </row>
    <row r="3258" spans="1:1">
      <c r="A3258" s="50"/>
    </row>
    <row r="3259" spans="1:1">
      <c r="A3259" s="50"/>
    </row>
    <row r="3260" spans="1:1">
      <c r="A3260" s="50"/>
    </row>
    <row r="3261" spans="1:1">
      <c r="A3261" s="50"/>
    </row>
    <row r="3262" spans="1:1">
      <c r="A3262" s="50"/>
    </row>
    <row r="3263" spans="1:1">
      <c r="A3263" s="50"/>
    </row>
    <row r="3264" spans="1:1">
      <c r="A3264" s="50"/>
    </row>
    <row r="3265" spans="1:1">
      <c r="A3265" s="50"/>
    </row>
    <row r="3266" spans="1:1">
      <c r="A3266" s="50"/>
    </row>
    <row r="3267" spans="1:1">
      <c r="A3267" s="50"/>
    </row>
    <row r="3268" spans="1:1">
      <c r="A3268" s="50"/>
    </row>
    <row r="3269" spans="1:1">
      <c r="A3269" s="50"/>
    </row>
    <row r="3270" spans="1:1">
      <c r="A3270" s="50"/>
    </row>
    <row r="3271" spans="1:1">
      <c r="A3271" s="50"/>
    </row>
    <row r="3272" spans="1:1">
      <c r="A3272" s="50"/>
    </row>
    <row r="3273" spans="1:1">
      <c r="A3273" s="50"/>
    </row>
    <row r="3274" spans="1:1">
      <c r="A3274" s="50"/>
    </row>
    <row r="3275" spans="1:1">
      <c r="A3275" s="50"/>
    </row>
    <row r="3276" spans="1:1">
      <c r="A3276" s="50"/>
    </row>
    <row r="3277" spans="1:1">
      <c r="A3277" s="50"/>
    </row>
    <row r="3278" spans="1:1">
      <c r="A3278" s="50"/>
    </row>
    <row r="3279" spans="1:1">
      <c r="A3279" s="50"/>
    </row>
    <row r="3280" spans="1:1">
      <c r="A3280" s="50"/>
    </row>
    <row r="3281" spans="1:1">
      <c r="A3281" s="50"/>
    </row>
    <row r="3282" spans="1:1">
      <c r="A3282" s="50"/>
    </row>
    <row r="3283" spans="1:1">
      <c r="A3283" s="50"/>
    </row>
    <row r="3284" spans="1:1">
      <c r="A3284" s="50"/>
    </row>
    <row r="3285" spans="1:1">
      <c r="A3285" s="50"/>
    </row>
    <row r="3286" spans="1:1">
      <c r="A3286" s="50"/>
    </row>
    <row r="3287" spans="1:1">
      <c r="A3287" s="50"/>
    </row>
    <row r="3288" spans="1:1">
      <c r="A3288" s="50"/>
    </row>
    <row r="3289" spans="1:1">
      <c r="A3289" s="50"/>
    </row>
    <row r="3290" spans="1:1">
      <c r="A3290" s="50"/>
    </row>
    <row r="3291" spans="1:1">
      <c r="A3291" s="50"/>
    </row>
    <row r="3292" spans="1:1">
      <c r="A3292" s="50"/>
    </row>
    <row r="3293" spans="1:1">
      <c r="A3293" s="50"/>
    </row>
    <row r="3294" spans="1:1">
      <c r="A3294" s="50"/>
    </row>
    <row r="3295" spans="1:1">
      <c r="A3295" s="50"/>
    </row>
    <row r="3296" spans="1:1">
      <c r="A3296" s="50"/>
    </row>
    <row r="3297" spans="1:1">
      <c r="A3297" s="50"/>
    </row>
    <row r="3298" spans="1:1">
      <c r="A3298" s="50"/>
    </row>
    <row r="3299" spans="1:1">
      <c r="A3299" s="50"/>
    </row>
    <row r="3300" spans="1:1">
      <c r="A3300" s="50"/>
    </row>
    <row r="3301" spans="1:1">
      <c r="A3301" s="50"/>
    </row>
    <row r="3302" spans="1:1">
      <c r="A3302" s="50"/>
    </row>
    <row r="3303" spans="1:1">
      <c r="A3303" s="50"/>
    </row>
    <row r="3304" spans="1:1">
      <c r="A3304" s="50"/>
    </row>
    <row r="3305" spans="1:1">
      <c r="A3305" s="50"/>
    </row>
    <row r="3306" spans="1:1">
      <c r="A3306" s="50"/>
    </row>
    <row r="3307" spans="1:1">
      <c r="A3307" s="50"/>
    </row>
    <row r="3308" spans="1:1">
      <c r="A3308" s="50"/>
    </row>
    <row r="3309" spans="1:1">
      <c r="A3309" s="50"/>
    </row>
    <row r="3310" spans="1:1">
      <c r="A3310" s="50"/>
    </row>
    <row r="3311" spans="1:1">
      <c r="A3311" s="50"/>
    </row>
    <row r="3312" spans="1:1">
      <c r="A3312" s="50"/>
    </row>
    <row r="3313" spans="1:1">
      <c r="A3313" s="50"/>
    </row>
    <row r="3314" spans="1:1">
      <c r="A3314" s="50"/>
    </row>
    <row r="3315" spans="1:1">
      <c r="A3315" s="50"/>
    </row>
    <row r="3316" spans="1:1">
      <c r="A3316" s="50"/>
    </row>
    <row r="3317" spans="1:1">
      <c r="A3317" s="50"/>
    </row>
    <row r="3318" spans="1:1">
      <c r="A3318" s="50"/>
    </row>
    <row r="3319" spans="1:1">
      <c r="A3319" s="50"/>
    </row>
    <row r="3320" spans="1:1">
      <c r="A3320" s="50"/>
    </row>
    <row r="3321" spans="1:1">
      <c r="A3321" s="50"/>
    </row>
    <row r="3322" spans="1:1">
      <c r="A3322" s="50"/>
    </row>
    <row r="3323" spans="1:1">
      <c r="A3323" s="50"/>
    </row>
    <row r="3324" spans="1:1">
      <c r="A3324" s="50"/>
    </row>
    <row r="3325" spans="1:1">
      <c r="A3325" s="50"/>
    </row>
    <row r="3326" spans="1:1">
      <c r="A3326" s="50"/>
    </row>
    <row r="3327" spans="1:1">
      <c r="A3327" s="50"/>
    </row>
    <row r="3328" spans="1:1">
      <c r="A3328" s="50"/>
    </row>
    <row r="3329" spans="1:1">
      <c r="A3329" s="50"/>
    </row>
    <row r="3330" spans="1:1">
      <c r="A3330" s="50"/>
    </row>
    <row r="3331" spans="1:1">
      <c r="A3331" s="50"/>
    </row>
    <row r="3332" spans="1:1">
      <c r="A3332" s="50"/>
    </row>
    <row r="3333" spans="1:1">
      <c r="A3333" s="50"/>
    </row>
    <row r="3334" spans="1:1">
      <c r="A3334" s="50"/>
    </row>
    <row r="3335" spans="1:1">
      <c r="A3335" s="50"/>
    </row>
    <row r="3336" spans="1:1">
      <c r="A3336" s="50"/>
    </row>
    <row r="3337" spans="1:1">
      <c r="A3337" s="50"/>
    </row>
    <row r="3338" spans="1:1">
      <c r="A3338" s="50"/>
    </row>
    <row r="3339" spans="1:1">
      <c r="A3339" s="50"/>
    </row>
    <row r="3340" spans="1:1">
      <c r="A3340" s="50"/>
    </row>
    <row r="3341" spans="1:1">
      <c r="A3341" s="50"/>
    </row>
    <row r="3342" spans="1:1">
      <c r="A3342" s="50"/>
    </row>
    <row r="3343" spans="1:1">
      <c r="A3343" s="50"/>
    </row>
    <row r="3344" spans="1:1">
      <c r="A3344" s="50"/>
    </row>
    <row r="3345" spans="1:1">
      <c r="A3345" s="50"/>
    </row>
    <row r="3346" spans="1:1">
      <c r="A3346" s="50"/>
    </row>
    <row r="3347" spans="1:1">
      <c r="A3347" s="50"/>
    </row>
    <row r="3348" spans="1:1">
      <c r="A3348" s="50"/>
    </row>
    <row r="3349" spans="1:1">
      <c r="A3349" s="50"/>
    </row>
    <row r="3350" spans="1:1">
      <c r="A3350" s="50"/>
    </row>
    <row r="3351" spans="1:1">
      <c r="A3351" s="50"/>
    </row>
    <row r="3352" spans="1:1">
      <c r="A3352" s="50"/>
    </row>
    <row r="3353" spans="1:1">
      <c r="A3353" s="50"/>
    </row>
    <row r="3354" spans="1:1">
      <c r="A3354" s="50"/>
    </row>
    <row r="3355" spans="1:1">
      <c r="A3355" s="50"/>
    </row>
    <row r="3356" spans="1:1">
      <c r="A3356" s="50"/>
    </row>
    <row r="3357" spans="1:1">
      <c r="A3357" s="50"/>
    </row>
    <row r="3358" spans="1:1">
      <c r="A3358" s="50"/>
    </row>
    <row r="3359" spans="1:1">
      <c r="A3359" s="50"/>
    </row>
    <row r="3360" spans="1:1">
      <c r="A3360" s="50"/>
    </row>
    <row r="3361" spans="1:1">
      <c r="A3361" s="50"/>
    </row>
    <row r="3362" spans="1:1">
      <c r="A3362" s="50"/>
    </row>
    <row r="3363" spans="1:1">
      <c r="A3363" s="50"/>
    </row>
    <row r="3364" spans="1:1">
      <c r="A3364" s="50"/>
    </row>
    <row r="3365" spans="1:1">
      <c r="A3365" s="50"/>
    </row>
    <row r="3366" spans="1:1">
      <c r="A3366" s="50"/>
    </row>
    <row r="3367" spans="1:1">
      <c r="A3367" s="50"/>
    </row>
    <row r="3368" spans="1:1">
      <c r="A3368" s="50"/>
    </row>
    <row r="3369" spans="1:1">
      <c r="A3369" s="50"/>
    </row>
    <row r="3370" spans="1:1">
      <c r="A3370" s="50"/>
    </row>
    <row r="3371" spans="1:1">
      <c r="A3371" s="50"/>
    </row>
    <row r="3372" spans="1:1">
      <c r="A3372" s="50"/>
    </row>
    <row r="3373" spans="1:1">
      <c r="A3373" s="50"/>
    </row>
    <row r="3374" spans="1:1">
      <c r="A3374" s="50"/>
    </row>
    <row r="3375" spans="1:1">
      <c r="A3375" s="50"/>
    </row>
    <row r="3376" spans="1:1">
      <c r="A3376" s="50"/>
    </row>
    <row r="3377" spans="1:1">
      <c r="A3377" s="50"/>
    </row>
    <row r="3378" spans="1:1">
      <c r="A3378" s="50"/>
    </row>
    <row r="3379" spans="1:1">
      <c r="A3379" s="50"/>
    </row>
    <row r="3380" spans="1:1">
      <c r="A3380" s="50"/>
    </row>
    <row r="3381" spans="1:1">
      <c r="A3381" s="50"/>
    </row>
    <row r="3382" spans="1:1">
      <c r="A3382" s="50"/>
    </row>
    <row r="3383" spans="1:1">
      <c r="A3383" s="50"/>
    </row>
    <row r="3384" spans="1:1">
      <c r="A3384" s="50"/>
    </row>
    <row r="3385" spans="1:1">
      <c r="A3385" s="50"/>
    </row>
    <row r="3386" spans="1:1">
      <c r="A3386" s="50"/>
    </row>
    <row r="3387" spans="1:1">
      <c r="A3387" s="50"/>
    </row>
    <row r="3388" spans="1:1">
      <c r="A3388" s="50"/>
    </row>
    <row r="3389" spans="1:1">
      <c r="A3389" s="50"/>
    </row>
    <row r="3390" spans="1:1">
      <c r="A3390" s="50"/>
    </row>
    <row r="3391" spans="1:1">
      <c r="A3391" s="50"/>
    </row>
    <row r="3392" spans="1:1">
      <c r="A3392" s="50"/>
    </row>
    <row r="3393" spans="1:1">
      <c r="A3393" s="50"/>
    </row>
    <row r="3394" spans="1:1">
      <c r="A3394" s="50"/>
    </row>
    <row r="3395" spans="1:1">
      <c r="A3395" s="50"/>
    </row>
    <row r="3396" spans="1:1">
      <c r="A3396" s="50"/>
    </row>
    <row r="3397" spans="1:1">
      <c r="A3397" s="50"/>
    </row>
    <row r="3398" spans="1:1">
      <c r="A3398" s="50"/>
    </row>
    <row r="3399" spans="1:1">
      <c r="A3399" s="50"/>
    </row>
    <row r="3400" spans="1:1">
      <c r="A3400" s="50"/>
    </row>
    <row r="3401" spans="1:1">
      <c r="A3401" s="50"/>
    </row>
    <row r="3402" spans="1:1">
      <c r="A3402" s="50"/>
    </row>
    <row r="3403" spans="1:1">
      <c r="A3403" s="50"/>
    </row>
    <row r="3404" spans="1:1">
      <c r="A3404" s="50"/>
    </row>
    <row r="3405" spans="1:1">
      <c r="A3405" s="50"/>
    </row>
    <row r="3406" spans="1:1">
      <c r="A3406" s="50"/>
    </row>
    <row r="3407" spans="1:1">
      <c r="A3407" s="50"/>
    </row>
    <row r="3408" spans="1:1">
      <c r="A3408" s="50"/>
    </row>
    <row r="3409" spans="1:1">
      <c r="A3409" s="50"/>
    </row>
    <row r="3410" spans="1:1">
      <c r="A3410" s="50"/>
    </row>
    <row r="3411" spans="1:1">
      <c r="A3411" s="50"/>
    </row>
    <row r="3412" spans="1:1">
      <c r="A3412" s="50"/>
    </row>
    <row r="3413" spans="1:1">
      <c r="A3413" s="50"/>
    </row>
    <row r="3414" spans="1:1">
      <c r="A3414" s="50"/>
    </row>
    <row r="3415" spans="1:1">
      <c r="A3415" s="50"/>
    </row>
    <row r="3416" spans="1:1">
      <c r="A3416" s="50"/>
    </row>
    <row r="3417" spans="1:1">
      <c r="A3417" s="50"/>
    </row>
    <row r="3418" spans="1:1">
      <c r="A3418" s="50"/>
    </row>
    <row r="3419" spans="1:1">
      <c r="A3419" s="50"/>
    </row>
    <row r="3420" spans="1:1">
      <c r="A3420" s="50"/>
    </row>
    <row r="3421" spans="1:1">
      <c r="A3421" s="50"/>
    </row>
    <row r="3422" spans="1:1">
      <c r="A3422" s="50"/>
    </row>
    <row r="3423" spans="1:1">
      <c r="A3423" s="50"/>
    </row>
    <row r="3424" spans="1:1">
      <c r="A3424" s="50"/>
    </row>
    <row r="3425" spans="1:1">
      <c r="A3425" s="50"/>
    </row>
    <row r="3426" spans="1:1">
      <c r="A3426" s="50"/>
    </row>
    <row r="3427" spans="1:1">
      <c r="A3427" s="50"/>
    </row>
    <row r="3428" spans="1:1">
      <c r="A3428" s="50"/>
    </row>
    <row r="3429" spans="1:1">
      <c r="A3429" s="50"/>
    </row>
    <row r="3430" spans="1:1">
      <c r="A3430" s="50"/>
    </row>
    <row r="3431" spans="1:1">
      <c r="A3431" s="50"/>
    </row>
    <row r="3432" spans="1:1">
      <c r="A3432" s="50"/>
    </row>
    <row r="3433" spans="1:1">
      <c r="A3433" s="50"/>
    </row>
    <row r="3434" spans="1:1">
      <c r="A3434" s="50"/>
    </row>
    <row r="3435" spans="1:1">
      <c r="A3435" s="50"/>
    </row>
    <row r="3436" spans="1:1">
      <c r="A3436" s="50"/>
    </row>
    <row r="3437" spans="1:1">
      <c r="A3437" s="50"/>
    </row>
    <row r="3438" spans="1:1">
      <c r="A3438" s="50"/>
    </row>
    <row r="3439" spans="1:1">
      <c r="A3439" s="50"/>
    </row>
    <row r="3440" spans="1:1">
      <c r="A3440" s="50"/>
    </row>
    <row r="3441" spans="1:1">
      <c r="A3441" s="50"/>
    </row>
    <row r="3442" spans="1:1">
      <c r="A3442" s="50"/>
    </row>
    <row r="3443" spans="1:1">
      <c r="A3443" s="50"/>
    </row>
    <row r="3444" spans="1:1">
      <c r="A3444" s="50"/>
    </row>
    <row r="3445" spans="1:1">
      <c r="A3445" s="50"/>
    </row>
    <row r="3446" spans="1:1">
      <c r="A3446" s="50"/>
    </row>
    <row r="3447" spans="1:1">
      <c r="A3447" s="50"/>
    </row>
    <row r="3448" spans="1:1">
      <c r="A3448" s="50"/>
    </row>
    <row r="3449" spans="1:1">
      <c r="A3449" s="50"/>
    </row>
    <row r="3450" spans="1:1">
      <c r="A3450" s="50"/>
    </row>
    <row r="3451" spans="1:1">
      <c r="A3451" s="50"/>
    </row>
    <row r="3452" spans="1:1">
      <c r="A3452" s="50"/>
    </row>
    <row r="3453" spans="1:1">
      <c r="A3453" s="50"/>
    </row>
    <row r="3454" spans="1:1">
      <c r="A3454" s="50"/>
    </row>
    <row r="3455" spans="1:1">
      <c r="A3455" s="50"/>
    </row>
    <row r="3456" spans="1:1">
      <c r="A3456" s="50"/>
    </row>
    <row r="3457" spans="1:1">
      <c r="A3457" s="50"/>
    </row>
    <row r="3458" spans="1:1">
      <c r="A3458" s="50"/>
    </row>
    <row r="3459" spans="1:1">
      <c r="A3459" s="50"/>
    </row>
    <row r="3460" spans="1:1">
      <c r="A3460" s="50"/>
    </row>
    <row r="3461" spans="1:1">
      <c r="A3461" s="50"/>
    </row>
    <row r="3462" spans="1:1">
      <c r="A3462" s="50"/>
    </row>
    <row r="3463" spans="1:1">
      <c r="A3463" s="50"/>
    </row>
    <row r="3464" spans="1:1">
      <c r="A3464" s="50"/>
    </row>
    <row r="3465" spans="1:1">
      <c r="A3465" s="50"/>
    </row>
    <row r="3466" spans="1:1">
      <c r="A3466" s="50"/>
    </row>
    <row r="3467" spans="1:1">
      <c r="A3467" s="50"/>
    </row>
    <row r="3468" spans="1:1">
      <c r="A3468" s="50"/>
    </row>
    <row r="3469" spans="1:1">
      <c r="A3469" s="50"/>
    </row>
    <row r="3470" spans="1:1">
      <c r="A3470" s="50"/>
    </row>
    <row r="3471" spans="1:1">
      <c r="A3471" s="50"/>
    </row>
    <row r="3472" spans="1:1">
      <c r="A3472" s="50"/>
    </row>
    <row r="3473" spans="1:1">
      <c r="A3473" s="50"/>
    </row>
    <row r="3474" spans="1:1">
      <c r="A3474" s="50"/>
    </row>
    <row r="3475" spans="1:1">
      <c r="A3475" s="50"/>
    </row>
    <row r="3476" spans="1:1">
      <c r="A3476" s="50"/>
    </row>
    <row r="3477" spans="1:1">
      <c r="A3477" s="50"/>
    </row>
    <row r="3478" spans="1:1">
      <c r="A3478" s="50"/>
    </row>
    <row r="3479" spans="1:1">
      <c r="A3479" s="50"/>
    </row>
    <row r="3480" spans="1:1">
      <c r="A3480" s="50"/>
    </row>
    <row r="3481" spans="1:1">
      <c r="A3481" s="50"/>
    </row>
    <row r="3482" spans="1:1">
      <c r="A3482" s="50"/>
    </row>
    <row r="3483" spans="1:1">
      <c r="A3483" s="50"/>
    </row>
    <row r="3484" spans="1:1">
      <c r="A3484" s="50"/>
    </row>
    <row r="3485" spans="1:1">
      <c r="A3485" s="50"/>
    </row>
    <row r="3486" spans="1:1">
      <c r="A3486" s="50"/>
    </row>
    <row r="3487" spans="1:1">
      <c r="A3487" s="50"/>
    </row>
    <row r="3488" spans="1:1">
      <c r="A3488" s="50"/>
    </row>
    <row r="3489" spans="1:1">
      <c r="A3489" s="50"/>
    </row>
    <row r="3490" spans="1:1">
      <c r="A3490" s="50"/>
    </row>
    <row r="3491" spans="1:1">
      <c r="A3491" s="50"/>
    </row>
    <row r="3492" spans="1:1">
      <c r="A3492" s="50"/>
    </row>
    <row r="3493" spans="1:1">
      <c r="A3493" s="50"/>
    </row>
    <row r="3494" spans="1:1">
      <c r="A3494" s="50"/>
    </row>
    <row r="3495" spans="1:1">
      <c r="A3495" s="50"/>
    </row>
    <row r="3496" spans="1:1">
      <c r="A3496" s="50"/>
    </row>
    <row r="3497" spans="1:1">
      <c r="A3497" s="50"/>
    </row>
    <row r="3498" spans="1:1">
      <c r="A3498" s="50"/>
    </row>
    <row r="3499" spans="1:1">
      <c r="A3499" s="50"/>
    </row>
    <row r="3500" spans="1:1">
      <c r="A3500" s="50"/>
    </row>
    <row r="3501" spans="1:1">
      <c r="A3501" s="50"/>
    </row>
    <row r="3502" spans="1:1">
      <c r="A3502" s="50"/>
    </row>
    <row r="3503" spans="1:1">
      <c r="A3503" s="50"/>
    </row>
    <row r="3504" spans="1:1">
      <c r="A3504" s="50"/>
    </row>
    <row r="3505" spans="1:1">
      <c r="A3505" s="50"/>
    </row>
    <row r="3506" spans="1:1">
      <c r="A3506" s="50"/>
    </row>
    <row r="3507" spans="1:1">
      <c r="A3507" s="50"/>
    </row>
    <row r="3508" spans="1:1">
      <c r="A3508" s="50"/>
    </row>
    <row r="3509" spans="1:1">
      <c r="A3509" s="50"/>
    </row>
    <row r="3510" spans="1:1">
      <c r="A3510" s="50"/>
    </row>
    <row r="3511" spans="1:1">
      <c r="A3511" s="50"/>
    </row>
    <row r="3512" spans="1:1">
      <c r="A3512" s="50"/>
    </row>
    <row r="3513" spans="1:1">
      <c r="A3513" s="50"/>
    </row>
    <row r="3514" spans="1:1">
      <c r="A3514" s="50"/>
    </row>
    <row r="3515" spans="1:1">
      <c r="A3515" s="50"/>
    </row>
    <row r="3516" spans="1:1">
      <c r="A3516" s="50"/>
    </row>
    <row r="3517" spans="1:1">
      <c r="A3517" s="50"/>
    </row>
    <row r="3518" spans="1:1">
      <c r="A3518" s="50"/>
    </row>
    <row r="3519" spans="1:1">
      <c r="A3519" s="50"/>
    </row>
    <row r="3520" spans="1:1">
      <c r="A3520" s="50"/>
    </row>
    <row r="3521" spans="1:1">
      <c r="A3521" s="50"/>
    </row>
    <row r="3522" spans="1:1">
      <c r="A3522" s="50"/>
    </row>
    <row r="3523" spans="1:1">
      <c r="A3523" s="50"/>
    </row>
    <row r="3524" spans="1:1">
      <c r="A3524" s="50"/>
    </row>
    <row r="3525" spans="1:1">
      <c r="A3525" s="50"/>
    </row>
    <row r="3526" spans="1:1">
      <c r="A3526" s="50"/>
    </row>
    <row r="3527" spans="1:1">
      <c r="A3527" s="50"/>
    </row>
    <row r="3528" spans="1:1">
      <c r="A3528" s="50"/>
    </row>
    <row r="3529" spans="1:1">
      <c r="A3529" s="50"/>
    </row>
    <row r="3530" spans="1:1">
      <c r="A3530" s="50"/>
    </row>
    <row r="3531" spans="1:1">
      <c r="A3531" s="50"/>
    </row>
    <row r="3532" spans="1:1">
      <c r="A3532" s="50"/>
    </row>
    <row r="3533" spans="1:1">
      <c r="A3533" s="50"/>
    </row>
    <row r="3534" spans="1:1">
      <c r="A3534" s="50"/>
    </row>
    <row r="3535" spans="1:1">
      <c r="A3535" s="50"/>
    </row>
    <row r="3536" spans="1:1">
      <c r="A3536" s="50"/>
    </row>
    <row r="3537" spans="1:1">
      <c r="A3537" s="50"/>
    </row>
    <row r="3538" spans="1:1">
      <c r="A3538" s="50"/>
    </row>
    <row r="3539" spans="1:1">
      <c r="A3539" s="50"/>
    </row>
    <row r="3540" spans="1:1">
      <c r="A3540" s="50"/>
    </row>
    <row r="3541" spans="1:1">
      <c r="A3541" s="50"/>
    </row>
    <row r="3542" spans="1:1">
      <c r="A3542" s="50"/>
    </row>
    <row r="3543" spans="1:1">
      <c r="A3543" s="50"/>
    </row>
    <row r="3544" spans="1:1">
      <c r="A3544" s="50"/>
    </row>
    <row r="3545" spans="1:1">
      <c r="A3545" s="50"/>
    </row>
    <row r="3546" spans="1:1">
      <c r="A3546" s="50"/>
    </row>
    <row r="3547" spans="1:1">
      <c r="A3547" s="50"/>
    </row>
    <row r="3548" spans="1:1">
      <c r="A3548" s="50"/>
    </row>
    <row r="3549" spans="1:1">
      <c r="A3549" s="50"/>
    </row>
    <row r="3550" spans="1:1">
      <c r="A3550" s="50"/>
    </row>
    <row r="3551" spans="1:1">
      <c r="A3551" s="50"/>
    </row>
    <row r="3552" spans="1:1">
      <c r="A3552" s="50"/>
    </row>
    <row r="3553" spans="1:1">
      <c r="A3553" s="50"/>
    </row>
    <row r="3554" spans="1:1">
      <c r="A3554" s="50"/>
    </row>
    <row r="3555" spans="1:1">
      <c r="A3555" s="50"/>
    </row>
    <row r="3556" spans="1:1">
      <c r="A3556" s="50"/>
    </row>
    <row r="3557" spans="1:1">
      <c r="A3557" s="50"/>
    </row>
    <row r="3558" spans="1:1">
      <c r="A3558" s="50"/>
    </row>
    <row r="3559" spans="1:1">
      <c r="A3559" s="50"/>
    </row>
    <row r="3560" spans="1:1">
      <c r="A3560" s="50"/>
    </row>
    <row r="3561" spans="1:1">
      <c r="A3561" s="50"/>
    </row>
    <row r="3562" spans="1:1">
      <c r="A3562" s="50"/>
    </row>
    <row r="3563" spans="1:1">
      <c r="A3563" s="50"/>
    </row>
    <row r="3564" spans="1:1">
      <c r="A3564" s="50"/>
    </row>
    <row r="3565" spans="1:1">
      <c r="A3565" s="50"/>
    </row>
    <row r="3566" spans="1:1">
      <c r="A3566" s="50"/>
    </row>
    <row r="3567" spans="1:1">
      <c r="A3567" s="50"/>
    </row>
    <row r="3568" spans="1:1">
      <c r="A3568" s="50"/>
    </row>
    <row r="3569" spans="1:1">
      <c r="A3569" s="50"/>
    </row>
    <row r="3570" spans="1:1">
      <c r="A3570" s="50"/>
    </row>
    <row r="3571" spans="1:1">
      <c r="A3571" s="50"/>
    </row>
    <row r="3572" spans="1:1">
      <c r="A3572" s="50"/>
    </row>
    <row r="3573" spans="1:1">
      <c r="A3573" s="50"/>
    </row>
    <row r="3574" spans="1:1">
      <c r="A3574" s="50"/>
    </row>
    <row r="3575" spans="1:1">
      <c r="A3575" s="50"/>
    </row>
    <row r="3576" spans="1:1">
      <c r="A3576" s="50"/>
    </row>
    <row r="3577" spans="1:1">
      <c r="A3577" s="50"/>
    </row>
    <row r="3578" spans="1:1">
      <c r="A3578" s="50"/>
    </row>
    <row r="3579" spans="1:1">
      <c r="A3579" s="50"/>
    </row>
    <row r="3580" spans="1:1">
      <c r="A3580" s="50"/>
    </row>
    <row r="3581" spans="1:1">
      <c r="A3581" s="50"/>
    </row>
    <row r="3582" spans="1:1">
      <c r="A3582" s="50"/>
    </row>
    <row r="3583" spans="1:1">
      <c r="A3583" s="50"/>
    </row>
    <row r="3584" spans="1:1">
      <c r="A3584" s="50"/>
    </row>
    <row r="3585" spans="1:1">
      <c r="A3585" s="50"/>
    </row>
    <row r="3586" spans="1:1">
      <c r="A3586" s="50"/>
    </row>
    <row r="3587" spans="1:1">
      <c r="A3587" s="50"/>
    </row>
    <row r="3588" spans="1:1">
      <c r="A3588" s="50"/>
    </row>
    <row r="3589" spans="1:1">
      <c r="A3589" s="50"/>
    </row>
    <row r="3590" spans="1:1">
      <c r="A3590" s="50"/>
    </row>
    <row r="3591" spans="1:1">
      <c r="A3591" s="50"/>
    </row>
    <row r="3592" spans="1:1">
      <c r="A3592" s="50"/>
    </row>
    <row r="3593" spans="1:1">
      <c r="A3593" s="50"/>
    </row>
    <row r="3594" spans="1:1">
      <c r="A3594" s="50"/>
    </row>
    <row r="3595" spans="1:1">
      <c r="A3595" s="50"/>
    </row>
    <row r="3596" spans="1:1">
      <c r="A3596" s="50"/>
    </row>
    <row r="3597" spans="1:1">
      <c r="A3597" s="50"/>
    </row>
    <row r="3598" spans="1:1">
      <c r="A3598" s="50"/>
    </row>
    <row r="3599" spans="1:1">
      <c r="A3599" s="50"/>
    </row>
    <row r="3600" spans="1:1">
      <c r="A3600" s="50"/>
    </row>
    <row r="3601" spans="1:1">
      <c r="A3601" s="50"/>
    </row>
    <row r="3602" spans="1:1">
      <c r="A3602" s="50"/>
    </row>
    <row r="3603" spans="1:1">
      <c r="A3603" s="50"/>
    </row>
    <row r="3604" spans="1:1">
      <c r="A3604" s="50"/>
    </row>
    <row r="3605" spans="1:1">
      <c r="A3605" s="50"/>
    </row>
    <row r="3606" spans="1:1">
      <c r="A3606" s="50"/>
    </row>
    <row r="3607" spans="1:1">
      <c r="A3607" s="50"/>
    </row>
    <row r="3608" spans="1:1">
      <c r="A3608" s="50"/>
    </row>
    <row r="3609" spans="1:1">
      <c r="A3609" s="50"/>
    </row>
    <row r="3610" spans="1:1">
      <c r="A3610" s="50"/>
    </row>
    <row r="3611" spans="1:1">
      <c r="A3611" s="50"/>
    </row>
    <row r="3612" spans="1:1">
      <c r="A3612" s="50"/>
    </row>
    <row r="3613" spans="1:1">
      <c r="A3613" s="50"/>
    </row>
    <row r="3614" spans="1:1">
      <c r="A3614" s="50"/>
    </row>
    <row r="3615" spans="1:1">
      <c r="A3615" s="50"/>
    </row>
    <row r="3616" spans="1:1">
      <c r="A3616" s="50"/>
    </row>
    <row r="3617" spans="1:1">
      <c r="A3617" s="50"/>
    </row>
    <row r="3618" spans="1:1">
      <c r="A3618" s="50"/>
    </row>
    <row r="3619" spans="1:1">
      <c r="A3619" s="50"/>
    </row>
    <row r="3620" spans="1:1">
      <c r="A3620" s="50"/>
    </row>
    <row r="3621" spans="1:1">
      <c r="A3621" s="50"/>
    </row>
    <row r="3622" spans="1:1">
      <c r="A3622" s="50"/>
    </row>
    <row r="3623" spans="1:1">
      <c r="A3623" s="50"/>
    </row>
    <row r="3624" spans="1:1">
      <c r="A3624" s="50"/>
    </row>
    <row r="3625" spans="1:1">
      <c r="A3625" s="50"/>
    </row>
    <row r="3626" spans="1:1">
      <c r="A3626" s="50"/>
    </row>
    <row r="3627" spans="1:1">
      <c r="A3627" s="50"/>
    </row>
    <row r="3628" spans="1:1">
      <c r="A3628" s="50"/>
    </row>
    <row r="3629" spans="1:1">
      <c r="A3629" s="50"/>
    </row>
    <row r="3630" spans="1:1">
      <c r="A3630" s="50"/>
    </row>
    <row r="3631" spans="1:1">
      <c r="A3631" s="50"/>
    </row>
    <row r="3632" spans="1:1">
      <c r="A3632" s="50"/>
    </row>
    <row r="3633" spans="1:1">
      <c r="A3633" s="50"/>
    </row>
    <row r="3634" spans="1:1">
      <c r="A3634" s="50"/>
    </row>
    <row r="3635" spans="1:1">
      <c r="A3635" s="50"/>
    </row>
    <row r="3636" spans="1:1">
      <c r="A3636" s="50"/>
    </row>
    <row r="3637" spans="1:1">
      <c r="A3637" s="50"/>
    </row>
    <row r="3638" spans="1:1">
      <c r="A3638" s="50"/>
    </row>
    <row r="3639" spans="1:1">
      <c r="A3639" s="50"/>
    </row>
    <row r="3640" spans="1:1">
      <c r="A3640" s="50"/>
    </row>
    <row r="3641" spans="1:1">
      <c r="A3641" s="50"/>
    </row>
    <row r="3642" spans="1:1">
      <c r="A3642" s="50"/>
    </row>
    <row r="3643" spans="1:1">
      <c r="A3643" s="50"/>
    </row>
    <row r="3644" spans="1:1">
      <c r="A3644" s="50"/>
    </row>
    <row r="3645" spans="1:1">
      <c r="A3645" s="50"/>
    </row>
    <row r="3646" spans="1:1">
      <c r="A3646" s="50"/>
    </row>
    <row r="3647" spans="1:1">
      <c r="A3647" s="50"/>
    </row>
    <row r="3648" spans="1:1">
      <c r="A3648" s="50"/>
    </row>
    <row r="3649" spans="1:1">
      <c r="A3649" s="50"/>
    </row>
    <row r="3650" spans="1:1">
      <c r="A3650" s="50"/>
    </row>
    <row r="3651" spans="1:1">
      <c r="A3651" s="50"/>
    </row>
    <row r="3652" spans="1:1">
      <c r="A3652" s="50"/>
    </row>
    <row r="3653" spans="1:1">
      <c r="A3653" s="50"/>
    </row>
    <row r="3654" spans="1:1">
      <c r="A3654" s="50"/>
    </row>
    <row r="3655" spans="1:1">
      <c r="A3655" s="50"/>
    </row>
    <row r="3656" spans="1:1">
      <c r="A3656" s="50"/>
    </row>
    <row r="3657" spans="1:1">
      <c r="A3657" s="50"/>
    </row>
    <row r="3658" spans="1:1">
      <c r="A3658" s="50"/>
    </row>
    <row r="3659" spans="1:1">
      <c r="A3659" s="50"/>
    </row>
    <row r="3660" spans="1:1">
      <c r="A3660" s="50"/>
    </row>
    <row r="3661" spans="1:1">
      <c r="A3661" s="50"/>
    </row>
    <row r="3662" spans="1:1">
      <c r="A3662" s="50"/>
    </row>
    <row r="3663" spans="1:1">
      <c r="A3663" s="50"/>
    </row>
    <row r="3664" spans="1:1">
      <c r="A3664" s="50"/>
    </row>
    <row r="3665" spans="1:1">
      <c r="A3665" s="50"/>
    </row>
    <row r="3666" spans="1:1">
      <c r="A3666" s="50"/>
    </row>
    <row r="3667" spans="1:1">
      <c r="A3667" s="50"/>
    </row>
    <row r="3668" spans="1:1">
      <c r="A3668" s="50"/>
    </row>
    <row r="3669" spans="1:1">
      <c r="A3669" s="50"/>
    </row>
    <row r="3670" spans="1:1">
      <c r="A3670" s="50"/>
    </row>
    <row r="3671" spans="1:1">
      <c r="A3671" s="50"/>
    </row>
    <row r="3672" spans="1:1">
      <c r="A3672" s="50"/>
    </row>
    <row r="3673" spans="1:1">
      <c r="A3673" s="50"/>
    </row>
    <row r="3674" spans="1:1">
      <c r="A3674" s="50"/>
    </row>
    <row r="3675" spans="1:1">
      <c r="A3675" s="50"/>
    </row>
    <row r="3676" spans="1:1">
      <c r="A3676" s="50"/>
    </row>
    <row r="3677" spans="1:1">
      <c r="A3677" s="50"/>
    </row>
    <row r="3678" spans="1:1">
      <c r="A3678" s="50"/>
    </row>
    <row r="3679" spans="1:1">
      <c r="A3679" s="50"/>
    </row>
    <row r="3680" spans="1:1">
      <c r="A3680" s="50"/>
    </row>
    <row r="3681" spans="1:1">
      <c r="A3681" s="50"/>
    </row>
    <row r="3682" spans="1:1">
      <c r="A3682" s="50"/>
    </row>
    <row r="3683" spans="1:1">
      <c r="A3683" s="50"/>
    </row>
    <row r="3684" spans="1:1">
      <c r="A3684" s="50"/>
    </row>
    <row r="3685" spans="1:1">
      <c r="A3685" s="50"/>
    </row>
    <row r="3686" spans="1:1">
      <c r="A3686" s="50"/>
    </row>
    <row r="3687" spans="1:1">
      <c r="A3687" s="50"/>
    </row>
    <row r="3688" spans="1:1">
      <c r="A3688" s="50"/>
    </row>
    <row r="3689" spans="1:1">
      <c r="A3689" s="50"/>
    </row>
    <row r="3690" spans="1:1">
      <c r="A3690" s="50"/>
    </row>
    <row r="3691" spans="1:1">
      <c r="A3691" s="50"/>
    </row>
    <row r="3692" spans="1:1">
      <c r="A3692" s="50"/>
    </row>
    <row r="3693" spans="1:1">
      <c r="A3693" s="50"/>
    </row>
    <row r="3694" spans="1:1">
      <c r="A3694" s="50"/>
    </row>
    <row r="3695" spans="1:1">
      <c r="A3695" s="50"/>
    </row>
    <row r="3696" spans="1:1">
      <c r="A3696" s="50"/>
    </row>
    <row r="3697" spans="1:1">
      <c r="A3697" s="50"/>
    </row>
    <row r="3698" spans="1:1">
      <c r="A3698" s="50"/>
    </row>
    <row r="3699" spans="1:1">
      <c r="A3699" s="50"/>
    </row>
    <row r="3700" spans="1:1">
      <c r="A3700" s="50"/>
    </row>
    <row r="3701" spans="1:1">
      <c r="A3701" s="50"/>
    </row>
    <row r="3702" spans="1:1">
      <c r="A3702" s="50"/>
    </row>
    <row r="3703" spans="1:1">
      <c r="A3703" s="50"/>
    </row>
    <row r="3704" spans="1:1">
      <c r="A3704" s="50"/>
    </row>
    <row r="3705" spans="1:1">
      <c r="A3705" s="50"/>
    </row>
    <row r="3706" spans="1:1">
      <c r="A3706" s="50"/>
    </row>
    <row r="3707" spans="1:1">
      <c r="A3707" s="50"/>
    </row>
    <row r="3708" spans="1:1">
      <c r="A3708" s="50"/>
    </row>
    <row r="3709" spans="1:1">
      <c r="A3709" s="50"/>
    </row>
    <row r="3710" spans="1:1">
      <c r="A3710" s="50"/>
    </row>
    <row r="3711" spans="1:1">
      <c r="A3711" s="50"/>
    </row>
    <row r="3712" spans="1:1">
      <c r="A3712" s="50"/>
    </row>
    <row r="3713" spans="1:1">
      <c r="A3713" s="50"/>
    </row>
    <row r="3714" spans="1:1">
      <c r="A3714" s="50"/>
    </row>
    <row r="3715" spans="1:1">
      <c r="A3715" s="50"/>
    </row>
    <row r="3716" spans="1:1">
      <c r="A3716" s="50"/>
    </row>
    <row r="3717" spans="1:1">
      <c r="A3717" s="50"/>
    </row>
    <row r="3718" spans="1:1">
      <c r="A3718" s="50"/>
    </row>
    <row r="3719" spans="1:1">
      <c r="A3719" s="50"/>
    </row>
    <row r="3720" spans="1:1">
      <c r="A3720" s="50"/>
    </row>
    <row r="3721" spans="1:1">
      <c r="A3721" s="50"/>
    </row>
    <row r="3722" spans="1:1">
      <c r="A3722" s="50"/>
    </row>
    <row r="3723" spans="1:1">
      <c r="A3723" s="50"/>
    </row>
    <row r="3724" spans="1:1">
      <c r="A3724" s="50"/>
    </row>
    <row r="3725" spans="1:1">
      <c r="A3725" s="50"/>
    </row>
    <row r="3726" spans="1:1">
      <c r="A3726" s="50"/>
    </row>
    <row r="3727" spans="1:1">
      <c r="A3727" s="50"/>
    </row>
    <row r="3728" spans="1:1">
      <c r="A3728" s="50"/>
    </row>
    <row r="3729" spans="1:1">
      <c r="A3729" s="50"/>
    </row>
    <row r="3730" spans="1:1">
      <c r="A3730" s="50"/>
    </row>
    <row r="3731" spans="1:1">
      <c r="A3731" s="50"/>
    </row>
    <row r="3732" spans="1:1">
      <c r="A3732" s="50"/>
    </row>
    <row r="3733" spans="1:1">
      <c r="A3733" s="50"/>
    </row>
    <row r="3734" spans="1:1">
      <c r="A3734" s="50"/>
    </row>
    <row r="3735" spans="1:1">
      <c r="A3735" s="50"/>
    </row>
    <row r="3736" spans="1:1">
      <c r="A3736" s="50"/>
    </row>
    <row r="3737" spans="1:1">
      <c r="A3737" s="50"/>
    </row>
    <row r="3738" spans="1:1">
      <c r="A3738" s="50"/>
    </row>
    <row r="3739" spans="1:1">
      <c r="A3739" s="50"/>
    </row>
    <row r="3740" spans="1:1">
      <c r="A3740" s="50"/>
    </row>
    <row r="3741" spans="1:1">
      <c r="A3741" s="50"/>
    </row>
    <row r="3742" spans="1:1">
      <c r="A3742" s="50"/>
    </row>
    <row r="3743" spans="1:1">
      <c r="A3743" s="50"/>
    </row>
    <row r="3744" spans="1:1">
      <c r="A3744" s="50"/>
    </row>
    <row r="3745" spans="1:1">
      <c r="A3745" s="50"/>
    </row>
    <row r="3746" spans="1:1">
      <c r="A3746" s="50"/>
    </row>
    <row r="3747" spans="1:1">
      <c r="A3747" s="50"/>
    </row>
    <row r="3748" spans="1:1">
      <c r="A3748" s="50"/>
    </row>
    <row r="3749" spans="1:1">
      <c r="A3749" s="50"/>
    </row>
    <row r="3750" spans="1:1">
      <c r="A3750" s="50"/>
    </row>
    <row r="3751" spans="1:1">
      <c r="A3751" s="50"/>
    </row>
    <row r="3752" spans="1:1">
      <c r="A3752" s="50"/>
    </row>
    <row r="3753" spans="1:1">
      <c r="A3753" s="50"/>
    </row>
    <row r="3754" spans="1:1">
      <c r="A3754" s="50"/>
    </row>
    <row r="3755" spans="1:1">
      <c r="A3755" s="50"/>
    </row>
    <row r="3756" spans="1:1">
      <c r="A3756" s="50"/>
    </row>
    <row r="3757" spans="1:1">
      <c r="A3757" s="50"/>
    </row>
    <row r="3758" spans="1:1">
      <c r="A3758" s="50"/>
    </row>
    <row r="3759" spans="1:1">
      <c r="A3759" s="50"/>
    </row>
    <row r="3760" spans="1:1">
      <c r="A3760" s="50"/>
    </row>
    <row r="3761" spans="1:1">
      <c r="A3761" s="50"/>
    </row>
    <row r="3762" spans="1:1">
      <c r="A3762" s="50"/>
    </row>
    <row r="3763" spans="1:1">
      <c r="A3763" s="50"/>
    </row>
    <row r="3764" spans="1:1">
      <c r="A3764" s="50"/>
    </row>
    <row r="3765" spans="1:1">
      <c r="A3765" s="50"/>
    </row>
    <row r="3766" spans="1:1">
      <c r="A3766" s="50"/>
    </row>
    <row r="3767" spans="1:1">
      <c r="A3767" s="50"/>
    </row>
    <row r="3768" spans="1:1">
      <c r="A3768" s="50"/>
    </row>
    <row r="3769" spans="1:1">
      <c r="A3769" s="50"/>
    </row>
    <row r="3770" spans="1:1">
      <c r="A3770" s="50"/>
    </row>
    <row r="3771" spans="1:1">
      <c r="A3771" s="50"/>
    </row>
    <row r="3772" spans="1:1">
      <c r="A3772" s="50"/>
    </row>
    <row r="3773" spans="1:1">
      <c r="A3773" s="50"/>
    </row>
    <row r="3774" spans="1:1">
      <c r="A3774" s="50"/>
    </row>
    <row r="3775" spans="1:1">
      <c r="A3775" s="50"/>
    </row>
    <row r="3776" spans="1:1">
      <c r="A3776" s="50"/>
    </row>
    <row r="3777" spans="1:1">
      <c r="A3777" s="50"/>
    </row>
    <row r="3778" spans="1:1">
      <c r="A3778" s="50"/>
    </row>
    <row r="3779" spans="1:1">
      <c r="A3779" s="50"/>
    </row>
    <row r="3780" spans="1:1">
      <c r="A3780" s="50"/>
    </row>
    <row r="3781" spans="1:1">
      <c r="A3781" s="50"/>
    </row>
    <row r="3782" spans="1:1">
      <c r="A3782" s="50"/>
    </row>
    <row r="3783" spans="1:1">
      <c r="A3783" s="50"/>
    </row>
    <row r="3784" spans="1:1">
      <c r="A3784" s="50"/>
    </row>
    <row r="3785" spans="1:1">
      <c r="A3785" s="50"/>
    </row>
    <row r="3786" spans="1:1">
      <c r="A3786" s="50"/>
    </row>
    <row r="3787" spans="1:1">
      <c r="A3787" s="50"/>
    </row>
    <row r="3788" spans="1:1">
      <c r="A3788" s="50"/>
    </row>
    <row r="3789" spans="1:1">
      <c r="A3789" s="50"/>
    </row>
    <row r="3790" spans="1:1">
      <c r="A3790" s="50"/>
    </row>
    <row r="3791" spans="1:1">
      <c r="A3791" s="50"/>
    </row>
    <row r="3792" spans="1:1">
      <c r="A3792" s="50"/>
    </row>
    <row r="3793" spans="1:1">
      <c r="A3793" s="50"/>
    </row>
    <row r="3794" spans="1:1">
      <c r="A3794" s="50"/>
    </row>
    <row r="3795" spans="1:1">
      <c r="A3795" s="50"/>
    </row>
    <row r="3796" spans="1:1">
      <c r="A3796" s="50"/>
    </row>
    <row r="3797" spans="1:1">
      <c r="A3797" s="50"/>
    </row>
    <row r="3798" spans="1:1">
      <c r="A3798" s="50"/>
    </row>
    <row r="3799" spans="1:1">
      <c r="A3799" s="50"/>
    </row>
    <row r="3800" spans="1:1">
      <c r="A3800" s="50"/>
    </row>
    <row r="3801" spans="1:1">
      <c r="A3801" s="50"/>
    </row>
    <row r="3802" spans="1:1">
      <c r="A3802" s="50"/>
    </row>
    <row r="3803" spans="1:1">
      <c r="A3803" s="50"/>
    </row>
    <row r="3804" spans="1:1">
      <c r="A3804" s="50"/>
    </row>
    <row r="3805" spans="1:1">
      <c r="A3805" s="50"/>
    </row>
    <row r="3806" spans="1:1">
      <c r="A3806" s="50"/>
    </row>
    <row r="3807" spans="1:1">
      <c r="A3807" s="50"/>
    </row>
    <row r="3808" spans="1:1">
      <c r="A3808" s="50"/>
    </row>
    <row r="3809" spans="1:1">
      <c r="A3809" s="50"/>
    </row>
    <row r="3810" spans="1:1">
      <c r="A3810" s="50"/>
    </row>
    <row r="3811" spans="1:1">
      <c r="A3811" s="50"/>
    </row>
    <row r="3812" spans="1:1">
      <c r="A3812" s="50"/>
    </row>
    <row r="3813" spans="1:1">
      <c r="A3813" s="50"/>
    </row>
    <row r="3814" spans="1:1">
      <c r="A3814" s="50"/>
    </row>
    <row r="3815" spans="1:1">
      <c r="A3815" s="50"/>
    </row>
    <row r="3816" spans="1:1">
      <c r="A3816" s="50"/>
    </row>
    <row r="3817" spans="1:1">
      <c r="A3817" s="50"/>
    </row>
    <row r="3818" spans="1:1">
      <c r="A3818" s="50"/>
    </row>
    <row r="3819" spans="1:1">
      <c r="A3819" s="50"/>
    </row>
    <row r="3820" spans="1:1">
      <c r="A3820" s="50"/>
    </row>
    <row r="3821" spans="1:1">
      <c r="A3821" s="50"/>
    </row>
    <row r="3822" spans="1:1">
      <c r="A3822" s="50"/>
    </row>
    <row r="3823" spans="1:1">
      <c r="A3823" s="50"/>
    </row>
    <row r="3824" spans="1:1">
      <c r="A3824" s="50"/>
    </row>
    <row r="3825" spans="1:1">
      <c r="A3825" s="50"/>
    </row>
    <row r="3826" spans="1:1">
      <c r="A3826" s="50"/>
    </row>
    <row r="3827" spans="1:1">
      <c r="A3827" s="50"/>
    </row>
    <row r="3828" spans="1:1">
      <c r="A3828" s="50"/>
    </row>
    <row r="3829" spans="1:1">
      <c r="A3829" s="50"/>
    </row>
    <row r="3830" spans="1:1">
      <c r="A3830" s="50"/>
    </row>
    <row r="3831" spans="1:1">
      <c r="A3831" s="50"/>
    </row>
    <row r="3832" spans="1:1">
      <c r="A3832" s="50"/>
    </row>
    <row r="3833" spans="1:1">
      <c r="A3833" s="50"/>
    </row>
    <row r="3834" spans="1:1">
      <c r="A3834" s="50"/>
    </row>
    <row r="3835" spans="1:1">
      <c r="A3835" s="50"/>
    </row>
    <row r="3836" spans="1:1">
      <c r="A3836" s="50"/>
    </row>
    <row r="3837" spans="1:1">
      <c r="A3837" s="50"/>
    </row>
    <row r="3838" spans="1:1">
      <c r="A3838" s="50"/>
    </row>
    <row r="3839" spans="1:1">
      <c r="A3839" s="50"/>
    </row>
    <row r="3840" spans="1:1">
      <c r="A3840" s="50"/>
    </row>
    <row r="3841" spans="1:1">
      <c r="A3841" s="50"/>
    </row>
    <row r="3842" spans="1:1">
      <c r="A3842" s="50"/>
    </row>
    <row r="3843" spans="1:1">
      <c r="A3843" s="50"/>
    </row>
    <row r="3844" spans="1:1">
      <c r="A3844" s="50"/>
    </row>
    <row r="3845" spans="1:1">
      <c r="A3845" s="50"/>
    </row>
    <row r="3846" spans="1:1">
      <c r="A3846" s="50"/>
    </row>
    <row r="3847" spans="1:1">
      <c r="A3847" s="50"/>
    </row>
    <row r="3848" spans="1:1">
      <c r="A3848" s="50"/>
    </row>
    <row r="3849" spans="1:1">
      <c r="A3849" s="50"/>
    </row>
    <row r="3850" spans="1:1">
      <c r="A3850" s="50"/>
    </row>
    <row r="3851" spans="1:1">
      <c r="A3851" s="50"/>
    </row>
    <row r="3852" spans="1:1">
      <c r="A3852" s="50"/>
    </row>
    <row r="3853" spans="1:1">
      <c r="A3853" s="50"/>
    </row>
    <row r="3854" spans="1:1">
      <c r="A3854" s="50"/>
    </row>
    <row r="3855" spans="1:1">
      <c r="A3855" s="50"/>
    </row>
    <row r="3856" spans="1:1">
      <c r="A3856" s="50"/>
    </row>
    <row r="3857" spans="1:1">
      <c r="A3857" s="50"/>
    </row>
    <row r="3858" spans="1:1">
      <c r="A3858" s="50"/>
    </row>
    <row r="3859" spans="1:1">
      <c r="A3859" s="50"/>
    </row>
    <row r="3860" spans="1:1">
      <c r="A3860" s="50"/>
    </row>
    <row r="3861" spans="1:1">
      <c r="A3861" s="50"/>
    </row>
    <row r="3862" spans="1:1">
      <c r="A3862" s="50"/>
    </row>
    <row r="3863" spans="1:1">
      <c r="A3863" s="50"/>
    </row>
    <row r="3864" spans="1:1">
      <c r="A3864" s="50"/>
    </row>
    <row r="3865" spans="1:1">
      <c r="A3865" s="50"/>
    </row>
    <row r="3866" spans="1:1">
      <c r="A3866" s="50"/>
    </row>
    <row r="3867" spans="1:1">
      <c r="A3867" s="50"/>
    </row>
    <row r="3868" spans="1:1">
      <c r="A3868" s="50"/>
    </row>
    <row r="3869" spans="1:1">
      <c r="A3869" s="50"/>
    </row>
    <row r="3870" spans="1:1">
      <c r="A3870" s="50"/>
    </row>
    <row r="3871" spans="1:1">
      <c r="A3871" s="50"/>
    </row>
    <row r="3872" spans="1:1">
      <c r="A3872" s="50"/>
    </row>
    <row r="3873" spans="1:1">
      <c r="A3873" s="50"/>
    </row>
    <row r="3874" spans="1:1">
      <c r="A3874" s="50"/>
    </row>
    <row r="3875" spans="1:1">
      <c r="A3875" s="50"/>
    </row>
    <row r="3876" spans="1:1">
      <c r="A3876" s="50"/>
    </row>
    <row r="3877" spans="1:1">
      <c r="A3877" s="50"/>
    </row>
    <row r="3878" spans="1:1">
      <c r="A3878" s="50"/>
    </row>
    <row r="3879" spans="1:1">
      <c r="A3879" s="50"/>
    </row>
    <row r="3880" spans="1:1">
      <c r="A3880" s="50"/>
    </row>
    <row r="3881" spans="1:1">
      <c r="A3881" s="50"/>
    </row>
    <row r="3882" spans="1:1">
      <c r="A3882" s="50"/>
    </row>
    <row r="3883" spans="1:1">
      <c r="A3883" s="50"/>
    </row>
    <row r="3884" spans="1:1">
      <c r="A3884" s="50"/>
    </row>
    <row r="3885" spans="1:1">
      <c r="A3885" s="50"/>
    </row>
    <row r="3886" spans="1:1">
      <c r="A3886" s="50"/>
    </row>
    <row r="3887" spans="1:1">
      <c r="A3887" s="50"/>
    </row>
    <row r="3888" spans="1:1">
      <c r="A3888" s="50"/>
    </row>
    <row r="3889" spans="1:1">
      <c r="A3889" s="50"/>
    </row>
    <row r="3890" spans="1:1">
      <c r="A3890" s="50"/>
    </row>
    <row r="3891" spans="1:1">
      <c r="A3891" s="50"/>
    </row>
    <row r="3892" spans="1:1">
      <c r="A3892" s="50"/>
    </row>
    <row r="3893" spans="1:1">
      <c r="A3893" s="50"/>
    </row>
    <row r="3894" spans="1:1">
      <c r="A3894" s="50"/>
    </row>
    <row r="3895" spans="1:1">
      <c r="A3895" s="50"/>
    </row>
    <row r="3896" spans="1:1">
      <c r="A3896" s="50"/>
    </row>
    <row r="3897" spans="1:1">
      <c r="A3897" s="50"/>
    </row>
    <row r="3898" spans="1:1">
      <c r="A3898" s="50"/>
    </row>
    <row r="3899" spans="1:1">
      <c r="A3899" s="50"/>
    </row>
    <row r="3900" spans="1:1">
      <c r="A3900" s="50"/>
    </row>
    <row r="3901" spans="1:1">
      <c r="A3901" s="50"/>
    </row>
    <row r="3902" spans="1:1">
      <c r="A3902" s="50"/>
    </row>
    <row r="3903" spans="1:1">
      <c r="A3903" s="50"/>
    </row>
    <row r="3904" spans="1:1">
      <c r="A3904" s="50"/>
    </row>
    <row r="3905" spans="1:1">
      <c r="A3905" s="50"/>
    </row>
    <row r="3906" spans="1:1">
      <c r="A3906" s="50"/>
    </row>
    <row r="3907" spans="1:1">
      <c r="A3907" s="50"/>
    </row>
    <row r="3908" spans="1:1">
      <c r="A3908" s="50"/>
    </row>
    <row r="3909" spans="1:1">
      <c r="A3909" s="50"/>
    </row>
    <row r="3910" spans="1:1">
      <c r="A3910" s="50"/>
    </row>
    <row r="3911" spans="1:1">
      <c r="A3911" s="50"/>
    </row>
    <row r="3912" spans="1:1">
      <c r="A3912" s="50"/>
    </row>
    <row r="3913" spans="1:1">
      <c r="A3913" s="50"/>
    </row>
    <row r="3914" spans="1:1">
      <c r="A3914" s="50"/>
    </row>
    <row r="3915" spans="1:1">
      <c r="A3915" s="50"/>
    </row>
    <row r="3916" spans="1:1">
      <c r="A3916" s="50"/>
    </row>
    <row r="3917" spans="1:1">
      <c r="A3917" s="50"/>
    </row>
    <row r="3918" spans="1:1">
      <c r="A3918" s="50"/>
    </row>
    <row r="3919" spans="1:1">
      <c r="A3919" s="50"/>
    </row>
    <row r="3920" spans="1:1">
      <c r="A3920" s="50"/>
    </row>
    <row r="3921" spans="1:1">
      <c r="A3921" s="50"/>
    </row>
    <row r="3922" spans="1:1">
      <c r="A3922" s="50"/>
    </row>
    <row r="3923" spans="1:1">
      <c r="A3923" s="50"/>
    </row>
    <row r="3924" spans="1:1">
      <c r="A3924" s="50"/>
    </row>
    <row r="3925" spans="1:1">
      <c r="A3925" s="50"/>
    </row>
    <row r="3926" spans="1:1">
      <c r="A3926" s="50"/>
    </row>
    <row r="3927" spans="1:1">
      <c r="A3927" s="50"/>
    </row>
    <row r="3928" spans="1:1">
      <c r="A3928" s="50"/>
    </row>
    <row r="3929" spans="1:1">
      <c r="A3929" s="50"/>
    </row>
    <row r="3930" spans="1:1">
      <c r="A3930" s="50"/>
    </row>
    <row r="3931" spans="1:1">
      <c r="A3931" s="50"/>
    </row>
    <row r="3932" spans="1:1">
      <c r="A3932" s="50"/>
    </row>
    <row r="3933" spans="1:1">
      <c r="A3933" s="50"/>
    </row>
    <row r="3934" spans="1:1">
      <c r="A3934" s="50"/>
    </row>
    <row r="3935" spans="1:1">
      <c r="A3935" s="50"/>
    </row>
    <row r="3936" spans="1:1">
      <c r="A3936" s="50"/>
    </row>
    <row r="3937" spans="1:1">
      <c r="A3937" s="50"/>
    </row>
    <row r="3938" spans="1:1">
      <c r="A3938" s="50"/>
    </row>
    <row r="3939" spans="1:1">
      <c r="A3939" s="50"/>
    </row>
    <row r="3940" spans="1:1">
      <c r="A3940" s="50"/>
    </row>
    <row r="3941" spans="1:1">
      <c r="A3941" s="50"/>
    </row>
    <row r="3942" spans="1:1">
      <c r="A3942" s="50"/>
    </row>
    <row r="3943" spans="1:1">
      <c r="A3943" s="50"/>
    </row>
    <row r="3944" spans="1:1">
      <c r="A3944" s="50"/>
    </row>
    <row r="3945" spans="1:1">
      <c r="A3945" s="50"/>
    </row>
    <row r="3946" spans="1:1">
      <c r="A3946" s="50"/>
    </row>
  </sheetData>
  <mergeCells count="1">
    <mergeCell ref="B45:H45"/>
  </mergeCells>
  <printOptions horizontalCentered="1"/>
  <pageMargins left="0" right="0" top="0.5" bottom="0.5" header="0.5" footer="0.3"/>
  <pageSetup scale="80" orientation="landscape" blackAndWhite="1" r:id="rId1"/>
  <headerFooter alignWithMargins="0">
    <oddFooter>&amp;LPrepared By: Annette Moore &amp;D&amp;R&amp;F &amp;A</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788A88BAE311849B18973A6AC2E559A" ma:contentTypeVersion="76" ma:contentTypeDescription="" ma:contentTypeScope="" ma:versionID="826b4685b6e9866bb690c1e6d103e4c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2018-11-07T08:00:00+00:00</OpenedDate>
    <SignificantOrder xmlns="dc463f71-b30c-4ab2-9473-d307f9d35888">false</SignificantOrder>
    <Date1 xmlns="dc463f71-b30c-4ab2-9473-d307f9d35888">2018-11-08T08:00:00+00:00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180900</DocketNumber>
    <DelegatedOrder xmlns="dc463f71-b30c-4ab2-9473-d307f9d35888">false</DelegatedOrder>
  </documentManagement>
</p:properties>
</file>

<file path=customXml/itemProps1.xml><?xml version="1.0" encoding="utf-8"?>
<ds:datastoreItem xmlns:ds="http://schemas.openxmlformats.org/officeDocument/2006/customXml" ds:itemID="{42DACBED-7424-4117-B322-105F6152F9AD}"/>
</file>

<file path=customXml/itemProps2.xml><?xml version="1.0" encoding="utf-8"?>
<ds:datastoreItem xmlns:ds="http://schemas.openxmlformats.org/officeDocument/2006/customXml" ds:itemID="{30E9A210-0C28-4033-8952-1B1B02D19CCF}"/>
</file>

<file path=customXml/itemProps3.xml><?xml version="1.0" encoding="utf-8"?>
<ds:datastoreItem xmlns:ds="http://schemas.openxmlformats.org/officeDocument/2006/customXml" ds:itemID="{F6DE3186-44DB-4229-ABEA-F34C9FB71349}"/>
</file>

<file path=customXml/itemProps4.xml><?xml version="1.0" encoding="utf-8"?>
<ds:datastoreItem xmlns:ds="http://schemas.openxmlformats.org/officeDocument/2006/customXml" ds:itemID="{FA4447E6-5E23-4D17-8FC8-D58A53E835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Lead Sheet</vt:lpstr>
      <vt:lpstr>Reconciliations</vt:lpstr>
      <vt:lpstr>Summary Normlz'd x Month</vt:lpstr>
      <vt:lpstr>benefits</vt:lpstr>
      <vt:lpstr>GAAP-only fuel valuation</vt:lpstr>
      <vt:lpstr>Fixed Cost Deferral=&gt;</vt:lpstr>
      <vt:lpstr>Summary FPC Deferral</vt:lpstr>
      <vt:lpstr>FPC Deferral</vt:lpstr>
      <vt:lpstr>Staff Calc w weather norm</vt:lpstr>
      <vt:lpstr>Staff Calc UE-180280</vt:lpstr>
      <vt:lpstr>Load Temp Adj Dec 17CBR</vt:lpstr>
      <vt:lpstr>Adj PC for Temp Norm=&gt;</vt:lpstr>
      <vt:lpstr>Summary Normalization</vt:lpstr>
      <vt:lpstr>Load Impact to Cost &amp; Rev</vt:lpstr>
      <vt:lpstr>Load Temp Adj</vt:lpstr>
      <vt:lpstr>2018 Hydro</vt:lpstr>
      <vt:lpstr>2018 Wind</vt:lpstr>
      <vt:lpstr>Wind Integration Costs</vt:lpstr>
      <vt:lpstr>Price</vt:lpstr>
      <vt:lpstr>PCA Calc=&gt;</vt:lpstr>
      <vt:lpstr>CBR Jun 18 Sch B</vt:lpstr>
      <vt:lpstr>Sched B 2017</vt:lpstr>
      <vt:lpstr>Sched B 2018</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NC</cp:lastModifiedBy>
  <cp:lastPrinted>2018-08-02T15:46:03Z</cp:lastPrinted>
  <dcterms:created xsi:type="dcterms:W3CDTF">2017-08-15T16:09:44Z</dcterms:created>
  <dcterms:modified xsi:type="dcterms:W3CDTF">2018-11-05T22:37:53Z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0x0101006E56B4D1795A2E4DB2F0B01679ED314A003788A88BAE311849B18973A6AC2E559A</vt:lpwstr>
  </property>
  <property fmtid="{D5CDD505-2E9C-101B-9397-08002B2CF9AE}" pid="3" name="_docset_NoMedatataSyncRequired">
    <vt:lpwstr>False</vt:lpwstr>
  </property>
  <property fmtid="{D5CDD505-2E9C-101B-9397-08002B2CF9AE}" pid="4" name="IsEFSEC">
    <vt:bool>false</vt:bool>
  </property>
</Properties>
</file>