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1C26A7E3-D7F6-463D-A97A-FECD2B63B178}" xr6:coauthVersionLast="36" xr6:coauthVersionMax="36" xr10:uidLastSave="{00000000-0000-0000-0000-000000000000}"/>
  <bookViews>
    <workbookView xWindow="0" yWindow="0" windowWidth="51600" windowHeight="17025" tabRatio="815" xr2:uid="{00000000-000D-0000-FFFF-FFFF00000000}"/>
  </bookViews>
  <sheets>
    <sheet name="Actual" sheetId="6" r:id="rId1"/>
    <sheet name="Dep Exp_Sep20" sheetId="11" r:id="rId2"/>
    <sheet name="Dep Exp_AMA" sheetId="8" r:id="rId3"/>
    <sheet name="SYSTEM" sheetId="3" r:id="rId4"/>
    <sheet name="OR" sheetId="4" r:id="rId5"/>
    <sheet name="WA" sheetId="5" r:id="rId6"/>
    <sheet name="Combined Utility 10-19-09-20" sheetId="2" r:id="rId7"/>
    <sheet name="Alloc" sheetId="7" r:id="rId8"/>
    <sheet name="IS_TTM_Sep20" sheetId="9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0" hidden="1">Actual!$A$5:$I$127</definedName>
    <definedName name="_xlnm._FilterDatabase" localSheetId="2" hidden="1">'Dep Exp_AMA'!$A$6:$G$128</definedName>
    <definedName name="_xlnm._FilterDatabase" localSheetId="1" hidden="1">'Dep Exp_Sep20'!$A$6:$G$128</definedName>
    <definedName name="_xlnm._FilterDatabase" localSheetId="4" hidden="1">OR!$A$2:$K$139</definedName>
    <definedName name="_xlnm._FilterDatabase" localSheetId="3" hidden="1">SYSTEM!$A$2:$K$139</definedName>
  </definedNames>
  <calcPr calcId="191029"/>
</workbook>
</file>

<file path=xl/calcChain.xml><?xml version="1.0" encoding="utf-8"?>
<calcChain xmlns="http://schemas.openxmlformats.org/spreadsheetml/2006/main">
  <c r="B159" i="8" l="1"/>
  <c r="B159" i="11"/>
  <c r="B158" i="6"/>
  <c r="D155" i="8"/>
  <c r="D154" i="8"/>
  <c r="D153" i="8"/>
  <c r="D151" i="8"/>
  <c r="D150" i="8"/>
  <c r="D149" i="8"/>
  <c r="D148" i="8"/>
  <c r="D147" i="8"/>
  <c r="D155" i="11"/>
  <c r="D154" i="11"/>
  <c r="D153" i="11"/>
  <c r="D151" i="11"/>
  <c r="D150" i="11"/>
  <c r="D149" i="11"/>
  <c r="D148" i="11"/>
  <c r="D147" i="11"/>
  <c r="D153" i="6"/>
  <c r="D152" i="6"/>
  <c r="D154" i="6"/>
  <c r="D150" i="6"/>
  <c r="D149" i="6"/>
  <c r="D148" i="6"/>
  <c r="D147" i="6"/>
  <c r="D146" i="6"/>
  <c r="M81" i="11"/>
  <c r="M48" i="11" l="1"/>
  <c r="M92" i="11" l="1"/>
  <c r="M88" i="11"/>
  <c r="M87" i="11"/>
  <c r="F167" i="6" l="1"/>
  <c r="H8" i="11" l="1"/>
  <c r="I8" i="11"/>
  <c r="H10" i="11"/>
  <c r="I10" i="11"/>
  <c r="H11" i="11"/>
  <c r="I11" i="11"/>
  <c r="H12" i="11"/>
  <c r="I12" i="11"/>
  <c r="H13" i="11"/>
  <c r="I13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7" i="11"/>
  <c r="I27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H35" i="11"/>
  <c r="I35" i="11"/>
  <c r="H43" i="11"/>
  <c r="I43" i="11"/>
  <c r="H52" i="11"/>
  <c r="I52" i="11"/>
  <c r="H53" i="11"/>
  <c r="I53" i="11"/>
  <c r="H54" i="11"/>
  <c r="I54" i="11"/>
  <c r="H65" i="11"/>
  <c r="I65" i="11"/>
  <c r="H70" i="11"/>
  <c r="I70" i="11"/>
  <c r="H71" i="11"/>
  <c r="I71" i="11"/>
  <c r="H81" i="11"/>
  <c r="I81" i="11"/>
  <c r="H83" i="11"/>
  <c r="I83" i="11"/>
  <c r="H84" i="11"/>
  <c r="I84" i="11"/>
  <c r="H101" i="11"/>
  <c r="I101" i="11"/>
  <c r="H103" i="11"/>
  <c r="I103" i="11"/>
  <c r="H104" i="11"/>
  <c r="I104" i="11"/>
  <c r="H105" i="11"/>
  <c r="H140" i="11" s="1"/>
  <c r="I105" i="11"/>
  <c r="I140" i="11" s="1"/>
  <c r="H110" i="11"/>
  <c r="I110" i="11"/>
  <c r="H111" i="11"/>
  <c r="I111" i="11"/>
  <c r="H112" i="11"/>
  <c r="I112" i="11"/>
  <c r="H113" i="11"/>
  <c r="I113" i="11"/>
  <c r="H114" i="11"/>
  <c r="I114" i="11"/>
  <c r="H115" i="11"/>
  <c r="I115" i="11"/>
  <c r="H119" i="11"/>
  <c r="I119" i="11"/>
  <c r="H123" i="11"/>
  <c r="I123" i="11"/>
  <c r="H124" i="11"/>
  <c r="I124" i="11"/>
  <c r="H126" i="11"/>
  <c r="I126" i="11"/>
  <c r="H127" i="11"/>
  <c r="I127" i="11"/>
  <c r="H128" i="11"/>
  <c r="I128" i="11"/>
  <c r="I7" i="11"/>
  <c r="I135" i="11" s="1"/>
  <c r="H7" i="11"/>
  <c r="K100" i="6"/>
  <c r="D8" i="11"/>
  <c r="D9" i="11"/>
  <c r="D10" i="11"/>
  <c r="D11" i="11"/>
  <c r="D12" i="11"/>
  <c r="D13" i="11"/>
  <c r="D14" i="11"/>
  <c r="D15" i="11"/>
  <c r="D18" i="11"/>
  <c r="D19" i="11"/>
  <c r="D24" i="11"/>
  <c r="D25" i="11"/>
  <c r="D26" i="11"/>
  <c r="D28" i="11"/>
  <c r="D29" i="11"/>
  <c r="D30" i="11"/>
  <c r="D31" i="11"/>
  <c r="D32" i="11"/>
  <c r="D33" i="11"/>
  <c r="D34" i="11"/>
  <c r="D16" i="11"/>
  <c r="D17" i="11"/>
  <c r="D20" i="11"/>
  <c r="D21" i="11"/>
  <c r="D22" i="11"/>
  <c r="D23" i="11"/>
  <c r="D27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7" i="11"/>
  <c r="E130" i="11"/>
  <c r="G128" i="11"/>
  <c r="F130" i="11"/>
  <c r="G127" i="11"/>
  <c r="G126" i="11"/>
  <c r="G125" i="11"/>
  <c r="H125" i="11" s="1"/>
  <c r="G124" i="11"/>
  <c r="G123" i="11"/>
  <c r="G122" i="11"/>
  <c r="H122" i="11" s="1"/>
  <c r="G121" i="11"/>
  <c r="H121" i="11" s="1"/>
  <c r="G120" i="11"/>
  <c r="H120" i="11" s="1"/>
  <c r="G119" i="11"/>
  <c r="G118" i="11"/>
  <c r="H118" i="11" s="1"/>
  <c r="G117" i="11"/>
  <c r="H117" i="11" s="1"/>
  <c r="G116" i="11"/>
  <c r="I116" i="11" s="1"/>
  <c r="G115" i="11"/>
  <c r="G114" i="11"/>
  <c r="G113" i="11"/>
  <c r="G112" i="11"/>
  <c r="G111" i="11"/>
  <c r="G110" i="11"/>
  <c r="G109" i="11"/>
  <c r="H109" i="11" s="1"/>
  <c r="G108" i="11"/>
  <c r="H108" i="11" s="1"/>
  <c r="G107" i="11"/>
  <c r="H107" i="11" s="1"/>
  <c r="G106" i="11"/>
  <c r="H106" i="11" s="1"/>
  <c r="H141" i="11" s="1"/>
  <c r="G105" i="11"/>
  <c r="G104" i="11"/>
  <c r="G103" i="11"/>
  <c r="G102" i="11"/>
  <c r="H102" i="11" s="1"/>
  <c r="G101" i="11"/>
  <c r="G100" i="11"/>
  <c r="H100" i="11" s="1"/>
  <c r="G99" i="11"/>
  <c r="H99" i="11" s="1"/>
  <c r="G98" i="11"/>
  <c r="I98" i="11" s="1"/>
  <c r="G97" i="11"/>
  <c r="H97" i="11" s="1"/>
  <c r="G96" i="11"/>
  <c r="H96" i="11" s="1"/>
  <c r="G95" i="11"/>
  <c r="H95" i="11" s="1"/>
  <c r="G94" i="11"/>
  <c r="I94" i="11" s="1"/>
  <c r="G93" i="11"/>
  <c r="H93" i="11" s="1"/>
  <c r="G92" i="11"/>
  <c r="M100" i="11" s="1"/>
  <c r="Q100" i="11" s="1"/>
  <c r="G91" i="11"/>
  <c r="I91" i="11" s="1"/>
  <c r="G90" i="11"/>
  <c r="H90" i="11" s="1"/>
  <c r="G89" i="11"/>
  <c r="H89" i="11" s="1"/>
  <c r="G88" i="11"/>
  <c r="M99" i="11" s="1"/>
  <c r="Q99" i="11" s="1"/>
  <c r="G87" i="11"/>
  <c r="M98" i="11" s="1"/>
  <c r="Q98" i="11" s="1"/>
  <c r="G86" i="11"/>
  <c r="G85" i="11"/>
  <c r="H85" i="11" s="1"/>
  <c r="G84" i="11"/>
  <c r="G83" i="11"/>
  <c r="G82" i="11"/>
  <c r="H82" i="11" s="1"/>
  <c r="G81" i="11"/>
  <c r="G80" i="11"/>
  <c r="I80" i="11" s="1"/>
  <c r="G79" i="11"/>
  <c r="H79" i="11" s="1"/>
  <c r="G78" i="11"/>
  <c r="H78" i="11" s="1"/>
  <c r="G77" i="11"/>
  <c r="I77" i="11" s="1"/>
  <c r="G76" i="11"/>
  <c r="I76" i="11" s="1"/>
  <c r="G75" i="11"/>
  <c r="H75" i="11" s="1"/>
  <c r="G74" i="11"/>
  <c r="H74" i="11" s="1"/>
  <c r="G73" i="11"/>
  <c r="I73" i="11" s="1"/>
  <c r="G72" i="11"/>
  <c r="H72" i="11" s="1"/>
  <c r="G71" i="11"/>
  <c r="G70" i="11"/>
  <c r="G69" i="11"/>
  <c r="I69" i="11" s="1"/>
  <c r="G68" i="11"/>
  <c r="H68" i="11" s="1"/>
  <c r="G67" i="11"/>
  <c r="H67" i="11" s="1"/>
  <c r="G66" i="11"/>
  <c r="I66" i="11" s="1"/>
  <c r="G65" i="11"/>
  <c r="G64" i="11"/>
  <c r="H64" i="11" s="1"/>
  <c r="G63" i="11"/>
  <c r="I63" i="11" s="1"/>
  <c r="G62" i="11"/>
  <c r="H62" i="11" s="1"/>
  <c r="G61" i="11"/>
  <c r="H61" i="11" s="1"/>
  <c r="G60" i="11"/>
  <c r="H60" i="11" s="1"/>
  <c r="G59" i="11"/>
  <c r="I59" i="11" s="1"/>
  <c r="G58" i="11"/>
  <c r="H58" i="11" s="1"/>
  <c r="G57" i="11"/>
  <c r="H57" i="11" s="1"/>
  <c r="G56" i="11"/>
  <c r="H56" i="11" s="1"/>
  <c r="G55" i="11"/>
  <c r="H55" i="11" s="1"/>
  <c r="G54" i="11"/>
  <c r="G53" i="11"/>
  <c r="G52" i="11"/>
  <c r="G51" i="11"/>
  <c r="H51" i="11" s="1"/>
  <c r="G50" i="11"/>
  <c r="H50" i="11" s="1"/>
  <c r="G49" i="11"/>
  <c r="I49" i="11" s="1"/>
  <c r="G48" i="11"/>
  <c r="H48" i="11" s="1"/>
  <c r="G47" i="11"/>
  <c r="H47" i="11" s="1"/>
  <c r="G46" i="11"/>
  <c r="H46" i="11" s="1"/>
  <c r="G45" i="11"/>
  <c r="I45" i="11" s="1"/>
  <c r="G44" i="11"/>
  <c r="H44" i="11" s="1"/>
  <c r="G43" i="11"/>
  <c r="G42" i="11"/>
  <c r="I42" i="11" s="1"/>
  <c r="G41" i="11"/>
  <c r="H41" i="11" s="1"/>
  <c r="G40" i="11"/>
  <c r="H40" i="11" s="1"/>
  <c r="G39" i="11"/>
  <c r="I39" i="11" s="1"/>
  <c r="G38" i="11"/>
  <c r="H38" i="11" s="1"/>
  <c r="G37" i="11"/>
  <c r="H37" i="11" s="1"/>
  <c r="G36" i="11"/>
  <c r="H36" i="11" s="1"/>
  <c r="G35" i="11"/>
  <c r="G27" i="11"/>
  <c r="G23" i="11"/>
  <c r="G22" i="11"/>
  <c r="G21" i="11"/>
  <c r="G20" i="11"/>
  <c r="G17" i="11"/>
  <c r="G16" i="11"/>
  <c r="G34" i="11"/>
  <c r="G33" i="11"/>
  <c r="G32" i="11"/>
  <c r="G31" i="11"/>
  <c r="G30" i="11"/>
  <c r="G29" i="11"/>
  <c r="G28" i="11"/>
  <c r="G26" i="11"/>
  <c r="G25" i="11"/>
  <c r="G24" i="11"/>
  <c r="G19" i="11"/>
  <c r="G18" i="11"/>
  <c r="G15" i="11"/>
  <c r="G14" i="11"/>
  <c r="G13" i="11"/>
  <c r="G12" i="11"/>
  <c r="G11" i="11"/>
  <c r="G10" i="11"/>
  <c r="G9" i="11"/>
  <c r="H9" i="11" s="1"/>
  <c r="G8" i="11"/>
  <c r="G7" i="11"/>
  <c r="H135" i="11" l="1"/>
  <c r="J114" i="11"/>
  <c r="Q102" i="11"/>
  <c r="J110" i="11"/>
  <c r="H92" i="11"/>
  <c r="Q92" i="11"/>
  <c r="I87" i="11"/>
  <c r="Q87" i="11"/>
  <c r="H88" i="11"/>
  <c r="Q88" i="11"/>
  <c r="J127" i="11"/>
  <c r="J65" i="11"/>
  <c r="I143" i="11"/>
  <c r="I136" i="11"/>
  <c r="I149" i="11" s="1"/>
  <c r="J148" i="6" s="1"/>
  <c r="K148" i="6" s="1"/>
  <c r="H136" i="11"/>
  <c r="J84" i="11"/>
  <c r="J52" i="11"/>
  <c r="J12" i="11"/>
  <c r="J103" i="11"/>
  <c r="J19" i="11"/>
  <c r="J11" i="11"/>
  <c r="I14" i="11"/>
  <c r="H86" i="11"/>
  <c r="J15" i="11"/>
  <c r="J70" i="11"/>
  <c r="J10" i="11"/>
  <c r="J124" i="11"/>
  <c r="J8" i="11"/>
  <c r="I97" i="11"/>
  <c r="J97" i="11" s="1"/>
  <c r="H69" i="11"/>
  <c r="H42" i="11"/>
  <c r="J42" i="11" s="1"/>
  <c r="I122" i="11"/>
  <c r="J122" i="11" s="1"/>
  <c r="J113" i="11"/>
  <c r="H94" i="11"/>
  <c r="J94" i="11" s="1"/>
  <c r="I38" i="11"/>
  <c r="J38" i="11" s="1"/>
  <c r="J32" i="11"/>
  <c r="I90" i="11"/>
  <c r="J90" i="11" s="1"/>
  <c r="H80" i="11"/>
  <c r="J80" i="11" s="1"/>
  <c r="H87" i="11"/>
  <c r="J87" i="11" s="1"/>
  <c r="I72" i="11"/>
  <c r="J72" i="11" s="1"/>
  <c r="I62" i="11"/>
  <c r="J62" i="11" s="1"/>
  <c r="J111" i="11"/>
  <c r="H59" i="11"/>
  <c r="J59" i="11" s="1"/>
  <c r="I48" i="11"/>
  <c r="J48" i="11" s="1"/>
  <c r="H14" i="11"/>
  <c r="I55" i="11"/>
  <c r="J55" i="11" s="1"/>
  <c r="H45" i="11"/>
  <c r="J45" i="11" s="1"/>
  <c r="J101" i="11"/>
  <c r="J43" i="11"/>
  <c r="J29" i="11"/>
  <c r="J28" i="11"/>
  <c r="J23" i="11"/>
  <c r="J21" i="11"/>
  <c r="J27" i="11"/>
  <c r="J71" i="11"/>
  <c r="J83" i="11"/>
  <c r="J81" i="11"/>
  <c r="J35" i="11"/>
  <c r="J31" i="11"/>
  <c r="J126" i="11"/>
  <c r="J119" i="11"/>
  <c r="J112" i="11"/>
  <c r="J54" i="11"/>
  <c r="J53" i="11"/>
  <c r="J25" i="11"/>
  <c r="J123" i="11"/>
  <c r="H116" i="11"/>
  <c r="J116" i="11" s="1"/>
  <c r="I108" i="11"/>
  <c r="J108" i="11" s="1"/>
  <c r="J105" i="11"/>
  <c r="J140" i="11" s="1"/>
  <c r="H98" i="11"/>
  <c r="J98" i="11" s="1"/>
  <c r="H91" i="11"/>
  <c r="J91" i="11" s="1"/>
  <c r="H77" i="11"/>
  <c r="J77" i="11" s="1"/>
  <c r="H73" i="11"/>
  <c r="J73" i="11" s="1"/>
  <c r="H66" i="11"/>
  <c r="J66" i="11" s="1"/>
  <c r="H63" i="11"/>
  <c r="J63" i="11" s="1"/>
  <c r="H49" i="11"/>
  <c r="J49" i="11" s="1"/>
  <c r="H39" i="11"/>
  <c r="J39" i="11" s="1"/>
  <c r="I125" i="11"/>
  <c r="J125" i="11" s="1"/>
  <c r="I118" i="11"/>
  <c r="J118" i="11" s="1"/>
  <c r="J115" i="11"/>
  <c r="J104" i="11"/>
  <c r="I100" i="11"/>
  <c r="J100" i="11" s="1"/>
  <c r="I93" i="11"/>
  <c r="J93" i="11" s="1"/>
  <c r="I86" i="11"/>
  <c r="H76" i="11"/>
  <c r="J76" i="11" s="1"/>
  <c r="I68" i="11"/>
  <c r="J68" i="11" s="1"/>
  <c r="I58" i="11"/>
  <c r="J58" i="11" s="1"/>
  <c r="I41" i="11"/>
  <c r="J41" i="11" s="1"/>
  <c r="J24" i="11"/>
  <c r="J17" i="11"/>
  <c r="I121" i="11"/>
  <c r="J121" i="11" s="1"/>
  <c r="I107" i="11"/>
  <c r="I96" i="11"/>
  <c r="J96" i="11" s="1"/>
  <c r="I89" i="11"/>
  <c r="J89" i="11" s="1"/>
  <c r="I79" i="11"/>
  <c r="J79" i="11" s="1"/>
  <c r="I75" i="11"/>
  <c r="J75" i="11" s="1"/>
  <c r="I61" i="11"/>
  <c r="J61" i="11" s="1"/>
  <c r="I51" i="11"/>
  <c r="J51" i="11" s="1"/>
  <c r="I44" i="11"/>
  <c r="J44" i="11" s="1"/>
  <c r="I37" i="11"/>
  <c r="J37" i="11" s="1"/>
  <c r="J34" i="11"/>
  <c r="J20" i="11"/>
  <c r="J13" i="11"/>
  <c r="J128" i="11"/>
  <c r="I117" i="11"/>
  <c r="J117" i="11" s="1"/>
  <c r="I92" i="11"/>
  <c r="I85" i="11"/>
  <c r="J85" i="11" s="1"/>
  <c r="I82" i="11"/>
  <c r="J82" i="11" s="1"/>
  <c r="I64" i="11"/>
  <c r="J64" i="11" s="1"/>
  <c r="I57" i="11"/>
  <c r="J57" i="11" s="1"/>
  <c r="I47" i="11"/>
  <c r="J47" i="11" s="1"/>
  <c r="I40" i="11"/>
  <c r="J40" i="11" s="1"/>
  <c r="J30" i="11"/>
  <c r="J16" i="11"/>
  <c r="I9" i="11"/>
  <c r="I120" i="11"/>
  <c r="J120" i="11" s="1"/>
  <c r="I106" i="11"/>
  <c r="I99" i="11"/>
  <c r="J99" i="11" s="1"/>
  <c r="I88" i="11"/>
  <c r="K88" i="11" s="1"/>
  <c r="I78" i="11"/>
  <c r="J78" i="11" s="1"/>
  <c r="I74" i="11"/>
  <c r="J74" i="11" s="1"/>
  <c r="I67" i="11"/>
  <c r="J67" i="11" s="1"/>
  <c r="I60" i="11"/>
  <c r="J60" i="11" s="1"/>
  <c r="I50" i="11"/>
  <c r="J50" i="11" s="1"/>
  <c r="I36" i="11"/>
  <c r="J36" i="11" s="1"/>
  <c r="J33" i="11"/>
  <c r="J26" i="11"/>
  <c r="I109" i="11"/>
  <c r="J109" i="11" s="1"/>
  <c r="I102" i="11"/>
  <c r="J102" i="11" s="1"/>
  <c r="I95" i="11"/>
  <c r="J95" i="11" s="1"/>
  <c r="I56" i="11"/>
  <c r="J56" i="11" s="1"/>
  <c r="I46" i="11"/>
  <c r="J46" i="11" s="1"/>
  <c r="J22" i="11"/>
  <c r="J18" i="11"/>
  <c r="D130" i="11"/>
  <c r="J7" i="11"/>
  <c r="K87" i="11" l="1"/>
  <c r="M80" i="11"/>
  <c r="K92" i="11"/>
  <c r="O87" i="11"/>
  <c r="L105" i="11"/>
  <c r="L107" i="11" s="1"/>
  <c r="N48" i="11"/>
  <c r="O48" i="11" s="1"/>
  <c r="J92" i="11"/>
  <c r="O92" i="11"/>
  <c r="J135" i="11"/>
  <c r="I148" i="11" s="1"/>
  <c r="J147" i="6" s="1"/>
  <c r="K147" i="6" s="1"/>
  <c r="J88" i="11"/>
  <c r="O88" i="11"/>
  <c r="J14" i="11"/>
  <c r="J86" i="11"/>
  <c r="J137" i="11"/>
  <c r="J150" i="11" s="1"/>
  <c r="H138" i="11"/>
  <c r="I142" i="11"/>
  <c r="I138" i="11"/>
  <c r="I151" i="11" s="1"/>
  <c r="J150" i="6" s="1"/>
  <c r="K150" i="6" s="1"/>
  <c r="J136" i="11"/>
  <c r="J149" i="11" s="1"/>
  <c r="H149" i="11" s="1"/>
  <c r="J106" i="11"/>
  <c r="J141" i="11" s="1"/>
  <c r="I141" i="11"/>
  <c r="J107" i="11"/>
  <c r="J139" i="11" s="1"/>
  <c r="I139" i="11"/>
  <c r="H137" i="11"/>
  <c r="J9" i="11"/>
  <c r="I134" i="11"/>
  <c r="J69" i="11"/>
  <c r="J143" i="11" s="1"/>
  <c r="H143" i="11"/>
  <c r="I137" i="11"/>
  <c r="I150" i="11" s="1"/>
  <c r="J149" i="6" s="1"/>
  <c r="K149" i="6" s="1"/>
  <c r="H139" i="11"/>
  <c r="H134" i="11"/>
  <c r="J142" i="11"/>
  <c r="H142" i="11"/>
  <c r="H130" i="11"/>
  <c r="I130" i="11"/>
  <c r="O606" i="9"/>
  <c r="F166" i="6"/>
  <c r="N798" i="9"/>
  <c r="N797" i="9"/>
  <c r="N796" i="9"/>
  <c r="N795" i="9"/>
  <c r="N794" i="9"/>
  <c r="N793" i="9"/>
  <c r="N792" i="9"/>
  <c r="N791" i="9"/>
  <c r="N790" i="9"/>
  <c r="N789" i="9"/>
  <c r="N788" i="9"/>
  <c r="N787" i="9"/>
  <c r="N786" i="9"/>
  <c r="N785" i="9"/>
  <c r="N784" i="9"/>
  <c r="N783" i="9"/>
  <c r="N782" i="9"/>
  <c r="N781" i="9"/>
  <c r="N780" i="9"/>
  <c r="N779" i="9"/>
  <c r="N778" i="9"/>
  <c r="N777" i="9"/>
  <c r="N776" i="9"/>
  <c r="N775" i="9"/>
  <c r="N774" i="9"/>
  <c r="N773" i="9"/>
  <c r="N772" i="9"/>
  <c r="N771" i="9"/>
  <c r="N770" i="9"/>
  <c r="N769" i="9"/>
  <c r="N768" i="9"/>
  <c r="N767" i="9"/>
  <c r="N766" i="9"/>
  <c r="N765" i="9"/>
  <c r="N764" i="9"/>
  <c r="N763" i="9"/>
  <c r="N762" i="9"/>
  <c r="N761" i="9"/>
  <c r="N760" i="9"/>
  <c r="N759" i="9"/>
  <c r="N758" i="9"/>
  <c r="N757" i="9"/>
  <c r="N756" i="9"/>
  <c r="N755" i="9"/>
  <c r="N754" i="9"/>
  <c r="N753" i="9"/>
  <c r="N752" i="9"/>
  <c r="N751" i="9"/>
  <c r="N750" i="9"/>
  <c r="N749" i="9"/>
  <c r="N748" i="9"/>
  <c r="N747" i="9"/>
  <c r="N746" i="9"/>
  <c r="N745" i="9"/>
  <c r="N744" i="9"/>
  <c r="N743" i="9"/>
  <c r="N742" i="9"/>
  <c r="N741" i="9"/>
  <c r="N740" i="9"/>
  <c r="N739" i="9"/>
  <c r="N738" i="9"/>
  <c r="N737" i="9"/>
  <c r="N736" i="9"/>
  <c r="N735" i="9"/>
  <c r="N734" i="9"/>
  <c r="N733" i="9"/>
  <c r="N732" i="9"/>
  <c r="N731" i="9"/>
  <c r="N730" i="9"/>
  <c r="N729" i="9"/>
  <c r="N728" i="9"/>
  <c r="N727" i="9"/>
  <c r="N726" i="9"/>
  <c r="N725" i="9"/>
  <c r="N724" i="9"/>
  <c r="N723" i="9"/>
  <c r="N722" i="9"/>
  <c r="N721" i="9"/>
  <c r="N720" i="9"/>
  <c r="N719" i="9"/>
  <c r="N718" i="9"/>
  <c r="N717" i="9"/>
  <c r="N716" i="9"/>
  <c r="N715" i="9"/>
  <c r="N714" i="9"/>
  <c r="N713" i="9"/>
  <c r="N712" i="9"/>
  <c r="N711" i="9"/>
  <c r="N710" i="9"/>
  <c r="N709" i="9"/>
  <c r="N708" i="9"/>
  <c r="N707" i="9"/>
  <c r="N706" i="9"/>
  <c r="N705" i="9"/>
  <c r="N704" i="9"/>
  <c r="N703" i="9"/>
  <c r="N702" i="9"/>
  <c r="N701" i="9"/>
  <c r="N700" i="9"/>
  <c r="N699" i="9"/>
  <c r="N698" i="9"/>
  <c r="N697" i="9"/>
  <c r="N696" i="9"/>
  <c r="N695" i="9"/>
  <c r="N694" i="9"/>
  <c r="N693" i="9"/>
  <c r="N692" i="9"/>
  <c r="N691" i="9"/>
  <c r="N690" i="9"/>
  <c r="N689" i="9"/>
  <c r="N688" i="9"/>
  <c r="N687" i="9"/>
  <c r="N686" i="9"/>
  <c r="N685" i="9"/>
  <c r="N684" i="9"/>
  <c r="N683" i="9"/>
  <c r="N682" i="9"/>
  <c r="N681" i="9"/>
  <c r="N680" i="9"/>
  <c r="N679" i="9"/>
  <c r="N678" i="9"/>
  <c r="N677" i="9"/>
  <c r="N676" i="9"/>
  <c r="N675" i="9"/>
  <c r="N674" i="9"/>
  <c r="N673" i="9"/>
  <c r="N672" i="9"/>
  <c r="N671" i="9"/>
  <c r="N670" i="9"/>
  <c r="N669" i="9"/>
  <c r="N668" i="9"/>
  <c r="N667" i="9"/>
  <c r="N666" i="9"/>
  <c r="N665" i="9"/>
  <c r="N664" i="9"/>
  <c r="N663" i="9"/>
  <c r="N662" i="9"/>
  <c r="N661" i="9"/>
  <c r="N660" i="9"/>
  <c r="N659" i="9"/>
  <c r="N658" i="9"/>
  <c r="N657" i="9"/>
  <c r="N656" i="9"/>
  <c r="N655" i="9"/>
  <c r="N654" i="9"/>
  <c r="N653" i="9"/>
  <c r="N652" i="9"/>
  <c r="N651" i="9"/>
  <c r="N650" i="9"/>
  <c r="N649" i="9"/>
  <c r="N648" i="9"/>
  <c r="N647" i="9"/>
  <c r="N646" i="9"/>
  <c r="N645" i="9"/>
  <c r="N644" i="9"/>
  <c r="N643" i="9"/>
  <c r="N642" i="9"/>
  <c r="N641" i="9"/>
  <c r="N640" i="9"/>
  <c r="N639" i="9"/>
  <c r="N638" i="9"/>
  <c r="N637" i="9"/>
  <c r="N636" i="9"/>
  <c r="N635" i="9"/>
  <c r="N634" i="9"/>
  <c r="N633" i="9"/>
  <c r="N632" i="9"/>
  <c r="N631" i="9"/>
  <c r="N630" i="9"/>
  <c r="N629" i="9"/>
  <c r="N628" i="9"/>
  <c r="N627" i="9"/>
  <c r="N626" i="9"/>
  <c r="N625" i="9"/>
  <c r="N624" i="9"/>
  <c r="N623" i="9"/>
  <c r="N622" i="9"/>
  <c r="N621" i="9"/>
  <c r="N620" i="9"/>
  <c r="N619" i="9"/>
  <c r="N618" i="9"/>
  <c r="N617" i="9"/>
  <c r="N616" i="9"/>
  <c r="N615" i="9"/>
  <c r="N614" i="9"/>
  <c r="N613" i="9"/>
  <c r="N612" i="9"/>
  <c r="N611" i="9"/>
  <c r="N610" i="9"/>
  <c r="N609" i="9"/>
  <c r="N608" i="9"/>
  <c r="N607" i="9"/>
  <c r="N606" i="9"/>
  <c r="N605" i="9"/>
  <c r="N604" i="9"/>
  <c r="N603" i="9"/>
  <c r="N602" i="9"/>
  <c r="N601" i="9"/>
  <c r="N600" i="9"/>
  <c r="N599" i="9"/>
  <c r="N598" i="9"/>
  <c r="N597" i="9"/>
  <c r="N596" i="9"/>
  <c r="N595" i="9"/>
  <c r="N594" i="9"/>
  <c r="N593" i="9"/>
  <c r="N592" i="9"/>
  <c r="N591" i="9"/>
  <c r="N590" i="9"/>
  <c r="N589" i="9"/>
  <c r="N588" i="9"/>
  <c r="N587" i="9"/>
  <c r="N586" i="9"/>
  <c r="N585" i="9"/>
  <c r="N584" i="9"/>
  <c r="N583" i="9"/>
  <c r="N582" i="9"/>
  <c r="N581" i="9"/>
  <c r="N580" i="9"/>
  <c r="N579" i="9"/>
  <c r="N578" i="9"/>
  <c r="N577" i="9"/>
  <c r="N576" i="9"/>
  <c r="N575" i="9"/>
  <c r="N574" i="9"/>
  <c r="N573" i="9"/>
  <c r="N572" i="9"/>
  <c r="N571" i="9"/>
  <c r="N570" i="9"/>
  <c r="N569" i="9"/>
  <c r="N568" i="9"/>
  <c r="N567" i="9"/>
  <c r="N566" i="9"/>
  <c r="N565" i="9"/>
  <c r="N564" i="9"/>
  <c r="N563" i="9"/>
  <c r="N562" i="9"/>
  <c r="N561" i="9"/>
  <c r="N560" i="9"/>
  <c r="N559" i="9"/>
  <c r="N558" i="9"/>
  <c r="N557" i="9"/>
  <c r="N556" i="9"/>
  <c r="N555" i="9"/>
  <c r="N554" i="9"/>
  <c r="N553" i="9"/>
  <c r="N552" i="9"/>
  <c r="N551" i="9"/>
  <c r="N550" i="9"/>
  <c r="N549" i="9"/>
  <c r="N548" i="9"/>
  <c r="N547" i="9"/>
  <c r="N546" i="9"/>
  <c r="N545" i="9"/>
  <c r="N544" i="9"/>
  <c r="N543" i="9"/>
  <c r="N542" i="9"/>
  <c r="N541" i="9"/>
  <c r="N540" i="9"/>
  <c r="N539" i="9"/>
  <c r="N538" i="9"/>
  <c r="N537" i="9"/>
  <c r="N536" i="9"/>
  <c r="N535" i="9"/>
  <c r="N534" i="9"/>
  <c r="N533" i="9"/>
  <c r="N532" i="9"/>
  <c r="N531" i="9"/>
  <c r="N530" i="9"/>
  <c r="N529" i="9"/>
  <c r="N528" i="9"/>
  <c r="N527" i="9"/>
  <c r="N526" i="9"/>
  <c r="N525" i="9"/>
  <c r="N524" i="9"/>
  <c r="N523" i="9"/>
  <c r="N522" i="9"/>
  <c r="N521" i="9"/>
  <c r="N520" i="9"/>
  <c r="N519" i="9"/>
  <c r="N518" i="9"/>
  <c r="N517" i="9"/>
  <c r="N516" i="9"/>
  <c r="N515" i="9"/>
  <c r="N514" i="9"/>
  <c r="N513" i="9"/>
  <c r="N512" i="9"/>
  <c r="N511" i="9"/>
  <c r="N510" i="9"/>
  <c r="N509" i="9"/>
  <c r="N508" i="9"/>
  <c r="N507" i="9"/>
  <c r="N506" i="9"/>
  <c r="N505" i="9"/>
  <c r="N504" i="9"/>
  <c r="N503" i="9"/>
  <c r="N502" i="9"/>
  <c r="N501" i="9"/>
  <c r="N500" i="9"/>
  <c r="N499" i="9"/>
  <c r="N498" i="9"/>
  <c r="N497" i="9"/>
  <c r="N496" i="9"/>
  <c r="N495" i="9"/>
  <c r="N494" i="9"/>
  <c r="N493" i="9"/>
  <c r="N492" i="9"/>
  <c r="N491" i="9"/>
  <c r="N490" i="9"/>
  <c r="N489" i="9"/>
  <c r="N488" i="9"/>
  <c r="N487" i="9"/>
  <c r="N486" i="9"/>
  <c r="N485" i="9"/>
  <c r="N484" i="9"/>
  <c r="N483" i="9"/>
  <c r="N482" i="9"/>
  <c r="N481" i="9"/>
  <c r="N480" i="9"/>
  <c r="N479" i="9"/>
  <c r="N478" i="9"/>
  <c r="N477" i="9"/>
  <c r="N476" i="9"/>
  <c r="N475" i="9"/>
  <c r="N474" i="9"/>
  <c r="N473" i="9"/>
  <c r="N472" i="9"/>
  <c r="N471" i="9"/>
  <c r="N470" i="9"/>
  <c r="N469" i="9"/>
  <c r="N468" i="9"/>
  <c r="N467" i="9"/>
  <c r="N466" i="9"/>
  <c r="N465" i="9"/>
  <c r="N464" i="9"/>
  <c r="N463" i="9"/>
  <c r="N462" i="9"/>
  <c r="N461" i="9"/>
  <c r="N460" i="9"/>
  <c r="N459" i="9"/>
  <c r="N458" i="9"/>
  <c r="N457" i="9"/>
  <c r="N456" i="9"/>
  <c r="N455" i="9"/>
  <c r="N454" i="9"/>
  <c r="N453" i="9"/>
  <c r="N452" i="9"/>
  <c r="N451" i="9"/>
  <c r="N450" i="9"/>
  <c r="N449" i="9"/>
  <c r="N448" i="9"/>
  <c r="N447" i="9"/>
  <c r="N446" i="9"/>
  <c r="N445" i="9"/>
  <c r="N444" i="9"/>
  <c r="N443" i="9"/>
  <c r="N442" i="9"/>
  <c r="N441" i="9"/>
  <c r="N440" i="9"/>
  <c r="N439" i="9"/>
  <c r="N438" i="9"/>
  <c r="N437" i="9"/>
  <c r="N436" i="9"/>
  <c r="N435" i="9"/>
  <c r="N434" i="9"/>
  <c r="N433" i="9"/>
  <c r="N432" i="9"/>
  <c r="N431" i="9"/>
  <c r="N430" i="9"/>
  <c r="N429" i="9"/>
  <c r="N428" i="9"/>
  <c r="N427" i="9"/>
  <c r="N426" i="9"/>
  <c r="N425" i="9"/>
  <c r="N424" i="9"/>
  <c r="N423" i="9"/>
  <c r="N422" i="9"/>
  <c r="N421" i="9"/>
  <c r="N420" i="9"/>
  <c r="N419" i="9"/>
  <c r="N418" i="9"/>
  <c r="N417" i="9"/>
  <c r="N416" i="9"/>
  <c r="N415" i="9"/>
  <c r="N414" i="9"/>
  <c r="N413" i="9"/>
  <c r="N412" i="9"/>
  <c r="N411" i="9"/>
  <c r="N410" i="9"/>
  <c r="N409" i="9"/>
  <c r="N408" i="9"/>
  <c r="N407" i="9"/>
  <c r="N406" i="9"/>
  <c r="N405" i="9"/>
  <c r="N404" i="9"/>
  <c r="N403" i="9"/>
  <c r="N402" i="9"/>
  <c r="N401" i="9"/>
  <c r="N400" i="9"/>
  <c r="N399" i="9"/>
  <c r="N398" i="9"/>
  <c r="N397" i="9"/>
  <c r="N396" i="9"/>
  <c r="N395" i="9"/>
  <c r="N394" i="9"/>
  <c r="N393" i="9"/>
  <c r="N392" i="9"/>
  <c r="N391" i="9"/>
  <c r="N390" i="9"/>
  <c r="N389" i="9"/>
  <c r="N388" i="9"/>
  <c r="N387" i="9"/>
  <c r="N386" i="9"/>
  <c r="N385" i="9"/>
  <c r="N384" i="9"/>
  <c r="N383" i="9"/>
  <c r="N382" i="9"/>
  <c r="N381" i="9"/>
  <c r="N380" i="9"/>
  <c r="N379" i="9"/>
  <c r="N378" i="9"/>
  <c r="N377" i="9"/>
  <c r="N376" i="9"/>
  <c r="N375" i="9"/>
  <c r="N374" i="9"/>
  <c r="N373" i="9"/>
  <c r="N372" i="9"/>
  <c r="N371" i="9"/>
  <c r="N370" i="9"/>
  <c r="N369" i="9"/>
  <c r="N368" i="9"/>
  <c r="N367" i="9"/>
  <c r="N366" i="9"/>
  <c r="N365" i="9"/>
  <c r="N364" i="9"/>
  <c r="N363" i="9"/>
  <c r="N362" i="9"/>
  <c r="N361" i="9"/>
  <c r="N360" i="9"/>
  <c r="N359" i="9"/>
  <c r="N358" i="9"/>
  <c r="N357" i="9"/>
  <c r="N356" i="9"/>
  <c r="N355" i="9"/>
  <c r="N354" i="9"/>
  <c r="N353" i="9"/>
  <c r="N352" i="9"/>
  <c r="N351" i="9"/>
  <c r="N350" i="9"/>
  <c r="N349" i="9"/>
  <c r="N348" i="9"/>
  <c r="N347" i="9"/>
  <c r="N346" i="9"/>
  <c r="N345" i="9"/>
  <c r="N344" i="9"/>
  <c r="N343" i="9"/>
  <c r="N342" i="9"/>
  <c r="N341" i="9"/>
  <c r="N340" i="9"/>
  <c r="N339" i="9"/>
  <c r="N338" i="9"/>
  <c r="N337" i="9"/>
  <c r="N336" i="9"/>
  <c r="N335" i="9"/>
  <c r="N334" i="9"/>
  <c r="N333" i="9"/>
  <c r="N332" i="9"/>
  <c r="N331" i="9"/>
  <c r="N330" i="9"/>
  <c r="N329" i="9"/>
  <c r="N328" i="9"/>
  <c r="N327" i="9"/>
  <c r="N326" i="9"/>
  <c r="N325" i="9"/>
  <c r="N324" i="9"/>
  <c r="N323" i="9"/>
  <c r="N322" i="9"/>
  <c r="N321" i="9"/>
  <c r="N320" i="9"/>
  <c r="N319" i="9"/>
  <c r="N318" i="9"/>
  <c r="N317" i="9"/>
  <c r="N316" i="9"/>
  <c r="N315" i="9"/>
  <c r="N314" i="9"/>
  <c r="N313" i="9"/>
  <c r="N312" i="9"/>
  <c r="N311" i="9"/>
  <c r="N310" i="9"/>
  <c r="N309" i="9"/>
  <c r="N308" i="9"/>
  <c r="N307" i="9"/>
  <c r="N306" i="9"/>
  <c r="N305" i="9"/>
  <c r="N304" i="9"/>
  <c r="N303" i="9"/>
  <c r="N302" i="9"/>
  <c r="N301" i="9"/>
  <c r="N300" i="9"/>
  <c r="N299" i="9"/>
  <c r="N298" i="9"/>
  <c r="N297" i="9"/>
  <c r="N296" i="9"/>
  <c r="N295" i="9"/>
  <c r="N294" i="9"/>
  <c r="N293" i="9"/>
  <c r="N292" i="9"/>
  <c r="N291" i="9"/>
  <c r="N290" i="9"/>
  <c r="N289" i="9"/>
  <c r="N288" i="9"/>
  <c r="N287" i="9"/>
  <c r="N286" i="9"/>
  <c r="N285" i="9"/>
  <c r="N284" i="9"/>
  <c r="N283" i="9"/>
  <c r="N282" i="9"/>
  <c r="N281" i="9"/>
  <c r="N280" i="9"/>
  <c r="N279" i="9"/>
  <c r="N278" i="9"/>
  <c r="N277" i="9"/>
  <c r="N276" i="9"/>
  <c r="N275" i="9"/>
  <c r="N274" i="9"/>
  <c r="N273" i="9"/>
  <c r="N272" i="9"/>
  <c r="N271" i="9"/>
  <c r="N270" i="9"/>
  <c r="N269" i="9"/>
  <c r="N268" i="9"/>
  <c r="N267" i="9"/>
  <c r="N266" i="9"/>
  <c r="N265" i="9"/>
  <c r="N264" i="9"/>
  <c r="N263" i="9"/>
  <c r="N262" i="9"/>
  <c r="N261" i="9"/>
  <c r="N260" i="9"/>
  <c r="N259" i="9"/>
  <c r="N258" i="9"/>
  <c r="N257" i="9"/>
  <c r="N256" i="9"/>
  <c r="N255" i="9"/>
  <c r="N254" i="9"/>
  <c r="N253" i="9"/>
  <c r="N252" i="9"/>
  <c r="N251" i="9"/>
  <c r="N250" i="9"/>
  <c r="N249" i="9"/>
  <c r="N248" i="9"/>
  <c r="N247" i="9"/>
  <c r="N246" i="9"/>
  <c r="N245" i="9"/>
  <c r="N244" i="9"/>
  <c r="N243" i="9"/>
  <c r="N242" i="9"/>
  <c r="N241" i="9"/>
  <c r="N240" i="9"/>
  <c r="N239" i="9"/>
  <c r="N238" i="9"/>
  <c r="N237" i="9"/>
  <c r="N236" i="9"/>
  <c r="N235" i="9"/>
  <c r="N234" i="9"/>
  <c r="N233" i="9"/>
  <c r="N232" i="9"/>
  <c r="N231" i="9"/>
  <c r="N230" i="9"/>
  <c r="N229" i="9"/>
  <c r="N228" i="9"/>
  <c r="N227" i="9"/>
  <c r="N226" i="9"/>
  <c r="N225" i="9"/>
  <c r="N224" i="9"/>
  <c r="N223" i="9"/>
  <c r="N222" i="9"/>
  <c r="N221" i="9"/>
  <c r="N220" i="9"/>
  <c r="N219" i="9"/>
  <c r="N218" i="9"/>
  <c r="N217" i="9"/>
  <c r="N216" i="9"/>
  <c r="N215" i="9"/>
  <c r="N214" i="9"/>
  <c r="N213" i="9"/>
  <c r="N212" i="9"/>
  <c r="N211" i="9"/>
  <c r="N210" i="9"/>
  <c r="N209" i="9"/>
  <c r="N208" i="9"/>
  <c r="N207" i="9"/>
  <c r="N206" i="9"/>
  <c r="N205" i="9"/>
  <c r="N204" i="9"/>
  <c r="N203" i="9"/>
  <c r="N202" i="9"/>
  <c r="N201" i="9"/>
  <c r="N200" i="9"/>
  <c r="N199" i="9"/>
  <c r="N198" i="9"/>
  <c r="N197" i="9"/>
  <c r="N196" i="9"/>
  <c r="N195" i="9"/>
  <c r="N194" i="9"/>
  <c r="N193" i="9"/>
  <c r="N192" i="9"/>
  <c r="N191" i="9"/>
  <c r="N190" i="9"/>
  <c r="N189" i="9"/>
  <c r="N188" i="9"/>
  <c r="N187" i="9"/>
  <c r="N186" i="9"/>
  <c r="N185" i="9"/>
  <c r="N184" i="9"/>
  <c r="N183" i="9"/>
  <c r="N182" i="9"/>
  <c r="N181" i="9"/>
  <c r="N180" i="9"/>
  <c r="N179" i="9"/>
  <c r="N178" i="9"/>
  <c r="N177" i="9"/>
  <c r="N176" i="9"/>
  <c r="N175" i="9"/>
  <c r="N174" i="9"/>
  <c r="N173" i="9"/>
  <c r="N172" i="9"/>
  <c r="N171" i="9"/>
  <c r="N170" i="9"/>
  <c r="N169" i="9"/>
  <c r="N168" i="9"/>
  <c r="N167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M102" i="11" l="1"/>
  <c r="J148" i="11"/>
  <c r="H148" i="11" s="1"/>
  <c r="J138" i="11"/>
  <c r="J151" i="11" s="1"/>
  <c r="H151" i="11" s="1"/>
  <c r="J134" i="11"/>
  <c r="I147" i="11" s="1"/>
  <c r="J146" i="6" s="1"/>
  <c r="H150" i="11"/>
  <c r="J130" i="11"/>
  <c r="J154" i="11"/>
  <c r="I144" i="11"/>
  <c r="J156" i="11"/>
  <c r="H144" i="11"/>
  <c r="J152" i="11"/>
  <c r="H130" i="6"/>
  <c r="G130" i="6"/>
  <c r="F123" i="5"/>
  <c r="G123" i="5"/>
  <c r="H123" i="5"/>
  <c r="I123" i="5"/>
  <c r="J123" i="5"/>
  <c r="K123" i="5"/>
  <c r="E123" i="5"/>
  <c r="F120" i="5"/>
  <c r="G120" i="5"/>
  <c r="H120" i="5"/>
  <c r="I120" i="5"/>
  <c r="J120" i="5"/>
  <c r="K120" i="5"/>
  <c r="F121" i="5"/>
  <c r="G121" i="5"/>
  <c r="H121" i="5"/>
  <c r="I121" i="5"/>
  <c r="J121" i="5"/>
  <c r="K121" i="5"/>
  <c r="E121" i="5"/>
  <c r="E120" i="5"/>
  <c r="D121" i="5"/>
  <c r="D120" i="5"/>
  <c r="F145" i="4"/>
  <c r="G145" i="4"/>
  <c r="H145" i="4"/>
  <c r="I145" i="4"/>
  <c r="J145" i="4"/>
  <c r="K145" i="4"/>
  <c r="E145" i="4"/>
  <c r="F142" i="4"/>
  <c r="G142" i="4"/>
  <c r="H142" i="4"/>
  <c r="I142" i="4"/>
  <c r="J142" i="4"/>
  <c r="K142" i="4"/>
  <c r="F143" i="4"/>
  <c r="G143" i="4"/>
  <c r="H143" i="4"/>
  <c r="I143" i="4"/>
  <c r="J143" i="4"/>
  <c r="K143" i="4"/>
  <c r="E143" i="4"/>
  <c r="E142" i="4"/>
  <c r="D143" i="4"/>
  <c r="D142" i="4"/>
  <c r="F139" i="3"/>
  <c r="F145" i="3" s="1"/>
  <c r="G145" i="3"/>
  <c r="H145" i="3"/>
  <c r="I145" i="3"/>
  <c r="J145" i="3"/>
  <c r="K145" i="3"/>
  <c r="E145" i="3"/>
  <c r="F142" i="3"/>
  <c r="G142" i="3"/>
  <c r="H142" i="3"/>
  <c r="I142" i="3"/>
  <c r="J142" i="3"/>
  <c r="K142" i="3"/>
  <c r="F143" i="3"/>
  <c r="G143" i="3"/>
  <c r="H143" i="3"/>
  <c r="I143" i="3"/>
  <c r="J143" i="3"/>
  <c r="K143" i="3"/>
  <c r="E143" i="3"/>
  <c r="E142" i="3"/>
  <c r="D143" i="3"/>
  <c r="D142" i="3"/>
  <c r="M103" i="11" l="1"/>
  <c r="Q103" i="11"/>
  <c r="J147" i="11"/>
  <c r="H147" i="11" s="1"/>
  <c r="I154" i="11"/>
  <c r="J153" i="11"/>
  <c r="I153" i="11"/>
  <c r="J152" i="6" s="1"/>
  <c r="J144" i="11"/>
  <c r="J155" i="11"/>
  <c r="I155" i="11"/>
  <c r="J154" i="6" s="1"/>
  <c r="H8" i="8"/>
  <c r="I8" i="8"/>
  <c r="H10" i="8"/>
  <c r="I10" i="8"/>
  <c r="H11" i="8"/>
  <c r="I11" i="8"/>
  <c r="H12" i="8"/>
  <c r="I12" i="8"/>
  <c r="H13" i="8"/>
  <c r="I13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43" i="8"/>
  <c r="I43" i="8"/>
  <c r="H52" i="8"/>
  <c r="I52" i="8"/>
  <c r="H53" i="8"/>
  <c r="I53" i="8"/>
  <c r="H54" i="8"/>
  <c r="I54" i="8"/>
  <c r="H65" i="8"/>
  <c r="I65" i="8"/>
  <c r="H70" i="8"/>
  <c r="I70" i="8"/>
  <c r="H71" i="8"/>
  <c r="I71" i="8"/>
  <c r="H81" i="8"/>
  <c r="I81" i="8"/>
  <c r="H83" i="8"/>
  <c r="I83" i="8"/>
  <c r="H84" i="8"/>
  <c r="I84" i="8"/>
  <c r="H101" i="8"/>
  <c r="I101" i="8"/>
  <c r="H103" i="8"/>
  <c r="I103" i="8"/>
  <c r="H104" i="8"/>
  <c r="I104" i="8"/>
  <c r="H105" i="8"/>
  <c r="H140" i="8" s="1"/>
  <c r="I105" i="8"/>
  <c r="I140" i="8" s="1"/>
  <c r="H110" i="8"/>
  <c r="I110" i="8"/>
  <c r="H111" i="8"/>
  <c r="I111" i="8"/>
  <c r="H113" i="8"/>
  <c r="I113" i="8"/>
  <c r="H115" i="8"/>
  <c r="I115" i="8"/>
  <c r="H119" i="8"/>
  <c r="I119" i="8"/>
  <c r="H123" i="8"/>
  <c r="I123" i="8"/>
  <c r="H124" i="8"/>
  <c r="I124" i="8"/>
  <c r="H126" i="8"/>
  <c r="I126" i="8"/>
  <c r="H127" i="8"/>
  <c r="I127" i="8"/>
  <c r="H128" i="8"/>
  <c r="I128" i="8"/>
  <c r="I7" i="8"/>
  <c r="H7" i="8"/>
  <c r="E130" i="8"/>
  <c r="F130" i="8"/>
  <c r="D130" i="8"/>
  <c r="G8" i="8"/>
  <c r="G9" i="8"/>
  <c r="H9" i="8" s="1"/>
  <c r="G10" i="8"/>
  <c r="G11" i="8"/>
  <c r="G12" i="8"/>
  <c r="G13" i="8"/>
  <c r="G14" i="8"/>
  <c r="H14" i="8" s="1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I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G44" i="8"/>
  <c r="I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G53" i="8"/>
  <c r="G54" i="8"/>
  <c r="G55" i="8"/>
  <c r="H55" i="8" s="1"/>
  <c r="G56" i="8"/>
  <c r="H56" i="8" s="1"/>
  <c r="G57" i="8"/>
  <c r="H57" i="8" s="1"/>
  <c r="G58" i="8"/>
  <c r="H58" i="8" s="1"/>
  <c r="G59" i="8"/>
  <c r="H59" i="8" s="1"/>
  <c r="G60" i="8"/>
  <c r="I60" i="8" s="1"/>
  <c r="G61" i="8"/>
  <c r="H61" i="8" s="1"/>
  <c r="G62" i="8"/>
  <c r="H62" i="8" s="1"/>
  <c r="G63" i="8"/>
  <c r="H63" i="8" s="1"/>
  <c r="G64" i="8"/>
  <c r="H64" i="8" s="1"/>
  <c r="G65" i="8"/>
  <c r="G66" i="8"/>
  <c r="H66" i="8" s="1"/>
  <c r="G67" i="8"/>
  <c r="H67" i="8" s="1"/>
  <c r="G68" i="8"/>
  <c r="I68" i="8" s="1"/>
  <c r="G69" i="8"/>
  <c r="H69" i="8" s="1"/>
  <c r="H143" i="8" s="1"/>
  <c r="G70" i="8"/>
  <c r="G71" i="8"/>
  <c r="G72" i="8"/>
  <c r="H72" i="8" s="1"/>
  <c r="G73" i="8"/>
  <c r="H73" i="8" s="1"/>
  <c r="G74" i="8"/>
  <c r="H74" i="8" s="1"/>
  <c r="G75" i="8"/>
  <c r="H75" i="8" s="1"/>
  <c r="G76" i="8"/>
  <c r="I76" i="8" s="1"/>
  <c r="G77" i="8"/>
  <c r="H77" i="8" s="1"/>
  <c r="G78" i="8"/>
  <c r="H78" i="8" s="1"/>
  <c r="G79" i="8"/>
  <c r="H79" i="8" s="1"/>
  <c r="G80" i="8"/>
  <c r="H80" i="8" s="1"/>
  <c r="G81" i="8"/>
  <c r="G82" i="8"/>
  <c r="H82" i="8" s="1"/>
  <c r="G83" i="8"/>
  <c r="G84" i="8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I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I100" i="8" s="1"/>
  <c r="G101" i="8"/>
  <c r="G102" i="8"/>
  <c r="H102" i="8" s="1"/>
  <c r="G103" i="8"/>
  <c r="G104" i="8"/>
  <c r="G105" i="8"/>
  <c r="G106" i="8"/>
  <c r="H106" i="8" s="1"/>
  <c r="H141" i="8" s="1"/>
  <c r="G107" i="8"/>
  <c r="H107" i="8" s="1"/>
  <c r="G108" i="8"/>
  <c r="I108" i="8" s="1"/>
  <c r="G109" i="8"/>
  <c r="H109" i="8" s="1"/>
  <c r="G110" i="8"/>
  <c r="G111" i="8"/>
  <c r="G112" i="8"/>
  <c r="H112" i="8" s="1"/>
  <c r="G113" i="8"/>
  <c r="G114" i="8"/>
  <c r="H114" i="8" s="1"/>
  <c r="G115" i="8"/>
  <c r="G116" i="8"/>
  <c r="I116" i="8" s="1"/>
  <c r="G117" i="8"/>
  <c r="H117" i="8" s="1"/>
  <c r="G118" i="8"/>
  <c r="H118" i="8" s="1"/>
  <c r="G119" i="8"/>
  <c r="G120" i="8"/>
  <c r="H120" i="8" s="1"/>
  <c r="G121" i="8"/>
  <c r="H121" i="8" s="1"/>
  <c r="G122" i="8"/>
  <c r="H122" i="8" s="1"/>
  <c r="G123" i="8"/>
  <c r="G124" i="8"/>
  <c r="G125" i="8"/>
  <c r="H125" i="8" s="1"/>
  <c r="G126" i="8"/>
  <c r="G127" i="8"/>
  <c r="G128" i="8"/>
  <c r="G7" i="8"/>
  <c r="H154" i="11" l="1"/>
  <c r="J153" i="6"/>
  <c r="H135" i="8"/>
  <c r="H68" i="8"/>
  <c r="J68" i="8" s="1"/>
  <c r="H36" i="8"/>
  <c r="J36" i="8" s="1"/>
  <c r="H116" i="8"/>
  <c r="J116" i="8" s="1"/>
  <c r="H108" i="8"/>
  <c r="J108" i="8" s="1"/>
  <c r="H44" i="8"/>
  <c r="J44" i="8" s="1"/>
  <c r="H100" i="8"/>
  <c r="J100" i="8" s="1"/>
  <c r="H76" i="8"/>
  <c r="J76" i="8" s="1"/>
  <c r="H60" i="8"/>
  <c r="J60" i="8" s="1"/>
  <c r="I135" i="8"/>
  <c r="I148" i="8" s="1"/>
  <c r="H92" i="8"/>
  <c r="J92" i="8" s="1"/>
  <c r="H136" i="8"/>
  <c r="H134" i="8"/>
  <c r="H137" i="8"/>
  <c r="I136" i="8"/>
  <c r="I149" i="8" s="1"/>
  <c r="J158" i="11"/>
  <c r="F160" i="6" s="1"/>
  <c r="H153" i="11"/>
  <c r="H155" i="11"/>
  <c r="I120" i="8"/>
  <c r="J120" i="8" s="1"/>
  <c r="I112" i="8"/>
  <c r="I96" i="8"/>
  <c r="J96" i="8" s="1"/>
  <c r="I88" i="8"/>
  <c r="J88" i="8" s="1"/>
  <c r="I80" i="8"/>
  <c r="J80" i="8" s="1"/>
  <c r="I72" i="8"/>
  <c r="J72" i="8" s="1"/>
  <c r="I64" i="8"/>
  <c r="J64" i="8" s="1"/>
  <c r="I56" i="8"/>
  <c r="J56" i="8" s="1"/>
  <c r="I48" i="8"/>
  <c r="J48" i="8" s="1"/>
  <c r="I40" i="8"/>
  <c r="J40" i="8" s="1"/>
  <c r="I107" i="8"/>
  <c r="J107" i="8" s="1"/>
  <c r="I99" i="8"/>
  <c r="J99" i="8" s="1"/>
  <c r="I95" i="8"/>
  <c r="J95" i="8" s="1"/>
  <c r="I91" i="8"/>
  <c r="J91" i="8" s="1"/>
  <c r="I87" i="8"/>
  <c r="J87" i="8" s="1"/>
  <c r="I79" i="8"/>
  <c r="J79" i="8" s="1"/>
  <c r="I75" i="8"/>
  <c r="J75" i="8" s="1"/>
  <c r="I67" i="8"/>
  <c r="J67" i="8" s="1"/>
  <c r="I63" i="8"/>
  <c r="J63" i="8" s="1"/>
  <c r="I59" i="8"/>
  <c r="J59" i="8" s="1"/>
  <c r="I55" i="8"/>
  <c r="J55" i="8" s="1"/>
  <c r="I51" i="8"/>
  <c r="J51" i="8" s="1"/>
  <c r="I47" i="8"/>
  <c r="J47" i="8" s="1"/>
  <c r="I39" i="8"/>
  <c r="J39" i="8" s="1"/>
  <c r="I122" i="8"/>
  <c r="J122" i="8" s="1"/>
  <c r="I118" i="8"/>
  <c r="J118" i="8" s="1"/>
  <c r="I114" i="8"/>
  <c r="J114" i="8" s="1"/>
  <c r="I106" i="8"/>
  <c r="I141" i="8" s="1"/>
  <c r="I102" i="8"/>
  <c r="J102" i="8" s="1"/>
  <c r="I98" i="8"/>
  <c r="J98" i="8" s="1"/>
  <c r="I94" i="8"/>
  <c r="J94" i="8" s="1"/>
  <c r="I90" i="8"/>
  <c r="J90" i="8" s="1"/>
  <c r="I86" i="8"/>
  <c r="J86" i="8" s="1"/>
  <c r="I82" i="8"/>
  <c r="J82" i="8" s="1"/>
  <c r="I78" i="8"/>
  <c r="J78" i="8" s="1"/>
  <c r="I74" i="8"/>
  <c r="J74" i="8" s="1"/>
  <c r="I66" i="8"/>
  <c r="J66" i="8" s="1"/>
  <c r="I62" i="8"/>
  <c r="J62" i="8" s="1"/>
  <c r="I58" i="8"/>
  <c r="J58" i="8" s="1"/>
  <c r="I50" i="8"/>
  <c r="J50" i="8" s="1"/>
  <c r="I46" i="8"/>
  <c r="J46" i="8" s="1"/>
  <c r="I42" i="8"/>
  <c r="J42" i="8" s="1"/>
  <c r="I38" i="8"/>
  <c r="J38" i="8" s="1"/>
  <c r="I14" i="8"/>
  <c r="J14" i="8" s="1"/>
  <c r="I125" i="8"/>
  <c r="J125" i="8" s="1"/>
  <c r="I121" i="8"/>
  <c r="J121" i="8" s="1"/>
  <c r="I117" i="8"/>
  <c r="J117" i="8" s="1"/>
  <c r="I109" i="8"/>
  <c r="J109" i="8" s="1"/>
  <c r="I97" i="8"/>
  <c r="J97" i="8" s="1"/>
  <c r="I93" i="8"/>
  <c r="J93" i="8" s="1"/>
  <c r="I89" i="8"/>
  <c r="J89" i="8" s="1"/>
  <c r="I85" i="8"/>
  <c r="J85" i="8" s="1"/>
  <c r="I77" i="8"/>
  <c r="J77" i="8" s="1"/>
  <c r="I73" i="8"/>
  <c r="J73" i="8" s="1"/>
  <c r="I69" i="8"/>
  <c r="I143" i="8" s="1"/>
  <c r="I61" i="8"/>
  <c r="J61" i="8" s="1"/>
  <c r="I57" i="8"/>
  <c r="J57" i="8" s="1"/>
  <c r="I49" i="8"/>
  <c r="J49" i="8" s="1"/>
  <c r="I45" i="8"/>
  <c r="J45" i="8" s="1"/>
  <c r="I41" i="8"/>
  <c r="J41" i="8" s="1"/>
  <c r="I37" i="8"/>
  <c r="J37" i="8" s="1"/>
  <c r="I9" i="8"/>
  <c r="J9" i="8" s="1"/>
  <c r="J128" i="8"/>
  <c r="J32" i="8"/>
  <c r="J124" i="8"/>
  <c r="J28" i="8"/>
  <c r="J24" i="8"/>
  <c r="J84" i="8"/>
  <c r="J52" i="8"/>
  <c r="J20" i="8"/>
  <c r="J16" i="8"/>
  <c r="J13" i="8"/>
  <c r="J104" i="8"/>
  <c r="J127" i="8"/>
  <c r="J123" i="8"/>
  <c r="J119" i="8"/>
  <c r="J115" i="8"/>
  <c r="J111" i="8"/>
  <c r="J103" i="8"/>
  <c r="J83" i="8"/>
  <c r="J71" i="8"/>
  <c r="J43" i="8"/>
  <c r="J35" i="8"/>
  <c r="J31" i="8"/>
  <c r="J27" i="8"/>
  <c r="J23" i="8"/>
  <c r="J19" i="8"/>
  <c r="J15" i="8"/>
  <c r="J12" i="8"/>
  <c r="J8" i="8"/>
  <c r="J126" i="8"/>
  <c r="J110" i="8"/>
  <c r="J70" i="8"/>
  <c r="J54" i="8"/>
  <c r="J34" i="8"/>
  <c r="J30" i="8"/>
  <c r="J26" i="8"/>
  <c r="J22" i="8"/>
  <c r="J18" i="8"/>
  <c r="J11" i="8"/>
  <c r="J113" i="8"/>
  <c r="J105" i="8"/>
  <c r="J140" i="8" s="1"/>
  <c r="J153" i="8" s="1"/>
  <c r="J101" i="8"/>
  <c r="J81" i="8"/>
  <c r="J65" i="8"/>
  <c r="J53" i="8"/>
  <c r="J33" i="8"/>
  <c r="J29" i="8"/>
  <c r="J25" i="8"/>
  <c r="J21" i="8"/>
  <c r="J17" i="8"/>
  <c r="J10" i="8"/>
  <c r="H138" i="8" l="1"/>
  <c r="H139" i="8"/>
  <c r="H142" i="8"/>
  <c r="J69" i="8"/>
  <c r="J143" i="8" s="1"/>
  <c r="J156" i="8" s="1"/>
  <c r="J106" i="8"/>
  <c r="J141" i="8" s="1"/>
  <c r="I134" i="8"/>
  <c r="J136" i="8"/>
  <c r="J149" i="8" s="1"/>
  <c r="H149" i="8" s="1"/>
  <c r="J134" i="8"/>
  <c r="J147" i="8" s="1"/>
  <c r="I137" i="8"/>
  <c r="I150" i="8" s="1"/>
  <c r="J138" i="8"/>
  <c r="J151" i="8" s="1"/>
  <c r="I142" i="8"/>
  <c r="I153" i="8"/>
  <c r="H153" i="8" s="1"/>
  <c r="J142" i="8"/>
  <c r="J137" i="8"/>
  <c r="J150" i="8" s="1"/>
  <c r="I138" i="8"/>
  <c r="I151" i="8" s="1"/>
  <c r="J112" i="8"/>
  <c r="J139" i="8" s="1"/>
  <c r="I139" i="8"/>
  <c r="I130" i="8"/>
  <c r="H130" i="8"/>
  <c r="J7" i="8"/>
  <c r="H144" i="8" l="1"/>
  <c r="H150" i="8"/>
  <c r="I144" i="8"/>
  <c r="J154" i="8"/>
  <c r="I154" i="8"/>
  <c r="H151" i="8"/>
  <c r="I147" i="8"/>
  <c r="J130" i="8"/>
  <c r="J135" i="8"/>
  <c r="J148" i="8" s="1"/>
  <c r="H148" i="8" s="1"/>
  <c r="J155" i="8"/>
  <c r="I155" i="8"/>
  <c r="J152" i="8"/>
  <c r="G129" i="6"/>
  <c r="H129" i="6"/>
  <c r="F129" i="6"/>
  <c r="F130" i="6" s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6" i="6"/>
  <c r="H154" i="8" l="1"/>
  <c r="H155" i="8"/>
  <c r="J144" i="8"/>
  <c r="J158" i="8"/>
  <c r="F163" i="6" s="1"/>
  <c r="F164" i="6" s="1"/>
  <c r="F140" i="6"/>
  <c r="G140" i="6"/>
  <c r="H140" i="6"/>
  <c r="H141" i="6"/>
  <c r="F139" i="6"/>
  <c r="F142" i="6"/>
  <c r="F133" i="6"/>
  <c r="H135" i="6"/>
  <c r="H148" i="6" s="1"/>
  <c r="F138" i="6"/>
  <c r="G141" i="6"/>
  <c r="G135" i="6"/>
  <c r="H133" i="6"/>
  <c r="F136" i="6"/>
  <c r="F149" i="6" s="1"/>
  <c r="G138" i="6"/>
  <c r="H142" i="6"/>
  <c r="H138" i="6"/>
  <c r="G133" i="6"/>
  <c r="H136" i="6"/>
  <c r="H149" i="6" s="1"/>
  <c r="G142" i="6"/>
  <c r="F134" i="6"/>
  <c r="F147" i="6" s="1"/>
  <c r="G136" i="6"/>
  <c r="H139" i="6"/>
  <c r="H134" i="6"/>
  <c r="H147" i="6" s="1"/>
  <c r="F137" i="6"/>
  <c r="F150" i="6" s="1"/>
  <c r="G139" i="6"/>
  <c r="G134" i="6"/>
  <c r="H137" i="6"/>
  <c r="H150" i="6" s="1"/>
  <c r="F141" i="6"/>
  <c r="H154" i="6" s="1"/>
  <c r="K154" i="6" s="1"/>
  <c r="F135" i="6"/>
  <c r="F148" i="6" s="1"/>
  <c r="G137" i="6"/>
  <c r="G98" i="6"/>
  <c r="I98" i="6" s="1"/>
  <c r="G91" i="6"/>
  <c r="I91" i="6" s="1"/>
  <c r="G87" i="6"/>
  <c r="G8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2" i="6"/>
  <c r="I93" i="6"/>
  <c r="I94" i="6"/>
  <c r="I95" i="6"/>
  <c r="I96" i="6"/>
  <c r="I97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6" i="6"/>
  <c r="G150" i="6" l="1"/>
  <c r="G149" i="6"/>
  <c r="F155" i="6"/>
  <c r="F154" i="6"/>
  <c r="G154" i="6" s="1"/>
  <c r="G147" i="6"/>
  <c r="H143" i="6"/>
  <c r="G148" i="6"/>
  <c r="H146" i="6"/>
  <c r="K146" i="6" s="1"/>
  <c r="F146" i="6"/>
  <c r="F143" i="6"/>
  <c r="H152" i="6"/>
  <c r="K152" i="6" s="1"/>
  <c r="F152" i="6"/>
  <c r="G143" i="6"/>
  <c r="F151" i="6"/>
  <c r="H153" i="6"/>
  <c r="K153" i="6" s="1"/>
  <c r="F153" i="6"/>
  <c r="I129" i="6"/>
  <c r="G153" i="6" l="1"/>
  <c r="G146" i="6"/>
  <c r="G152" i="6"/>
  <c r="F157" i="6"/>
  <c r="F161" i="6" l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E82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E118" i="5"/>
  <c r="F118" i="5"/>
  <c r="G118" i="5"/>
  <c r="H118" i="5"/>
  <c r="I118" i="5"/>
  <c r="J118" i="5"/>
  <c r="K118" i="5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E139" i="4"/>
  <c r="F139" i="4"/>
  <c r="G139" i="4"/>
  <c r="H139" i="4"/>
  <c r="I139" i="4"/>
  <c r="J139" i="4"/>
  <c r="K139" i="4" l="1"/>
  <c r="G115" i="3"/>
  <c r="J10" i="2" l="1"/>
  <c r="I10" i="2"/>
  <c r="H10" i="2"/>
  <c r="G10" i="2"/>
  <c r="F10" i="2"/>
  <c r="E10" i="2"/>
  <c r="K10" i="2" l="1"/>
  <c r="K11" i="3" l="1"/>
  <c r="M10" i="2" s="1"/>
  <c r="N10" i="2" s="1"/>
  <c r="K12" i="3"/>
  <c r="K4" i="3" l="1"/>
  <c r="K5" i="3"/>
  <c r="K6" i="3"/>
  <c r="K7" i="3"/>
  <c r="K8" i="3"/>
  <c r="K9" i="3"/>
  <c r="K10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3" i="3"/>
  <c r="G139" i="3"/>
  <c r="H139" i="3"/>
  <c r="I139" i="3"/>
  <c r="J139" i="3"/>
  <c r="E139" i="3"/>
  <c r="K139" i="3" l="1"/>
  <c r="F109" i="2" l="1"/>
  <c r="G109" i="2"/>
  <c r="F45" i="2" l="1"/>
  <c r="M3" i="2" l="1"/>
  <c r="M4" i="2"/>
  <c r="M5" i="2"/>
  <c r="M6" i="2"/>
  <c r="M7" i="2"/>
  <c r="M8" i="2"/>
  <c r="M9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E4" i="2" l="1"/>
  <c r="F4" i="2"/>
  <c r="G4" i="2"/>
  <c r="H4" i="2"/>
  <c r="I4" i="2"/>
  <c r="J4" i="2"/>
  <c r="E26" i="2"/>
  <c r="F26" i="2"/>
  <c r="G26" i="2"/>
  <c r="H26" i="2"/>
  <c r="I26" i="2"/>
  <c r="J26" i="2"/>
  <c r="E56" i="2"/>
  <c r="F56" i="2"/>
  <c r="G56" i="2"/>
  <c r="H56" i="2"/>
  <c r="I56" i="2"/>
  <c r="J56" i="2"/>
  <c r="E55" i="2"/>
  <c r="F55" i="2"/>
  <c r="G55" i="2"/>
  <c r="H55" i="2"/>
  <c r="I55" i="2"/>
  <c r="J55" i="2"/>
  <c r="E53" i="2"/>
  <c r="F53" i="2"/>
  <c r="G53" i="2"/>
  <c r="H53" i="2"/>
  <c r="I53" i="2"/>
  <c r="J53" i="2"/>
  <c r="E46" i="2"/>
  <c r="F46" i="2"/>
  <c r="G46" i="2"/>
  <c r="H46" i="2"/>
  <c r="I46" i="2"/>
  <c r="J46" i="2"/>
  <c r="E47" i="2"/>
  <c r="F47" i="2"/>
  <c r="G47" i="2"/>
  <c r="H47" i="2"/>
  <c r="I47" i="2"/>
  <c r="J47" i="2"/>
  <c r="E48" i="2"/>
  <c r="F48" i="2"/>
  <c r="G48" i="2"/>
  <c r="H48" i="2"/>
  <c r="I48" i="2"/>
  <c r="J48" i="2"/>
  <c r="E49" i="2"/>
  <c r="F49" i="2"/>
  <c r="G49" i="2"/>
  <c r="H49" i="2"/>
  <c r="I49" i="2"/>
  <c r="J49" i="2"/>
  <c r="E50" i="2"/>
  <c r="F50" i="2"/>
  <c r="G50" i="2"/>
  <c r="H50" i="2"/>
  <c r="I50" i="2"/>
  <c r="J50" i="2"/>
  <c r="E51" i="2"/>
  <c r="F51" i="2"/>
  <c r="G51" i="2"/>
  <c r="H51" i="2"/>
  <c r="I51" i="2"/>
  <c r="J51" i="2"/>
  <c r="E44" i="2"/>
  <c r="F44" i="2"/>
  <c r="G44" i="2"/>
  <c r="H44" i="2"/>
  <c r="I44" i="2"/>
  <c r="J44" i="2"/>
  <c r="E39" i="2"/>
  <c r="F39" i="2"/>
  <c r="G39" i="2"/>
  <c r="H39" i="2"/>
  <c r="I39" i="2"/>
  <c r="J39" i="2"/>
  <c r="E38" i="2"/>
  <c r="F38" i="2"/>
  <c r="G38" i="2"/>
  <c r="H38" i="2"/>
  <c r="I38" i="2"/>
  <c r="J38" i="2"/>
  <c r="E37" i="2"/>
  <c r="F37" i="2"/>
  <c r="G37" i="2"/>
  <c r="H37" i="2"/>
  <c r="I37" i="2"/>
  <c r="J37" i="2"/>
  <c r="E36" i="2"/>
  <c r="F36" i="2"/>
  <c r="G36" i="2"/>
  <c r="H36" i="2"/>
  <c r="I36" i="2"/>
  <c r="J36" i="2"/>
  <c r="E34" i="2"/>
  <c r="F34" i="2"/>
  <c r="G34" i="2"/>
  <c r="H34" i="2"/>
  <c r="I34" i="2"/>
  <c r="J34" i="2"/>
  <c r="E32" i="2"/>
  <c r="F32" i="2"/>
  <c r="G32" i="2"/>
  <c r="H32" i="2"/>
  <c r="I32" i="2"/>
  <c r="J32" i="2"/>
  <c r="E74" i="2"/>
  <c r="F74" i="2"/>
  <c r="G74" i="2"/>
  <c r="H74" i="2"/>
  <c r="I74" i="2"/>
  <c r="J74" i="2"/>
  <c r="E72" i="2"/>
  <c r="F72" i="2"/>
  <c r="G72" i="2"/>
  <c r="H72" i="2"/>
  <c r="I72" i="2"/>
  <c r="J72" i="2"/>
  <c r="E71" i="2"/>
  <c r="F71" i="2"/>
  <c r="G71" i="2"/>
  <c r="H71" i="2"/>
  <c r="I71" i="2"/>
  <c r="J71" i="2"/>
  <c r="E69" i="2"/>
  <c r="F69" i="2"/>
  <c r="G69" i="2"/>
  <c r="H69" i="2"/>
  <c r="I69" i="2"/>
  <c r="J69" i="2"/>
  <c r="E68" i="2"/>
  <c r="F68" i="2"/>
  <c r="G68" i="2"/>
  <c r="H68" i="2"/>
  <c r="I68" i="2"/>
  <c r="J68" i="2"/>
  <c r="E67" i="2"/>
  <c r="F67" i="2"/>
  <c r="G67" i="2"/>
  <c r="H67" i="2"/>
  <c r="I67" i="2"/>
  <c r="J67" i="2"/>
  <c r="E66" i="2"/>
  <c r="F66" i="2"/>
  <c r="G66" i="2"/>
  <c r="H66" i="2"/>
  <c r="I66" i="2"/>
  <c r="J66" i="2"/>
  <c r="E65" i="2"/>
  <c r="F65" i="2"/>
  <c r="G65" i="2"/>
  <c r="H65" i="2"/>
  <c r="I65" i="2"/>
  <c r="J65" i="2"/>
  <c r="E64" i="2"/>
  <c r="F64" i="2"/>
  <c r="G64" i="2"/>
  <c r="H64" i="2"/>
  <c r="I64" i="2"/>
  <c r="J64" i="2"/>
  <c r="E63" i="2"/>
  <c r="F63" i="2"/>
  <c r="G63" i="2"/>
  <c r="H63" i="2"/>
  <c r="I63" i="2"/>
  <c r="J63" i="2"/>
  <c r="E62" i="2"/>
  <c r="F62" i="2"/>
  <c r="G62" i="2"/>
  <c r="H62" i="2"/>
  <c r="I62" i="2"/>
  <c r="J62" i="2"/>
  <c r="E61" i="2"/>
  <c r="F61" i="2"/>
  <c r="G61" i="2"/>
  <c r="H61" i="2"/>
  <c r="I61" i="2"/>
  <c r="J61" i="2"/>
  <c r="E60" i="2"/>
  <c r="F60" i="2"/>
  <c r="G60" i="2"/>
  <c r="H60" i="2"/>
  <c r="I60" i="2"/>
  <c r="J60" i="2"/>
  <c r="E89" i="2"/>
  <c r="F89" i="2"/>
  <c r="G89" i="2"/>
  <c r="H89" i="2"/>
  <c r="I89" i="2"/>
  <c r="J89" i="2"/>
  <c r="E88" i="2"/>
  <c r="F88" i="2"/>
  <c r="G88" i="2"/>
  <c r="H88" i="2"/>
  <c r="I88" i="2"/>
  <c r="J88" i="2"/>
  <c r="E86" i="2"/>
  <c r="F86" i="2"/>
  <c r="G86" i="2"/>
  <c r="H86" i="2"/>
  <c r="I86" i="2"/>
  <c r="J86" i="2"/>
  <c r="E85" i="2"/>
  <c r="F85" i="2"/>
  <c r="G85" i="2"/>
  <c r="H85" i="2"/>
  <c r="I85" i="2"/>
  <c r="J85" i="2"/>
  <c r="E84" i="2"/>
  <c r="F84" i="2"/>
  <c r="G84" i="2"/>
  <c r="H84" i="2"/>
  <c r="I84" i="2"/>
  <c r="J84" i="2"/>
  <c r="E83" i="2"/>
  <c r="F83" i="2"/>
  <c r="G83" i="2"/>
  <c r="H83" i="2"/>
  <c r="I83" i="2"/>
  <c r="J83" i="2"/>
  <c r="E82" i="2"/>
  <c r="F82" i="2"/>
  <c r="G82" i="2"/>
  <c r="H82" i="2"/>
  <c r="I82" i="2"/>
  <c r="J82" i="2"/>
  <c r="E81" i="2"/>
  <c r="F81" i="2"/>
  <c r="G81" i="2"/>
  <c r="H81" i="2"/>
  <c r="I81" i="2"/>
  <c r="J81" i="2"/>
  <c r="E80" i="2"/>
  <c r="F80" i="2"/>
  <c r="G80" i="2"/>
  <c r="H80" i="2"/>
  <c r="I80" i="2"/>
  <c r="J80" i="2"/>
  <c r="E79" i="2"/>
  <c r="F79" i="2"/>
  <c r="G79" i="2"/>
  <c r="H79" i="2"/>
  <c r="I79" i="2"/>
  <c r="J79" i="2"/>
  <c r="E77" i="2"/>
  <c r="F77" i="2"/>
  <c r="G77" i="2"/>
  <c r="H77" i="2"/>
  <c r="I77" i="2"/>
  <c r="J77" i="2"/>
  <c r="E110" i="2"/>
  <c r="F110" i="2"/>
  <c r="G110" i="2"/>
  <c r="H110" i="2"/>
  <c r="I110" i="2"/>
  <c r="J110" i="2"/>
  <c r="E107" i="2"/>
  <c r="F107" i="2"/>
  <c r="G107" i="2"/>
  <c r="H107" i="2"/>
  <c r="I107" i="2"/>
  <c r="J107" i="2"/>
  <c r="E106" i="2"/>
  <c r="F106" i="2"/>
  <c r="G106" i="2"/>
  <c r="H106" i="2"/>
  <c r="I106" i="2"/>
  <c r="J106" i="2"/>
  <c r="E105" i="2"/>
  <c r="F105" i="2"/>
  <c r="G105" i="2"/>
  <c r="H105" i="2"/>
  <c r="I105" i="2"/>
  <c r="J105" i="2"/>
  <c r="E104" i="2"/>
  <c r="F104" i="2"/>
  <c r="G104" i="2"/>
  <c r="H104" i="2"/>
  <c r="I104" i="2"/>
  <c r="J104" i="2"/>
  <c r="E103" i="2"/>
  <c r="F103" i="2"/>
  <c r="G103" i="2"/>
  <c r="H103" i="2"/>
  <c r="I103" i="2"/>
  <c r="J103" i="2"/>
  <c r="E102" i="2"/>
  <c r="F102" i="2"/>
  <c r="G102" i="2"/>
  <c r="H102" i="2"/>
  <c r="I102" i="2"/>
  <c r="J102" i="2"/>
  <c r="E101" i="2"/>
  <c r="F101" i="2"/>
  <c r="G101" i="2"/>
  <c r="H101" i="2"/>
  <c r="I101" i="2"/>
  <c r="J101" i="2"/>
  <c r="E100" i="2"/>
  <c r="F100" i="2"/>
  <c r="G100" i="2"/>
  <c r="H100" i="2"/>
  <c r="I100" i="2"/>
  <c r="J100" i="2"/>
  <c r="E99" i="2"/>
  <c r="F99" i="2"/>
  <c r="G99" i="2"/>
  <c r="H99" i="2"/>
  <c r="I99" i="2"/>
  <c r="J99" i="2"/>
  <c r="E98" i="2"/>
  <c r="F98" i="2"/>
  <c r="G98" i="2"/>
  <c r="H98" i="2"/>
  <c r="I98" i="2"/>
  <c r="J98" i="2"/>
  <c r="E97" i="2"/>
  <c r="F97" i="2"/>
  <c r="G97" i="2"/>
  <c r="H97" i="2"/>
  <c r="I97" i="2"/>
  <c r="J97" i="2"/>
  <c r="E95" i="2"/>
  <c r="F95" i="2"/>
  <c r="G95" i="2"/>
  <c r="H95" i="2"/>
  <c r="I95" i="2"/>
  <c r="J95" i="2"/>
  <c r="E94" i="2"/>
  <c r="F94" i="2"/>
  <c r="G94" i="2"/>
  <c r="H94" i="2"/>
  <c r="I94" i="2"/>
  <c r="J94" i="2"/>
  <c r="E93" i="2"/>
  <c r="F93" i="2"/>
  <c r="G93" i="2"/>
  <c r="H93" i="2"/>
  <c r="I93" i="2"/>
  <c r="J93" i="2"/>
  <c r="E92" i="2"/>
  <c r="F92" i="2"/>
  <c r="G92" i="2"/>
  <c r="H92" i="2"/>
  <c r="I92" i="2"/>
  <c r="J92" i="2"/>
  <c r="E134" i="2"/>
  <c r="F134" i="2"/>
  <c r="G134" i="2"/>
  <c r="H134" i="2"/>
  <c r="I134" i="2"/>
  <c r="J134" i="2"/>
  <c r="E131" i="2"/>
  <c r="F131" i="2"/>
  <c r="G131" i="2"/>
  <c r="H131" i="2"/>
  <c r="I131" i="2"/>
  <c r="J131" i="2"/>
  <c r="E130" i="2"/>
  <c r="F130" i="2"/>
  <c r="G130" i="2"/>
  <c r="H130" i="2"/>
  <c r="I130" i="2"/>
  <c r="J130" i="2"/>
  <c r="E129" i="2"/>
  <c r="F129" i="2"/>
  <c r="G129" i="2"/>
  <c r="H129" i="2"/>
  <c r="I129" i="2"/>
  <c r="J129" i="2"/>
  <c r="E127" i="2"/>
  <c r="F127" i="2"/>
  <c r="G127" i="2"/>
  <c r="H127" i="2"/>
  <c r="I127" i="2"/>
  <c r="J127" i="2"/>
  <c r="E126" i="2"/>
  <c r="F126" i="2"/>
  <c r="G126" i="2"/>
  <c r="H126" i="2"/>
  <c r="I126" i="2"/>
  <c r="J126" i="2"/>
  <c r="E125" i="2"/>
  <c r="F125" i="2"/>
  <c r="G125" i="2"/>
  <c r="H125" i="2"/>
  <c r="I125" i="2"/>
  <c r="J125" i="2"/>
  <c r="E123" i="2"/>
  <c r="F123" i="2"/>
  <c r="G123" i="2"/>
  <c r="H123" i="2"/>
  <c r="I123" i="2"/>
  <c r="J123" i="2"/>
  <c r="E121" i="2"/>
  <c r="F121" i="2"/>
  <c r="G121" i="2"/>
  <c r="H121" i="2"/>
  <c r="I121" i="2"/>
  <c r="J121" i="2"/>
  <c r="E117" i="2"/>
  <c r="F117" i="2"/>
  <c r="G117" i="2"/>
  <c r="H117" i="2"/>
  <c r="I117" i="2"/>
  <c r="J117" i="2"/>
  <c r="E116" i="2"/>
  <c r="F116" i="2"/>
  <c r="G116" i="2"/>
  <c r="H116" i="2"/>
  <c r="I116" i="2"/>
  <c r="J116" i="2"/>
  <c r="E115" i="2"/>
  <c r="F115" i="2"/>
  <c r="G115" i="2"/>
  <c r="H115" i="2"/>
  <c r="I115" i="2"/>
  <c r="J115" i="2"/>
  <c r="E114" i="2"/>
  <c r="F114" i="2"/>
  <c r="G114" i="2"/>
  <c r="H114" i="2"/>
  <c r="I114" i="2"/>
  <c r="J114" i="2"/>
  <c r="E2" i="2"/>
  <c r="F2" i="2"/>
  <c r="G2" i="2"/>
  <c r="H2" i="2"/>
  <c r="I2" i="2"/>
  <c r="J2" i="2"/>
  <c r="E3" i="2"/>
  <c r="F3" i="2"/>
  <c r="G3" i="2"/>
  <c r="H3" i="2"/>
  <c r="I3" i="2"/>
  <c r="J3" i="2"/>
  <c r="E5" i="2"/>
  <c r="F5" i="2"/>
  <c r="G5" i="2"/>
  <c r="H5" i="2"/>
  <c r="I5" i="2"/>
  <c r="J5" i="2"/>
  <c r="E6" i="2"/>
  <c r="F6" i="2"/>
  <c r="G6" i="2"/>
  <c r="H6" i="2"/>
  <c r="I6" i="2"/>
  <c r="J6" i="2"/>
  <c r="E8" i="2"/>
  <c r="F8" i="2"/>
  <c r="G8" i="2"/>
  <c r="H8" i="2"/>
  <c r="I8" i="2"/>
  <c r="J8" i="2"/>
  <c r="E11" i="2"/>
  <c r="F11" i="2"/>
  <c r="G11" i="2"/>
  <c r="H11" i="2"/>
  <c r="I11" i="2"/>
  <c r="J11" i="2"/>
  <c r="E24" i="2"/>
  <c r="F24" i="2"/>
  <c r="G24" i="2"/>
  <c r="H24" i="2"/>
  <c r="I24" i="2"/>
  <c r="J24" i="2"/>
  <c r="E25" i="2"/>
  <c r="F25" i="2"/>
  <c r="G25" i="2"/>
  <c r="H25" i="2"/>
  <c r="I25" i="2"/>
  <c r="J25" i="2"/>
  <c r="E12" i="2"/>
  <c r="F12" i="2"/>
  <c r="G12" i="2"/>
  <c r="H12" i="2"/>
  <c r="I12" i="2"/>
  <c r="J12" i="2"/>
  <c r="E13" i="2"/>
  <c r="F13" i="2"/>
  <c r="G13" i="2"/>
  <c r="H13" i="2"/>
  <c r="I13" i="2"/>
  <c r="J13" i="2"/>
  <c r="E27" i="2"/>
  <c r="F27" i="2"/>
  <c r="G27" i="2"/>
  <c r="H27" i="2"/>
  <c r="I27" i="2"/>
  <c r="J27" i="2"/>
  <c r="E28" i="2"/>
  <c r="F28" i="2"/>
  <c r="G28" i="2"/>
  <c r="H28" i="2"/>
  <c r="I28" i="2"/>
  <c r="J28" i="2"/>
  <c r="E29" i="2"/>
  <c r="F29" i="2"/>
  <c r="G29" i="2"/>
  <c r="H29" i="2"/>
  <c r="I29" i="2"/>
  <c r="J29" i="2"/>
  <c r="E14" i="2"/>
  <c r="F14" i="2"/>
  <c r="G14" i="2"/>
  <c r="H14" i="2"/>
  <c r="I14" i="2"/>
  <c r="J14" i="2"/>
  <c r="E15" i="2"/>
  <c r="F15" i="2"/>
  <c r="G15" i="2"/>
  <c r="H15" i="2"/>
  <c r="I15" i="2"/>
  <c r="J15" i="2"/>
  <c r="E16" i="2"/>
  <c r="F16" i="2"/>
  <c r="G16" i="2"/>
  <c r="H16" i="2"/>
  <c r="I16" i="2"/>
  <c r="J16" i="2"/>
  <c r="E30" i="2"/>
  <c r="F30" i="2"/>
  <c r="G30" i="2"/>
  <c r="H30" i="2"/>
  <c r="I30" i="2"/>
  <c r="J30" i="2"/>
  <c r="E17" i="2"/>
  <c r="F17" i="2"/>
  <c r="G17" i="2"/>
  <c r="H17" i="2"/>
  <c r="I17" i="2"/>
  <c r="J17" i="2"/>
  <c r="E18" i="2"/>
  <c r="F18" i="2"/>
  <c r="G18" i="2"/>
  <c r="H18" i="2"/>
  <c r="I18" i="2"/>
  <c r="J18" i="2"/>
  <c r="E19" i="2"/>
  <c r="F19" i="2"/>
  <c r="G19" i="2"/>
  <c r="H19" i="2"/>
  <c r="I19" i="2"/>
  <c r="J19" i="2"/>
  <c r="E20" i="2"/>
  <c r="F20" i="2"/>
  <c r="G20" i="2"/>
  <c r="H20" i="2"/>
  <c r="I20" i="2"/>
  <c r="J20" i="2"/>
  <c r="E21" i="2"/>
  <c r="F21" i="2"/>
  <c r="G21" i="2"/>
  <c r="H21" i="2"/>
  <c r="I21" i="2"/>
  <c r="J21" i="2"/>
  <c r="E22" i="2"/>
  <c r="F22" i="2"/>
  <c r="G22" i="2"/>
  <c r="H22" i="2"/>
  <c r="I22" i="2"/>
  <c r="J22" i="2"/>
  <c r="E23" i="2"/>
  <c r="F23" i="2"/>
  <c r="G23" i="2"/>
  <c r="H23" i="2"/>
  <c r="I23" i="2"/>
  <c r="J23" i="2"/>
  <c r="E31" i="2"/>
  <c r="F31" i="2"/>
  <c r="G31" i="2"/>
  <c r="H31" i="2"/>
  <c r="I31" i="2"/>
  <c r="J31" i="2"/>
  <c r="E57" i="2"/>
  <c r="F57" i="2"/>
  <c r="G57" i="2"/>
  <c r="H57" i="2"/>
  <c r="I57" i="2"/>
  <c r="J57" i="2"/>
  <c r="E58" i="2"/>
  <c r="F58" i="2"/>
  <c r="G58" i="2"/>
  <c r="H58" i="2"/>
  <c r="I58" i="2"/>
  <c r="J58" i="2"/>
  <c r="E59" i="2"/>
  <c r="F59" i="2"/>
  <c r="G59" i="2"/>
  <c r="H59" i="2"/>
  <c r="I59" i="2"/>
  <c r="J59" i="2"/>
  <c r="E70" i="2"/>
  <c r="F70" i="2"/>
  <c r="G70" i="2"/>
  <c r="H70" i="2"/>
  <c r="I70" i="2"/>
  <c r="J70" i="2"/>
  <c r="E73" i="2"/>
  <c r="F73" i="2"/>
  <c r="G73" i="2"/>
  <c r="H73" i="2"/>
  <c r="I73" i="2"/>
  <c r="J73" i="2"/>
  <c r="E75" i="2"/>
  <c r="F75" i="2"/>
  <c r="G75" i="2"/>
  <c r="H75" i="2"/>
  <c r="I75" i="2"/>
  <c r="J75" i="2"/>
  <c r="E76" i="2"/>
  <c r="F76" i="2"/>
  <c r="G76" i="2"/>
  <c r="H76" i="2"/>
  <c r="I76" i="2"/>
  <c r="J76" i="2"/>
  <c r="E90" i="2"/>
  <c r="F90" i="2"/>
  <c r="G90" i="2"/>
  <c r="H90" i="2"/>
  <c r="I90" i="2"/>
  <c r="J90" i="2"/>
  <c r="E91" i="2"/>
  <c r="F91" i="2"/>
  <c r="G91" i="2"/>
  <c r="H91" i="2"/>
  <c r="I91" i="2"/>
  <c r="J91" i="2"/>
  <c r="E108" i="2"/>
  <c r="F108" i="2"/>
  <c r="G108" i="2"/>
  <c r="H108" i="2"/>
  <c r="I108" i="2"/>
  <c r="J108" i="2"/>
  <c r="E109" i="2"/>
  <c r="H109" i="2"/>
  <c r="I109" i="2"/>
  <c r="J109" i="2"/>
  <c r="E111" i="2"/>
  <c r="F111" i="2"/>
  <c r="G111" i="2"/>
  <c r="H111" i="2"/>
  <c r="I111" i="2"/>
  <c r="J111" i="2"/>
  <c r="E112" i="2"/>
  <c r="F112" i="2"/>
  <c r="G112" i="2"/>
  <c r="H112" i="2"/>
  <c r="I112" i="2"/>
  <c r="J112" i="2"/>
  <c r="E113" i="2"/>
  <c r="F113" i="2"/>
  <c r="G113" i="2"/>
  <c r="H113" i="2"/>
  <c r="I113" i="2"/>
  <c r="J113" i="2"/>
  <c r="E118" i="2"/>
  <c r="F118" i="2"/>
  <c r="G118" i="2"/>
  <c r="H118" i="2"/>
  <c r="I118" i="2"/>
  <c r="J118" i="2"/>
  <c r="E119" i="2"/>
  <c r="F119" i="2"/>
  <c r="G119" i="2"/>
  <c r="H119" i="2"/>
  <c r="I119" i="2"/>
  <c r="J119" i="2"/>
  <c r="E122" i="2"/>
  <c r="F122" i="2"/>
  <c r="G122" i="2"/>
  <c r="H122" i="2"/>
  <c r="I122" i="2"/>
  <c r="J122" i="2"/>
  <c r="E124" i="2"/>
  <c r="F124" i="2"/>
  <c r="G124" i="2"/>
  <c r="H124" i="2"/>
  <c r="I124" i="2"/>
  <c r="J124" i="2"/>
  <c r="E128" i="2"/>
  <c r="F128" i="2"/>
  <c r="G128" i="2"/>
  <c r="H128" i="2"/>
  <c r="I128" i="2"/>
  <c r="J128" i="2"/>
  <c r="E132" i="2"/>
  <c r="F132" i="2"/>
  <c r="G132" i="2"/>
  <c r="H132" i="2"/>
  <c r="I132" i="2"/>
  <c r="J132" i="2"/>
  <c r="E133" i="2"/>
  <c r="F133" i="2"/>
  <c r="G133" i="2"/>
  <c r="H133" i="2"/>
  <c r="I133" i="2"/>
  <c r="J133" i="2"/>
  <c r="E135" i="2"/>
  <c r="F135" i="2"/>
  <c r="G135" i="2"/>
  <c r="H135" i="2"/>
  <c r="I135" i="2"/>
  <c r="J135" i="2"/>
  <c r="E136" i="2"/>
  <c r="F136" i="2"/>
  <c r="G136" i="2"/>
  <c r="H136" i="2"/>
  <c r="I136" i="2"/>
  <c r="J136" i="2"/>
  <c r="E137" i="2"/>
  <c r="F137" i="2"/>
  <c r="G137" i="2"/>
  <c r="H137" i="2"/>
  <c r="I137" i="2"/>
  <c r="J137" i="2"/>
  <c r="E9" i="2"/>
  <c r="F9" i="2"/>
  <c r="G9" i="2"/>
  <c r="H9" i="2"/>
  <c r="I9" i="2"/>
  <c r="J9" i="2"/>
  <c r="E33" i="2"/>
  <c r="F33" i="2"/>
  <c r="G33" i="2"/>
  <c r="H33" i="2"/>
  <c r="I33" i="2"/>
  <c r="J33" i="2"/>
  <c r="E35" i="2"/>
  <c r="F35" i="2"/>
  <c r="G35" i="2"/>
  <c r="H35" i="2"/>
  <c r="I35" i="2"/>
  <c r="J35" i="2"/>
  <c r="E40" i="2"/>
  <c r="F40" i="2"/>
  <c r="G40" i="2"/>
  <c r="H40" i="2"/>
  <c r="I40" i="2"/>
  <c r="J40" i="2"/>
  <c r="E41" i="2"/>
  <c r="F41" i="2"/>
  <c r="G41" i="2"/>
  <c r="H41" i="2"/>
  <c r="I41" i="2"/>
  <c r="J41" i="2"/>
  <c r="E42" i="2"/>
  <c r="F42" i="2"/>
  <c r="G42" i="2"/>
  <c r="H42" i="2"/>
  <c r="I42" i="2"/>
  <c r="J42" i="2"/>
  <c r="E43" i="2"/>
  <c r="F43" i="2"/>
  <c r="G43" i="2"/>
  <c r="H43" i="2"/>
  <c r="I43" i="2"/>
  <c r="J43" i="2"/>
  <c r="E45" i="2"/>
  <c r="G45" i="2"/>
  <c r="H45" i="2"/>
  <c r="I45" i="2"/>
  <c r="J45" i="2"/>
  <c r="E52" i="2"/>
  <c r="F52" i="2"/>
  <c r="G52" i="2"/>
  <c r="H52" i="2"/>
  <c r="I52" i="2"/>
  <c r="J52" i="2"/>
  <c r="E54" i="2"/>
  <c r="F54" i="2"/>
  <c r="G54" i="2"/>
  <c r="H54" i="2"/>
  <c r="I54" i="2"/>
  <c r="J54" i="2"/>
  <c r="E78" i="2"/>
  <c r="F78" i="2"/>
  <c r="G78" i="2"/>
  <c r="H78" i="2"/>
  <c r="I78" i="2"/>
  <c r="J78" i="2"/>
  <c r="E87" i="2"/>
  <c r="F87" i="2"/>
  <c r="G87" i="2"/>
  <c r="H87" i="2"/>
  <c r="I87" i="2"/>
  <c r="J87" i="2"/>
  <c r="E96" i="2"/>
  <c r="F96" i="2"/>
  <c r="G96" i="2"/>
  <c r="H96" i="2"/>
  <c r="I96" i="2"/>
  <c r="J96" i="2"/>
  <c r="E120" i="2"/>
  <c r="F120" i="2"/>
  <c r="G120" i="2"/>
  <c r="H120" i="2"/>
  <c r="I120" i="2"/>
  <c r="J120" i="2"/>
  <c r="K109" i="2" l="1"/>
  <c r="K63" i="2"/>
  <c r="K48" i="2"/>
  <c r="K93" i="2"/>
  <c r="K83" i="2"/>
  <c r="K62" i="2"/>
  <c r="K13" i="2"/>
  <c r="K52" i="2"/>
  <c r="K42" i="2"/>
  <c r="K137" i="2"/>
  <c r="K113" i="2"/>
  <c r="N113" i="2" s="1"/>
  <c r="K90" i="2"/>
  <c r="K22" i="2"/>
  <c r="K30" i="2"/>
  <c r="K24" i="2"/>
  <c r="K94" i="2"/>
  <c r="K99" i="2"/>
  <c r="K84" i="2"/>
  <c r="K122" i="2"/>
  <c r="K70" i="2"/>
  <c r="K29" i="2"/>
  <c r="K131" i="2"/>
  <c r="K67" i="2"/>
  <c r="K44" i="2"/>
  <c r="K49" i="2"/>
  <c r="K80" i="2"/>
  <c r="K132" i="2"/>
  <c r="K57" i="2"/>
  <c r="K117" i="2"/>
  <c r="K107" i="2"/>
  <c r="K2" i="2"/>
  <c r="K72" i="2"/>
  <c r="K126" i="2"/>
  <c r="K87" i="2"/>
  <c r="K9" i="2"/>
  <c r="K124" i="2"/>
  <c r="K17" i="2"/>
  <c r="K108" i="2"/>
  <c r="K73" i="2"/>
  <c r="K18" i="2"/>
  <c r="K14" i="2"/>
  <c r="K8" i="2"/>
  <c r="K116" i="2"/>
  <c r="K106" i="2"/>
  <c r="K89" i="2"/>
  <c r="K66" i="2"/>
  <c r="K55" i="2"/>
  <c r="K36" i="2"/>
  <c r="K120" i="2"/>
  <c r="K91" i="2"/>
  <c r="K58" i="2"/>
  <c r="K27" i="2"/>
  <c r="K12" i="2"/>
  <c r="N83" i="2" s="1"/>
  <c r="K3" i="2"/>
  <c r="K98" i="2"/>
  <c r="K54" i="2"/>
  <c r="K33" i="2"/>
  <c r="K133" i="2"/>
  <c r="K130" i="2"/>
  <c r="K103" i="2"/>
  <c r="K79" i="2"/>
  <c r="K39" i="2"/>
  <c r="K71" i="2"/>
  <c r="K53" i="2"/>
  <c r="K96" i="2"/>
  <c r="K112" i="2"/>
  <c r="N112" i="2" s="1"/>
  <c r="K15" i="2"/>
  <c r="K11" i="2"/>
  <c r="K125" i="2"/>
  <c r="K102" i="2"/>
  <c r="K88" i="2"/>
  <c r="K34" i="2"/>
  <c r="K4" i="2"/>
  <c r="K75" i="2"/>
  <c r="K21" i="2"/>
  <c r="K45" i="2"/>
  <c r="K119" i="2"/>
  <c r="K31" i="2"/>
  <c r="K41" i="2"/>
  <c r="K135" i="2"/>
  <c r="K78" i="2"/>
  <c r="K40" i="2"/>
  <c r="K128" i="2"/>
  <c r="K111" i="2"/>
  <c r="N111" i="2" s="1"/>
  <c r="K59" i="2"/>
  <c r="K20" i="2"/>
  <c r="K28" i="2"/>
  <c r="K5" i="2"/>
  <c r="K114" i="2"/>
  <c r="K123" i="2"/>
  <c r="K127" i="2"/>
  <c r="K92" i="2"/>
  <c r="K95" i="2"/>
  <c r="K101" i="2"/>
  <c r="K104" i="2"/>
  <c r="K77" i="2"/>
  <c r="K81" i="2"/>
  <c r="N42" i="2" s="1"/>
  <c r="K86" i="2"/>
  <c r="K60" i="2"/>
  <c r="K65" i="2"/>
  <c r="K68" i="2"/>
  <c r="K32" i="2"/>
  <c r="K37" i="2"/>
  <c r="K50" i="2"/>
  <c r="K47" i="2"/>
  <c r="K26" i="2"/>
  <c r="K136" i="2"/>
  <c r="K76" i="2"/>
  <c r="N106" i="2" s="1"/>
  <c r="K16" i="2"/>
  <c r="K35" i="2"/>
  <c r="K19" i="2"/>
  <c r="K6" i="2"/>
  <c r="K115" i="2"/>
  <c r="K121" i="2"/>
  <c r="K129" i="2"/>
  <c r="K134" i="2"/>
  <c r="K97" i="2"/>
  <c r="K100" i="2"/>
  <c r="K105" i="2"/>
  <c r="K110" i="2"/>
  <c r="K82" i="2"/>
  <c r="K85" i="2"/>
  <c r="K61" i="2"/>
  <c r="K64" i="2"/>
  <c r="K69" i="2"/>
  <c r="K74" i="2"/>
  <c r="K38" i="2"/>
  <c r="K51" i="2"/>
  <c r="K46" i="2"/>
  <c r="K56" i="2"/>
  <c r="K43" i="2"/>
  <c r="N130" i="2" s="1"/>
  <c r="K118" i="2"/>
  <c r="K23" i="2"/>
  <c r="K25" i="2"/>
  <c r="N122" i="2" l="1"/>
  <c r="N24" i="2"/>
  <c r="N93" i="2"/>
  <c r="N66" i="2"/>
  <c r="N41" i="2"/>
  <c r="N13" i="2"/>
  <c r="N20" i="2"/>
  <c r="N19" i="2"/>
  <c r="N98" i="2"/>
  <c r="N25" i="2"/>
  <c r="N30" i="2"/>
  <c r="N62" i="2"/>
  <c r="N131" i="2"/>
  <c r="N73" i="2"/>
  <c r="N132" i="2"/>
  <c r="N15" i="2"/>
  <c r="N26" i="2"/>
  <c r="N58" i="2"/>
  <c r="N48" i="2"/>
  <c r="N8" i="2"/>
  <c r="N9" i="2"/>
  <c r="N137" i="2"/>
  <c r="N102" i="2"/>
  <c r="N107" i="2"/>
  <c r="N38" i="2"/>
  <c r="N37" i="2"/>
  <c r="N108" i="2"/>
  <c r="N74" i="2"/>
  <c r="N134" i="2"/>
  <c r="N3" i="2"/>
  <c r="N136" i="2"/>
  <c r="N88" i="2"/>
  <c r="N67" i="2"/>
  <c r="N55" i="2"/>
  <c r="N125" i="2"/>
  <c r="N121" i="2"/>
  <c r="N23" i="2"/>
  <c r="N17" i="2"/>
  <c r="N133" i="2"/>
  <c r="N59" i="2"/>
  <c r="N22" i="2"/>
  <c r="N21" i="2"/>
  <c r="N63" i="2"/>
  <c r="N29" i="2"/>
  <c r="N61" i="2"/>
  <c r="N80" i="2"/>
  <c r="N85" i="2"/>
  <c r="N117" i="2"/>
  <c r="N100" i="2"/>
  <c r="N60" i="2"/>
  <c r="N114" i="2"/>
  <c r="N89" i="2"/>
  <c r="N12" i="2"/>
  <c r="N129" i="2"/>
  <c r="N110" i="2"/>
  <c r="N14" i="2"/>
  <c r="N77" i="2"/>
  <c r="N49" i="2"/>
  <c r="N94" i="2"/>
  <c r="N18" i="2"/>
  <c r="N50" i="2"/>
  <c r="N86" i="2"/>
  <c r="N128" i="2"/>
  <c r="N36" i="2"/>
  <c r="N56" i="2"/>
  <c r="N6" i="2"/>
  <c r="N104" i="2"/>
  <c r="N75" i="2"/>
  <c r="N27" i="2"/>
  <c r="N81" i="2"/>
  <c r="N84" i="2"/>
  <c r="N78" i="2"/>
  <c r="N82" i="2"/>
  <c r="N54" i="2"/>
  <c r="N126" i="2"/>
  <c r="N53" i="2"/>
  <c r="N95" i="2"/>
  <c r="N99" i="2"/>
  <c r="N52" i="2"/>
  <c r="N16" i="2"/>
  <c r="N76" i="2"/>
  <c r="N28" i="2"/>
  <c r="N109" i="2"/>
  <c r="N47" i="2"/>
  <c r="N91" i="2"/>
  <c r="N32" i="2"/>
  <c r="N46" i="2"/>
  <c r="N45" i="2"/>
  <c r="N57" i="2"/>
  <c r="N90" i="2"/>
  <c r="N115" i="2"/>
  <c r="N68" i="2"/>
  <c r="N44" i="2"/>
  <c r="N35" i="2"/>
  <c r="N92" i="2"/>
  <c r="N71" i="2"/>
  <c r="N87" i="2"/>
  <c r="N97" i="2"/>
  <c r="N40" i="2"/>
  <c r="N51" i="2"/>
  <c r="N103" i="2"/>
  <c r="N33" i="2"/>
  <c r="N65" i="2"/>
  <c r="N34" i="2"/>
  <c r="N118" i="2"/>
  <c r="N96" i="2"/>
  <c r="N64" i="2"/>
  <c r="N101" i="2"/>
  <c r="N72" i="2"/>
  <c r="N124" i="2"/>
  <c r="N119" i="2"/>
  <c r="N116" i="2"/>
  <c r="N11" i="2"/>
  <c r="N5" i="2"/>
  <c r="N70" i="2"/>
  <c r="N4" i="2"/>
  <c r="N69" i="2"/>
  <c r="N127" i="2"/>
  <c r="N105" i="2"/>
  <c r="N120" i="2"/>
  <c r="N79" i="2"/>
  <c r="N135" i="2"/>
  <c r="N43" i="2"/>
  <c r="N39" i="2"/>
  <c r="N123" i="2"/>
  <c r="N31" i="2"/>
  <c r="E7" i="2"/>
  <c r="E138" i="2" s="1"/>
  <c r="F7" i="2"/>
  <c r="F138" i="2" s="1"/>
  <c r="G7" i="2"/>
  <c r="G138" i="2" s="1"/>
  <c r="H7" i="2"/>
  <c r="H138" i="2" s="1"/>
  <c r="I7" i="2"/>
  <c r="I138" i="2" s="1"/>
  <c r="J7" i="2"/>
  <c r="J138" i="2" s="1"/>
  <c r="K7" i="2" l="1"/>
  <c r="K138" i="2" l="1"/>
  <c r="N7" i="2"/>
  <c r="M2" i="2"/>
  <c r="N2" i="2" l="1"/>
  <c r="K159" i="2" l="1"/>
  <c r="K160" i="2" s="1"/>
  <c r="H147" i="8" l="1"/>
  <c r="M82" i="11" l="1"/>
  <c r="N98" i="11" l="1"/>
  <c r="N100" i="11"/>
  <c r="O100" i="11" s="1"/>
  <c r="P100" i="11" s="1"/>
  <c r="N99" i="11"/>
  <c r="O99" i="11" s="1"/>
  <c r="P99" i="11" s="1"/>
  <c r="O98" i="11" l="1"/>
  <c r="O102" i="11" s="1"/>
  <c r="O103" i="11" s="1"/>
  <c r="N102" i="11"/>
  <c r="N103" i="11" s="1"/>
  <c r="P98" i="11" l="1"/>
  <c r="P102" i="11" s="1"/>
  <c r="P103" i="11" s="1"/>
  <c r="D155" i="6" l="1"/>
  <c r="H155" i="6" s="1"/>
  <c r="D151" i="6"/>
  <c r="H151" i="6" s="1"/>
  <c r="D156" i="8" l="1"/>
  <c r="I156" i="8" s="1"/>
  <c r="H156" i="8" s="1"/>
  <c r="D156" i="11"/>
  <c r="I156" i="11" s="1"/>
  <c r="D152" i="11"/>
  <c r="I152" i="11" s="1"/>
  <c r="D152" i="8"/>
  <c r="I152" i="8" s="1"/>
  <c r="H157" i="6"/>
  <c r="G151" i="6"/>
  <c r="G155" i="6"/>
  <c r="H152" i="8" l="1"/>
  <c r="H158" i="8" s="1"/>
  <c r="I158" i="8"/>
  <c r="H156" i="11"/>
  <c r="J155" i="6"/>
  <c r="K155" i="6" s="1"/>
  <c r="J151" i="6"/>
  <c r="H152" i="11"/>
  <c r="H158" i="11" s="1"/>
  <c r="I158" i="11"/>
  <c r="G157" i="6"/>
  <c r="H158" i="6"/>
  <c r="G158" i="6" s="1"/>
  <c r="F158" i="6" s="1"/>
  <c r="G163" i="6" l="1"/>
  <c r="G164" i="6" s="1"/>
  <c r="H159" i="8"/>
  <c r="I159" i="8"/>
  <c r="H163" i="6"/>
  <c r="H164" i="6" s="1"/>
  <c r="H159" i="11"/>
  <c r="J159" i="11" s="1"/>
  <c r="G160" i="6"/>
  <c r="I159" i="11"/>
  <c r="H160" i="6"/>
  <c r="H161" i="6" s="1"/>
  <c r="J157" i="6"/>
  <c r="K151" i="6"/>
  <c r="K157" i="6"/>
  <c r="G161" i="6"/>
  <c r="J159" i="8" l="1"/>
</calcChain>
</file>

<file path=xl/sharedStrings.xml><?xml version="1.0" encoding="utf-8"?>
<sst xmlns="http://schemas.openxmlformats.org/spreadsheetml/2006/main" count="4170" uniqueCount="1127">
  <si>
    <t>Co Code</t>
  </si>
  <si>
    <t>Func Loc</t>
  </si>
  <si>
    <t>FERC</t>
  </si>
  <si>
    <t>FERC Desc</t>
  </si>
  <si>
    <t>Beg Bal</t>
  </si>
  <si>
    <t>Provisions</t>
  </si>
  <si>
    <t>Retirements</t>
  </si>
  <si>
    <t>COR</t>
  </si>
  <si>
    <t>Salvage</t>
  </si>
  <si>
    <t>Transfers</t>
  </si>
  <si>
    <t>End Bal</t>
  </si>
  <si>
    <t>5000</t>
  </si>
  <si>
    <t>1000</t>
  </si>
  <si>
    <t>303.4</t>
  </si>
  <si>
    <t>CRMS</t>
  </si>
  <si>
    <t>303.1</t>
  </si>
  <si>
    <t>COMPUTER SOFTWARE</t>
  </si>
  <si>
    <t>1002</t>
  </si>
  <si>
    <t>311</t>
  </si>
  <si>
    <t>P P OTHER-LIQUEFIED PETROLE</t>
  </si>
  <si>
    <t>1003</t>
  </si>
  <si>
    <t>357</t>
  </si>
  <si>
    <t>OTHER EQUIPMENT</t>
  </si>
  <si>
    <t>356</t>
  </si>
  <si>
    <t>PURIFICATION EQUIPMENT</t>
  </si>
  <si>
    <t>355</t>
  </si>
  <si>
    <t>MEASURING / REGULATING EQUIPM</t>
  </si>
  <si>
    <t>354</t>
  </si>
  <si>
    <t>COMPRESSOR STATION EQUIPMENT</t>
  </si>
  <si>
    <t>353</t>
  </si>
  <si>
    <t>LINES</t>
  </si>
  <si>
    <t>352.3</t>
  </si>
  <si>
    <t>NON-RECOVERABLE NATURAL GAS</t>
  </si>
  <si>
    <t>352.2</t>
  </si>
  <si>
    <t>RESERVOIRS</t>
  </si>
  <si>
    <t>352.1</t>
  </si>
  <si>
    <t>STORAGE LEASEHOLD &amp; RIGHTS</t>
  </si>
  <si>
    <t>352</t>
  </si>
  <si>
    <t>WELLS</t>
  </si>
  <si>
    <t>351</t>
  </si>
  <si>
    <t>STRUCTURES AND IMPROVEMENTS</t>
  </si>
  <si>
    <t>350.2</t>
  </si>
  <si>
    <t>RIGHTS-OF-WAY</t>
  </si>
  <si>
    <t>1004</t>
  </si>
  <si>
    <t>363.5</t>
  </si>
  <si>
    <t>CNG REFUELING FACILITIES</t>
  </si>
  <si>
    <t>363.42</t>
  </si>
  <si>
    <t>MEASURING &amp; REGULATING EQU</t>
  </si>
  <si>
    <t>363.41</t>
  </si>
  <si>
    <t>363.32</t>
  </si>
  <si>
    <t>COMPRESSOR EQUIPMENT - NE</t>
  </si>
  <si>
    <t>363.31</t>
  </si>
  <si>
    <t>COMPRESSOR EQUIP - LINNTON</t>
  </si>
  <si>
    <t>363.22</t>
  </si>
  <si>
    <t>VAPORIZING EQUIP - NEWPORT</t>
  </si>
  <si>
    <t>363.21</t>
  </si>
  <si>
    <t>VAPORIZING EQUIP - LINNTON</t>
  </si>
  <si>
    <t>363.12</t>
  </si>
  <si>
    <t>LIQUEFACTION EQUIP - NEWPO</t>
  </si>
  <si>
    <t>363.11</t>
  </si>
  <si>
    <t>LIQUEFACTION EQUIP. - LINN</t>
  </si>
  <si>
    <t>362.2</t>
  </si>
  <si>
    <t>GAS HOLDERS - LNG OTHER</t>
  </si>
  <si>
    <t>362.12</t>
  </si>
  <si>
    <t>GAS HOLDERS - LNG NEWPORT</t>
  </si>
  <si>
    <t>362.11</t>
  </si>
  <si>
    <t>GAS HOLDERS - LNG LINNTON</t>
  </si>
  <si>
    <t>361.2</t>
  </si>
  <si>
    <t>STRUCTURES &amp; IMPROVEMENTS -</t>
  </si>
  <si>
    <t>361.12</t>
  </si>
  <si>
    <t>STRUCTURES &amp; IMPROVEMENTS</t>
  </si>
  <si>
    <t>361.11</t>
  </si>
  <si>
    <t>1005</t>
  </si>
  <si>
    <t>369</t>
  </si>
  <si>
    <t>MEASURING &amp; REGULATE STATION</t>
  </si>
  <si>
    <t>368</t>
  </si>
  <si>
    <t>TRANSMISSION COMPRESSOR</t>
  </si>
  <si>
    <t>367.26</t>
  </si>
  <si>
    <t>38M NORTH S MIST TRANS</t>
  </si>
  <si>
    <t>367.25</t>
  </si>
  <si>
    <t>12M NORTH S MIST TRANS</t>
  </si>
  <si>
    <t>367.24</t>
  </si>
  <si>
    <t>11.7M S MIST TRANS LINE</t>
  </si>
  <si>
    <t>367.23</t>
  </si>
  <si>
    <t>SOUTH MIST TRANSMISSION LI</t>
  </si>
  <si>
    <t>367.22</t>
  </si>
  <si>
    <t>367.21</t>
  </si>
  <si>
    <t>NORTH MIST TRANSMISSION LI</t>
  </si>
  <si>
    <t>367</t>
  </si>
  <si>
    <t>MAINS</t>
  </si>
  <si>
    <t>366.3</t>
  </si>
  <si>
    <t>365.2</t>
  </si>
  <si>
    <t>LAND RIGHTS</t>
  </si>
  <si>
    <t>1006</t>
  </si>
  <si>
    <t>387.1</t>
  </si>
  <si>
    <t>CATHODIC PROTECTION TESTING</t>
  </si>
  <si>
    <t>383</t>
  </si>
  <si>
    <t>HOUSE REGULATORS</t>
  </si>
  <si>
    <t>382.2</t>
  </si>
  <si>
    <t>ERT INSTALLATION (ENCODER</t>
  </si>
  <si>
    <t>382.1</t>
  </si>
  <si>
    <t>METER INSTALLATIONS (ELECTR</t>
  </si>
  <si>
    <t>382</t>
  </si>
  <si>
    <t>METER INSTALLATIONS</t>
  </si>
  <si>
    <t>381.2</t>
  </si>
  <si>
    <t>ERT (ENCODER RECEIVER TRANS</t>
  </si>
  <si>
    <t>381.1</t>
  </si>
  <si>
    <t>METERS (ELECTRONIC)</t>
  </si>
  <si>
    <t>381</t>
  </si>
  <si>
    <t>METERS</t>
  </si>
  <si>
    <t>380</t>
  </si>
  <si>
    <t>SERVICES</t>
  </si>
  <si>
    <t>379</t>
  </si>
  <si>
    <t>MEASURING &amp; REG EQUIP - GATE</t>
  </si>
  <si>
    <t>378</t>
  </si>
  <si>
    <t>MEASURING &amp; REG EQUIP - GENER</t>
  </si>
  <si>
    <t>377</t>
  </si>
  <si>
    <t>376.12</t>
  </si>
  <si>
    <t>MAINS 4" &amp; &gt;</t>
  </si>
  <si>
    <t>376.11</t>
  </si>
  <si>
    <t>MAINS &lt; 4"</t>
  </si>
  <si>
    <t>375</t>
  </si>
  <si>
    <t>374.2</t>
  </si>
  <si>
    <t>1007</t>
  </si>
  <si>
    <t>398.3</t>
  </si>
  <si>
    <t>JANITORIAL EQUIPMENT</t>
  </si>
  <si>
    <t>398.2</t>
  </si>
  <si>
    <t>KITCHEN EQUIPMENT</t>
  </si>
  <si>
    <t>397.5</t>
  </si>
  <si>
    <t>TELEPHONE EQUIPMENT</t>
  </si>
  <si>
    <t>397.4</t>
  </si>
  <si>
    <t>TELEMETERING - MICROWAVE</t>
  </si>
  <si>
    <t>397.3</t>
  </si>
  <si>
    <t>TELEMETERING - OTHER</t>
  </si>
  <si>
    <t>397.2</t>
  </si>
  <si>
    <t>OTHER THAN MOBILE &amp; TELEMET</t>
  </si>
  <si>
    <t>397.1</t>
  </si>
  <si>
    <t>MOBILE</t>
  </si>
  <si>
    <t>397</t>
  </si>
  <si>
    <t>GEN PLANT-COMMUNICATION EQU</t>
  </si>
  <si>
    <t>396</t>
  </si>
  <si>
    <t>POWER OPERATED EQUIPMENT</t>
  </si>
  <si>
    <t>394</t>
  </si>
  <si>
    <t>TOOLS - SHOP &amp; GARAGE EQUIPUI</t>
  </si>
  <si>
    <t>392</t>
  </si>
  <si>
    <t>TRANSPORTATION EQUIPMENT</t>
  </si>
  <si>
    <t>391.4</t>
  </si>
  <si>
    <t>CUSTOMER INFORMATION SYSTEM</t>
  </si>
  <si>
    <t>391.3</t>
  </si>
  <si>
    <t>ON SITE BILLING</t>
  </si>
  <si>
    <t>391.2</t>
  </si>
  <si>
    <t>COMPUTERS</t>
  </si>
  <si>
    <t>391.1</t>
  </si>
  <si>
    <t>OFFICE FURNITURE &amp; EQUIPMEN</t>
  </si>
  <si>
    <t>390.1</t>
  </si>
  <si>
    <t>SOURCE CONTROL PLANT</t>
  </si>
  <si>
    <t>390</t>
  </si>
  <si>
    <t>301</t>
  </si>
  <si>
    <t>ORGANIZATION</t>
  </si>
  <si>
    <t>302</t>
  </si>
  <si>
    <t>FRANCHISES &amp; CONSENTS</t>
  </si>
  <si>
    <t>303.2</t>
  </si>
  <si>
    <t>303.3</t>
  </si>
  <si>
    <t>INDUSTRIAL &amp; COMMERCIAL BIL</t>
  </si>
  <si>
    <t>303.5</t>
  </si>
  <si>
    <t>POWERPLANT SOFTWARE</t>
  </si>
  <si>
    <t>1001</t>
  </si>
  <si>
    <t>304.1</t>
  </si>
  <si>
    <t>LAND</t>
  </si>
  <si>
    <t>305.11</t>
  </si>
  <si>
    <t>GAS PRODUCTION - COTTAGE G</t>
  </si>
  <si>
    <t>305.17</t>
  </si>
  <si>
    <t>STRUCTURES MIXING STATION</t>
  </si>
  <si>
    <t>305.2</t>
  </si>
  <si>
    <t>P P O G STRU &amp; IMPR-SEWER S</t>
  </si>
  <si>
    <t>305.5</t>
  </si>
  <si>
    <t>P P O G STRU &amp; IMPR-OTHER Y</t>
  </si>
  <si>
    <t>311.4</t>
  </si>
  <si>
    <t>P P OTHER-L P G GRANGER</t>
  </si>
  <si>
    <t>311.7</t>
  </si>
  <si>
    <t>LIQUIFIED GAS EQUIPMENT COO</t>
  </si>
  <si>
    <t>311.8</t>
  </si>
  <si>
    <t>LIQUIFIED GAS EQUIPMENT LIN</t>
  </si>
  <si>
    <t>312.3</t>
  </si>
  <si>
    <t>P P O G FUEL HANDLING AND S</t>
  </si>
  <si>
    <t>318.3</t>
  </si>
  <si>
    <t>P P O G LIGHT OIL REFINING</t>
  </si>
  <si>
    <t>318.5</t>
  </si>
  <si>
    <t>P P O G TAR PROCESSING</t>
  </si>
  <si>
    <t>319</t>
  </si>
  <si>
    <t>GAS MIXING EQUIPMENT GASCO</t>
  </si>
  <si>
    <t>325</t>
  </si>
  <si>
    <t>NATURAL GAS PROD AND GATHER</t>
  </si>
  <si>
    <t>327</t>
  </si>
  <si>
    <t>NATURAL GAS PROD &amp; GATHERIN</t>
  </si>
  <si>
    <t>328</t>
  </si>
  <si>
    <t>331</t>
  </si>
  <si>
    <t>332</t>
  </si>
  <si>
    <t>333</t>
  </si>
  <si>
    <t>334</t>
  </si>
  <si>
    <t>350.1</t>
  </si>
  <si>
    <t>360.11</t>
  </si>
  <si>
    <t>LAND - LNG LINNTON</t>
  </si>
  <si>
    <t>360.12</t>
  </si>
  <si>
    <t>LAND - LNG NEWPORT</t>
  </si>
  <si>
    <t>360.2</t>
  </si>
  <si>
    <t>LAND - OTHER</t>
  </si>
  <si>
    <t>363.6</t>
  </si>
  <si>
    <t>LNG REFUELING FACILITIES</t>
  </si>
  <si>
    <t>365.1</t>
  </si>
  <si>
    <t>370</t>
  </si>
  <si>
    <t>COMMUNICATION EQUIPMENT</t>
  </si>
  <si>
    <t>374.1</t>
  </si>
  <si>
    <t>386</t>
  </si>
  <si>
    <t>OTHER PROPERTY ON CUSTOMERS P</t>
  </si>
  <si>
    <t>387.2</t>
  </si>
  <si>
    <t>CALORIMETERS @ GATE STATIONS</t>
  </si>
  <si>
    <t>387.3</t>
  </si>
  <si>
    <t>METER TESTING EQUIPMENT</t>
  </si>
  <si>
    <t>389</t>
  </si>
  <si>
    <t>393</t>
  </si>
  <si>
    <t>STORES EQUIPMENT</t>
  </si>
  <si>
    <t>395</t>
  </si>
  <si>
    <t>LABORATORY EQUIPMENT</t>
  </si>
  <si>
    <t>398</t>
  </si>
  <si>
    <t>GEN PLANT-MISCELLANEOUS EQU</t>
  </si>
  <si>
    <t>398.1</t>
  </si>
  <si>
    <t>PRINT SHOP</t>
  </si>
  <si>
    <t>398.4</t>
  </si>
  <si>
    <t>INSTALLED IN LEASED BUILDINGS</t>
  </si>
  <si>
    <t>398.5</t>
  </si>
  <si>
    <t>OTHER MISCELLANEOUS EQUIPMENT</t>
  </si>
  <si>
    <t>Ending Balance Test</t>
  </si>
  <si>
    <t>Difference</t>
  </si>
  <si>
    <t>354.1</t>
  </si>
  <si>
    <t>RECIP TURBINE #1</t>
  </si>
  <si>
    <t>354.2</t>
  </si>
  <si>
    <t>RECIP TURBINE #2</t>
  </si>
  <si>
    <t>354.3</t>
  </si>
  <si>
    <t>GAS FIRE TURBINE #1</t>
  </si>
  <si>
    <t>354.4</t>
  </si>
  <si>
    <t>GAS FIRE TURBINE #2</t>
  </si>
  <si>
    <t>354.6</t>
  </si>
  <si>
    <t>GF Turb #2 '15 Rebuild</t>
  </si>
  <si>
    <t/>
  </si>
  <si>
    <t>386.1</t>
  </si>
  <si>
    <t>MULTI-FAMILY METER ROOMS</t>
  </si>
  <si>
    <t>303.6</t>
  </si>
  <si>
    <t>NMEP COMPUTER SOFTWARE</t>
  </si>
  <si>
    <t>350.3</t>
  </si>
  <si>
    <t>NMEP RIGHTS-OF-WAY</t>
  </si>
  <si>
    <t>351.1</t>
  </si>
  <si>
    <t>NMEP STRUCTURES AND IMPROVEMENTS</t>
  </si>
  <si>
    <t>352.4</t>
  </si>
  <si>
    <t>NMEP WELLS</t>
  </si>
  <si>
    <t>352.5</t>
  </si>
  <si>
    <t>NMEP STORAGE LEASEHOLD &amp; RIGHTS</t>
  </si>
  <si>
    <t>352.6</t>
  </si>
  <si>
    <t>NMEP RESERVOIRS</t>
  </si>
  <si>
    <t>352.7</t>
  </si>
  <si>
    <t>NMEP NON-RECOVERABLE NATURAL GAS</t>
  </si>
  <si>
    <t>353.1</t>
  </si>
  <si>
    <t>NMEP LINES</t>
  </si>
  <si>
    <t>354.7</t>
  </si>
  <si>
    <t>NMEP COMPRESSOR STATION EQUIPMENT</t>
  </si>
  <si>
    <t>355.1</t>
  </si>
  <si>
    <t>NMEP MEASURING / REGULATING EQUIPMENT</t>
  </si>
  <si>
    <t>365.3</t>
  </si>
  <si>
    <t>NMEP LAND RIGHTS</t>
  </si>
  <si>
    <t>367.27</t>
  </si>
  <si>
    <t>NMEP MAINS</t>
  </si>
  <si>
    <t>376.13</t>
  </si>
  <si>
    <t>NMEP MAINS HP 4" &amp; &gt;</t>
  </si>
  <si>
    <t>391.5</t>
  </si>
  <si>
    <t>NMEP COMPUTERS</t>
  </si>
  <si>
    <t>303.7</t>
  </si>
  <si>
    <t>CLOUD-BASED SOFTWARE</t>
  </si>
  <si>
    <t>Bal 09/30/2019</t>
  </si>
  <si>
    <t>Bal 09/30/2020</t>
  </si>
  <si>
    <t>2020 Washington Rate Case</t>
  </si>
  <si>
    <t>SYSTEM</t>
  </si>
  <si>
    <t>OR</t>
  </si>
  <si>
    <t>WA</t>
  </si>
  <si>
    <t>Check</t>
  </si>
  <si>
    <t>Category</t>
  </si>
  <si>
    <t>Intangible Other</t>
  </si>
  <si>
    <t>Intangible Software</t>
  </si>
  <si>
    <t>Production</t>
  </si>
  <si>
    <t>Storage and Storage Transmission</t>
  </si>
  <si>
    <t>CNG and LNG Refueling</t>
  </si>
  <si>
    <t>Transmission</t>
  </si>
  <si>
    <t>Distribution</t>
  </si>
  <si>
    <t>Land</t>
  </si>
  <si>
    <t>Structures</t>
  </si>
  <si>
    <t>General</t>
  </si>
  <si>
    <t>Storage and storage transmission</t>
  </si>
  <si>
    <t>System</t>
  </si>
  <si>
    <t>Total Depreciation Expense - Washington Allocated</t>
  </si>
  <si>
    <t>Customers All</t>
  </si>
  <si>
    <t>Direct</t>
  </si>
  <si>
    <t>3-Factor</t>
  </si>
  <si>
    <t>Firm Volumes</t>
  </si>
  <si>
    <t xml:space="preserve">Land </t>
  </si>
  <si>
    <t>Per Alloc</t>
  </si>
  <si>
    <t>(A)</t>
  </si>
  <si>
    <t>(A) Includes SMPE $33M Adjustment</t>
  </si>
  <si>
    <t>GROSS PLANT</t>
  </si>
  <si>
    <t>FERC Acct.</t>
  </si>
  <si>
    <t>FERC Description</t>
  </si>
  <si>
    <t>AMA</t>
  </si>
  <si>
    <t>New Deprec Rate</t>
  </si>
  <si>
    <t>Depreciation Exp</t>
  </si>
  <si>
    <t>VAR</t>
  </si>
  <si>
    <t>N. Mist</t>
  </si>
  <si>
    <t>NORTH MIST</t>
  </si>
  <si>
    <t>Adjust OR by</t>
  </si>
  <si>
    <t>Exclude</t>
  </si>
  <si>
    <t>NWN Income Statement (Hierarchy)</t>
  </si>
  <si>
    <t>Run Date: 10-26-20</t>
  </si>
  <si>
    <t>OCT 2019  ACTUAL AMOUNT (A)</t>
  </si>
  <si>
    <t>NOV 2019  ACTUAL AMOUNT (A)</t>
  </si>
  <si>
    <t>DEC 2019  ACTUAL AMOUNT (A)</t>
  </si>
  <si>
    <t>JAN 2020  ACTUAL AMOUNT (A)</t>
  </si>
  <si>
    <t>FEB 2020  ACTUAL AMOUNT (A)</t>
  </si>
  <si>
    <t>MAR 2020  ACTUAL AMOUNT (A)</t>
  </si>
  <si>
    <t>APR 2020  ACTUAL AMOUNT (A)</t>
  </si>
  <si>
    <t>MAY 2020  ACTUAL AMOUNT (A)</t>
  </si>
  <si>
    <t>JUN 2020  ACTUAL AMOUNT (A)</t>
  </si>
  <si>
    <t>JUL 2020  ACTUAL AMOUNT (A)</t>
  </si>
  <si>
    <t>AUG 2020  ACTUAL AMOUNT (A)</t>
  </si>
  <si>
    <t>SEP 2020  ACTUAL AMOUNT (A)</t>
  </si>
  <si>
    <t>Test Year</t>
  </si>
  <si>
    <t>Order</t>
  </si>
  <si>
    <t>$</t>
  </si>
  <si>
    <t>NWN Regulatory Income Statement</t>
  </si>
  <si>
    <t>Net Income</t>
  </si>
  <si>
    <t>Pretax Income</t>
  </si>
  <si>
    <t>Operating Income</t>
  </si>
  <si>
    <t>Operating Revenue</t>
  </si>
  <si>
    <t>Gas Sales Residential</t>
  </si>
  <si>
    <t>GAS SALES - RES - FRANCHISE 2%</t>
  </si>
  <si>
    <t>GAS SALES - RES-GAS SALES</t>
  </si>
  <si>
    <t>GAS SALES - RES-WARM ADJUSTMENT</t>
  </si>
  <si>
    <t>GAS SALES - MULTI FAM - SCHEDULE 4</t>
  </si>
  <si>
    <t>Gas Sales Commercial/Industrial</t>
  </si>
  <si>
    <t>GAS SALES - COML - Franchise 2%</t>
  </si>
  <si>
    <t>GAS SALES - IND - Franchise 2%</t>
  </si>
  <si>
    <t>GAS SALES - COML &amp; IND-GAS SALES</t>
  </si>
  <si>
    <t>GAS SALES - COML &amp; IND-WARM ADJUSTMENT</t>
  </si>
  <si>
    <t>Unbilled Revenue</t>
  </si>
  <si>
    <t>Other Gas Revenues - Unbilled WARM Amort</t>
  </si>
  <si>
    <t>Other Gas Rev - Unbilled Decoup Amort</t>
  </si>
  <si>
    <t>OTHER GAS REVENUES-WARM ADJUSTMENT</t>
  </si>
  <si>
    <t>OTHER GAS REVENUES-P/M WARM ADJUSTMENT</t>
  </si>
  <si>
    <t>OTHER GAS REVENUES-UNBILLED REVS-BILLING</t>
  </si>
  <si>
    <t>OTHER GAS REVENUES-P/M UNBILLED REVS-BIL</t>
  </si>
  <si>
    <t>OTHER GAS REV-UNBILLED REV-FRANCHISE 2%</t>
  </si>
  <si>
    <t>OTHER GAS REVENUES-UNBILLED REVS-TEMP IN</t>
  </si>
  <si>
    <t>Transportation Revenue</t>
  </si>
  <si>
    <t>Gas Sales - TRANS - Franchise 2%</t>
  </si>
  <si>
    <t>REV-GAS STORAGE-N. MIST LEASE COMP BILL</t>
  </si>
  <si>
    <t>REV-GAS STORAGE-N. MIST NON-L COMP BILL</t>
  </si>
  <si>
    <t>REV-GAS STORAGE-N. MIST LEASE COMP UNBLL</t>
  </si>
  <si>
    <t>REV-GAS STORAGE-N. MIST NON-L COMP UNBLL</t>
  </si>
  <si>
    <t>TRANSPORTATION REVENUES-TRANSPORTATION R</t>
  </si>
  <si>
    <t>Rate Adjustments</t>
  </si>
  <si>
    <t>OTHER GAS REVENUES-Tax reform deferral</t>
  </si>
  <si>
    <t>OTHER GAS REVENUES-INST STRG O&amp;M EXPENSE</t>
  </si>
  <si>
    <t>OTHER GAS REVENUES-HQ PARKING NWN</t>
  </si>
  <si>
    <t>EARNINGS TEST ADJUSTMENT</t>
  </si>
  <si>
    <t>OTHER GAS REVENUES-COOS BAY AMORTIZATION</t>
  </si>
  <si>
    <t>OTHER GAS REVENUES-DECOUPLING DEFERRAL</t>
  </si>
  <si>
    <t>OTHER GAS REVENUES-DECOUPLING AMORTIZATI</t>
  </si>
  <si>
    <t>OTHER GAS REVENUES-DSM - AMORTIZATION</t>
  </si>
  <si>
    <t>OTHER GAS REVENUES-WARM DEFERRALS</t>
  </si>
  <si>
    <t>OTHER GAS REVENUES-WARM AMORTIZATION</t>
  </si>
  <si>
    <t>OTHER GAS REVENUES-INTERVENER FUND AMORT</t>
  </si>
  <si>
    <t>Residual Amortization</t>
  </si>
  <si>
    <t>OTHER GAS REVENUES-OREGON AMOR</t>
  </si>
  <si>
    <t>OTHER GAS REV - ALBANY PROP GAIN - AMORT</t>
  </si>
  <si>
    <t>OTHER GAS REVENUES-WA GREAT</t>
  </si>
  <si>
    <t>OTHER GAS REVENUES-WA ENG EFF ACT COSTS</t>
  </si>
  <si>
    <t>OTHER GAS REVENUES-WA ENG EFF TRUE UP</t>
  </si>
  <si>
    <t>Gasco Cost of Service Reserve</t>
  </si>
  <si>
    <t>OTHER GAS REV-OR REV REQ TRUE-UP</t>
  </si>
  <si>
    <t>GRC REVENUE INCREASE</t>
  </si>
  <si>
    <t>Miscellaneous Revenues</t>
  </si>
  <si>
    <t>FORFEITED DISCOUNTS-LATE PAYMENT CHARGE</t>
  </si>
  <si>
    <t>MISC SERV REV- Scheduled CNG Main Rev</t>
  </si>
  <si>
    <t>MISC SERV REV- Unscheduled CNG Main Rev</t>
  </si>
  <si>
    <t>MISC SERVICE REVENUES-AUTOMATED PAYMENT</t>
  </si>
  <si>
    <t>MISC SERVICE REVENUES-FIELD COLLECTION C</t>
  </si>
  <si>
    <t>MISC SERVICE REVENUES-GAS DIVERSIONS</t>
  </si>
  <si>
    <t>MISC SERVICE REVENUES-RECONN CHG-CR-AFTE</t>
  </si>
  <si>
    <t>MISC SERVICE REVENUES-RECONN CHG-CR-DURI</t>
  </si>
  <si>
    <t>MISC SERVICE REVENUES-RECONN CHG-SEAS-AF</t>
  </si>
  <si>
    <t>MISC SERVICE REVENUES-RECONN CHG-SEAS-DU</t>
  </si>
  <si>
    <t>MISC SERVICE REVENUES-DELINQ RECONN FEE</t>
  </si>
  <si>
    <t>MISC SERVICE REVENUES-SEAS RECONN FEE</t>
  </si>
  <si>
    <t>MISC SERVICE REVENUES-RETURNED CHECK CHA</t>
  </si>
  <si>
    <t>MISC SERVICE REVENUES-SUMMARY BILL SVCS</t>
  </si>
  <si>
    <t>RENT FROM GAS PROP - Schedule H CNG Reve</t>
  </si>
  <si>
    <t>RENT FROM GAS PROPERTY-RENT - UTILITY PR</t>
  </si>
  <si>
    <t>RENT FROM GAS PROP-RENT INC - ST. HONORE</t>
  </si>
  <si>
    <t>OTHER GAS REVENUES-METER RENTALS</t>
  </si>
  <si>
    <t>OTHER GAS REVENUES-CNG METER RENTALS</t>
  </si>
  <si>
    <t>OTHER GAS REV-LNG SALES &amp; OTHER MISC REV</t>
  </si>
  <si>
    <t>OTHER GAS REVENUES-MULTIPLE CALL OUT FEE</t>
  </si>
  <si>
    <t>OTHER GAS REVENUES-PRIORITY SCHEDULING F</t>
  </si>
  <si>
    <t>OTHER GAS REVENUES-CURTAILMENT UNAUTH TA</t>
  </si>
  <si>
    <t>Non-AMR Install/Remove Charge</t>
  </si>
  <si>
    <t>Non-AMR Read Charge</t>
  </si>
  <si>
    <t>Operating Expense</t>
  </si>
  <si>
    <t>Cost of Gas</t>
  </si>
  <si>
    <t>GAS FIELD LINE PURCHASE-FLD LINE PUR-MIS</t>
  </si>
  <si>
    <t>GAS RESERVES ACTIVITY</t>
  </si>
  <si>
    <t>GAS CITY GATE PURCHASE-DEC-NOV DEMAND EQ</t>
  </si>
  <si>
    <t>GAS CITY GATE PURCHASE-DEM CHG EQ-NPC TR</t>
  </si>
  <si>
    <t>GAS CITY GATE PURCHASE-DEMAND CAPACITY R</t>
  </si>
  <si>
    <t>GAS CITY GATE PURCHASE-DEMAND CHG EQUALI</t>
  </si>
  <si>
    <t>GAS CITY GATE PURCHASE-GAS FOR RESALE -</t>
  </si>
  <si>
    <t>GAS CITY GATE PURCHASE-SYS SUP-DEMAND CH</t>
  </si>
  <si>
    <t>GAS CITY GATE PURCHASE-SYS SUP-IMBAL PUR</t>
  </si>
  <si>
    <t>GAS CITY GATE PURCHASE-SYS SUP-L.T. CONT</t>
  </si>
  <si>
    <t>GAS CITY GATE PURCHASE-WACOG EQUALIZATIO</t>
  </si>
  <si>
    <t>OTHER GAS PURCHASE-AMORT GAS COSTS-ORE</t>
  </si>
  <si>
    <t>OTHER GAS PURCHASE-AMORT GAS COSTS-WA</t>
  </si>
  <si>
    <t>OTHER GAS PURCHASE-ORE DEMAND DEF COST</t>
  </si>
  <si>
    <t>OTHER GAS PURCHASE-ORE DEMAND DEF VOL</t>
  </si>
  <si>
    <t>OTHER GAS PURCHASE-OR Wkg Gas Inv Carry</t>
  </si>
  <si>
    <t>OTHER GAS PURCHASE-ORE WACOG DEF</t>
  </si>
  <si>
    <t>OTHER GAS PURCHASE-WA DEMAND DEF</t>
  </si>
  <si>
    <t>OTHER GAS PURCHASE-WA WACOG DEF</t>
  </si>
  <si>
    <t>OTHER GAS PURCHASE-FAS 133</t>
  </si>
  <si>
    <t>GAS WITHDRAWN FROM STORAGE-FUEL USE - CH</t>
  </si>
  <si>
    <t>GAS WITHDRAWN FROM STORAGE-GAS DELVD JP</t>
  </si>
  <si>
    <t>GAS WITHDRAWN FROM STORAGE-GAS DELVD MIS</t>
  </si>
  <si>
    <t>GAS WITHDRAWN FROM STORAGE-GAS WDRAWN JP</t>
  </si>
  <si>
    <t>GAS WITHDRAWN FROM STORAGE-GAS WDRAWN MI</t>
  </si>
  <si>
    <t>Wdrawn from Strg - Mist ISS Fuel in Kind</t>
  </si>
  <si>
    <t>GAS WITHDRAWN FROM STORAGE-LNG DELVD NEW</t>
  </si>
  <si>
    <t>GAS WITHDRAWN FROM STORAGE-LNG DELVD PLY</t>
  </si>
  <si>
    <t>GAS WITHDRAWN FROM STORAGE-LNG DELVD POR</t>
  </si>
  <si>
    <t>GAS WITHDRAWN FROM STORAGE-LNG WDRAWN NE</t>
  </si>
  <si>
    <t>GAS WITHDRAWN FROM STORAGE-LNG WDRAWN PL</t>
  </si>
  <si>
    <t>GAS WITHDRAWN FROM STORAGE-LNG WDRAWN PO</t>
  </si>
  <si>
    <t>VIRTUAL STORAGE - J. ARON INJECTION</t>
  </si>
  <si>
    <t>VIRTUAL STORAGE - J. ARON WITHDRAWL</t>
  </si>
  <si>
    <t>VIRTUAL STORAGE - TMC WITHDRAWL</t>
  </si>
  <si>
    <t>GAS USED FOR UTILITY OP CO USE-CO USE OF</t>
  </si>
  <si>
    <t>Operations and Maintenance Expenses</t>
  </si>
  <si>
    <t>WELLS EXPENSE-WELL EXP-AL'S POOL</t>
  </si>
  <si>
    <t>WELLS EXPENSE-WELL EXP-BRUER</t>
  </si>
  <si>
    <t>WELLS EXPENSE-WELL EXP-BUSCH</t>
  </si>
  <si>
    <t>WELLS EXPENSE-WELL EXP-FLORA</t>
  </si>
  <si>
    <t>WELLS EXPENSE-WELL EXP-REICHHOLD</t>
  </si>
  <si>
    <t>WELLS EXPENSE-WELL EXP-SCHLICKER</t>
  </si>
  <si>
    <t>WELLS EXPENSE-WELL EXP-SOUTH CALVIN</t>
  </si>
  <si>
    <t>WELLS EXPENSE-WELL EXP-MEYERS</t>
  </si>
  <si>
    <t>WELLS EXPENSE - N. MIST</t>
  </si>
  <si>
    <t>COMPRESSOR STATION EXPENSE-COMPR STATION</t>
  </si>
  <si>
    <t>COMP STA OP EXP - N. MIST</t>
  </si>
  <si>
    <t>COMPRESSOR STATION FUEL-COMPR STATION 5</t>
  </si>
  <si>
    <t>MEASURE &amp; REGULATING EXP-MEASURING AND R</t>
  </si>
  <si>
    <t>MEASURE &amp; REGULATING EXP-METER CALIBRATI</t>
  </si>
  <si>
    <t>MEAS &amp; REG EXP - N. MIST</t>
  </si>
  <si>
    <t>PURIFICATION EXPENSE-PURIFICATION EXP</t>
  </si>
  <si>
    <t>RESERVOIR MAINT-MAINTENANCE</t>
  </si>
  <si>
    <t>RESERVOIR MAINT EXP - N. MIST</t>
  </si>
  <si>
    <t>Storage Maint. Expense of Comp. Equp</t>
  </si>
  <si>
    <t>COMP STA MAINT EXP - N. MIST</t>
  </si>
  <si>
    <t>GAS STORAGE SUPER-SUPERVISION</t>
  </si>
  <si>
    <t>GAS STORAGE SUPER-LNG NEWPORT</t>
  </si>
  <si>
    <t>GAS STORAGE SUPER-LNG SUPERVISION NEWPOR</t>
  </si>
  <si>
    <t>LNG OPERATIONS-NON RECOVERABLE EXPENSES</t>
  </si>
  <si>
    <t>LNG OPERATIONS-COOS COUNTY TRANS LINE-AD</t>
  </si>
  <si>
    <t>LNG OPERATIONS-LNG GASCO</t>
  </si>
  <si>
    <t>LNG OPERATIONS-LNG NEWPORT</t>
  </si>
  <si>
    <t>LNG OPERATIONS-LNG SUPERVISION GASCO</t>
  </si>
  <si>
    <t>LNG OPERATIONS-LNG SUPERVISION NEWPORT</t>
  </si>
  <si>
    <t>LNG FUEL EXPENSE-CREDIT LIQUEF COSTS</t>
  </si>
  <si>
    <t>LNG MAINTENANCE-LNG GASCO</t>
  </si>
  <si>
    <t>LNG MAINTENANCE-LNG NEWPORT</t>
  </si>
  <si>
    <t>TRNSMSN MAIN OPERATION EXP-LEAKAGE INSPE</t>
  </si>
  <si>
    <t>TRNSMSN MAIN OPERATION EXP-GEOHAZARD INS</t>
  </si>
  <si>
    <t>TRNSMSN MAIN OPERATION EXP-GEOHAZARD REP</t>
  </si>
  <si>
    <t>TRNSMSN MAIN OPERATION EXP-TRAINING</t>
  </si>
  <si>
    <t>TRNSMSN MAIN OPERATION EXP-TRANS MAIN MA</t>
  </si>
  <si>
    <t>TRNSMSN MAIN OPERATION EXP-VEGETATION CO</t>
  </si>
  <si>
    <t>TRNSMSN MAIN OPERATION EXP-VALVE MAINTEN</t>
  </si>
  <si>
    <t>TRNSMSN MAIN MAINTENANCE EXP-MAINS - BRI</t>
  </si>
  <si>
    <t>TRNSMSN MAIN MAINTENANCE EXP-GEOHAZARD R</t>
  </si>
  <si>
    <t>TRNSMSN MAIN MAINTENANCE EXP-TRANS MAIN</t>
  </si>
  <si>
    <t>DO NOT USE</t>
  </si>
  <si>
    <t>TRANS. MAIN MAINT EXP - N. MIST</t>
  </si>
  <si>
    <t>TRNSMSN MAIN SUPERVISION EXP-MEASURING A</t>
  </si>
  <si>
    <t>TRNSMSN MAIN SUPERVISION EXP-SUPERVISION</t>
  </si>
  <si>
    <t>TRNSMSN MAIN SUPERVISION EXP-RELOCATION</t>
  </si>
  <si>
    <t>TRNSMSN MAIN SUPERVISION EXP-N</t>
  </si>
  <si>
    <t>TRNSMSN MAIN SUPERVISION EXP-GAS ACQ &amp; P</t>
  </si>
  <si>
    <t>DISTRB MAIN &amp; SERVICE OP EXP-EMERGENCY O</t>
  </si>
  <si>
    <t>DISTRB MAIN &amp; SERVICE OP EXP-FIELD DATA</t>
  </si>
  <si>
    <t>DISTRB MAIN &amp; SERVICE OP EXP-FIELD METER</t>
  </si>
  <si>
    <t>DISTRB MAIN &amp; SERVICE OP EXP-LEAKAGE INS</t>
  </si>
  <si>
    <t>DISTRB MAIN &amp; SERVICE OP EXP-MAIN &amp; SRVC</t>
  </si>
  <si>
    <t>DISTRB MAIN &amp; SERVICE OP EXP-MAINS</t>
  </si>
  <si>
    <t>DISTRB MAIN &amp; SERVICE OP EXP-OFFICE STAF</t>
  </si>
  <si>
    <t>DISTRB MAIN &amp; SERVICE OP EXP-VALVE MAINT</t>
  </si>
  <si>
    <t>DISTRB MAIN &amp; SERVICE OP EXP-DEFAULT</t>
  </si>
  <si>
    <t>DISTRB MAIN &amp; SERVICE OP EXP-NON RECOVER</t>
  </si>
  <si>
    <t>DISTRB MAIN &amp; SERVICE OP EXP-CLOSED WORK</t>
  </si>
  <si>
    <t>DISTRB MAIN &amp; SERVICE OP EXP-STORES OH C</t>
  </si>
  <si>
    <t>DISTRB MSRE&amp; RGLTNG EXP-DIST REG INSPECT</t>
  </si>
  <si>
    <t>DISTRB MSRE&amp; RGLTNG EXP-EMERGENCY OPERAT</t>
  </si>
  <si>
    <t>DISTRB MSRE&amp; RGLTNG EXP-REGULATOR OPERAT</t>
  </si>
  <si>
    <t>DISTRB MSRE&amp; RGLTNG EXP-TELEMETERING OPE</t>
  </si>
  <si>
    <t>DISTRB MSRE&amp; RGLTNG EXP-GAS QUALITY EQUI</t>
  </si>
  <si>
    <t>DISTRB MSRE &amp; RGLTNG EXP-CG-CITY GATE ME</t>
  </si>
  <si>
    <t>DISTRB MSRE &amp; RGLTNG EXP-CG-ODORANT TRAN</t>
  </si>
  <si>
    <t>DISTRB MSRE &amp; RGLTNG EXP-CG-ODORIZER OPE</t>
  </si>
  <si>
    <t>DISTRB MSRE &amp; RGLTNG EXP-CG-ODORIZING EQ</t>
  </si>
  <si>
    <t>DISTRB MSRE &amp; RGLTNG EXP-CG-ODOROMETER R</t>
  </si>
  <si>
    <t>DISTRB METER &amp; HOUSE RGLTR EXP-METER CHA</t>
  </si>
  <si>
    <t>DISTRB METER &amp; HOUSE RGLTR EXP-METER REM</t>
  </si>
  <si>
    <t>DISTRB METER &amp; HOUSE RGLTR EXP-METER REP</t>
  </si>
  <si>
    <t>DISTRB METER &amp; HOUSE RGLTR EXP-METER SET</t>
  </si>
  <si>
    <t>DISTRB METER &amp; HOUSE RGLTR EXP-METER TUR</t>
  </si>
  <si>
    <t>DISTRB METER &amp; HOUSE RGLTR EXP-MTR PRESS</t>
  </si>
  <si>
    <t>DISTRB METER &amp; HOUSE RGLTR EXP-SERVICE -</t>
  </si>
  <si>
    <t>DISTRB METER &amp; HOUSE RGLTR EXP-SERVICING</t>
  </si>
  <si>
    <t>DISTRB METER &amp; HOUSE RGLTR EXP-SUPERVISI</t>
  </si>
  <si>
    <t>DISTRB METER &amp; HOUSE RGLTR EXP-INDUSTRIA</t>
  </si>
  <si>
    <t>CUSTOMER INSTALLATION EXPENSES-EMERGENCY</t>
  </si>
  <si>
    <t>CUSTOMER INSTALLATION EXPENSES-MDT EXPEN</t>
  </si>
  <si>
    <t>CUSTOMER INSTALLATION EXPENSES-OFFICE ST</t>
  </si>
  <si>
    <t>CUSTOMER INSTALLATION EXPENSES-RESIDENTI</t>
  </si>
  <si>
    <t>CUSTOMER INSTALLATION EXPENSES-SERVICE -</t>
  </si>
  <si>
    <t>CUSTOMER INSTALLATION EXPENSES-SERVICING</t>
  </si>
  <si>
    <t>CUSTOMER INSTALLATION EXPENSES-SUPERVISI</t>
  </si>
  <si>
    <t>CUSTOMER INSTALLATION EXPENSES-TOOL MAIN</t>
  </si>
  <si>
    <t>CUSTOMER INSTALLATION EXPENSES-TRAINING</t>
  </si>
  <si>
    <t>CUSTOMER INSTALLATION EXPENSES-TRAVEL TI</t>
  </si>
  <si>
    <t>CUSTOMER INSTALLATION EXPENSES-NON RECOV</t>
  </si>
  <si>
    <t>CUSTOMER INSTALLATION EXPENSES-STORES OH</t>
  </si>
  <si>
    <t>OTHER DISTRIBUTION EXPENSES-COMPUTER SYS</t>
  </si>
  <si>
    <t>OTHER DISTRIB EXP - UNION/PSHIP MEETING</t>
  </si>
  <si>
    <t>OTHER DISTRIB EXP - OTHER UNION BUSINESS</t>
  </si>
  <si>
    <t>OTHER DISTRIBUTION EXPENSES-MEETINGS</t>
  </si>
  <si>
    <t>OTHER DISTRIBUTION EXPENSES-MISC MEETING</t>
  </si>
  <si>
    <t>OTHER DISTRIBUTION EXPENSES-OFFICE STAFF</t>
  </si>
  <si>
    <t>OTHER DISTRIBUTION EXPENSES-OPERATOR QUA</t>
  </si>
  <si>
    <t>OTHER DISTRIBUTION EXPENSES-SAFETY MEETI</t>
  </si>
  <si>
    <t>OTHER DISTRIBUTION EXPENSES-TRAINING</t>
  </si>
  <si>
    <t>OTHER DISTRIBUTION EXPENSES-OFFICE TRAIN</t>
  </si>
  <si>
    <t>OTHER DISTRIBUTION EXPENSES-TRAVEL TIME</t>
  </si>
  <si>
    <t>OTHER DISTRIBUTION EXPENSES-CLOSED ACCOU</t>
  </si>
  <si>
    <t>DISTRB RENTS-RENTS</t>
  </si>
  <si>
    <t>DISTRB MAINTENANCE FIELD SUPPORT</t>
  </si>
  <si>
    <t>DISTRB MAINTENANCE SUPERVISION-MEETINGS</t>
  </si>
  <si>
    <t>DISTRB MAINTENANCE SUPERVISION-PIPLINE I</t>
  </si>
  <si>
    <t>DISTRB MAINTENANCE SUPERVISION-OFFICE ST</t>
  </si>
  <si>
    <t>DISTRB MAINTENANCE SUPERVISION-OPERATOR</t>
  </si>
  <si>
    <t>DISTRB MAINTENANCE SUPERVISION-PIPELINE</t>
  </si>
  <si>
    <t>DISTRB MAINTENANCE SUPERVISION-QUALITY A</t>
  </si>
  <si>
    <t>DISTRB MAINTENANCE SUPERVISION-SUPERVISI</t>
  </si>
  <si>
    <t>DISTRB MAINTENANCE SUPERVISION-TRAINING</t>
  </si>
  <si>
    <t>DISTRB MAINTENANCE SUPERVISION-CLOSED AC</t>
  </si>
  <si>
    <t>DISTRB MAINTENANCE SUPERVISION-NON RECOV</t>
  </si>
  <si>
    <t>DISTRB MAINTENANCE OF MAINS-CATHODIC PRO</t>
  </si>
  <si>
    <t>DISTRB MAINTENANCE OF MAINS-CONSTRUCTION</t>
  </si>
  <si>
    <t>DISTRB MAINTENANCE OF MAINS-DAMAGES TO M</t>
  </si>
  <si>
    <t>DISTRB MAINTENANCE OF MAINS-EMERGENCY OP</t>
  </si>
  <si>
    <t>DISTRB MAINTENANCE OF MAINS-FINK STATION</t>
  </si>
  <si>
    <t>DISTRB MAINTENANCE OF MAINS-HP MAINS - L</t>
  </si>
  <si>
    <t>DISTRB MAINTENANCE OF MAINS-HP MAINS-BRI</t>
  </si>
  <si>
    <t>DISTRB MAINTENANCE OF MAINS-MAINS - BRID</t>
  </si>
  <si>
    <t>DISTRB MAINTENANCE OF MAINS-MAIN - HOUSE</t>
  </si>
  <si>
    <t>DISTRB MAINTENANCE OF MAINS-MAINS - OTHE</t>
  </si>
  <si>
    <t>DISTRB MAINTENANCE OF MAINS-NORMAL STAND</t>
  </si>
  <si>
    <t>DISTRB MAINTENANCE OF MAINS-PLATTING COR</t>
  </si>
  <si>
    <t>DISTRB MAINTENANCE OF MAINS-QUALITY ASSU</t>
  </si>
  <si>
    <t>DISTRB MAINTENANCE OF MAINS-RESPONDING T</t>
  </si>
  <si>
    <t>DISTRB MAINTENANCE OF MAINS-STREET CUT I</t>
  </si>
  <si>
    <t>DISTRB MAINTENANCE OF MAINS-STORES OH CL</t>
  </si>
  <si>
    <t>DISTRB MAINTENANCE OF MAINS-DAMAGE W/O W</t>
  </si>
  <si>
    <t>MAINT- MSRE REG STA EQUIP-GEN-COMPUTER S</t>
  </si>
  <si>
    <t>MAINT- MSRE REG STA EQUIP-GEN-DIST REG F</t>
  </si>
  <si>
    <t>MAINT- MSRE REG STA EQUIP-GEN-DIST REG I</t>
  </si>
  <si>
    <t>MAINT- MSRE REG STA EQUIP-GEN-DIST REG P</t>
  </si>
  <si>
    <t>MAINT- MSRE REG STA EQUIP-GEN-DISTRICT R</t>
  </si>
  <si>
    <t>MAINT- MSRE REG STA EQUIP-GEN-OPERATOR Q</t>
  </si>
  <si>
    <t>MAINT- MSRE REG STA EQUIP-GEN-TELEMETERI</t>
  </si>
  <si>
    <t>MAINT- MSRE REG STA EQUIP-GEN-STORES OH</t>
  </si>
  <si>
    <t>MAINT- MSRE REG STA EQUIP-CG-ODORIZING E</t>
  </si>
  <si>
    <t>MAINT- MSRE REG STA EQUIP-CG-REG/GATE ST</t>
  </si>
  <si>
    <t>MAINT- SERVICES-CONSTRUCTION DEFECTS</t>
  </si>
  <si>
    <t>MAINT- SERVICES-DAMAGES TO SERVICES</t>
  </si>
  <si>
    <t>MAINT- SERVICES-FIELD SUPPORT / MISC</t>
  </si>
  <si>
    <t>MAINT- SERVICES-ODOR CALLS</t>
  </si>
  <si>
    <t>MAINT- SERVICES-SERVICE - HOUSEBOAT MAIN</t>
  </si>
  <si>
    <t>MAINT- SERVICES-SERVICE - LEAKAGE</t>
  </si>
  <si>
    <t>MAINT- SERVICES-SERVICE - OTHER</t>
  </si>
  <si>
    <t>MAINT- SERVICES-SERVICE - TEST</t>
  </si>
  <si>
    <t>MAINT- SERVICES-STREET CUT IDS</t>
  </si>
  <si>
    <t>MAINT- SERVICES-SVC RGLTR INSPECT</t>
  </si>
  <si>
    <t>MAINT- SERVICES-Guard Posts</t>
  </si>
  <si>
    <t>MAINT- MTRS AND HOUSE RGLTR-ELEC METER M</t>
  </si>
  <si>
    <t>MAINT- MTRS AND HOUSE RGLTR-FIELD METER</t>
  </si>
  <si>
    <t>MAINT- MTRS AND HOUSE RGLTR-MAINTENANCE</t>
  </si>
  <si>
    <t>MAINT- MTRS AND HOUSE RGLTR-METER FENCIN</t>
  </si>
  <si>
    <t>MAINT- MTRS AND HOUSE RGLTR-METER MAINT</t>
  </si>
  <si>
    <t>MAINT- MTRS AND HOUSE RGLTR-METER PAINTI</t>
  </si>
  <si>
    <t>MAINT- MTRS AND HOUSE RGLTR-METER PROBLE</t>
  </si>
  <si>
    <t>MAINT- MTRS AND HOUSE RGLTR-METER REPAIR</t>
  </si>
  <si>
    <t>MAINT- MTRS AND HOUSE RGLTR-METER REVISI</t>
  </si>
  <si>
    <t>MAINT- MTRS AND HOUSE RGLTR-METER SET MA</t>
  </si>
  <si>
    <t>MAINT- MTRS AND HOUSE RGLTR-MTR INS-ANNU</t>
  </si>
  <si>
    <t>MAINT- MTRS AND HOUSE RGLTR-MTR INST CAL</t>
  </si>
  <si>
    <t>MAINT- MTRS AND HOUSE RGLTR-REGUL REPAIR</t>
  </si>
  <si>
    <t>MAINT- MTRS AND HOUSE RGLTR-SERVICING EX</t>
  </si>
  <si>
    <t>MAINT- OTHR EQUIP - DISTRB-TOOL MAINT AN</t>
  </si>
  <si>
    <t>MAIN-OTHR EQUIP-Scheduled CNG Main Bill</t>
  </si>
  <si>
    <t>MAIN-OTHR EQUIP-Unscheduled CNG Main Bi</t>
  </si>
  <si>
    <t>MAIN-OTHR EQUIP-CNG Maint Unbilled</t>
  </si>
  <si>
    <t>MAINT- OTHR EQUIP - STORES OH CLEARING</t>
  </si>
  <si>
    <t>CUST ACCTS OP - SUPERVISION-EMERGENCY OP</t>
  </si>
  <si>
    <t>CUST ACCTS OP - SUPERVISION-SUPERVISION</t>
  </si>
  <si>
    <t>CUST ACCTS OP - METER READING-METER READ</t>
  </si>
  <si>
    <t>CUST ACCTS OP - METER READING-OFFICE STA</t>
  </si>
  <si>
    <t>CUSTOMER RECORDS &amp; COLLECTIONS-BILLING G</t>
  </si>
  <si>
    <t>CUSTOMER RECORDS &amp; COLLECTIONS-CREDIT TU</t>
  </si>
  <si>
    <t>CUSTOMER RECORDS &amp; COLLECTIONS-EMERGENCY</t>
  </si>
  <si>
    <t>CUSTOMER RECORDS &amp; COLLECTIONS-OFFICE ST</t>
  </si>
  <si>
    <t>CUSTOMER RECORDS &amp; COLLECTIONS-SERVICING</t>
  </si>
  <si>
    <t>CUSTOMER RECORDS &amp; COLLECTIONS-WHSLE COS</t>
  </si>
  <si>
    <t>CUSTOMER RECORDS &amp; COLLECTIONS-GAS SVC-C</t>
  </si>
  <si>
    <t>UNCOLLECTABLE ACCTS-UNCOLL ACCTS-RES</t>
  </si>
  <si>
    <t>UNCOLLECTABLE ACCTS-UNCOLL ACCTS-COML</t>
  </si>
  <si>
    <t>UNCOLLECTABLE ACCTS-UNCOLL ACCTS-IND</t>
  </si>
  <si>
    <t>SAP A/R BAD DEBT EXPENSE</t>
  </si>
  <si>
    <t>UNCOLLECTABLE ACCTS-WARM ADJUSTMENT</t>
  </si>
  <si>
    <t>UNCOLLECT ACCTS-HEALTHY ACCOUNT BILL CR</t>
  </si>
  <si>
    <t>UNCOLLECTABLE ACCTS-UNBILLED REVENUES</t>
  </si>
  <si>
    <t>CUSTOMER SERVICE SUPERVISION-OFFICE STAF</t>
  </si>
  <si>
    <t>CUSTOMER ASSISTANCE EXPENSE-CUST SATIS S</t>
  </si>
  <si>
    <t>CUSTOMER ASSISTANCE EXPENSE-OFFICE STAFF</t>
  </si>
  <si>
    <t>CUSTOMER ASSISTANCE EXPENSE-PUB SAFETY A</t>
  </si>
  <si>
    <t>CUSTOMER ASSISTANCE EXPENSE-RELOCATION C</t>
  </si>
  <si>
    <t>CUSTOMER ASSISTANCE EXPENSE-NON RECOVERA</t>
  </si>
  <si>
    <t>CUSTOMER ASSISTANCE EXPENSE-SM</t>
  </si>
  <si>
    <t>CUSTOMER ASSISTANCE EXPENSE-MAJ ENERGY S</t>
  </si>
  <si>
    <t>CUSTOMER ASSISTANCE EXPENSE-CANCELLED WO</t>
  </si>
  <si>
    <t>CUSTOMER ASSISTANCE EXPENSE-CONVERSION I</t>
  </si>
  <si>
    <t>CUSTOMER ASSISTANCE EXPENSE-MARKET R &amp; D</t>
  </si>
  <si>
    <t>CUSTOMER ASSISTANCE EXPENSE-NEW CONST SE</t>
  </si>
  <si>
    <t>CUSTOMER ASSISTANCE EXP - PROGRAMS</t>
  </si>
  <si>
    <t>CUSTOMER ASSISTANCE EXPENSE-NEW CONSTRUC</t>
  </si>
  <si>
    <t>CUSTOMER ASSISTANCE EXPENSE-CONVERSION</t>
  </si>
  <si>
    <t>CUSTOMER ASSISTANCE EXPENSE-WX PGM ADMIN</t>
  </si>
  <si>
    <t>CUSTOMER ASSISTANCE EXPENSE-C.A.P. REBAT</t>
  </si>
  <si>
    <t>CUSTOMER ASSISTANCE EXPENSE-C.A.P. ADMIN</t>
  </si>
  <si>
    <t>CUSTOMER ASSISTANCE EXPENSE-HSR</t>
  </si>
  <si>
    <t>CUSTOMER ASSISTANCE EXPENSE-AUDIT &amp; INSP</t>
  </si>
  <si>
    <t>CUSTOMER ASSISTANCE EXPENSE-ES FURN PGM</t>
  </si>
  <si>
    <t>CUSTOMER ASSISTANCE EXPENSE-CONTRA ACCOU</t>
  </si>
  <si>
    <t>CUSTOMER ASSISTANCE EXPENSE-CUSTOMER ASS</t>
  </si>
  <si>
    <t>CUSTOMER ASSISTANCE EXPENSE-OLIEE VERIFI</t>
  </si>
  <si>
    <t>INFO &amp; INSTRUCT ADVERT- HOME SHOW</t>
  </si>
  <si>
    <t>INFO &amp; INSTRUCT ADVERT- SHOW OF HOME</t>
  </si>
  <si>
    <t>INFO &amp; INSTRUCT ADVERT- STREET OF DREAMS</t>
  </si>
  <si>
    <t>INFO &amp; INSTRUCTIONAL ADVRT-ADMIN / PAYRO</t>
  </si>
  <si>
    <t>INFO &amp; INSTRUCTIONAL ADVRT-BILL INSERTS</t>
  </si>
  <si>
    <t>INFO &amp; INSTRUCTIONAL ADVRT-UTILITY INFOR</t>
  </si>
  <si>
    <t>INFO &amp; INSTRUCTIONAL ADVRT-FALL COMMUNIC</t>
  </si>
  <si>
    <t>INFO &amp; INSTRUCTIONAL ADVRT-WINTER COMMUN</t>
  </si>
  <si>
    <t>INFO &amp; INSTRUCTIONAL ADVRT-CORPORATE IMA</t>
  </si>
  <si>
    <t>INFO &amp; INSTRUCTIONAL ADVRT-SAFETY INFORM</t>
  </si>
  <si>
    <t>INFO &amp; INSTRUCTIONAL ADVRT-TELEPHONE DIR</t>
  </si>
  <si>
    <t>MISC CUSTOMER SERVICE-OFFICE STAFFING &amp;</t>
  </si>
  <si>
    <t>MISC CUSTOMER SERVICE - NON-RECOVERABLE</t>
  </si>
  <si>
    <t>MISC CUSTOMER SERVICE-CUSTOMER ACQUISITI</t>
  </si>
  <si>
    <t>SALES SUPERVISION EXPENSE-OFFICE STAFFIN</t>
  </si>
  <si>
    <t>SALES SUPERVISION EXPENSE-RELOCATION COS</t>
  </si>
  <si>
    <t>SALES SUPERVISION EXPENSE-PROMOTIONS</t>
  </si>
  <si>
    <t>DEMONSTRATION &amp; SELLING EXP-HOME SHOWS</t>
  </si>
  <si>
    <t>DEMONSTRATION &amp; SELLING EXP-MEETINGS</t>
  </si>
  <si>
    <t>DEMONSTRATION &amp; SELLING EXP-OFFICE STAFF</t>
  </si>
  <si>
    <t>DEMONSTRATION &amp; SELLING EXP-PUB SAFETY A</t>
  </si>
  <si>
    <t>DEMONSTRATION &amp; SELLING EXP-TRAINING</t>
  </si>
  <si>
    <t>DEMO &amp; SELL EXP - Non Recov Indiv Meter</t>
  </si>
  <si>
    <t>DEMONSTRATION &amp; SELLING EXP-NON RECOVERA</t>
  </si>
  <si>
    <t>DEMONSTRATION &amp; SELLING EXP-MAJ ENERGY S</t>
  </si>
  <si>
    <t>DEMONSTRATION &amp; SELLING EXP-4TH FLOOR SU</t>
  </si>
  <si>
    <t>DEMONSTRATION &amp; SELLING EXP-COMMERCIAL M</t>
  </si>
  <si>
    <t>DEMONSTRATION &amp; SELLING EXP-MARKET R &amp; D</t>
  </si>
  <si>
    <t>DEMONSTRATION &amp; SELLING EXP-NATURAL CHOI</t>
  </si>
  <si>
    <t>DEMONSTRATION &amp; SELLING EXP-NEW CONST SE</t>
  </si>
  <si>
    <t>DEMONSTRATION &amp; SELLING EXP-NEW CUST REL</t>
  </si>
  <si>
    <t>DEMONSTRATION &amp; SELLING EXP-PROGRAMS - H</t>
  </si>
  <si>
    <t>DEMONSTRATION &amp; SELLING EXP-PROMOTIONS</t>
  </si>
  <si>
    <t>DEMONSTRATION &amp; SELLING EXP-PROMOTIONAL</t>
  </si>
  <si>
    <t>DEMONSTRATION &amp; SELLING EXP-PROACTIVE SE</t>
  </si>
  <si>
    <t>DEMONSTRATION &amp; SELLING EXP-SHOW OF HOME</t>
  </si>
  <si>
    <t>DEMONSTRATION &amp; SELLING EXP-STREET OF DR</t>
  </si>
  <si>
    <t>DEMONSTRATION &amp; SELLING EXP-CIVIC RELATI</t>
  </si>
  <si>
    <t>DEMONSTRATION &amp; SELLING EXP-NEW CONSTRUC</t>
  </si>
  <si>
    <t>DEMONSTRATION &amp; SELLING EXP-CONVERSION</t>
  </si>
  <si>
    <t>DEMO &amp; SELL EXP-Amort Singl Fam Conv Cos</t>
  </si>
  <si>
    <t>SCHEDULE 4 INCENTIVE AMORT</t>
  </si>
  <si>
    <t>ADVERTISING EXPENSES-ADMIN / PAYROLL</t>
  </si>
  <si>
    <t>ADVERTISING EXPENSES-BILL INSERTS</t>
  </si>
  <si>
    <t>ADVERTISING EXPENSES-UTILITY INFORMATION</t>
  </si>
  <si>
    <t>ADVERTISING EXPENSES-CORPORATE IMAGE &amp; M</t>
  </si>
  <si>
    <t>ADVERTISING EXPENSES-SAFETY INFORMATION</t>
  </si>
  <si>
    <t>MISC SALES EXPENSE-OFFICE STAFFING &amp; EXP</t>
  </si>
  <si>
    <t>OFFICE STAFFING &amp; EXPENSE-HOMELAND SECUR</t>
  </si>
  <si>
    <t>OFFICE STAFFING &amp; EXPENSE-OFFICE MAINTEN</t>
  </si>
  <si>
    <t>OFFICE STAFFING &amp; EXPENSE-OFFICE STAFFIN</t>
  </si>
  <si>
    <t>OFFICE STAFFING &amp; EXPENSE-VPP MATTERS</t>
  </si>
  <si>
    <t>OFFICE STAFFING &amp; EXPENSE-SOLAR/THERMAL</t>
  </si>
  <si>
    <t>OFFICE STAFFING &amp; EXPENSE-ENCANA</t>
  </si>
  <si>
    <t>ENCANA O&amp;M</t>
  </si>
  <si>
    <t>OFFICE STAFFING &amp; EXPENSE-DOT PHYSI</t>
  </si>
  <si>
    <t>OFFICE STAFFING &amp; EXPENSE-SAF REPR RECOG</t>
  </si>
  <si>
    <t>OFFICE STAFFING &amp; EXPENSE-SAFETY EQUIPME</t>
  </si>
  <si>
    <t>OFFICE STAFFING &amp; EXPENSE-SAFETY GLASSES</t>
  </si>
  <si>
    <t>OFFICE STAFFING &amp; EXPENSE-SAFETY SAL/EXP</t>
  </si>
  <si>
    <t>OFFICE STAFFING &amp; EXPENSE- FR CLOTHING</t>
  </si>
  <si>
    <t>OFFICE STAFFING &amp; EXPENSE - BOOTS</t>
  </si>
  <si>
    <t>OFFICE STAFFING &amp; EXPENSE- EYEWEAR</t>
  </si>
  <si>
    <t>OFFICE STAFFING &amp; EXPENSE-HEARING PROTEC</t>
  </si>
  <si>
    <t>OFFICE STAFFING &amp; EXPENSE-SAFETY SHOES</t>
  </si>
  <si>
    <t>OFFICE STAFFING &amp; EXPENSE-SAP EXPENSES</t>
  </si>
  <si>
    <t>OFFICE STAFFING &amp; EXPENSE-TRAINING</t>
  </si>
  <si>
    <t>OFFICE STAFFING &amp; EXPENSE-LEADERSHIP DEV</t>
  </si>
  <si>
    <t>OFFICE STAFFING &amp; EXPENSE-VEH SAFETY MGT</t>
  </si>
  <si>
    <t>Management Staff Expenses</t>
  </si>
  <si>
    <t>OFFICE STAFFING &amp; EXPENSE-BUSINESS OPERA</t>
  </si>
  <si>
    <t>OFFICE STAFFING &amp; EXPENSE-COMMON STOCK P</t>
  </si>
  <si>
    <t>COLUMBIA BIOGAS PROJECT</t>
  </si>
  <si>
    <t>OFFICE STAFFING &amp; EXPENSE-KEY GOALS BONU</t>
  </si>
  <si>
    <t>OFFICE STAFFING &amp; EXP-Employee Parking</t>
  </si>
  <si>
    <t>OFFICE STAFFING &amp; EXPENSE-PERFORMANCE BO</t>
  </si>
  <si>
    <t>OFFICE STAFFING &amp; EXPENSE-RELOCATION COS</t>
  </si>
  <si>
    <t>OFFICE STAFFING &amp; EXPENSE-SARBANES OXLEY</t>
  </si>
  <si>
    <t>OFFICE STAFFING &amp; EXPENSE-SEVERANCE EXPE</t>
  </si>
  <si>
    <t>OFFICE STAFFING &amp; EXPENSE-TELECOM ADMINI</t>
  </si>
  <si>
    <t>P CARD - NON RECOVERABLE</t>
  </si>
  <si>
    <t>LEGAL WORK - BOARD</t>
  </si>
  <si>
    <t>LEGAL WORK - 23rd &amp; Glisan Incident</t>
  </si>
  <si>
    <t>OFFICE STAFFING &amp; EXPENSE-NON RECOVERABL</t>
  </si>
  <si>
    <t>Smart Energy</t>
  </si>
  <si>
    <t>OFFICE STAFFING &amp; EXPENSE-GAS SVC-CR &amp; C</t>
  </si>
  <si>
    <t>Annual Meeting</t>
  </si>
  <si>
    <t>OFFICE STAFFING &amp; EXPENSE-PUBLICATIONS</t>
  </si>
  <si>
    <t>OFFICE STAFFING &amp; EXPENSE-QUARTERLY LDRS</t>
  </si>
  <si>
    <t>LEGAL WORK - DIRECTOR'S</t>
  </si>
  <si>
    <t>OFFICE STAFFING &amp; EXPENSE-CAREER DEVELOP</t>
  </si>
  <si>
    <t>OFFICE STAFFING &amp; EXPENSE-DRUG &amp; ALCOHOL</t>
  </si>
  <si>
    <t>OFFICE STAFFING &amp; EXPENSE-INDUSTRIAL REL</t>
  </si>
  <si>
    <t>OFFICE STAFFING &amp; EXP - N. MIST</t>
  </si>
  <si>
    <t>OFFICE STAFFING &amp; EXPENSE-DATA ADMINISTR</t>
  </si>
  <si>
    <t>OFFICE STAFFING &amp; EXPENSE-DESKTOP INSTAL</t>
  </si>
  <si>
    <t>OFFICE STAFFING &amp; EXPENSE-INFO MGMT</t>
  </si>
  <si>
    <t>OFFICE STAFFING &amp; EXPENSE-NEW APPLICATIO</t>
  </si>
  <si>
    <t>OFFICE STAFFING &amp; EXPENSE-NT SYSTEMS SUP</t>
  </si>
  <si>
    <t>OFFICE STAFFING &amp; EXPENSE-SYS NETWORK AD</t>
  </si>
  <si>
    <t>OFFICE STAFFING &amp; EXPENSE-TECH SUPPORT E</t>
  </si>
  <si>
    <t>OFFICE STAFFING &amp; EXPENSE-UNIX HWARE &amp; S</t>
  </si>
  <si>
    <t>OFFICE STAFFING &amp; EXPENSE-CYBERSECURITY</t>
  </si>
  <si>
    <t>OFFICE STAFFING &amp; EXPENSE-GP SAFETY REC</t>
  </si>
  <si>
    <t>OFFICE STAFFING &amp; EXPENSE-CONTRACT DEL S</t>
  </si>
  <si>
    <t>OFFICE STAFFING &amp; EXPENSE-COPY CENTER</t>
  </si>
  <si>
    <t>OFFICE STAFFING &amp; EXPENSE-MAIL ROOM</t>
  </si>
  <si>
    <t>OFFICE STAFFING &amp; EXPENSE-CIVIC EXPENSES</t>
  </si>
  <si>
    <t>OFFICE STAFFING &amp; EXPENSE-DIVERSITY COUN</t>
  </si>
  <si>
    <t>OFFICE STAFFING &amp; EXPENSE-WOMEN'S NETWOR</t>
  </si>
  <si>
    <t>OFFICE STAFFING &amp; EXPENSE-TELECOM MAINT</t>
  </si>
  <si>
    <t>OFFICE STAFFING &amp; EXPENSE-TELECOM OPERAT</t>
  </si>
  <si>
    <t>OFFICE STAFFING &amp; EXPENSE-REAL PROPERTY</t>
  </si>
  <si>
    <t>OFFICE STAFFING &amp; EXP-FRANCHISE GENERAL</t>
  </si>
  <si>
    <t>OFFICE STAFFING &amp; EXPENSE-STATE REGULATI</t>
  </si>
  <si>
    <t>OFFICE STAFFING &amp; EXPENSE-CANADIAN REGUL</t>
  </si>
  <si>
    <t>OFFICE STAFFING &amp; EXPENSE-FEDERAL REGULA</t>
  </si>
  <si>
    <t>OFFICE STAFFING &amp; EXPENSE-OR RATE CASE</t>
  </si>
  <si>
    <t>BENEFITS  AND SHAREHOLDER PLANS</t>
  </si>
  <si>
    <t>OFFICE STAFFING &amp; EXPENSE-EXEC BENEFIT P</t>
  </si>
  <si>
    <t>OFFICE STAFFING &amp; EXP-EE MATTERS STOEL</t>
  </si>
  <si>
    <t>OFFICE STAFFING &amp; EXP-EE MATTERS BUCHANA</t>
  </si>
  <si>
    <t>EMPLOYEE BENEFIT PLANS - DWT</t>
  </si>
  <si>
    <t>OFFICE STAFFING &amp; EXPENSE-PERSONNEL</t>
  </si>
  <si>
    <t>OFFICE STAFFING &amp; EXP-LABOR MATRS STOEL</t>
  </si>
  <si>
    <t>OFFICE STAFFING &amp; EXPENSE-CORP. SPECIAL</t>
  </si>
  <si>
    <t>SEC reporting expenses</t>
  </si>
  <si>
    <t>OFFICE STAFFING &amp; EXPENSE-MISC UTILITY</t>
  </si>
  <si>
    <t>OFFICE STAFFING &amp; EXPENSE-N. Mist EPC</t>
  </si>
  <si>
    <t>Legal Environmental</t>
  </si>
  <si>
    <t>Bankruptcy</t>
  </si>
  <si>
    <t>Tax</t>
  </si>
  <si>
    <t>OFFICE STAFFING &amp; EXPENSE-MISC LITIGATIO</t>
  </si>
  <si>
    <t>OFFICE STAFFING &amp; EXPENSE-CONTACTS</t>
  </si>
  <si>
    <t>OFFICE STAFFING &amp; EXPENSE-BUSINESS DEVEL</t>
  </si>
  <si>
    <t>OFFICE STAFFING &amp; EXPENSE-MIST STORAGE S</t>
  </si>
  <si>
    <t>OFFICE STAFFING &amp; EXPENSE-GAS SUPPLY</t>
  </si>
  <si>
    <t>INFORMATION MANAGEMENT</t>
  </si>
  <si>
    <t>ENERGY-SHARED SERVICES-FROM NWN TO ENERG</t>
  </si>
  <si>
    <t>Inventory Differences</t>
  </si>
  <si>
    <t>ADMIN EXPENSE TRANSFER-ADMIN EXPENSE TRA</t>
  </si>
  <si>
    <t>ADMIN EXP TRF – COMMON COST ALLOC OUT</t>
  </si>
  <si>
    <t>ADMIN EXPENSE TRANSFER-GILL RANCH OVERHE</t>
  </si>
  <si>
    <t>ADMIN EXPENSE TRANSFER-TAXES-PAYROLL</t>
  </si>
  <si>
    <t>N. MIST ADMIN EXPENSE TRANSFER</t>
  </si>
  <si>
    <t>Admin Transfer - SERP/ESRIP Expense</t>
  </si>
  <si>
    <t>PROPERTY INSURANCE-LIABILITY INSURANCE</t>
  </si>
  <si>
    <t>INJURIES &amp; DAMAGES-OFFICE STAFFING &amp; EXP</t>
  </si>
  <si>
    <t>INJURIES &amp; DAMAGES-OTHER INSURANCE</t>
  </si>
  <si>
    <t>NON-RECOVERABLE - INJURIES &amp; DAMAGES</t>
  </si>
  <si>
    <t>INJURIES &amp; DAMAGES-EXTRAORDINARY CLAIMS</t>
  </si>
  <si>
    <t>INJURIES &amp; DAMAGES-OPER CLAIMS COSTS</t>
  </si>
  <si>
    <t>EMPLOYEE PENSIONS AND BENEFITS-OFFICE ST</t>
  </si>
  <si>
    <t>EMPLOYEE PENSIONS AND BENEFITS-SAF REPR</t>
  </si>
  <si>
    <t>EMPLOYEE PENSIONS AND BENEFITS-SAFETY EQ</t>
  </si>
  <si>
    <t>EMPLOYEE PENSIONS AND BENEFITS-SAFETY SA</t>
  </si>
  <si>
    <t>EMPLOYEE PENSIONS AND BENEFITS-SAFETY SH</t>
  </si>
  <si>
    <t>EMPLOYEE PENSIONS AND BENEFITS-TRAINING</t>
  </si>
  <si>
    <t>EMPLOYEE PENSIONS AND BENEFITS-LEADERSHI</t>
  </si>
  <si>
    <t>EMPLOYEE PENSIONS AND BENEFITS-COMMON ST</t>
  </si>
  <si>
    <t>EMPLOYEE PENSIONS AND BENEFITS-EMPLOYEE</t>
  </si>
  <si>
    <t>EMPLOYEE PENSIONS AND BENEFITS-FAS87 EXP</t>
  </si>
  <si>
    <t>EMPLOYEE PENSIONS AND BENEFITS-WORKFORCE</t>
  </si>
  <si>
    <t>EMPLOYEE PENSIONS AND BENEFITS-TRIMET</t>
  </si>
  <si>
    <t>EMPLOYEE PENSIONS AND BENEFITS-CAREER DE</t>
  </si>
  <si>
    <t>EMPLOYEE PENSIONS AND BENEFITS-COMPANY P</t>
  </si>
  <si>
    <t>EMPLOYEE PENSIONS AND BENEFITS-DRUG &amp; AL</t>
  </si>
  <si>
    <t>EMPLOYEE PENSIONS AND BENEFITS-HEALTH/LI</t>
  </si>
  <si>
    <t>EMPLOYEE PENSIONS AND BENEFITS-INDUSTRIA</t>
  </si>
  <si>
    <t>EMPLOYEE PENSIONS AND BENEFITS-TUITION R</t>
  </si>
  <si>
    <t>EMPLOYEE PENSIONS AND BENEFITS-DIVERSITY</t>
  </si>
  <si>
    <t>EMPLOYEE PENSIONS &amp; BENEFITS-PENSION BAL</t>
  </si>
  <si>
    <t>EPB - FAS106OPEB - NonService Components</t>
  </si>
  <si>
    <t>EPB - Pension-QP - NonService Components</t>
  </si>
  <si>
    <t>EPB - SERP ESRIP Expense - Service Cost</t>
  </si>
  <si>
    <t>EPB - SERP ESRIP Expense - NonServ Comp</t>
  </si>
  <si>
    <t>EPB - Emp Pen Bal - Service Costs</t>
  </si>
  <si>
    <t>EPB - Emp Pen Bal - NonService Component</t>
  </si>
  <si>
    <t>REGULATORY COMMISSION EXPENSES-REGULATOR</t>
  </si>
  <si>
    <t>MISC GENERAL EXPENSE-COVID19 COSTS</t>
  </si>
  <si>
    <t>ADMIN EXP TRF -  COMMON COST ALLOC IN</t>
  </si>
  <si>
    <t>MISC GENERAL EXPENSE-BONDHOLDER EXP</t>
  </si>
  <si>
    <t>MISC GENERAL EXPENSE-CORPORATE</t>
  </si>
  <si>
    <t>MISC GENERAL EXPENSE-NON RECOVERABLE EXP</t>
  </si>
  <si>
    <t>MISC GENERAL EXPENSE-ANNUAL MEETING</t>
  </si>
  <si>
    <t>MISC GENERAL EXPENSE-ANNUAL REPORT</t>
  </si>
  <si>
    <t>MISC GENERAL EXPENSE-DIRECTORS FEES &amp; EX</t>
  </si>
  <si>
    <t>MISC GENERAL EXPENSE-STOCKHOLDER EXP</t>
  </si>
  <si>
    <t>RENTS-MAINTENANCE</t>
  </si>
  <si>
    <t>RENTS-RENTS</t>
  </si>
  <si>
    <t>RENTS - 250 TAYLOR HQ LEASE</t>
  </si>
  <si>
    <t>RENTS-RADIO EQUIP MAINT</t>
  </si>
  <si>
    <t>RENTS-TELECOM OPERATIONS</t>
  </si>
  <si>
    <t>RENTS - OneNeck Bend Data Lease</t>
  </si>
  <si>
    <t>MAINTENANCE OF GENERAL PLANT-CNG MAINTEN</t>
  </si>
  <si>
    <t>MAINTENANCE OF GENERAL PLANT-MAINTENANCE</t>
  </si>
  <si>
    <t>MAINTENANCE OF GENERAL PLANT-MISC MEETIN</t>
  </si>
  <si>
    <t>MAINTENANCE OF GENERAL PLANT-OFFICE MAIN</t>
  </si>
  <si>
    <t>MAINTENANCE OF GENERAL PLANT-OFFICE STAF</t>
  </si>
  <si>
    <t>MAINTENANCE OF GENERAL PLANT-SAFETY MEET</t>
  </si>
  <si>
    <t>MAINTENANCE OF GENERAL PLANT-SAP EXPENSE</t>
  </si>
  <si>
    <t>MAINTENANCE OF GENERAL PLANT-NON RECOVER</t>
  </si>
  <si>
    <t>MAINTENANCE OF GENERAL PLANT-DISTRICT MA</t>
  </si>
  <si>
    <t>MAINTENANCE OF GENERAL PLANT-EXERCISE RO</t>
  </si>
  <si>
    <t>MAINTENANCE OF GENERAL PLANT-LUNCHROOM</t>
  </si>
  <si>
    <t>MAINTENANCE OF GENERAL PLANT-MT SCOTT SV</t>
  </si>
  <si>
    <t>MAINTENANCE OF GENERAL PLANT-ONE PAC SQ</t>
  </si>
  <si>
    <t>HQ Location Costs</t>
  </si>
  <si>
    <t>MAINTENANCE OF GENERAL PLANT-PARKING BLO</t>
  </si>
  <si>
    <t>MAINTENANCE OF GENERAL PLANT-PARKROSE SV</t>
  </si>
  <si>
    <t>MAINTENANCE OF GENERAL PLANT-SUNSET SVCE</t>
  </si>
  <si>
    <t>MAINTENANCE OF GENERAL PLANT-TUALATIN SV</t>
  </si>
  <si>
    <t>MAINTENANCE OF GENERAL PLANT-AUTO CLAIMS</t>
  </si>
  <si>
    <t>MAINTENANCE OF GENERAL PLANT-MICROWAVE M</t>
  </si>
  <si>
    <t>MAINTENANCE OF GENERAL PLANT-RADIO EQUIP</t>
  </si>
  <si>
    <t>MAINTENANCE OF GENERAL PLANT-TELECOM MAI</t>
  </si>
  <si>
    <t>MAINTENANCE OF GENERAL PLANT-A/V EQUIP</t>
  </si>
  <si>
    <t>MAINTENANCE OF GENERAL PLANT-VEHICLE ACC</t>
  </si>
  <si>
    <t>MAINTENANCE OF GENERAL PLANT-CENTRAL SVC</t>
  </si>
  <si>
    <t>MAINTENANCE OF GENERAL PLANT-DISTRIBUTIO</t>
  </si>
  <si>
    <t>MAINTENANCE OF GENERAL PLANT-GAS SUPPLY</t>
  </si>
  <si>
    <t>MAINTENANCE OF GENERAL PLANT-NEWPORT MAI</t>
  </si>
  <si>
    <t>MAINTENANCE OF GENERAL PLANT-PORTLAND LN</t>
  </si>
  <si>
    <t>MAINTENANCE OF GENERAL PLANT-PURCHAS/STO</t>
  </si>
  <si>
    <t>MAINTENANCE OF GENERAL PLANT-SAFETY/HEAL</t>
  </si>
  <si>
    <t>MAINTENANCE OF GENERAL PLANT-SOUTH CENTE</t>
  </si>
  <si>
    <t>Environmental Remediation Expense</t>
  </si>
  <si>
    <t>OR ENVIRONMENTAL EXP</t>
  </si>
  <si>
    <t>WA ENVIRONMENTAL EXP</t>
  </si>
  <si>
    <t>General Taxes</t>
  </si>
  <si>
    <t>TAXES OTHER THAN INCOME-DEPT OF ENERGY F</t>
  </si>
  <si>
    <t>TAXES OTHER THAN INCOME-MULT CO BUS TAX</t>
  </si>
  <si>
    <t>TAXES OTHER THAN INCOME-UTILITY-OR CAT</t>
  </si>
  <si>
    <t>TAXES OTHER THAN INCOME-NMEP-OR CAT</t>
  </si>
  <si>
    <t>TAXES OTHER THAN INCOME-TAXES-OTHER</t>
  </si>
  <si>
    <t>TAXES OTHER THAN INCOME-TAXES-PAYROLL</t>
  </si>
  <si>
    <t>TAXES OTHER THAN INCOME-TAXES-PROPERTY</t>
  </si>
  <si>
    <t>PROPERTY TAX CREDITS</t>
  </si>
  <si>
    <t>PROPERTY TAX - N. MIST</t>
  </si>
  <si>
    <t>TAXES OTHER THAN INCOME-TAXES-REG COMM F</t>
  </si>
  <si>
    <t>Franchise Taxes</t>
  </si>
  <si>
    <t>Other Utility Taxes - Franchise - 3%</t>
  </si>
  <si>
    <t>Other Utility Taxes- Franchise - 3% Warm</t>
  </si>
  <si>
    <t>Other Utility Taxes - Franchise - 2%</t>
  </si>
  <si>
    <t>Depreciation</t>
  </si>
  <si>
    <t>DEPRECIATION EXPENSE-DEPRECIATION - PLAN</t>
  </si>
  <si>
    <t>DEPRECIATION EXPENSE-NMEP DEPRECIATION</t>
  </si>
  <si>
    <t>FINANCE UTILITY LEASE DEPRECIATION EXP</t>
  </si>
  <si>
    <t>DEPRECIATION EXP-CLOUD SW DEPRECIATION</t>
  </si>
  <si>
    <t>Other Income/Expense</t>
  </si>
  <si>
    <t>Interest Income</t>
  </si>
  <si>
    <t>INTEREST INC-N. MIST LEASE INTEREST INC</t>
  </si>
  <si>
    <t>Equity AFUDC</t>
  </si>
  <si>
    <t>INTEREST AND DIVIDEND INCOME-INT ON DFED</t>
  </si>
  <si>
    <t>SEC REGULATORY INTEREST OFFSET</t>
  </si>
  <si>
    <t>INTEREST AND DIVIDEND INCOME-INT ON SECU</t>
  </si>
  <si>
    <t>INTEREST AND DIVIDEND INCOME-OTHER INTER</t>
  </si>
  <si>
    <t>Merchandise Income</t>
  </si>
  <si>
    <t>MERCHANDISE REVENUES-MISC PARTS COSTS</t>
  </si>
  <si>
    <t>MERCHANDISE REVENUES-RETAIL SALES BBQ</t>
  </si>
  <si>
    <t>MERCHANDISE REVENUES-RETAIL SALES DRYERS</t>
  </si>
  <si>
    <t>MERCHANDISE REVENUES-RETAIL SALES FP</t>
  </si>
  <si>
    <t>MERCHANDISE REVENUES-RETAIL SALES OTHER</t>
  </si>
  <si>
    <t>MERCHANDISE REVENUES-RETAIL SALES RANGES</t>
  </si>
  <si>
    <t>MERCHANDISE REVENUES-RETAIL SALES WASHER</t>
  </si>
  <si>
    <t>MERCHANDISE REVENUES-RETAIL SALES WALL H</t>
  </si>
  <si>
    <t>MERCHANDISE REVENUES-RETAIL SALES WATER</t>
  </si>
  <si>
    <t>MERCH REV-RETAIL Rebate Reimbursement</t>
  </si>
  <si>
    <t>MERCHANDISE REVENUES-MISC SVCE REVENUES</t>
  </si>
  <si>
    <t>MERCHANDISE EXPENSES-MISC SVCE COSTS</t>
  </si>
  <si>
    <t>MERCHANDISE EXPENSES-OFFICE STAFFING &amp; E</t>
  </si>
  <si>
    <t>MERCHANDISE EXPENSES-ADMIN EXPENSE TRANS</t>
  </si>
  <si>
    <t>MERCHANDISE EXPENSES-EMPL SAVINGS PLAN</t>
  </si>
  <si>
    <t>NON-UTILITY EXP - KEY GOALS BONUS</t>
  </si>
  <si>
    <t>MERCHANDISE EXPENSES-PENSION COSTS</t>
  </si>
  <si>
    <t>NON-UTILITY EXP - PERFORMANCE BONUS</t>
  </si>
  <si>
    <t>NON-UTILITY EXP - LTIP</t>
  </si>
  <si>
    <t>NON-UTILITY OP EXP-COMMON COST ALLOC IN</t>
  </si>
  <si>
    <t>NON-UTILITY RENT EXP - 250 TAYLOR</t>
  </si>
  <si>
    <t>MERCHANDISE EXPENSES-FAS 106 EXPENSE</t>
  </si>
  <si>
    <t>MERCHANDISE EXPENSES-MDSE PROGRAM EXP</t>
  </si>
  <si>
    <t>MERCHANDISE EXPENSES-MISC PARTS COSTS</t>
  </si>
  <si>
    <t>MERCHANDISE EXPENSES-RETAIL COSTS BBQ</t>
  </si>
  <si>
    <t>MERCHANDISE EXPENSES-RETAIL COSTS DRYERS</t>
  </si>
  <si>
    <t>MERCHANDISE EXPENSES-RETAIL COSTS FP</t>
  </si>
  <si>
    <t>MERCHANDISE EXPENSES-RETAIL COSTS OTHER</t>
  </si>
  <si>
    <t>MERCHANDISE EXPENSES-RETAIL COSTS RANGES</t>
  </si>
  <si>
    <t>MERCHANDISE EXPENSES-RETAIL COSTS WASHER</t>
  </si>
  <si>
    <t>MERCHANDISE EXPENSES-RETAIL COSTS WALL H</t>
  </si>
  <si>
    <t>MERCHANDISE EXPENSES-RETAIL COSTS WATER</t>
  </si>
  <si>
    <t>NON-UTILITY EXP - HEALTH/LIFE INSUR</t>
  </si>
  <si>
    <t>MERCHANDISE EXPENSES-WORKER COMPENSATION</t>
  </si>
  <si>
    <t>MERCHANDISE EXPENSE-CALIB EXP-COL BIO</t>
  </si>
  <si>
    <t>Rental Income</t>
  </si>
  <si>
    <t>NON-OPERATING RENTAL INCOME-RENTAL INCOM</t>
  </si>
  <si>
    <t>NON-OPERATING RENTAL INCOME-SHERWOOD H</t>
  </si>
  <si>
    <t>REVENUE FROM UTILITY PROPERTY-REV FROM U</t>
  </si>
  <si>
    <t>Interstate Storage</t>
  </si>
  <si>
    <t>NON-UTILITY REVENUES-OFFICE STAFFING &amp; E</t>
  </si>
  <si>
    <t>COMPRESSOR MAINTENANCE</t>
  </si>
  <si>
    <t>No. Ca - Gill Ranch</t>
  </si>
  <si>
    <t>NON-UTILITY REVENUES-INST STRG O&amp;M EXPEN</t>
  </si>
  <si>
    <t>NON-UTILITY REVENUES-INST STRG O&amp;M EXP -</t>
  </si>
  <si>
    <t>NON-UTILITY REVENUES-INST STRG NEWTON</t>
  </si>
  <si>
    <t>NON-UTILITY REVENUES-INT STORAGE DEPR</t>
  </si>
  <si>
    <t>NON-UTILITY REVENUES-LIABILITY INSURANCE</t>
  </si>
  <si>
    <t>NON-UTILITY REVENUES-MARGIN SHARING</t>
  </si>
  <si>
    <t>NON-UTILITY REVENUES-INT STG - GAS CONDI</t>
  </si>
  <si>
    <t>NON-UTILITY REVENUES-INT STG - COMPRESSO</t>
  </si>
  <si>
    <t>NON-UTILITY REVENUES-INT STG - WELLHEAD</t>
  </si>
  <si>
    <t>NON-UTILITY REVENUES-NON RECOVERABLE EXP</t>
  </si>
  <si>
    <t>NON-UTILITY REVENUES-WELL EXP-BUSCH</t>
  </si>
  <si>
    <t>NON-UTILITY AFUDC DEBT</t>
  </si>
  <si>
    <t>NON-UTILITY AFUDC EQUITY</t>
  </si>
  <si>
    <t>NON-UTILITY REVENUES-REV INTRASTATE STOR</t>
  </si>
  <si>
    <t>Non-Utly Rev- Mist ISS Fuel in Kind Rev</t>
  </si>
  <si>
    <t>NON-UTILITY REVENUES-REV STRG MTM ADJ</t>
  </si>
  <si>
    <t>NON-UTILITY REVENUES-REV STRG &amp; TRANS OP</t>
  </si>
  <si>
    <t>NON-UTILITY REVENUES-REV STRG INTERSTATE</t>
  </si>
  <si>
    <t>TAXES OTHER THAN INCOME-INST STRG O&amp;M EX</t>
  </si>
  <si>
    <t>CURRENT INC TAXES-STORAGE-FED</t>
  </si>
  <si>
    <t>CURRENT INC TAXES-STORAGE-STATE</t>
  </si>
  <si>
    <t>DEFD INC TAXES-STORAGE-FED-EXPENSE</t>
  </si>
  <si>
    <t>DEFD INC TAXES-STORAGE-STATE-EXPENSE</t>
  </si>
  <si>
    <t>INTEREST ON LONG-TERM DEBT-INST STRG O&amp;M</t>
  </si>
  <si>
    <t>Miscellaneous Non-Operating Income/Expen</t>
  </si>
  <si>
    <t>INCOME TAXES-INC TAX-FED NONOP-AIRCRAFT</t>
  </si>
  <si>
    <t>TAXES OTHER - Non-Utility Property Tax</t>
  </si>
  <si>
    <t>DEFERRED INCOME TAXES-DEFD NONOP TAX-FED</t>
  </si>
  <si>
    <t>MERCHANDISE REVENUES-CALIB EXP-MIST</t>
  </si>
  <si>
    <t>MERCHANDISE REVENUES-SSP - LEAD FEE</t>
  </si>
  <si>
    <t>MERCHANDISE EXPENSES-NON-OP ADVERTISING</t>
  </si>
  <si>
    <t>NON-UTILITY EXP - CALIB EXP - MIST</t>
  </si>
  <si>
    <t>NON-UTILITY EXP - PROGRAMS - SERVICE</t>
  </si>
  <si>
    <t>MISC NON-OPER INC-OFFICE MAINTENANCE</t>
  </si>
  <si>
    <t>MISC NON-OPER INC-OFFICE STAFFING &amp; EXPE</t>
  </si>
  <si>
    <t>MISC NON-OPER INC- N. Mist Budget Placeh</t>
  </si>
  <si>
    <t>MISC NON-OPER INC-HQ PARKING NWN</t>
  </si>
  <si>
    <t>HLD-SHARED SERVICES - FROM NWN TO HLD</t>
  </si>
  <si>
    <t>MISC NON-OPER INC-DEPR -GASCO DOCK</t>
  </si>
  <si>
    <t>MISC NON-OPER INC-DEPR - NON UTILITY PRO</t>
  </si>
  <si>
    <t>MISC NON-OPER INC-MGMT FEE-AIRCRAFT</t>
  </si>
  <si>
    <t>MISC NON-OPER INC-NON RECOVERABLE EXPENS</t>
  </si>
  <si>
    <t>MISC NON-OPER INC-N.MIST LEASE GAIN/LOSS</t>
  </si>
  <si>
    <t>MISC NON-OPER INC-COOS COUNTY PIPELINE O</t>
  </si>
  <si>
    <t>MISC NON-OPER INC-COOS COUNTY SERVICES</t>
  </si>
  <si>
    <t>MISC NON-OPER INC-GAIN ON DISP OF PROP</t>
  </si>
  <si>
    <t>OTB REVENUE</t>
  </si>
  <si>
    <t>MISC NON-OPER INC-LEASE INC-AIRCRAFT</t>
  </si>
  <si>
    <t>MISC NON-OPER INC-LNG DEVELOPMENT</t>
  </si>
  <si>
    <t>MISC NON-OPER INC-MARK TO MARKET</t>
  </si>
  <si>
    <t>MISC NON-OPER INC-MISC NON-OPER INC</t>
  </si>
  <si>
    <t>WTR-SS-FROM NWN EE TO WTR-NON OPERATING</t>
  </si>
  <si>
    <t>WTR-SS-FROM NWN to WTR-OPERATING</t>
  </si>
  <si>
    <t>WTR-SS-FROM NWN to SUNRIVER-ONGOING OPS</t>
  </si>
  <si>
    <t>SHARED SERVICES-FROM NWN TO GAS STORAGE</t>
  </si>
  <si>
    <t>Non-Shared Services</t>
  </si>
  <si>
    <t>DONATIONS/CIVIC/LIFE INS/OTHER-OFFICE ST</t>
  </si>
  <si>
    <t>PROJECT RESERVIOR</t>
  </si>
  <si>
    <t>DONATIONS/CIVIC/LIFE INS/OTHER-PALOMAR P</t>
  </si>
  <si>
    <t>DONATIONS/CIVIC/LIFE INS/OTHER-NO. CAL -</t>
  </si>
  <si>
    <t>DONATIONS/CIVIC/LIFE INS/OTHER-CHAMBER/C</t>
  </si>
  <si>
    <t>DONATIONS/CIVIC/LIFE INS/OTHER-DONATIONS</t>
  </si>
  <si>
    <t>DONATIONS/CIVIC/LIFE INS/OTHER-LIABILITY</t>
  </si>
  <si>
    <t>Other - Life Insurance CSV MTM Change</t>
  </si>
  <si>
    <t>Other - Life Insurance Death Benefits</t>
  </si>
  <si>
    <t>DONATIONS/CIVIC/LIFE INS/OTHER-OTHER DED</t>
  </si>
  <si>
    <t>DONATIONS/CIVIC/LIFE INS/OTHER-PARKING</t>
  </si>
  <si>
    <t>FINES &amp; PENALTIES</t>
  </si>
  <si>
    <t>DONATIONS/CIVIC/LIFE INS/OTHER-SOCIAL CL</t>
  </si>
  <si>
    <t>DONATIONS/CIVIC/LIFE INS/OTHER-AMORT OF</t>
  </si>
  <si>
    <t>DONATIONS/CIVIC/LIFE INS/OTHER-NON RECOV</t>
  </si>
  <si>
    <t>DONATIONS/CIVIC/LIFE INS/OTHER-SESQUICEN</t>
  </si>
  <si>
    <t>DONATIONS/CIVIC/LIFE INS/OTHER-SMART ENE</t>
  </si>
  <si>
    <t>DONATIONS/CIVIC/LIFE INS/OTHER-CIVIC EXP</t>
  </si>
  <si>
    <t>DONATIONS/CIVIC/LIFE INS/OTHER-LOBBYING</t>
  </si>
  <si>
    <t>DONATIONS/CIVIC/LIFE INS/OTHER-POLITICAL</t>
  </si>
  <si>
    <t>Enerfin Resources</t>
  </si>
  <si>
    <t>GAS STOARGE LLC</t>
  </si>
  <si>
    <t>PROVISION FOR RATE REFUNDS-SENATE BILL 4</t>
  </si>
  <si>
    <t>Non-Operating Taxes</t>
  </si>
  <si>
    <t>CURRENT INC TAXES-NONOP-FED</t>
  </si>
  <si>
    <t>CURRENT INC TAXES-NONOP-STATE</t>
  </si>
  <si>
    <t>DEFD INC TAXES-NONOP-FED-EXPENSE</t>
  </si>
  <si>
    <t>DEFD INC TAXES-NONOP-STATE-EXPENSE</t>
  </si>
  <si>
    <t>DEFD INC TAXES-NONOP-STATE-BENEFIT</t>
  </si>
  <si>
    <t>DEFD INC TAXES-NONOP-FED-BENEFIT</t>
  </si>
  <si>
    <t>Subsidiary Income</t>
  </si>
  <si>
    <t>NWN EQUITY IN THE EARNINGS OF PALOMAR</t>
  </si>
  <si>
    <t>NWN: EQUITY IN THE EARNINGS OF GRS</t>
  </si>
  <si>
    <t>NWN: EQUITY IN THE EARNINGS OF NWNGS</t>
  </si>
  <si>
    <t>NWN - Equity in Earnings: NWN WTR</t>
  </si>
  <si>
    <t>Equity in NW BIOGAS</t>
  </si>
  <si>
    <t>Gas Reserves</t>
  </si>
  <si>
    <t>NWN: EQUITY IN THE EARNINGS OF NWN ENERG</t>
  </si>
  <si>
    <t>NON-OPERATING RENTAL INCOME-EQUITY IN NN</t>
  </si>
  <si>
    <t>Interest Expense</t>
  </si>
  <si>
    <t>Interest on Long-Term Debt</t>
  </si>
  <si>
    <t>INTEREST ON LONG-TERM DEBT-INT - 1ST MTG</t>
  </si>
  <si>
    <t>INTEREST ON LONG-TERM DEBT-N MIST</t>
  </si>
  <si>
    <t>Other Interest</t>
  </si>
  <si>
    <t>OTHER INTEREST EXPENSE-INTER EXP - DEPOS</t>
  </si>
  <si>
    <t>OTHER INTEREST EXPENSE-INTER EXP - OTHER</t>
  </si>
  <si>
    <t>OTHER INTEREST EXPENSE-LINE OF CR COMM F</t>
  </si>
  <si>
    <t>OTHER INTEREST EXPENSE-OTHER INT EXP-NOT</t>
  </si>
  <si>
    <t>Amortization of Debt</t>
  </si>
  <si>
    <t>AMORTIZATION OF DEBIT DISCOUNT-AMORT OF</t>
  </si>
  <si>
    <t>Inerest Transferred</t>
  </si>
  <si>
    <t>OTHER INTEREST EXPENSE-INST STRG O&amp;M EXP</t>
  </si>
  <si>
    <t>ALLOW FUNDS USED DURING CONST-ALLOW-BORR</t>
  </si>
  <si>
    <t>Federal Income Taxes</t>
  </si>
  <si>
    <t>DEFD INC TAXES-UTILITY-FED-EDIT-DR</t>
  </si>
  <si>
    <t>CURRENT INC TAX - N. MIST - FED</t>
  </si>
  <si>
    <t>DEFD INC TAX - N. MIST - FED</t>
  </si>
  <si>
    <t>CURRENT INC TAXES-UTILITY-FED</t>
  </si>
  <si>
    <t>DEFD INC TAXES-UTILITY-FED-EXPENSE</t>
  </si>
  <si>
    <t>PROV FOR DEFERRED INC TAXES-SENATE BILL</t>
  </si>
  <si>
    <t>DEFD INC TAXES-UTILITY-FED-BENEFIT</t>
  </si>
  <si>
    <t>DEFD INC TAXES-UTILITY-FED-EDIT-CR</t>
  </si>
  <si>
    <t>DEFD INC TAXES-ITC-DEFERRED</t>
  </si>
  <si>
    <t>DEFD INC TAXES-ITC-RESTORED</t>
  </si>
  <si>
    <t>State Income Taxes</t>
  </si>
  <si>
    <t>DEFD INC TAXES-UTILITY-STATE-EDIT-DR</t>
  </si>
  <si>
    <t>DEFD INC TAXES-UTILITY-STATE-EDIT-CR</t>
  </si>
  <si>
    <t>CURRENT INC TAX - N. MIST - STATE</t>
  </si>
  <si>
    <t>DEFD INC TAX - N. MIST - STATE</t>
  </si>
  <si>
    <t>CURRENT INC TAXES-UTILITY-STATE</t>
  </si>
  <si>
    <t>DEFD INC TAXES-UTILITY-STATE-EXPENSE</t>
  </si>
  <si>
    <t>DEFD INC TAXES-UTILITY-STATE-BENEFIT</t>
  </si>
  <si>
    <t>INCOME STATEMENT</t>
  </si>
  <si>
    <t>Dep Exp_Sep20</t>
  </si>
  <si>
    <t>Dep Exp_AMA</t>
  </si>
  <si>
    <t>Per Daren's Email</t>
  </si>
  <si>
    <t>Weighted average from two projects (one at 3yr and the other 5yr lives)</t>
  </si>
  <si>
    <t>w/ 1% rate</t>
  </si>
  <si>
    <t>Current Useful Life</t>
  </si>
  <si>
    <t>Phase back into the  normal depreciation rate</t>
  </si>
  <si>
    <t>Year 1</t>
  </si>
  <si>
    <t>Year 2</t>
  </si>
  <si>
    <t>Year 3</t>
  </si>
  <si>
    <t>Year 4</t>
  </si>
  <si>
    <t>Wtd. Avg. Rate</t>
  </si>
  <si>
    <t>Gross Plant</t>
  </si>
  <si>
    <t>Dep. Exp</t>
  </si>
  <si>
    <t>FERC 354</t>
  </si>
  <si>
    <t>Weighted average is used for post test year plant additions</t>
  </si>
  <si>
    <t>Current Rates</t>
  </si>
  <si>
    <t>Annual Depr.</t>
  </si>
  <si>
    <t>Exp. Reduction</t>
  </si>
  <si>
    <t>Ratio</t>
  </si>
  <si>
    <t>(needed to reduce rate impact to zero)</t>
  </si>
  <si>
    <t>Diff. from Current</t>
  </si>
  <si>
    <t>Depreciation Expense</t>
  </si>
  <si>
    <t>Contingency 0% Plan</t>
  </si>
  <si>
    <t>EOP Depr. Exp.</t>
  </si>
  <si>
    <t>Adjustment</t>
  </si>
  <si>
    <t>Depreciation Expenses - Actual (TTM 9/30/20)</t>
  </si>
  <si>
    <t>Depreciation Expenses - September 30, 2020</t>
  </si>
  <si>
    <t>Depreciation Expenses - 13-AMA</t>
  </si>
  <si>
    <t>Per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</si>
</sst>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_);\(0.00000\)"/>
    <numFmt numFmtId="167" formatCode="#,##0;&quot;(&quot;#,##0&quot;)&quot;;#,##0;@"/>
    <numFmt numFmtId="168" formatCode="#,##0;\-#,##0;#,##0;@"/>
    <numFmt numFmtId="169" formatCode="0.0"/>
    <numFmt numFmtId="170" formatCode="0.0%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D5E3F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69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15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1" fillId="32" borderId="0" applyNumberFormat="0" applyBorder="0" applyAlignment="0" applyProtection="0"/>
    <xf numFmtId="43" fontId="14" fillId="0" borderId="0" applyFont="0" applyFill="0" applyBorder="0" applyAlignment="0" applyProtection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43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43" fontId="32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43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3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7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2" fillId="0" borderId="0"/>
    <xf numFmtId="0" fontId="32" fillId="0" borderId="0">
      <alignment vertical="top"/>
    </xf>
    <xf numFmtId="0" fontId="51" fillId="0" borderId="0" applyNumberFormat="0" applyFill="0" applyBorder="0" applyAlignment="0" applyProtection="0"/>
    <xf numFmtId="0" fontId="1" fillId="0" borderId="0"/>
  </cellStyleXfs>
  <cellXfs count="159">
    <xf numFmtId="0" fontId="32" fillId="0" borderId="0" xfId="0" applyFont="1"/>
    <xf numFmtId="0" fontId="32" fillId="0" borderId="0" xfId="0" applyFont="1" applyFill="1"/>
    <xf numFmtId="0" fontId="32" fillId="0" borderId="0" xfId="1465" applyFont="1" applyFill="1"/>
    <xf numFmtId="3" fontId="50" fillId="0" borderId="0" xfId="1466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vertical="top"/>
    </xf>
    <xf numFmtId="0" fontId="49" fillId="0" borderId="10" xfId="0" applyFont="1" applyFill="1" applyBorder="1" applyAlignment="1">
      <alignment horizontal="center" wrapText="1"/>
    </xf>
    <xf numFmtId="164" fontId="49" fillId="0" borderId="10" xfId="1" applyNumberFormat="1" applyFont="1" applyFill="1" applyBorder="1" applyAlignment="1">
      <alignment horizontal="center" wrapText="1"/>
    </xf>
    <xf numFmtId="166" fontId="32" fillId="0" borderId="0" xfId="0" applyNumberFormat="1" applyFont="1" applyFill="1" applyAlignment="1"/>
    <xf numFmtId="164" fontId="32" fillId="0" borderId="0" xfId="1" applyNumberFormat="1" applyFont="1" applyFill="1"/>
    <xf numFmtId="10" fontId="32" fillId="0" borderId="0" xfId="1464" applyNumberFormat="1" applyFont="1" applyFill="1"/>
    <xf numFmtId="0" fontId="32" fillId="0" borderId="0" xfId="0" applyFont="1" applyFill="1" applyBorder="1" applyAlignment="1">
      <alignment horizontal="right" vertical="top"/>
    </xf>
    <xf numFmtId="49" fontId="52" fillId="34" borderId="0" xfId="1468" applyNumberFormat="1" applyFont="1" applyFill="1" applyAlignment="1">
      <alignment wrapText="1"/>
    </xf>
    <xf numFmtId="0" fontId="53" fillId="0" borderId="0" xfId="1468" applyFont="1"/>
    <xf numFmtId="0" fontId="1" fillId="0" borderId="0" xfId="1468"/>
    <xf numFmtId="0" fontId="30" fillId="0" borderId="0" xfId="1468" applyFont="1"/>
    <xf numFmtId="0" fontId="54" fillId="0" borderId="0" xfId="1468" applyFont="1" applyAlignment="1">
      <alignment wrapText="1"/>
    </xf>
    <xf numFmtId="49" fontId="55" fillId="35" borderId="24" xfId="1468" applyNumberFormat="1" applyFont="1" applyFill="1" applyBorder="1" applyAlignment="1">
      <alignment horizontal="right" vertical="center" wrapText="1"/>
    </xf>
    <xf numFmtId="49" fontId="56" fillId="35" borderId="24" xfId="1468" applyNumberFormat="1" applyFont="1" applyFill="1" applyBorder="1" applyAlignment="1">
      <alignment horizontal="left" vertical="center" wrapText="1"/>
    </xf>
    <xf numFmtId="49" fontId="55" fillId="35" borderId="24" xfId="1468" applyNumberFormat="1" applyFont="1" applyFill="1" applyBorder="1" applyAlignment="1">
      <alignment horizontal="center" vertical="center" wrapText="1"/>
    </xf>
    <xf numFmtId="49" fontId="55" fillId="35" borderId="24" xfId="1468" applyNumberFormat="1" applyFont="1" applyFill="1" applyBorder="1" applyAlignment="1">
      <alignment horizontal="left" vertical="center" wrapText="1"/>
    </xf>
    <xf numFmtId="49" fontId="52" fillId="35" borderId="24" xfId="1468" applyNumberFormat="1" applyFont="1" applyFill="1" applyBorder="1" applyAlignment="1">
      <alignment horizontal="center" vertical="center" wrapText="1"/>
    </xf>
    <xf numFmtId="49" fontId="56" fillId="35" borderId="24" xfId="1468" applyNumberFormat="1" applyFont="1" applyFill="1" applyBorder="1" applyAlignment="1">
      <alignment horizontal="right" vertical="center" wrapText="1"/>
    </xf>
    <xf numFmtId="49" fontId="52" fillId="35" borderId="24" xfId="1468" applyNumberFormat="1" applyFont="1" applyFill="1" applyBorder="1" applyAlignment="1">
      <alignment horizontal="right" vertical="center" wrapText="1"/>
    </xf>
    <xf numFmtId="49" fontId="55" fillId="36" borderId="24" xfId="1468" applyNumberFormat="1" applyFont="1" applyFill="1" applyBorder="1" applyAlignment="1">
      <alignment horizontal="left" vertical="center" wrapText="1"/>
    </xf>
    <xf numFmtId="167" fontId="56" fillId="34" borderId="24" xfId="1468" applyNumberFormat="1" applyFont="1" applyFill="1" applyBorder="1" applyAlignment="1">
      <alignment horizontal="right" vertical="center" wrapText="1"/>
    </xf>
    <xf numFmtId="167" fontId="55" fillId="34" borderId="24" xfId="1468" applyNumberFormat="1" applyFont="1" applyFill="1" applyBorder="1" applyAlignment="1">
      <alignment horizontal="right" vertical="center" wrapText="1"/>
    </xf>
    <xf numFmtId="167" fontId="52" fillId="34" borderId="24" xfId="1468" applyNumberFormat="1" applyFont="1" applyFill="1" applyBorder="1" applyAlignment="1">
      <alignment horizontal="right" vertical="center" wrapText="1"/>
    </xf>
    <xf numFmtId="49" fontId="55" fillId="37" borderId="24" xfId="1468" applyNumberFormat="1" applyFont="1" applyFill="1" applyBorder="1" applyAlignment="1">
      <alignment horizontal="left" vertical="center" wrapText="1" indent="1"/>
    </xf>
    <xf numFmtId="167" fontId="56" fillId="38" borderId="24" xfId="1468" applyNumberFormat="1" applyFont="1" applyFill="1" applyBorder="1" applyAlignment="1">
      <alignment horizontal="right" vertical="center" wrapText="1"/>
    </xf>
    <xf numFmtId="167" fontId="55" fillId="38" borderId="24" xfId="1468" applyNumberFormat="1" applyFont="1" applyFill="1" applyBorder="1" applyAlignment="1">
      <alignment horizontal="right" vertical="center" wrapText="1"/>
    </xf>
    <xf numFmtId="167" fontId="52" fillId="38" borderId="24" xfId="1468" applyNumberFormat="1" applyFont="1" applyFill="1" applyBorder="1" applyAlignment="1">
      <alignment horizontal="right" vertical="center" wrapText="1"/>
    </xf>
    <xf numFmtId="49" fontId="55" fillId="39" borderId="24" xfId="1468" applyNumberFormat="1" applyFont="1" applyFill="1" applyBorder="1" applyAlignment="1">
      <alignment horizontal="left" vertical="center" wrapText="1" indent="2"/>
    </xf>
    <xf numFmtId="49" fontId="55" fillId="39" borderId="24" xfId="1468" applyNumberFormat="1" applyFont="1" applyFill="1" applyBorder="1" applyAlignment="1">
      <alignment horizontal="left" vertical="center" wrapText="1" indent="3"/>
    </xf>
    <xf numFmtId="49" fontId="55" fillId="39" borderId="24" xfId="1468" applyNumberFormat="1" applyFont="1" applyFill="1" applyBorder="1" applyAlignment="1">
      <alignment horizontal="left" vertical="center" wrapText="1" indent="4"/>
    </xf>
    <xf numFmtId="49" fontId="55" fillId="39" borderId="24" xfId="1468" applyNumberFormat="1" applyFont="1" applyFill="1" applyBorder="1" applyAlignment="1">
      <alignment horizontal="left" vertical="center" wrapText="1" indent="5"/>
    </xf>
    <xf numFmtId="49" fontId="55" fillId="39" borderId="24" xfId="1468" applyNumberFormat="1" applyFont="1" applyFill="1" applyBorder="1" applyAlignment="1">
      <alignment horizontal="left" vertical="center" wrapText="1" indent="6"/>
    </xf>
    <xf numFmtId="0" fontId="56" fillId="38" borderId="24" xfId="1468" applyFont="1" applyFill="1" applyBorder="1" applyAlignment="1">
      <alignment horizontal="right" vertical="center" wrapText="1"/>
    </xf>
    <xf numFmtId="0" fontId="55" fillId="34" borderId="24" xfId="1468" applyFont="1" applyFill="1" applyBorder="1" applyAlignment="1">
      <alignment horizontal="right" vertical="center" wrapText="1"/>
    </xf>
    <xf numFmtId="0" fontId="55" fillId="38" borderId="24" xfId="1468" applyFont="1" applyFill="1" applyBorder="1" applyAlignment="1">
      <alignment horizontal="right" vertical="center" wrapText="1"/>
    </xf>
    <xf numFmtId="0" fontId="56" fillId="34" borderId="24" xfId="1468" applyFont="1" applyFill="1" applyBorder="1" applyAlignment="1">
      <alignment horizontal="right" vertical="center" wrapText="1"/>
    </xf>
    <xf numFmtId="0" fontId="52" fillId="34" borderId="24" xfId="1468" applyFont="1" applyFill="1" applyBorder="1" applyAlignment="1">
      <alignment horizontal="right" vertical="center" wrapText="1"/>
    </xf>
    <xf numFmtId="0" fontId="52" fillId="38" borderId="24" xfId="1468" applyFont="1" applyFill="1" applyBorder="1" applyAlignment="1">
      <alignment horizontal="right" vertical="center" wrapText="1"/>
    </xf>
    <xf numFmtId="168" fontId="55" fillId="38" borderId="24" xfId="1468" applyNumberFormat="1" applyFont="1" applyFill="1" applyBorder="1" applyAlignment="1">
      <alignment horizontal="right" vertical="center" wrapText="1"/>
    </xf>
    <xf numFmtId="49" fontId="56" fillId="39" borderId="24" xfId="1468" applyNumberFormat="1" applyFont="1" applyFill="1" applyBorder="1" applyAlignment="1">
      <alignment horizontal="left" vertical="center" wrapText="1" indent="6"/>
    </xf>
    <xf numFmtId="49" fontId="55" fillId="33" borderId="24" xfId="1468" applyNumberFormat="1" applyFont="1" applyFill="1" applyBorder="1" applyAlignment="1">
      <alignment horizontal="left" vertical="center" wrapText="1" indent="5"/>
    </xf>
    <xf numFmtId="167" fontId="55" fillId="33" borderId="24" xfId="1468" applyNumberFormat="1" applyFont="1" applyFill="1" applyBorder="1" applyAlignment="1">
      <alignment horizontal="right" vertical="center" wrapText="1"/>
    </xf>
    <xf numFmtId="167" fontId="52" fillId="33" borderId="24" xfId="1468" applyNumberFormat="1" applyFont="1" applyFill="1" applyBorder="1" applyAlignment="1">
      <alignment horizontal="right" vertical="center" wrapText="1"/>
    </xf>
    <xf numFmtId="168" fontId="52" fillId="38" borderId="24" xfId="1468" applyNumberFormat="1" applyFont="1" applyFill="1" applyBorder="1" applyAlignment="1">
      <alignment horizontal="right" vertical="center" wrapText="1"/>
    </xf>
    <xf numFmtId="168" fontId="55" fillId="34" borderId="24" xfId="1468" applyNumberFormat="1" applyFont="1" applyFill="1" applyBorder="1" applyAlignment="1">
      <alignment horizontal="right" vertical="center" wrapText="1"/>
    </xf>
    <xf numFmtId="168" fontId="52" fillId="34" borderId="24" xfId="1468" applyNumberFormat="1" applyFont="1" applyFill="1" applyBorder="1" applyAlignment="1">
      <alignment horizontal="right" vertical="center" wrapText="1"/>
    </xf>
    <xf numFmtId="168" fontId="56" fillId="38" borderId="24" xfId="1468" applyNumberFormat="1" applyFont="1" applyFill="1" applyBorder="1" applyAlignment="1">
      <alignment horizontal="right" vertical="center" wrapText="1"/>
    </xf>
    <xf numFmtId="168" fontId="56" fillId="34" borderId="24" xfId="1468" applyNumberFormat="1" applyFont="1" applyFill="1" applyBorder="1" applyAlignment="1">
      <alignment horizontal="right" vertical="center" wrapText="1"/>
    </xf>
    <xf numFmtId="49" fontId="56" fillId="39" borderId="24" xfId="1468" applyNumberFormat="1" applyFont="1" applyFill="1" applyBorder="1" applyAlignment="1">
      <alignment horizontal="left" vertical="center" wrapText="1" indent="5"/>
    </xf>
    <xf numFmtId="49" fontId="56" fillId="39" borderId="24" xfId="1468" applyNumberFormat="1" applyFont="1" applyFill="1" applyBorder="1" applyAlignment="1">
      <alignment horizontal="left" vertical="center" wrapText="1" indent="4"/>
    </xf>
    <xf numFmtId="167" fontId="56" fillId="33" borderId="24" xfId="1468" applyNumberFormat="1" applyFont="1" applyFill="1" applyBorder="1" applyAlignment="1">
      <alignment horizontal="right" vertical="center" wrapText="1"/>
    </xf>
    <xf numFmtId="167" fontId="1" fillId="0" borderId="0" xfId="1468" applyNumberFormat="1"/>
    <xf numFmtId="10" fontId="32" fillId="0" borderId="0" xfId="0" applyNumberFormat="1" applyFont="1" applyFill="1" applyBorder="1"/>
    <xf numFmtId="43" fontId="32" fillId="0" borderId="0" xfId="0" applyNumberFormat="1" applyFont="1" applyFill="1"/>
    <xf numFmtId="0" fontId="49" fillId="0" borderId="0" xfId="0" applyFont="1" applyFill="1" applyBorder="1" applyAlignment="1">
      <alignment horizontal="center" wrapText="1"/>
    </xf>
    <xf numFmtId="0" fontId="49" fillId="0" borderId="0" xfId="0" applyFont="1" applyFill="1"/>
    <xf numFmtId="0" fontId="49" fillId="0" borderId="0" xfId="0" applyFont="1" applyFill="1" applyAlignment="1">
      <alignment horizontal="center"/>
    </xf>
    <xf numFmtId="0" fontId="49" fillId="0" borderId="10" xfId="0" applyFont="1" applyFill="1" applyBorder="1" applyAlignment="1">
      <alignment vertical="top"/>
    </xf>
    <xf numFmtId="0" fontId="49" fillId="0" borderId="10" xfId="0" applyFont="1" applyFill="1" applyBorder="1" applyAlignment="1">
      <alignment horizontal="center" vertical="top"/>
    </xf>
    <xf numFmtId="0" fontId="49" fillId="0" borderId="10" xfId="1465" applyFont="1" applyFill="1" applyBorder="1" applyAlignment="1">
      <alignment vertical="top"/>
    </xf>
    <xf numFmtId="0" fontId="49" fillId="0" borderId="10" xfId="1465" applyFont="1" applyFill="1" applyBorder="1" applyAlignment="1">
      <alignment horizontal="center" vertical="top"/>
    </xf>
    <xf numFmtId="43" fontId="32" fillId="0" borderId="0" xfId="1" applyFont="1" applyFill="1"/>
    <xf numFmtId="43" fontId="49" fillId="0" borderId="12" xfId="1" applyFont="1" applyFill="1" applyBorder="1"/>
    <xf numFmtId="164" fontId="49" fillId="0" borderId="12" xfId="0" applyNumberFormat="1" applyFont="1" applyFill="1" applyBorder="1"/>
    <xf numFmtId="0" fontId="32" fillId="0" borderId="15" xfId="0" applyFont="1" applyFill="1" applyBorder="1"/>
    <xf numFmtId="0" fontId="32" fillId="0" borderId="16" xfId="0" applyFont="1" applyFill="1" applyBorder="1"/>
    <xf numFmtId="0" fontId="49" fillId="0" borderId="16" xfId="0" applyFont="1" applyFill="1" applyBorder="1" applyAlignment="1">
      <alignment horizontal="center"/>
    </xf>
    <xf numFmtId="0" fontId="32" fillId="0" borderId="17" xfId="0" applyFont="1" applyFill="1" applyBorder="1"/>
    <xf numFmtId="0" fontId="32" fillId="0" borderId="0" xfId="0" applyFont="1" applyFill="1" applyBorder="1"/>
    <xf numFmtId="164" fontId="49" fillId="0" borderId="0" xfId="1" applyNumberFormat="1" applyFont="1" applyFill="1" applyBorder="1"/>
    <xf numFmtId="164" fontId="49" fillId="0" borderId="19" xfId="1" applyNumberFormat="1" applyFont="1" applyFill="1" applyBorder="1"/>
    <xf numFmtId="0" fontId="32" fillId="0" borderId="18" xfId="0" applyFont="1" applyFill="1" applyBorder="1"/>
    <xf numFmtId="0" fontId="32" fillId="0" borderId="19" xfId="0" applyFont="1" applyFill="1" applyBorder="1"/>
    <xf numFmtId="0" fontId="49" fillId="0" borderId="31" xfId="0" applyFont="1" applyFill="1" applyBorder="1"/>
    <xf numFmtId="0" fontId="49" fillId="0" borderId="14" xfId="0" applyFont="1" applyFill="1" applyBorder="1"/>
    <xf numFmtId="164" fontId="49" fillId="0" borderId="0" xfId="0" applyNumberFormat="1" applyFont="1" applyFill="1" applyBorder="1"/>
    <xf numFmtId="164" fontId="32" fillId="0" borderId="0" xfId="0" applyNumberFormat="1" applyFont="1" applyFill="1"/>
    <xf numFmtId="43" fontId="32" fillId="0" borderId="0" xfId="0" applyNumberFormat="1" applyFont="1" applyFill="1" applyBorder="1"/>
    <xf numFmtId="164" fontId="49" fillId="0" borderId="12" xfId="1" applyNumberFormat="1" applyFont="1" applyFill="1" applyBorder="1"/>
    <xf numFmtId="164" fontId="49" fillId="0" borderId="0" xfId="0" applyNumberFormat="1" applyFont="1" applyFill="1"/>
    <xf numFmtId="165" fontId="32" fillId="0" borderId="22" xfId="1463" applyNumberFormat="1" applyFont="1" applyFill="1" applyBorder="1"/>
    <xf numFmtId="0" fontId="32" fillId="0" borderId="22" xfId="0" applyFont="1" applyFill="1" applyBorder="1"/>
    <xf numFmtId="3" fontId="50" fillId="0" borderId="22" xfId="1466" applyNumberFormat="1" applyFont="1" applyFill="1" applyBorder="1" applyAlignment="1">
      <alignment horizontal="center" vertical="center"/>
    </xf>
    <xf numFmtId="10" fontId="32" fillId="0" borderId="22" xfId="0" applyNumberFormat="1" applyFont="1" applyFill="1" applyBorder="1"/>
    <xf numFmtId="10" fontId="32" fillId="0" borderId="22" xfId="1464" applyNumberFormat="1" applyFont="1" applyFill="1" applyBorder="1"/>
    <xf numFmtId="0" fontId="32" fillId="0" borderId="23" xfId="0" applyFont="1" applyFill="1" applyBorder="1"/>
    <xf numFmtId="0" fontId="32" fillId="0" borderId="0" xfId="0" applyFont="1" applyFill="1" applyAlignment="1">
      <alignment vertical="top"/>
    </xf>
    <xf numFmtId="43" fontId="32" fillId="0" borderId="0" xfId="1" applyFont="1" applyFill="1" applyAlignment="1">
      <alignment horizontal="right" vertical="top"/>
    </xf>
    <xf numFmtId="43" fontId="32" fillId="0" borderId="0" xfId="163" applyFont="1" applyFill="1" applyAlignment="1">
      <alignment horizontal="right" vertical="top"/>
    </xf>
    <xf numFmtId="0" fontId="57" fillId="0" borderId="18" xfId="0" applyFont="1" applyFill="1" applyBorder="1" applyAlignment="1">
      <alignment horizontal="left"/>
    </xf>
    <xf numFmtId="0" fontId="57" fillId="0" borderId="18" xfId="0" applyFont="1" applyFill="1" applyBorder="1"/>
    <xf numFmtId="0" fontId="50" fillId="0" borderId="0" xfId="0" applyFont="1" applyFill="1" applyBorder="1" applyAlignment="1">
      <alignment horizontal="center"/>
    </xf>
    <xf numFmtId="0" fontId="58" fillId="0" borderId="19" xfId="0" applyFont="1" applyFill="1" applyBorder="1"/>
    <xf numFmtId="0" fontId="58" fillId="0" borderId="21" xfId="0" applyFont="1" applyFill="1" applyBorder="1"/>
    <xf numFmtId="0" fontId="49" fillId="0" borderId="10" xfId="0" applyFont="1" applyFill="1" applyBorder="1" applyAlignment="1">
      <alignment horizontal="center"/>
    </xf>
    <xf numFmtId="164" fontId="49" fillId="0" borderId="10" xfId="1" applyNumberFormat="1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17" fontId="49" fillId="0" borderId="10" xfId="0" applyNumberFormat="1" applyFont="1" applyFill="1" applyBorder="1" applyAlignment="1">
      <alignment horizontal="center"/>
    </xf>
    <xf numFmtId="0" fontId="49" fillId="0" borderId="15" xfId="0" applyFont="1" applyFill="1" applyBorder="1" applyAlignment="1">
      <alignment horizontal="center"/>
    </xf>
    <xf numFmtId="0" fontId="49" fillId="0" borderId="17" xfId="0" applyFont="1" applyFill="1" applyBorder="1" applyAlignment="1">
      <alignment horizontal="center"/>
    </xf>
    <xf numFmtId="164" fontId="32" fillId="0" borderId="21" xfId="0" applyNumberFormat="1" applyFont="1" applyFill="1" applyBorder="1" applyAlignment="1">
      <alignment horizontal="center"/>
    </xf>
    <xf numFmtId="164" fontId="32" fillId="0" borderId="22" xfId="0" applyNumberFormat="1" applyFont="1" applyFill="1" applyBorder="1" applyAlignment="1">
      <alignment horizontal="center"/>
    </xf>
    <xf numFmtId="10" fontId="32" fillId="0" borderId="23" xfId="1464" applyNumberFormat="1" applyFont="1" applyFill="1" applyBorder="1" applyAlignment="1">
      <alignment horizontal="center"/>
    </xf>
    <xf numFmtId="165" fontId="32" fillId="0" borderId="0" xfId="1463" applyNumberFormat="1" applyFont="1" applyFill="1"/>
    <xf numFmtId="165" fontId="32" fillId="0" borderId="25" xfId="1463" applyNumberFormat="1" applyFont="1" applyFill="1" applyBorder="1"/>
    <xf numFmtId="164" fontId="32" fillId="0" borderId="29" xfId="0" applyNumberFormat="1" applyFont="1" applyFill="1" applyBorder="1" applyAlignment="1">
      <alignment horizontal="center"/>
    </xf>
    <xf numFmtId="0" fontId="49" fillId="0" borderId="14" xfId="0" applyFont="1" applyFill="1" applyBorder="1" applyAlignment="1">
      <alignment horizontal="center"/>
    </xf>
    <xf numFmtId="10" fontId="32" fillId="0" borderId="27" xfId="1464" applyNumberFormat="1" applyFont="1" applyFill="1" applyBorder="1" applyAlignment="1">
      <alignment horizontal="center"/>
    </xf>
    <xf numFmtId="169" fontId="32" fillId="0" borderId="0" xfId="0" applyNumberFormat="1" applyFont="1" applyFill="1" applyAlignment="1">
      <alignment horizontal="center"/>
    </xf>
    <xf numFmtId="10" fontId="32" fillId="0" borderId="28" xfId="1464" applyNumberFormat="1" applyFont="1" applyFill="1" applyBorder="1" applyAlignment="1">
      <alignment horizontal="center"/>
    </xf>
    <xf numFmtId="10" fontId="32" fillId="0" borderId="0" xfId="0" applyNumberFormat="1" applyFont="1" applyFill="1" applyAlignment="1">
      <alignment horizontal="center"/>
    </xf>
    <xf numFmtId="10" fontId="32" fillId="0" borderId="0" xfId="1464" applyNumberFormat="1" applyFont="1" applyFill="1" applyAlignment="1">
      <alignment horizontal="center"/>
    </xf>
    <xf numFmtId="165" fontId="32" fillId="0" borderId="0" xfId="0" applyNumberFormat="1" applyFont="1" applyFill="1" applyAlignment="1">
      <alignment horizontal="center"/>
    </xf>
    <xf numFmtId="165" fontId="32" fillId="0" borderId="0" xfId="0" applyNumberFormat="1" applyFont="1" applyFill="1"/>
    <xf numFmtId="165" fontId="32" fillId="0" borderId="26" xfId="1463" applyNumberFormat="1" applyFont="1" applyFill="1" applyBorder="1"/>
    <xf numFmtId="165" fontId="32" fillId="0" borderId="27" xfId="1463" applyNumberFormat="1" applyFont="1" applyFill="1" applyBorder="1"/>
    <xf numFmtId="170" fontId="32" fillId="0" borderId="28" xfId="1464" applyNumberFormat="1" applyFont="1" applyFill="1" applyBorder="1"/>
    <xf numFmtId="164" fontId="49" fillId="0" borderId="20" xfId="0" applyNumberFormat="1" applyFont="1" applyFill="1" applyBorder="1"/>
    <xf numFmtId="164" fontId="49" fillId="0" borderId="19" xfId="0" applyNumberFormat="1" applyFont="1" applyFill="1" applyBorder="1"/>
    <xf numFmtId="43" fontId="32" fillId="0" borderId="19" xfId="0" applyNumberFormat="1" applyFont="1" applyFill="1" applyBorder="1"/>
    <xf numFmtId="164" fontId="49" fillId="0" borderId="20" xfId="1" applyNumberFormat="1" applyFont="1" applyFill="1" applyBorder="1"/>
    <xf numFmtId="10" fontId="32" fillId="0" borderId="23" xfId="1464" applyNumberFormat="1" applyFont="1" applyFill="1" applyBorder="1"/>
    <xf numFmtId="10" fontId="32" fillId="0" borderId="0" xfId="1464" applyNumberFormat="1" applyFont="1" applyFill="1" applyBorder="1"/>
    <xf numFmtId="0" fontId="50" fillId="0" borderId="14" xfId="0" applyFont="1" applyFill="1" applyBorder="1"/>
    <xf numFmtId="0" fontId="50" fillId="0" borderId="0" xfId="0" applyFont="1" applyFill="1" applyAlignment="1">
      <alignment horizontal="center"/>
    </xf>
    <xf numFmtId="0" fontId="50" fillId="0" borderId="11" xfId="0" applyFont="1" applyFill="1" applyBorder="1"/>
    <xf numFmtId="0" fontId="50" fillId="0" borderId="11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vertical="top"/>
    </xf>
    <xf numFmtId="43" fontId="49" fillId="0" borderId="0" xfId="0" applyNumberFormat="1" applyFont="1" applyFill="1"/>
    <xf numFmtId="0" fontId="32" fillId="0" borderId="10" xfId="0" applyFont="1" applyFill="1" applyBorder="1" applyAlignment="1">
      <alignment vertical="top"/>
    </xf>
    <xf numFmtId="0" fontId="32" fillId="0" borderId="10" xfId="0" applyFont="1" applyFill="1" applyBorder="1" applyAlignment="1">
      <alignment horizontal="center" vertical="top"/>
    </xf>
    <xf numFmtId="43" fontId="32" fillId="0" borderId="10" xfId="1" applyFont="1" applyFill="1" applyBorder="1" applyAlignment="1">
      <alignment horizontal="right" vertical="top"/>
    </xf>
    <xf numFmtId="0" fontId="32" fillId="0" borderId="0" xfId="1465" applyFont="1" applyFill="1" applyAlignment="1">
      <alignment horizontal="right"/>
    </xf>
    <xf numFmtId="43" fontId="49" fillId="0" borderId="0" xfId="1" applyFont="1" applyFill="1"/>
    <xf numFmtId="0" fontId="32" fillId="0" borderId="10" xfId="1465" applyFont="1" applyFill="1" applyBorder="1" applyAlignment="1">
      <alignment vertical="top"/>
    </xf>
    <xf numFmtId="0" fontId="32" fillId="0" borderId="0" xfId="1465" applyFont="1" applyFill="1" applyAlignment="1">
      <alignment vertical="top"/>
    </xf>
    <xf numFmtId="43" fontId="32" fillId="0" borderId="10" xfId="163" applyFont="1" applyFill="1" applyBorder="1" applyAlignment="1">
      <alignment horizontal="right" vertical="top"/>
    </xf>
    <xf numFmtId="43" fontId="32" fillId="0" borderId="0" xfId="1465" applyNumberFormat="1" applyFont="1" applyFill="1"/>
    <xf numFmtId="43" fontId="49" fillId="0" borderId="0" xfId="1465" applyNumberFormat="1" applyFont="1" applyFill="1"/>
    <xf numFmtId="43" fontId="32" fillId="0" borderId="12" xfId="1" applyFont="1" applyFill="1" applyBorder="1"/>
    <xf numFmtId="43" fontId="32" fillId="0" borderId="0" xfId="163" applyFont="1" applyFill="1"/>
    <xf numFmtId="43" fontId="32" fillId="0" borderId="11" xfId="1" applyFont="1" applyFill="1" applyBorder="1"/>
    <xf numFmtId="0" fontId="32" fillId="0" borderId="10" xfId="0" applyFont="1" applyFill="1" applyBorder="1"/>
    <xf numFmtId="164" fontId="32" fillId="0" borderId="10" xfId="1" applyNumberFormat="1" applyFont="1" applyFill="1" applyBorder="1"/>
    <xf numFmtId="164" fontId="32" fillId="0" borderId="13" xfId="1" applyNumberFormat="1" applyFont="1" applyFill="1" applyBorder="1"/>
    <xf numFmtId="43" fontId="32" fillId="0" borderId="0" xfId="1" applyFont="1" applyFill="1" applyAlignment="1">
      <alignment horizontal="right"/>
    </xf>
    <xf numFmtId="166" fontId="32" fillId="0" borderId="0" xfId="0" applyNumberFormat="1" applyFont="1" applyFill="1"/>
    <xf numFmtId="166" fontId="49" fillId="0" borderId="0" xfId="0" applyNumberFormat="1" applyFont="1" applyFill="1" applyAlignment="1"/>
    <xf numFmtId="0" fontId="59" fillId="0" borderId="0" xfId="1467" applyFont="1" applyFill="1"/>
    <xf numFmtId="0" fontId="49" fillId="0" borderId="30" xfId="0" applyFont="1" applyFill="1" applyBorder="1" applyAlignment="1">
      <alignment horizontal="center"/>
    </xf>
  </cellXfs>
  <cellStyles count="1469">
    <cellStyle name="20% - Accent1" xfId="20" builtinId="30" customBuiltin="1"/>
    <cellStyle name="20% - Accent1 10" xfId="524" xr:uid="{00000000-0005-0000-0000-000001000000}"/>
    <cellStyle name="20% - Accent1 11" xfId="763" xr:uid="{00000000-0005-0000-0000-000002000000}"/>
    <cellStyle name="20% - Accent1 12" xfId="1080" xr:uid="{00000000-0005-0000-0000-000003000000}"/>
    <cellStyle name="20% - Accent1 13" xfId="1109" xr:uid="{00000000-0005-0000-0000-000004000000}"/>
    <cellStyle name="20% - Accent1 14" xfId="1451" xr:uid="{00000000-0005-0000-0000-000005000000}"/>
    <cellStyle name="20% - Accent1 2" xfId="45" xr:uid="{00000000-0005-0000-0000-000006000000}"/>
    <cellStyle name="20% - Accent1 2 2" xfId="192" xr:uid="{00000000-0005-0000-0000-000007000000}"/>
    <cellStyle name="20% - Accent1 2 2 2" xfId="365" xr:uid="{00000000-0005-0000-0000-000008000000}"/>
    <cellStyle name="20% - Accent1 2 2 3" xfId="617" xr:uid="{00000000-0005-0000-0000-000009000000}"/>
    <cellStyle name="20% - Accent1 2 2 4" xfId="856" xr:uid="{00000000-0005-0000-0000-00000A000000}"/>
    <cellStyle name="20% - Accent1 2 2 5" xfId="1214" xr:uid="{00000000-0005-0000-0000-00000B000000}"/>
    <cellStyle name="20% - Accent1 2 3" xfId="245" xr:uid="{00000000-0005-0000-0000-00000C000000}"/>
    <cellStyle name="20% - Accent1 2 3 2" xfId="418" xr:uid="{00000000-0005-0000-0000-00000D000000}"/>
    <cellStyle name="20% - Accent1 2 3 3" xfId="670" xr:uid="{00000000-0005-0000-0000-00000E000000}"/>
    <cellStyle name="20% - Accent1 2 3 4" xfId="909" xr:uid="{00000000-0005-0000-0000-00000F000000}"/>
    <cellStyle name="20% - Accent1 2 3 5" xfId="1267" xr:uid="{00000000-0005-0000-0000-000010000000}"/>
    <cellStyle name="20% - Accent1 2 4" xfId="112" xr:uid="{00000000-0005-0000-0000-000011000000}"/>
    <cellStyle name="20% - Accent1 2 4 2" xfId="484" xr:uid="{00000000-0005-0000-0000-000012000000}"/>
    <cellStyle name="20% - Accent1 2 4 3" xfId="736" xr:uid="{00000000-0005-0000-0000-000013000000}"/>
    <cellStyle name="20% - Accent1 2 4 4" xfId="975" xr:uid="{00000000-0005-0000-0000-000014000000}"/>
    <cellStyle name="20% - Accent1 2 4 5" xfId="1333" xr:uid="{00000000-0005-0000-0000-000015000000}"/>
    <cellStyle name="20% - Accent1 2 5" xfId="286" xr:uid="{00000000-0005-0000-0000-000016000000}"/>
    <cellStyle name="20% - Accent1 2 5 2" xfId="1041" xr:uid="{00000000-0005-0000-0000-000017000000}"/>
    <cellStyle name="20% - Accent1 2 5 3" xfId="1399" xr:uid="{00000000-0005-0000-0000-000018000000}"/>
    <cellStyle name="20% - Accent1 2 6" xfId="538" xr:uid="{00000000-0005-0000-0000-000019000000}"/>
    <cellStyle name="20% - Accent1 2 7" xfId="777" xr:uid="{00000000-0005-0000-0000-00001A000000}"/>
    <cellStyle name="20% - Accent1 2 8" xfId="1135" xr:uid="{00000000-0005-0000-0000-00001B000000}"/>
    <cellStyle name="20% - Accent1 3" xfId="58" xr:uid="{00000000-0005-0000-0000-00001C000000}"/>
    <cellStyle name="20% - Accent1 3 2" xfId="178" xr:uid="{00000000-0005-0000-0000-00001D000000}"/>
    <cellStyle name="20% - Accent1 3 2 2" xfId="351" xr:uid="{00000000-0005-0000-0000-00001E000000}"/>
    <cellStyle name="20% - Accent1 3 2 3" xfId="603" xr:uid="{00000000-0005-0000-0000-00001F000000}"/>
    <cellStyle name="20% - Accent1 3 2 4" xfId="842" xr:uid="{00000000-0005-0000-0000-000020000000}"/>
    <cellStyle name="20% - Accent1 3 2 5" xfId="1200" xr:uid="{00000000-0005-0000-0000-000021000000}"/>
    <cellStyle name="20% - Accent1 3 3" xfId="231" xr:uid="{00000000-0005-0000-0000-000022000000}"/>
    <cellStyle name="20% - Accent1 3 3 2" xfId="404" xr:uid="{00000000-0005-0000-0000-000023000000}"/>
    <cellStyle name="20% - Accent1 3 3 3" xfId="656" xr:uid="{00000000-0005-0000-0000-000024000000}"/>
    <cellStyle name="20% - Accent1 3 3 4" xfId="895" xr:uid="{00000000-0005-0000-0000-000025000000}"/>
    <cellStyle name="20% - Accent1 3 3 5" xfId="1253" xr:uid="{00000000-0005-0000-0000-000026000000}"/>
    <cellStyle name="20% - Accent1 3 4" xfId="125" xr:uid="{00000000-0005-0000-0000-000027000000}"/>
    <cellStyle name="20% - Accent1 3 4 2" xfId="470" xr:uid="{00000000-0005-0000-0000-000028000000}"/>
    <cellStyle name="20% - Accent1 3 4 3" xfId="722" xr:uid="{00000000-0005-0000-0000-000029000000}"/>
    <cellStyle name="20% - Accent1 3 4 4" xfId="961" xr:uid="{00000000-0005-0000-0000-00002A000000}"/>
    <cellStyle name="20% - Accent1 3 4 5" xfId="1319" xr:uid="{00000000-0005-0000-0000-00002B000000}"/>
    <cellStyle name="20% - Accent1 3 5" xfId="299" xr:uid="{00000000-0005-0000-0000-00002C000000}"/>
    <cellStyle name="20% - Accent1 3 5 2" xfId="1027" xr:uid="{00000000-0005-0000-0000-00002D000000}"/>
    <cellStyle name="20% - Accent1 3 5 3" xfId="1385" xr:uid="{00000000-0005-0000-0000-00002E000000}"/>
    <cellStyle name="20% - Accent1 3 6" xfId="551" xr:uid="{00000000-0005-0000-0000-00002F000000}"/>
    <cellStyle name="20% - Accent1 3 7" xfId="790" xr:uid="{00000000-0005-0000-0000-000030000000}"/>
    <cellStyle name="20% - Accent1 3 8" xfId="1148" xr:uid="{00000000-0005-0000-0000-000031000000}"/>
    <cellStyle name="20% - Accent1 4" xfId="71" xr:uid="{00000000-0005-0000-0000-000032000000}"/>
    <cellStyle name="20% - Accent1 4 2" xfId="165" xr:uid="{00000000-0005-0000-0000-000033000000}"/>
    <cellStyle name="20% - Accent1 4 2 2" xfId="338" xr:uid="{00000000-0005-0000-0000-000034000000}"/>
    <cellStyle name="20% - Accent1 4 2 3" xfId="590" xr:uid="{00000000-0005-0000-0000-000035000000}"/>
    <cellStyle name="20% - Accent1 4 2 4" xfId="829" xr:uid="{00000000-0005-0000-0000-000036000000}"/>
    <cellStyle name="20% - Accent1 4 2 5" xfId="1187" xr:uid="{00000000-0005-0000-0000-000037000000}"/>
    <cellStyle name="20% - Accent1 4 3" xfId="218" xr:uid="{00000000-0005-0000-0000-000038000000}"/>
    <cellStyle name="20% - Accent1 4 3 2" xfId="391" xr:uid="{00000000-0005-0000-0000-000039000000}"/>
    <cellStyle name="20% - Accent1 4 3 3" xfId="643" xr:uid="{00000000-0005-0000-0000-00003A000000}"/>
    <cellStyle name="20% - Accent1 4 3 4" xfId="882" xr:uid="{00000000-0005-0000-0000-00003B000000}"/>
    <cellStyle name="20% - Accent1 4 3 5" xfId="1240" xr:uid="{00000000-0005-0000-0000-00003C000000}"/>
    <cellStyle name="20% - Accent1 4 4" xfId="138" xr:uid="{00000000-0005-0000-0000-00003D000000}"/>
    <cellStyle name="20% - Accent1 4 4 2" xfId="457" xr:uid="{00000000-0005-0000-0000-00003E000000}"/>
    <cellStyle name="20% - Accent1 4 4 3" xfId="709" xr:uid="{00000000-0005-0000-0000-00003F000000}"/>
    <cellStyle name="20% - Accent1 4 4 4" xfId="948" xr:uid="{00000000-0005-0000-0000-000040000000}"/>
    <cellStyle name="20% - Accent1 4 4 5" xfId="1306" xr:uid="{00000000-0005-0000-0000-000041000000}"/>
    <cellStyle name="20% - Accent1 4 5" xfId="312" xr:uid="{00000000-0005-0000-0000-000042000000}"/>
    <cellStyle name="20% - Accent1 4 5 2" xfId="1014" xr:uid="{00000000-0005-0000-0000-000043000000}"/>
    <cellStyle name="20% - Accent1 4 5 3" xfId="1372" xr:uid="{00000000-0005-0000-0000-000044000000}"/>
    <cellStyle name="20% - Accent1 4 6" xfId="564" xr:uid="{00000000-0005-0000-0000-000045000000}"/>
    <cellStyle name="20% - Accent1 4 7" xfId="803" xr:uid="{00000000-0005-0000-0000-000046000000}"/>
    <cellStyle name="20% - Accent1 4 8" xfId="1161" xr:uid="{00000000-0005-0000-0000-000047000000}"/>
    <cellStyle name="20% - Accent1 5" xfId="84" xr:uid="{00000000-0005-0000-0000-000048000000}"/>
    <cellStyle name="20% - Accent1 5 2" xfId="258" xr:uid="{00000000-0005-0000-0000-000049000000}"/>
    <cellStyle name="20% - Accent1 5 2 2" xfId="431" xr:uid="{00000000-0005-0000-0000-00004A000000}"/>
    <cellStyle name="20% - Accent1 5 2 3" xfId="683" xr:uid="{00000000-0005-0000-0000-00004B000000}"/>
    <cellStyle name="20% - Accent1 5 2 4" xfId="922" xr:uid="{00000000-0005-0000-0000-00004C000000}"/>
    <cellStyle name="20% - Accent1 5 2 5" xfId="1280" xr:uid="{00000000-0005-0000-0000-00004D000000}"/>
    <cellStyle name="20% - Accent1 5 3" xfId="151" xr:uid="{00000000-0005-0000-0000-00004E000000}"/>
    <cellStyle name="20% - Accent1 5 3 2" xfId="497" xr:uid="{00000000-0005-0000-0000-00004F000000}"/>
    <cellStyle name="20% - Accent1 5 3 3" xfId="749" xr:uid="{00000000-0005-0000-0000-000050000000}"/>
    <cellStyle name="20% - Accent1 5 3 4" xfId="988" xr:uid="{00000000-0005-0000-0000-000051000000}"/>
    <cellStyle name="20% - Accent1 5 3 5" xfId="1346" xr:uid="{00000000-0005-0000-0000-000052000000}"/>
    <cellStyle name="20% - Accent1 5 4" xfId="325" xr:uid="{00000000-0005-0000-0000-000053000000}"/>
    <cellStyle name="20% - Accent1 5 4 2" xfId="1054" xr:uid="{00000000-0005-0000-0000-000054000000}"/>
    <cellStyle name="20% - Accent1 5 4 3" xfId="1412" xr:uid="{00000000-0005-0000-0000-000055000000}"/>
    <cellStyle name="20% - Accent1 5 5" xfId="577" xr:uid="{00000000-0005-0000-0000-000056000000}"/>
    <cellStyle name="20% - Accent1 5 6" xfId="816" xr:uid="{00000000-0005-0000-0000-000057000000}"/>
    <cellStyle name="20% - Accent1 5 7" xfId="1174" xr:uid="{00000000-0005-0000-0000-000058000000}"/>
    <cellStyle name="20% - Accent1 6" xfId="205" xr:uid="{00000000-0005-0000-0000-000059000000}"/>
    <cellStyle name="20% - Accent1 6 2" xfId="378" xr:uid="{00000000-0005-0000-0000-00005A000000}"/>
    <cellStyle name="20% - Accent1 6 2 2" xfId="1067" xr:uid="{00000000-0005-0000-0000-00005B000000}"/>
    <cellStyle name="20% - Accent1 6 2 3" xfId="1425" xr:uid="{00000000-0005-0000-0000-00005C000000}"/>
    <cellStyle name="20% - Accent1 6 3" xfId="630" xr:uid="{00000000-0005-0000-0000-00005D000000}"/>
    <cellStyle name="20% - Accent1 6 4" xfId="869" xr:uid="{00000000-0005-0000-0000-00005E000000}"/>
    <cellStyle name="20% - Accent1 6 5" xfId="1227" xr:uid="{00000000-0005-0000-0000-00005F000000}"/>
    <cellStyle name="20% - Accent1 7" xfId="98" xr:uid="{00000000-0005-0000-0000-000060000000}"/>
    <cellStyle name="20% - Accent1 7 2" xfId="444" xr:uid="{00000000-0005-0000-0000-000061000000}"/>
    <cellStyle name="20% - Accent1 7 2 2" xfId="1438" xr:uid="{00000000-0005-0000-0000-000062000000}"/>
    <cellStyle name="20% - Accent1 7 3" xfId="696" xr:uid="{00000000-0005-0000-0000-000063000000}"/>
    <cellStyle name="20% - Accent1 7 4" xfId="935" xr:uid="{00000000-0005-0000-0000-000064000000}"/>
    <cellStyle name="20% - Accent1 7 5" xfId="1293" xr:uid="{00000000-0005-0000-0000-000065000000}"/>
    <cellStyle name="20% - Accent1 8" xfId="272" xr:uid="{00000000-0005-0000-0000-000066000000}"/>
    <cellStyle name="20% - Accent1 8 2" xfId="1001" xr:uid="{00000000-0005-0000-0000-000067000000}"/>
    <cellStyle name="20% - Accent1 8 3" xfId="1359" xr:uid="{00000000-0005-0000-0000-000068000000}"/>
    <cellStyle name="20% - Accent1 9" xfId="510" xr:uid="{00000000-0005-0000-0000-000069000000}"/>
    <cellStyle name="20% - Accent2" xfId="24" builtinId="34" customBuiltin="1"/>
    <cellStyle name="20% - Accent2 10" xfId="526" xr:uid="{00000000-0005-0000-0000-00006B000000}"/>
    <cellStyle name="20% - Accent2 11" xfId="765" xr:uid="{00000000-0005-0000-0000-00006C000000}"/>
    <cellStyle name="20% - Accent2 12" xfId="1082" xr:uid="{00000000-0005-0000-0000-00006D000000}"/>
    <cellStyle name="20% - Accent2 13" xfId="1113" xr:uid="{00000000-0005-0000-0000-00006E000000}"/>
    <cellStyle name="20% - Accent2 14" xfId="1453" xr:uid="{00000000-0005-0000-0000-00006F000000}"/>
    <cellStyle name="20% - Accent2 2" xfId="47" xr:uid="{00000000-0005-0000-0000-000070000000}"/>
    <cellStyle name="20% - Accent2 2 2" xfId="194" xr:uid="{00000000-0005-0000-0000-000071000000}"/>
    <cellStyle name="20% - Accent2 2 2 2" xfId="367" xr:uid="{00000000-0005-0000-0000-000072000000}"/>
    <cellStyle name="20% - Accent2 2 2 3" xfId="619" xr:uid="{00000000-0005-0000-0000-000073000000}"/>
    <cellStyle name="20% - Accent2 2 2 4" xfId="858" xr:uid="{00000000-0005-0000-0000-000074000000}"/>
    <cellStyle name="20% - Accent2 2 2 5" xfId="1216" xr:uid="{00000000-0005-0000-0000-000075000000}"/>
    <cellStyle name="20% - Accent2 2 3" xfId="247" xr:uid="{00000000-0005-0000-0000-000076000000}"/>
    <cellStyle name="20% - Accent2 2 3 2" xfId="420" xr:uid="{00000000-0005-0000-0000-000077000000}"/>
    <cellStyle name="20% - Accent2 2 3 3" xfId="672" xr:uid="{00000000-0005-0000-0000-000078000000}"/>
    <cellStyle name="20% - Accent2 2 3 4" xfId="911" xr:uid="{00000000-0005-0000-0000-000079000000}"/>
    <cellStyle name="20% - Accent2 2 3 5" xfId="1269" xr:uid="{00000000-0005-0000-0000-00007A000000}"/>
    <cellStyle name="20% - Accent2 2 4" xfId="114" xr:uid="{00000000-0005-0000-0000-00007B000000}"/>
    <cellStyle name="20% - Accent2 2 4 2" xfId="486" xr:uid="{00000000-0005-0000-0000-00007C000000}"/>
    <cellStyle name="20% - Accent2 2 4 3" xfId="738" xr:uid="{00000000-0005-0000-0000-00007D000000}"/>
    <cellStyle name="20% - Accent2 2 4 4" xfId="977" xr:uid="{00000000-0005-0000-0000-00007E000000}"/>
    <cellStyle name="20% - Accent2 2 4 5" xfId="1335" xr:uid="{00000000-0005-0000-0000-00007F000000}"/>
    <cellStyle name="20% - Accent2 2 5" xfId="288" xr:uid="{00000000-0005-0000-0000-000080000000}"/>
    <cellStyle name="20% - Accent2 2 5 2" xfId="1043" xr:uid="{00000000-0005-0000-0000-000081000000}"/>
    <cellStyle name="20% - Accent2 2 5 3" xfId="1401" xr:uid="{00000000-0005-0000-0000-000082000000}"/>
    <cellStyle name="20% - Accent2 2 6" xfId="540" xr:uid="{00000000-0005-0000-0000-000083000000}"/>
    <cellStyle name="20% - Accent2 2 7" xfId="779" xr:uid="{00000000-0005-0000-0000-000084000000}"/>
    <cellStyle name="20% - Accent2 2 8" xfId="1137" xr:uid="{00000000-0005-0000-0000-000085000000}"/>
    <cellStyle name="20% - Accent2 3" xfId="60" xr:uid="{00000000-0005-0000-0000-000086000000}"/>
    <cellStyle name="20% - Accent2 3 2" xfId="180" xr:uid="{00000000-0005-0000-0000-000087000000}"/>
    <cellStyle name="20% - Accent2 3 2 2" xfId="353" xr:uid="{00000000-0005-0000-0000-000088000000}"/>
    <cellStyle name="20% - Accent2 3 2 3" xfId="605" xr:uid="{00000000-0005-0000-0000-000089000000}"/>
    <cellStyle name="20% - Accent2 3 2 4" xfId="844" xr:uid="{00000000-0005-0000-0000-00008A000000}"/>
    <cellStyle name="20% - Accent2 3 2 5" xfId="1202" xr:uid="{00000000-0005-0000-0000-00008B000000}"/>
    <cellStyle name="20% - Accent2 3 3" xfId="233" xr:uid="{00000000-0005-0000-0000-00008C000000}"/>
    <cellStyle name="20% - Accent2 3 3 2" xfId="406" xr:uid="{00000000-0005-0000-0000-00008D000000}"/>
    <cellStyle name="20% - Accent2 3 3 3" xfId="658" xr:uid="{00000000-0005-0000-0000-00008E000000}"/>
    <cellStyle name="20% - Accent2 3 3 4" xfId="897" xr:uid="{00000000-0005-0000-0000-00008F000000}"/>
    <cellStyle name="20% - Accent2 3 3 5" xfId="1255" xr:uid="{00000000-0005-0000-0000-000090000000}"/>
    <cellStyle name="20% - Accent2 3 4" xfId="127" xr:uid="{00000000-0005-0000-0000-000091000000}"/>
    <cellStyle name="20% - Accent2 3 4 2" xfId="472" xr:uid="{00000000-0005-0000-0000-000092000000}"/>
    <cellStyle name="20% - Accent2 3 4 3" xfId="724" xr:uid="{00000000-0005-0000-0000-000093000000}"/>
    <cellStyle name="20% - Accent2 3 4 4" xfId="963" xr:uid="{00000000-0005-0000-0000-000094000000}"/>
    <cellStyle name="20% - Accent2 3 4 5" xfId="1321" xr:uid="{00000000-0005-0000-0000-000095000000}"/>
    <cellStyle name="20% - Accent2 3 5" xfId="301" xr:uid="{00000000-0005-0000-0000-000096000000}"/>
    <cellStyle name="20% - Accent2 3 5 2" xfId="1029" xr:uid="{00000000-0005-0000-0000-000097000000}"/>
    <cellStyle name="20% - Accent2 3 5 3" xfId="1387" xr:uid="{00000000-0005-0000-0000-000098000000}"/>
    <cellStyle name="20% - Accent2 3 6" xfId="553" xr:uid="{00000000-0005-0000-0000-000099000000}"/>
    <cellStyle name="20% - Accent2 3 7" xfId="792" xr:uid="{00000000-0005-0000-0000-00009A000000}"/>
    <cellStyle name="20% - Accent2 3 8" xfId="1150" xr:uid="{00000000-0005-0000-0000-00009B000000}"/>
    <cellStyle name="20% - Accent2 4" xfId="73" xr:uid="{00000000-0005-0000-0000-00009C000000}"/>
    <cellStyle name="20% - Accent2 4 2" xfId="167" xr:uid="{00000000-0005-0000-0000-00009D000000}"/>
    <cellStyle name="20% - Accent2 4 2 2" xfId="340" xr:uid="{00000000-0005-0000-0000-00009E000000}"/>
    <cellStyle name="20% - Accent2 4 2 3" xfId="592" xr:uid="{00000000-0005-0000-0000-00009F000000}"/>
    <cellStyle name="20% - Accent2 4 2 4" xfId="831" xr:uid="{00000000-0005-0000-0000-0000A0000000}"/>
    <cellStyle name="20% - Accent2 4 2 5" xfId="1189" xr:uid="{00000000-0005-0000-0000-0000A1000000}"/>
    <cellStyle name="20% - Accent2 4 3" xfId="220" xr:uid="{00000000-0005-0000-0000-0000A2000000}"/>
    <cellStyle name="20% - Accent2 4 3 2" xfId="393" xr:uid="{00000000-0005-0000-0000-0000A3000000}"/>
    <cellStyle name="20% - Accent2 4 3 3" xfId="645" xr:uid="{00000000-0005-0000-0000-0000A4000000}"/>
    <cellStyle name="20% - Accent2 4 3 4" xfId="884" xr:uid="{00000000-0005-0000-0000-0000A5000000}"/>
    <cellStyle name="20% - Accent2 4 3 5" xfId="1242" xr:uid="{00000000-0005-0000-0000-0000A6000000}"/>
    <cellStyle name="20% - Accent2 4 4" xfId="140" xr:uid="{00000000-0005-0000-0000-0000A7000000}"/>
    <cellStyle name="20% - Accent2 4 4 2" xfId="459" xr:uid="{00000000-0005-0000-0000-0000A8000000}"/>
    <cellStyle name="20% - Accent2 4 4 3" xfId="711" xr:uid="{00000000-0005-0000-0000-0000A9000000}"/>
    <cellStyle name="20% - Accent2 4 4 4" xfId="950" xr:uid="{00000000-0005-0000-0000-0000AA000000}"/>
    <cellStyle name="20% - Accent2 4 4 5" xfId="1308" xr:uid="{00000000-0005-0000-0000-0000AB000000}"/>
    <cellStyle name="20% - Accent2 4 5" xfId="314" xr:uid="{00000000-0005-0000-0000-0000AC000000}"/>
    <cellStyle name="20% - Accent2 4 5 2" xfId="1016" xr:uid="{00000000-0005-0000-0000-0000AD000000}"/>
    <cellStyle name="20% - Accent2 4 5 3" xfId="1374" xr:uid="{00000000-0005-0000-0000-0000AE000000}"/>
    <cellStyle name="20% - Accent2 4 6" xfId="566" xr:uid="{00000000-0005-0000-0000-0000AF000000}"/>
    <cellStyle name="20% - Accent2 4 7" xfId="805" xr:uid="{00000000-0005-0000-0000-0000B0000000}"/>
    <cellStyle name="20% - Accent2 4 8" xfId="1163" xr:uid="{00000000-0005-0000-0000-0000B1000000}"/>
    <cellStyle name="20% - Accent2 5" xfId="86" xr:uid="{00000000-0005-0000-0000-0000B2000000}"/>
    <cellStyle name="20% - Accent2 5 2" xfId="260" xr:uid="{00000000-0005-0000-0000-0000B3000000}"/>
    <cellStyle name="20% - Accent2 5 2 2" xfId="433" xr:uid="{00000000-0005-0000-0000-0000B4000000}"/>
    <cellStyle name="20% - Accent2 5 2 3" xfId="685" xr:uid="{00000000-0005-0000-0000-0000B5000000}"/>
    <cellStyle name="20% - Accent2 5 2 4" xfId="924" xr:uid="{00000000-0005-0000-0000-0000B6000000}"/>
    <cellStyle name="20% - Accent2 5 2 5" xfId="1282" xr:uid="{00000000-0005-0000-0000-0000B7000000}"/>
    <cellStyle name="20% - Accent2 5 3" xfId="153" xr:uid="{00000000-0005-0000-0000-0000B8000000}"/>
    <cellStyle name="20% - Accent2 5 3 2" xfId="499" xr:uid="{00000000-0005-0000-0000-0000B9000000}"/>
    <cellStyle name="20% - Accent2 5 3 3" xfId="751" xr:uid="{00000000-0005-0000-0000-0000BA000000}"/>
    <cellStyle name="20% - Accent2 5 3 4" xfId="990" xr:uid="{00000000-0005-0000-0000-0000BB000000}"/>
    <cellStyle name="20% - Accent2 5 3 5" xfId="1348" xr:uid="{00000000-0005-0000-0000-0000BC000000}"/>
    <cellStyle name="20% - Accent2 5 4" xfId="327" xr:uid="{00000000-0005-0000-0000-0000BD000000}"/>
    <cellStyle name="20% - Accent2 5 4 2" xfId="1056" xr:uid="{00000000-0005-0000-0000-0000BE000000}"/>
    <cellStyle name="20% - Accent2 5 4 3" xfId="1414" xr:uid="{00000000-0005-0000-0000-0000BF000000}"/>
    <cellStyle name="20% - Accent2 5 5" xfId="579" xr:uid="{00000000-0005-0000-0000-0000C0000000}"/>
    <cellStyle name="20% - Accent2 5 6" xfId="818" xr:uid="{00000000-0005-0000-0000-0000C1000000}"/>
    <cellStyle name="20% - Accent2 5 7" xfId="1176" xr:uid="{00000000-0005-0000-0000-0000C2000000}"/>
    <cellStyle name="20% - Accent2 6" xfId="207" xr:uid="{00000000-0005-0000-0000-0000C3000000}"/>
    <cellStyle name="20% - Accent2 6 2" xfId="380" xr:uid="{00000000-0005-0000-0000-0000C4000000}"/>
    <cellStyle name="20% - Accent2 6 2 2" xfId="1069" xr:uid="{00000000-0005-0000-0000-0000C5000000}"/>
    <cellStyle name="20% - Accent2 6 2 3" xfId="1427" xr:uid="{00000000-0005-0000-0000-0000C6000000}"/>
    <cellStyle name="20% - Accent2 6 3" xfId="632" xr:uid="{00000000-0005-0000-0000-0000C7000000}"/>
    <cellStyle name="20% - Accent2 6 4" xfId="871" xr:uid="{00000000-0005-0000-0000-0000C8000000}"/>
    <cellStyle name="20% - Accent2 6 5" xfId="1229" xr:uid="{00000000-0005-0000-0000-0000C9000000}"/>
    <cellStyle name="20% - Accent2 7" xfId="100" xr:uid="{00000000-0005-0000-0000-0000CA000000}"/>
    <cellStyle name="20% - Accent2 7 2" xfId="446" xr:uid="{00000000-0005-0000-0000-0000CB000000}"/>
    <cellStyle name="20% - Accent2 7 2 2" xfId="1440" xr:uid="{00000000-0005-0000-0000-0000CC000000}"/>
    <cellStyle name="20% - Accent2 7 3" xfId="698" xr:uid="{00000000-0005-0000-0000-0000CD000000}"/>
    <cellStyle name="20% - Accent2 7 4" xfId="937" xr:uid="{00000000-0005-0000-0000-0000CE000000}"/>
    <cellStyle name="20% - Accent2 7 5" xfId="1295" xr:uid="{00000000-0005-0000-0000-0000CF000000}"/>
    <cellStyle name="20% - Accent2 8" xfId="274" xr:uid="{00000000-0005-0000-0000-0000D0000000}"/>
    <cellStyle name="20% - Accent2 8 2" xfId="1003" xr:uid="{00000000-0005-0000-0000-0000D1000000}"/>
    <cellStyle name="20% - Accent2 8 3" xfId="1361" xr:uid="{00000000-0005-0000-0000-0000D2000000}"/>
    <cellStyle name="20% - Accent2 9" xfId="512" xr:uid="{00000000-0005-0000-0000-0000D3000000}"/>
    <cellStyle name="20% - Accent3" xfId="28" builtinId="38" customBuiltin="1"/>
    <cellStyle name="20% - Accent3 10" xfId="528" xr:uid="{00000000-0005-0000-0000-0000D5000000}"/>
    <cellStyle name="20% - Accent3 11" xfId="767" xr:uid="{00000000-0005-0000-0000-0000D6000000}"/>
    <cellStyle name="20% - Accent3 12" xfId="1084" xr:uid="{00000000-0005-0000-0000-0000D7000000}"/>
    <cellStyle name="20% - Accent3 13" xfId="1117" xr:uid="{00000000-0005-0000-0000-0000D8000000}"/>
    <cellStyle name="20% - Accent3 14" xfId="1455" xr:uid="{00000000-0005-0000-0000-0000D9000000}"/>
    <cellStyle name="20% - Accent3 2" xfId="49" xr:uid="{00000000-0005-0000-0000-0000DA000000}"/>
    <cellStyle name="20% - Accent3 2 2" xfId="196" xr:uid="{00000000-0005-0000-0000-0000DB000000}"/>
    <cellStyle name="20% - Accent3 2 2 2" xfId="369" xr:uid="{00000000-0005-0000-0000-0000DC000000}"/>
    <cellStyle name="20% - Accent3 2 2 3" xfId="621" xr:uid="{00000000-0005-0000-0000-0000DD000000}"/>
    <cellStyle name="20% - Accent3 2 2 4" xfId="860" xr:uid="{00000000-0005-0000-0000-0000DE000000}"/>
    <cellStyle name="20% - Accent3 2 2 5" xfId="1218" xr:uid="{00000000-0005-0000-0000-0000DF000000}"/>
    <cellStyle name="20% - Accent3 2 3" xfId="249" xr:uid="{00000000-0005-0000-0000-0000E0000000}"/>
    <cellStyle name="20% - Accent3 2 3 2" xfId="422" xr:uid="{00000000-0005-0000-0000-0000E1000000}"/>
    <cellStyle name="20% - Accent3 2 3 3" xfId="674" xr:uid="{00000000-0005-0000-0000-0000E2000000}"/>
    <cellStyle name="20% - Accent3 2 3 4" xfId="913" xr:uid="{00000000-0005-0000-0000-0000E3000000}"/>
    <cellStyle name="20% - Accent3 2 3 5" xfId="1271" xr:uid="{00000000-0005-0000-0000-0000E4000000}"/>
    <cellStyle name="20% - Accent3 2 4" xfId="116" xr:uid="{00000000-0005-0000-0000-0000E5000000}"/>
    <cellStyle name="20% - Accent3 2 4 2" xfId="488" xr:uid="{00000000-0005-0000-0000-0000E6000000}"/>
    <cellStyle name="20% - Accent3 2 4 3" xfId="740" xr:uid="{00000000-0005-0000-0000-0000E7000000}"/>
    <cellStyle name="20% - Accent3 2 4 4" xfId="979" xr:uid="{00000000-0005-0000-0000-0000E8000000}"/>
    <cellStyle name="20% - Accent3 2 4 5" xfId="1337" xr:uid="{00000000-0005-0000-0000-0000E9000000}"/>
    <cellStyle name="20% - Accent3 2 5" xfId="290" xr:uid="{00000000-0005-0000-0000-0000EA000000}"/>
    <cellStyle name="20% - Accent3 2 5 2" xfId="1045" xr:uid="{00000000-0005-0000-0000-0000EB000000}"/>
    <cellStyle name="20% - Accent3 2 5 3" xfId="1403" xr:uid="{00000000-0005-0000-0000-0000EC000000}"/>
    <cellStyle name="20% - Accent3 2 6" xfId="542" xr:uid="{00000000-0005-0000-0000-0000ED000000}"/>
    <cellStyle name="20% - Accent3 2 7" xfId="781" xr:uid="{00000000-0005-0000-0000-0000EE000000}"/>
    <cellStyle name="20% - Accent3 2 8" xfId="1139" xr:uid="{00000000-0005-0000-0000-0000EF000000}"/>
    <cellStyle name="20% - Accent3 3" xfId="62" xr:uid="{00000000-0005-0000-0000-0000F0000000}"/>
    <cellStyle name="20% - Accent3 3 2" xfId="182" xr:uid="{00000000-0005-0000-0000-0000F1000000}"/>
    <cellStyle name="20% - Accent3 3 2 2" xfId="355" xr:uid="{00000000-0005-0000-0000-0000F2000000}"/>
    <cellStyle name="20% - Accent3 3 2 3" xfId="607" xr:uid="{00000000-0005-0000-0000-0000F3000000}"/>
    <cellStyle name="20% - Accent3 3 2 4" xfId="846" xr:uid="{00000000-0005-0000-0000-0000F4000000}"/>
    <cellStyle name="20% - Accent3 3 2 5" xfId="1204" xr:uid="{00000000-0005-0000-0000-0000F5000000}"/>
    <cellStyle name="20% - Accent3 3 3" xfId="235" xr:uid="{00000000-0005-0000-0000-0000F6000000}"/>
    <cellStyle name="20% - Accent3 3 3 2" xfId="408" xr:uid="{00000000-0005-0000-0000-0000F7000000}"/>
    <cellStyle name="20% - Accent3 3 3 3" xfId="660" xr:uid="{00000000-0005-0000-0000-0000F8000000}"/>
    <cellStyle name="20% - Accent3 3 3 4" xfId="899" xr:uid="{00000000-0005-0000-0000-0000F9000000}"/>
    <cellStyle name="20% - Accent3 3 3 5" xfId="1257" xr:uid="{00000000-0005-0000-0000-0000FA000000}"/>
    <cellStyle name="20% - Accent3 3 4" xfId="129" xr:uid="{00000000-0005-0000-0000-0000FB000000}"/>
    <cellStyle name="20% - Accent3 3 4 2" xfId="474" xr:uid="{00000000-0005-0000-0000-0000FC000000}"/>
    <cellStyle name="20% - Accent3 3 4 3" xfId="726" xr:uid="{00000000-0005-0000-0000-0000FD000000}"/>
    <cellStyle name="20% - Accent3 3 4 4" xfId="965" xr:uid="{00000000-0005-0000-0000-0000FE000000}"/>
    <cellStyle name="20% - Accent3 3 4 5" xfId="1323" xr:uid="{00000000-0005-0000-0000-0000FF000000}"/>
    <cellStyle name="20% - Accent3 3 5" xfId="303" xr:uid="{00000000-0005-0000-0000-000000010000}"/>
    <cellStyle name="20% - Accent3 3 5 2" xfId="1031" xr:uid="{00000000-0005-0000-0000-000001010000}"/>
    <cellStyle name="20% - Accent3 3 5 3" xfId="1389" xr:uid="{00000000-0005-0000-0000-000002010000}"/>
    <cellStyle name="20% - Accent3 3 6" xfId="555" xr:uid="{00000000-0005-0000-0000-000003010000}"/>
    <cellStyle name="20% - Accent3 3 7" xfId="794" xr:uid="{00000000-0005-0000-0000-000004010000}"/>
    <cellStyle name="20% - Accent3 3 8" xfId="1152" xr:uid="{00000000-0005-0000-0000-000005010000}"/>
    <cellStyle name="20% - Accent3 4" xfId="75" xr:uid="{00000000-0005-0000-0000-000006010000}"/>
    <cellStyle name="20% - Accent3 4 2" xfId="169" xr:uid="{00000000-0005-0000-0000-000007010000}"/>
    <cellStyle name="20% - Accent3 4 2 2" xfId="342" xr:uid="{00000000-0005-0000-0000-000008010000}"/>
    <cellStyle name="20% - Accent3 4 2 3" xfId="594" xr:uid="{00000000-0005-0000-0000-000009010000}"/>
    <cellStyle name="20% - Accent3 4 2 4" xfId="833" xr:uid="{00000000-0005-0000-0000-00000A010000}"/>
    <cellStyle name="20% - Accent3 4 2 5" xfId="1191" xr:uid="{00000000-0005-0000-0000-00000B010000}"/>
    <cellStyle name="20% - Accent3 4 3" xfId="222" xr:uid="{00000000-0005-0000-0000-00000C010000}"/>
    <cellStyle name="20% - Accent3 4 3 2" xfId="395" xr:uid="{00000000-0005-0000-0000-00000D010000}"/>
    <cellStyle name="20% - Accent3 4 3 3" xfId="647" xr:uid="{00000000-0005-0000-0000-00000E010000}"/>
    <cellStyle name="20% - Accent3 4 3 4" xfId="886" xr:uid="{00000000-0005-0000-0000-00000F010000}"/>
    <cellStyle name="20% - Accent3 4 3 5" xfId="1244" xr:uid="{00000000-0005-0000-0000-000010010000}"/>
    <cellStyle name="20% - Accent3 4 4" xfId="142" xr:uid="{00000000-0005-0000-0000-000011010000}"/>
    <cellStyle name="20% - Accent3 4 4 2" xfId="461" xr:uid="{00000000-0005-0000-0000-000012010000}"/>
    <cellStyle name="20% - Accent3 4 4 3" xfId="713" xr:uid="{00000000-0005-0000-0000-000013010000}"/>
    <cellStyle name="20% - Accent3 4 4 4" xfId="952" xr:uid="{00000000-0005-0000-0000-000014010000}"/>
    <cellStyle name="20% - Accent3 4 4 5" xfId="1310" xr:uid="{00000000-0005-0000-0000-000015010000}"/>
    <cellStyle name="20% - Accent3 4 5" xfId="316" xr:uid="{00000000-0005-0000-0000-000016010000}"/>
    <cellStyle name="20% - Accent3 4 5 2" xfId="1018" xr:uid="{00000000-0005-0000-0000-000017010000}"/>
    <cellStyle name="20% - Accent3 4 5 3" xfId="1376" xr:uid="{00000000-0005-0000-0000-000018010000}"/>
    <cellStyle name="20% - Accent3 4 6" xfId="568" xr:uid="{00000000-0005-0000-0000-000019010000}"/>
    <cellStyle name="20% - Accent3 4 7" xfId="807" xr:uid="{00000000-0005-0000-0000-00001A010000}"/>
    <cellStyle name="20% - Accent3 4 8" xfId="1165" xr:uid="{00000000-0005-0000-0000-00001B010000}"/>
    <cellStyle name="20% - Accent3 5" xfId="88" xr:uid="{00000000-0005-0000-0000-00001C010000}"/>
    <cellStyle name="20% - Accent3 5 2" xfId="262" xr:uid="{00000000-0005-0000-0000-00001D010000}"/>
    <cellStyle name="20% - Accent3 5 2 2" xfId="435" xr:uid="{00000000-0005-0000-0000-00001E010000}"/>
    <cellStyle name="20% - Accent3 5 2 3" xfId="687" xr:uid="{00000000-0005-0000-0000-00001F010000}"/>
    <cellStyle name="20% - Accent3 5 2 4" xfId="926" xr:uid="{00000000-0005-0000-0000-000020010000}"/>
    <cellStyle name="20% - Accent3 5 2 5" xfId="1284" xr:uid="{00000000-0005-0000-0000-000021010000}"/>
    <cellStyle name="20% - Accent3 5 3" xfId="155" xr:uid="{00000000-0005-0000-0000-000022010000}"/>
    <cellStyle name="20% - Accent3 5 3 2" xfId="501" xr:uid="{00000000-0005-0000-0000-000023010000}"/>
    <cellStyle name="20% - Accent3 5 3 3" xfId="753" xr:uid="{00000000-0005-0000-0000-000024010000}"/>
    <cellStyle name="20% - Accent3 5 3 4" xfId="992" xr:uid="{00000000-0005-0000-0000-000025010000}"/>
    <cellStyle name="20% - Accent3 5 3 5" xfId="1350" xr:uid="{00000000-0005-0000-0000-000026010000}"/>
    <cellStyle name="20% - Accent3 5 4" xfId="329" xr:uid="{00000000-0005-0000-0000-000027010000}"/>
    <cellStyle name="20% - Accent3 5 4 2" xfId="1058" xr:uid="{00000000-0005-0000-0000-000028010000}"/>
    <cellStyle name="20% - Accent3 5 4 3" xfId="1416" xr:uid="{00000000-0005-0000-0000-000029010000}"/>
    <cellStyle name="20% - Accent3 5 5" xfId="581" xr:uid="{00000000-0005-0000-0000-00002A010000}"/>
    <cellStyle name="20% - Accent3 5 6" xfId="820" xr:uid="{00000000-0005-0000-0000-00002B010000}"/>
    <cellStyle name="20% - Accent3 5 7" xfId="1178" xr:uid="{00000000-0005-0000-0000-00002C010000}"/>
    <cellStyle name="20% - Accent3 6" xfId="209" xr:uid="{00000000-0005-0000-0000-00002D010000}"/>
    <cellStyle name="20% - Accent3 6 2" xfId="382" xr:uid="{00000000-0005-0000-0000-00002E010000}"/>
    <cellStyle name="20% - Accent3 6 2 2" xfId="1071" xr:uid="{00000000-0005-0000-0000-00002F010000}"/>
    <cellStyle name="20% - Accent3 6 2 3" xfId="1429" xr:uid="{00000000-0005-0000-0000-000030010000}"/>
    <cellStyle name="20% - Accent3 6 3" xfId="634" xr:uid="{00000000-0005-0000-0000-000031010000}"/>
    <cellStyle name="20% - Accent3 6 4" xfId="873" xr:uid="{00000000-0005-0000-0000-000032010000}"/>
    <cellStyle name="20% - Accent3 6 5" xfId="1231" xr:uid="{00000000-0005-0000-0000-000033010000}"/>
    <cellStyle name="20% - Accent3 7" xfId="102" xr:uid="{00000000-0005-0000-0000-000034010000}"/>
    <cellStyle name="20% - Accent3 7 2" xfId="448" xr:uid="{00000000-0005-0000-0000-000035010000}"/>
    <cellStyle name="20% - Accent3 7 2 2" xfId="1442" xr:uid="{00000000-0005-0000-0000-000036010000}"/>
    <cellStyle name="20% - Accent3 7 3" xfId="700" xr:uid="{00000000-0005-0000-0000-000037010000}"/>
    <cellStyle name="20% - Accent3 7 4" xfId="939" xr:uid="{00000000-0005-0000-0000-000038010000}"/>
    <cellStyle name="20% - Accent3 7 5" xfId="1297" xr:uid="{00000000-0005-0000-0000-000039010000}"/>
    <cellStyle name="20% - Accent3 8" xfId="276" xr:uid="{00000000-0005-0000-0000-00003A010000}"/>
    <cellStyle name="20% - Accent3 8 2" xfId="1005" xr:uid="{00000000-0005-0000-0000-00003B010000}"/>
    <cellStyle name="20% - Accent3 8 3" xfId="1363" xr:uid="{00000000-0005-0000-0000-00003C010000}"/>
    <cellStyle name="20% - Accent3 9" xfId="514" xr:uid="{00000000-0005-0000-0000-00003D010000}"/>
    <cellStyle name="20% - Accent4" xfId="32" builtinId="42" customBuiltin="1"/>
    <cellStyle name="20% - Accent4 10" xfId="530" xr:uid="{00000000-0005-0000-0000-00003F010000}"/>
    <cellStyle name="20% - Accent4 11" xfId="769" xr:uid="{00000000-0005-0000-0000-000040010000}"/>
    <cellStyle name="20% - Accent4 12" xfId="1086" xr:uid="{00000000-0005-0000-0000-000041010000}"/>
    <cellStyle name="20% - Accent4 13" xfId="1121" xr:uid="{00000000-0005-0000-0000-000042010000}"/>
    <cellStyle name="20% - Accent4 14" xfId="1457" xr:uid="{00000000-0005-0000-0000-000043010000}"/>
    <cellStyle name="20% - Accent4 2" xfId="51" xr:uid="{00000000-0005-0000-0000-000044010000}"/>
    <cellStyle name="20% - Accent4 2 2" xfId="198" xr:uid="{00000000-0005-0000-0000-000045010000}"/>
    <cellStyle name="20% - Accent4 2 2 2" xfId="371" xr:uid="{00000000-0005-0000-0000-000046010000}"/>
    <cellStyle name="20% - Accent4 2 2 3" xfId="623" xr:uid="{00000000-0005-0000-0000-000047010000}"/>
    <cellStyle name="20% - Accent4 2 2 4" xfId="862" xr:uid="{00000000-0005-0000-0000-000048010000}"/>
    <cellStyle name="20% - Accent4 2 2 5" xfId="1220" xr:uid="{00000000-0005-0000-0000-000049010000}"/>
    <cellStyle name="20% - Accent4 2 3" xfId="251" xr:uid="{00000000-0005-0000-0000-00004A010000}"/>
    <cellStyle name="20% - Accent4 2 3 2" xfId="424" xr:uid="{00000000-0005-0000-0000-00004B010000}"/>
    <cellStyle name="20% - Accent4 2 3 3" xfId="676" xr:uid="{00000000-0005-0000-0000-00004C010000}"/>
    <cellStyle name="20% - Accent4 2 3 4" xfId="915" xr:uid="{00000000-0005-0000-0000-00004D010000}"/>
    <cellStyle name="20% - Accent4 2 3 5" xfId="1273" xr:uid="{00000000-0005-0000-0000-00004E010000}"/>
    <cellStyle name="20% - Accent4 2 4" xfId="118" xr:uid="{00000000-0005-0000-0000-00004F010000}"/>
    <cellStyle name="20% - Accent4 2 4 2" xfId="490" xr:uid="{00000000-0005-0000-0000-000050010000}"/>
    <cellStyle name="20% - Accent4 2 4 3" xfId="742" xr:uid="{00000000-0005-0000-0000-000051010000}"/>
    <cellStyle name="20% - Accent4 2 4 4" xfId="981" xr:uid="{00000000-0005-0000-0000-000052010000}"/>
    <cellStyle name="20% - Accent4 2 4 5" xfId="1339" xr:uid="{00000000-0005-0000-0000-000053010000}"/>
    <cellStyle name="20% - Accent4 2 5" xfId="292" xr:uid="{00000000-0005-0000-0000-000054010000}"/>
    <cellStyle name="20% - Accent4 2 5 2" xfId="1047" xr:uid="{00000000-0005-0000-0000-000055010000}"/>
    <cellStyle name="20% - Accent4 2 5 3" xfId="1405" xr:uid="{00000000-0005-0000-0000-000056010000}"/>
    <cellStyle name="20% - Accent4 2 6" xfId="544" xr:uid="{00000000-0005-0000-0000-000057010000}"/>
    <cellStyle name="20% - Accent4 2 7" xfId="783" xr:uid="{00000000-0005-0000-0000-000058010000}"/>
    <cellStyle name="20% - Accent4 2 8" xfId="1141" xr:uid="{00000000-0005-0000-0000-000059010000}"/>
    <cellStyle name="20% - Accent4 3" xfId="64" xr:uid="{00000000-0005-0000-0000-00005A010000}"/>
    <cellStyle name="20% - Accent4 3 2" xfId="184" xr:uid="{00000000-0005-0000-0000-00005B010000}"/>
    <cellStyle name="20% - Accent4 3 2 2" xfId="357" xr:uid="{00000000-0005-0000-0000-00005C010000}"/>
    <cellStyle name="20% - Accent4 3 2 3" xfId="609" xr:uid="{00000000-0005-0000-0000-00005D010000}"/>
    <cellStyle name="20% - Accent4 3 2 4" xfId="848" xr:uid="{00000000-0005-0000-0000-00005E010000}"/>
    <cellStyle name="20% - Accent4 3 2 5" xfId="1206" xr:uid="{00000000-0005-0000-0000-00005F010000}"/>
    <cellStyle name="20% - Accent4 3 3" xfId="237" xr:uid="{00000000-0005-0000-0000-000060010000}"/>
    <cellStyle name="20% - Accent4 3 3 2" xfId="410" xr:uid="{00000000-0005-0000-0000-000061010000}"/>
    <cellStyle name="20% - Accent4 3 3 3" xfId="662" xr:uid="{00000000-0005-0000-0000-000062010000}"/>
    <cellStyle name="20% - Accent4 3 3 4" xfId="901" xr:uid="{00000000-0005-0000-0000-000063010000}"/>
    <cellStyle name="20% - Accent4 3 3 5" xfId="1259" xr:uid="{00000000-0005-0000-0000-000064010000}"/>
    <cellStyle name="20% - Accent4 3 4" xfId="131" xr:uid="{00000000-0005-0000-0000-000065010000}"/>
    <cellStyle name="20% - Accent4 3 4 2" xfId="476" xr:uid="{00000000-0005-0000-0000-000066010000}"/>
    <cellStyle name="20% - Accent4 3 4 3" xfId="728" xr:uid="{00000000-0005-0000-0000-000067010000}"/>
    <cellStyle name="20% - Accent4 3 4 4" xfId="967" xr:uid="{00000000-0005-0000-0000-000068010000}"/>
    <cellStyle name="20% - Accent4 3 4 5" xfId="1325" xr:uid="{00000000-0005-0000-0000-000069010000}"/>
    <cellStyle name="20% - Accent4 3 5" xfId="305" xr:uid="{00000000-0005-0000-0000-00006A010000}"/>
    <cellStyle name="20% - Accent4 3 5 2" xfId="1033" xr:uid="{00000000-0005-0000-0000-00006B010000}"/>
    <cellStyle name="20% - Accent4 3 5 3" xfId="1391" xr:uid="{00000000-0005-0000-0000-00006C010000}"/>
    <cellStyle name="20% - Accent4 3 6" xfId="557" xr:uid="{00000000-0005-0000-0000-00006D010000}"/>
    <cellStyle name="20% - Accent4 3 7" xfId="796" xr:uid="{00000000-0005-0000-0000-00006E010000}"/>
    <cellStyle name="20% - Accent4 3 8" xfId="1154" xr:uid="{00000000-0005-0000-0000-00006F010000}"/>
    <cellStyle name="20% - Accent4 4" xfId="77" xr:uid="{00000000-0005-0000-0000-000070010000}"/>
    <cellStyle name="20% - Accent4 4 2" xfId="171" xr:uid="{00000000-0005-0000-0000-000071010000}"/>
    <cellStyle name="20% - Accent4 4 2 2" xfId="344" xr:uid="{00000000-0005-0000-0000-000072010000}"/>
    <cellStyle name="20% - Accent4 4 2 3" xfId="596" xr:uid="{00000000-0005-0000-0000-000073010000}"/>
    <cellStyle name="20% - Accent4 4 2 4" xfId="835" xr:uid="{00000000-0005-0000-0000-000074010000}"/>
    <cellStyle name="20% - Accent4 4 2 5" xfId="1193" xr:uid="{00000000-0005-0000-0000-000075010000}"/>
    <cellStyle name="20% - Accent4 4 3" xfId="224" xr:uid="{00000000-0005-0000-0000-000076010000}"/>
    <cellStyle name="20% - Accent4 4 3 2" xfId="397" xr:uid="{00000000-0005-0000-0000-000077010000}"/>
    <cellStyle name="20% - Accent4 4 3 3" xfId="649" xr:uid="{00000000-0005-0000-0000-000078010000}"/>
    <cellStyle name="20% - Accent4 4 3 4" xfId="888" xr:uid="{00000000-0005-0000-0000-000079010000}"/>
    <cellStyle name="20% - Accent4 4 3 5" xfId="1246" xr:uid="{00000000-0005-0000-0000-00007A010000}"/>
    <cellStyle name="20% - Accent4 4 4" xfId="144" xr:uid="{00000000-0005-0000-0000-00007B010000}"/>
    <cellStyle name="20% - Accent4 4 4 2" xfId="463" xr:uid="{00000000-0005-0000-0000-00007C010000}"/>
    <cellStyle name="20% - Accent4 4 4 3" xfId="715" xr:uid="{00000000-0005-0000-0000-00007D010000}"/>
    <cellStyle name="20% - Accent4 4 4 4" xfId="954" xr:uid="{00000000-0005-0000-0000-00007E010000}"/>
    <cellStyle name="20% - Accent4 4 4 5" xfId="1312" xr:uid="{00000000-0005-0000-0000-00007F010000}"/>
    <cellStyle name="20% - Accent4 4 5" xfId="318" xr:uid="{00000000-0005-0000-0000-000080010000}"/>
    <cellStyle name="20% - Accent4 4 5 2" xfId="1020" xr:uid="{00000000-0005-0000-0000-000081010000}"/>
    <cellStyle name="20% - Accent4 4 5 3" xfId="1378" xr:uid="{00000000-0005-0000-0000-000082010000}"/>
    <cellStyle name="20% - Accent4 4 6" xfId="570" xr:uid="{00000000-0005-0000-0000-000083010000}"/>
    <cellStyle name="20% - Accent4 4 7" xfId="809" xr:uid="{00000000-0005-0000-0000-000084010000}"/>
    <cellStyle name="20% - Accent4 4 8" xfId="1167" xr:uid="{00000000-0005-0000-0000-000085010000}"/>
    <cellStyle name="20% - Accent4 5" xfId="90" xr:uid="{00000000-0005-0000-0000-000086010000}"/>
    <cellStyle name="20% - Accent4 5 2" xfId="264" xr:uid="{00000000-0005-0000-0000-000087010000}"/>
    <cellStyle name="20% - Accent4 5 2 2" xfId="437" xr:uid="{00000000-0005-0000-0000-000088010000}"/>
    <cellStyle name="20% - Accent4 5 2 3" xfId="689" xr:uid="{00000000-0005-0000-0000-000089010000}"/>
    <cellStyle name="20% - Accent4 5 2 4" xfId="928" xr:uid="{00000000-0005-0000-0000-00008A010000}"/>
    <cellStyle name="20% - Accent4 5 2 5" xfId="1286" xr:uid="{00000000-0005-0000-0000-00008B010000}"/>
    <cellStyle name="20% - Accent4 5 3" xfId="157" xr:uid="{00000000-0005-0000-0000-00008C010000}"/>
    <cellStyle name="20% - Accent4 5 3 2" xfId="503" xr:uid="{00000000-0005-0000-0000-00008D010000}"/>
    <cellStyle name="20% - Accent4 5 3 3" xfId="755" xr:uid="{00000000-0005-0000-0000-00008E010000}"/>
    <cellStyle name="20% - Accent4 5 3 4" xfId="994" xr:uid="{00000000-0005-0000-0000-00008F010000}"/>
    <cellStyle name="20% - Accent4 5 3 5" xfId="1352" xr:uid="{00000000-0005-0000-0000-000090010000}"/>
    <cellStyle name="20% - Accent4 5 4" xfId="331" xr:uid="{00000000-0005-0000-0000-000091010000}"/>
    <cellStyle name="20% - Accent4 5 4 2" xfId="1060" xr:uid="{00000000-0005-0000-0000-000092010000}"/>
    <cellStyle name="20% - Accent4 5 4 3" xfId="1418" xr:uid="{00000000-0005-0000-0000-000093010000}"/>
    <cellStyle name="20% - Accent4 5 5" xfId="583" xr:uid="{00000000-0005-0000-0000-000094010000}"/>
    <cellStyle name="20% - Accent4 5 6" xfId="822" xr:uid="{00000000-0005-0000-0000-000095010000}"/>
    <cellStyle name="20% - Accent4 5 7" xfId="1180" xr:uid="{00000000-0005-0000-0000-000096010000}"/>
    <cellStyle name="20% - Accent4 6" xfId="211" xr:uid="{00000000-0005-0000-0000-000097010000}"/>
    <cellStyle name="20% - Accent4 6 2" xfId="384" xr:uid="{00000000-0005-0000-0000-000098010000}"/>
    <cellStyle name="20% - Accent4 6 2 2" xfId="1073" xr:uid="{00000000-0005-0000-0000-000099010000}"/>
    <cellStyle name="20% - Accent4 6 2 3" xfId="1431" xr:uid="{00000000-0005-0000-0000-00009A010000}"/>
    <cellStyle name="20% - Accent4 6 3" xfId="636" xr:uid="{00000000-0005-0000-0000-00009B010000}"/>
    <cellStyle name="20% - Accent4 6 4" xfId="875" xr:uid="{00000000-0005-0000-0000-00009C010000}"/>
    <cellStyle name="20% - Accent4 6 5" xfId="1233" xr:uid="{00000000-0005-0000-0000-00009D010000}"/>
    <cellStyle name="20% - Accent4 7" xfId="104" xr:uid="{00000000-0005-0000-0000-00009E010000}"/>
    <cellStyle name="20% - Accent4 7 2" xfId="450" xr:uid="{00000000-0005-0000-0000-00009F010000}"/>
    <cellStyle name="20% - Accent4 7 2 2" xfId="1444" xr:uid="{00000000-0005-0000-0000-0000A0010000}"/>
    <cellStyle name="20% - Accent4 7 3" xfId="702" xr:uid="{00000000-0005-0000-0000-0000A1010000}"/>
    <cellStyle name="20% - Accent4 7 4" xfId="941" xr:uid="{00000000-0005-0000-0000-0000A2010000}"/>
    <cellStyle name="20% - Accent4 7 5" xfId="1299" xr:uid="{00000000-0005-0000-0000-0000A3010000}"/>
    <cellStyle name="20% - Accent4 8" xfId="278" xr:uid="{00000000-0005-0000-0000-0000A4010000}"/>
    <cellStyle name="20% - Accent4 8 2" xfId="1007" xr:uid="{00000000-0005-0000-0000-0000A5010000}"/>
    <cellStyle name="20% - Accent4 8 3" xfId="1365" xr:uid="{00000000-0005-0000-0000-0000A6010000}"/>
    <cellStyle name="20% - Accent4 9" xfId="516" xr:uid="{00000000-0005-0000-0000-0000A7010000}"/>
    <cellStyle name="20% - Accent5" xfId="36" builtinId="46" customBuiltin="1"/>
    <cellStyle name="20% - Accent5 10" xfId="532" xr:uid="{00000000-0005-0000-0000-0000A9010000}"/>
    <cellStyle name="20% - Accent5 11" xfId="771" xr:uid="{00000000-0005-0000-0000-0000AA010000}"/>
    <cellStyle name="20% - Accent5 12" xfId="1088" xr:uid="{00000000-0005-0000-0000-0000AB010000}"/>
    <cellStyle name="20% - Accent5 13" xfId="1125" xr:uid="{00000000-0005-0000-0000-0000AC010000}"/>
    <cellStyle name="20% - Accent5 14" xfId="1459" xr:uid="{00000000-0005-0000-0000-0000AD010000}"/>
    <cellStyle name="20% - Accent5 2" xfId="53" xr:uid="{00000000-0005-0000-0000-0000AE010000}"/>
    <cellStyle name="20% - Accent5 2 2" xfId="200" xr:uid="{00000000-0005-0000-0000-0000AF010000}"/>
    <cellStyle name="20% - Accent5 2 2 2" xfId="373" xr:uid="{00000000-0005-0000-0000-0000B0010000}"/>
    <cellStyle name="20% - Accent5 2 2 3" xfId="625" xr:uid="{00000000-0005-0000-0000-0000B1010000}"/>
    <cellStyle name="20% - Accent5 2 2 4" xfId="864" xr:uid="{00000000-0005-0000-0000-0000B2010000}"/>
    <cellStyle name="20% - Accent5 2 2 5" xfId="1222" xr:uid="{00000000-0005-0000-0000-0000B3010000}"/>
    <cellStyle name="20% - Accent5 2 3" xfId="253" xr:uid="{00000000-0005-0000-0000-0000B4010000}"/>
    <cellStyle name="20% - Accent5 2 3 2" xfId="426" xr:uid="{00000000-0005-0000-0000-0000B5010000}"/>
    <cellStyle name="20% - Accent5 2 3 3" xfId="678" xr:uid="{00000000-0005-0000-0000-0000B6010000}"/>
    <cellStyle name="20% - Accent5 2 3 4" xfId="917" xr:uid="{00000000-0005-0000-0000-0000B7010000}"/>
    <cellStyle name="20% - Accent5 2 3 5" xfId="1275" xr:uid="{00000000-0005-0000-0000-0000B8010000}"/>
    <cellStyle name="20% - Accent5 2 4" xfId="120" xr:uid="{00000000-0005-0000-0000-0000B9010000}"/>
    <cellStyle name="20% - Accent5 2 4 2" xfId="492" xr:uid="{00000000-0005-0000-0000-0000BA010000}"/>
    <cellStyle name="20% - Accent5 2 4 3" xfId="744" xr:uid="{00000000-0005-0000-0000-0000BB010000}"/>
    <cellStyle name="20% - Accent5 2 4 4" xfId="983" xr:uid="{00000000-0005-0000-0000-0000BC010000}"/>
    <cellStyle name="20% - Accent5 2 4 5" xfId="1341" xr:uid="{00000000-0005-0000-0000-0000BD010000}"/>
    <cellStyle name="20% - Accent5 2 5" xfId="294" xr:uid="{00000000-0005-0000-0000-0000BE010000}"/>
    <cellStyle name="20% - Accent5 2 5 2" xfId="1049" xr:uid="{00000000-0005-0000-0000-0000BF010000}"/>
    <cellStyle name="20% - Accent5 2 5 3" xfId="1407" xr:uid="{00000000-0005-0000-0000-0000C0010000}"/>
    <cellStyle name="20% - Accent5 2 6" xfId="546" xr:uid="{00000000-0005-0000-0000-0000C1010000}"/>
    <cellStyle name="20% - Accent5 2 7" xfId="785" xr:uid="{00000000-0005-0000-0000-0000C2010000}"/>
    <cellStyle name="20% - Accent5 2 8" xfId="1143" xr:uid="{00000000-0005-0000-0000-0000C3010000}"/>
    <cellStyle name="20% - Accent5 3" xfId="66" xr:uid="{00000000-0005-0000-0000-0000C4010000}"/>
    <cellStyle name="20% - Accent5 3 2" xfId="186" xr:uid="{00000000-0005-0000-0000-0000C5010000}"/>
    <cellStyle name="20% - Accent5 3 2 2" xfId="359" xr:uid="{00000000-0005-0000-0000-0000C6010000}"/>
    <cellStyle name="20% - Accent5 3 2 3" xfId="611" xr:uid="{00000000-0005-0000-0000-0000C7010000}"/>
    <cellStyle name="20% - Accent5 3 2 4" xfId="850" xr:uid="{00000000-0005-0000-0000-0000C8010000}"/>
    <cellStyle name="20% - Accent5 3 2 5" xfId="1208" xr:uid="{00000000-0005-0000-0000-0000C9010000}"/>
    <cellStyle name="20% - Accent5 3 3" xfId="239" xr:uid="{00000000-0005-0000-0000-0000CA010000}"/>
    <cellStyle name="20% - Accent5 3 3 2" xfId="412" xr:uid="{00000000-0005-0000-0000-0000CB010000}"/>
    <cellStyle name="20% - Accent5 3 3 3" xfId="664" xr:uid="{00000000-0005-0000-0000-0000CC010000}"/>
    <cellStyle name="20% - Accent5 3 3 4" xfId="903" xr:uid="{00000000-0005-0000-0000-0000CD010000}"/>
    <cellStyle name="20% - Accent5 3 3 5" xfId="1261" xr:uid="{00000000-0005-0000-0000-0000CE010000}"/>
    <cellStyle name="20% - Accent5 3 4" xfId="133" xr:uid="{00000000-0005-0000-0000-0000CF010000}"/>
    <cellStyle name="20% - Accent5 3 4 2" xfId="478" xr:uid="{00000000-0005-0000-0000-0000D0010000}"/>
    <cellStyle name="20% - Accent5 3 4 3" xfId="730" xr:uid="{00000000-0005-0000-0000-0000D1010000}"/>
    <cellStyle name="20% - Accent5 3 4 4" xfId="969" xr:uid="{00000000-0005-0000-0000-0000D2010000}"/>
    <cellStyle name="20% - Accent5 3 4 5" xfId="1327" xr:uid="{00000000-0005-0000-0000-0000D3010000}"/>
    <cellStyle name="20% - Accent5 3 5" xfId="307" xr:uid="{00000000-0005-0000-0000-0000D4010000}"/>
    <cellStyle name="20% - Accent5 3 5 2" xfId="1035" xr:uid="{00000000-0005-0000-0000-0000D5010000}"/>
    <cellStyle name="20% - Accent5 3 5 3" xfId="1393" xr:uid="{00000000-0005-0000-0000-0000D6010000}"/>
    <cellStyle name="20% - Accent5 3 6" xfId="559" xr:uid="{00000000-0005-0000-0000-0000D7010000}"/>
    <cellStyle name="20% - Accent5 3 7" xfId="798" xr:uid="{00000000-0005-0000-0000-0000D8010000}"/>
    <cellStyle name="20% - Accent5 3 8" xfId="1156" xr:uid="{00000000-0005-0000-0000-0000D9010000}"/>
    <cellStyle name="20% - Accent5 4" xfId="79" xr:uid="{00000000-0005-0000-0000-0000DA010000}"/>
    <cellStyle name="20% - Accent5 4 2" xfId="173" xr:uid="{00000000-0005-0000-0000-0000DB010000}"/>
    <cellStyle name="20% - Accent5 4 2 2" xfId="346" xr:uid="{00000000-0005-0000-0000-0000DC010000}"/>
    <cellStyle name="20% - Accent5 4 2 3" xfId="598" xr:uid="{00000000-0005-0000-0000-0000DD010000}"/>
    <cellStyle name="20% - Accent5 4 2 4" xfId="837" xr:uid="{00000000-0005-0000-0000-0000DE010000}"/>
    <cellStyle name="20% - Accent5 4 2 5" xfId="1195" xr:uid="{00000000-0005-0000-0000-0000DF010000}"/>
    <cellStyle name="20% - Accent5 4 3" xfId="226" xr:uid="{00000000-0005-0000-0000-0000E0010000}"/>
    <cellStyle name="20% - Accent5 4 3 2" xfId="399" xr:uid="{00000000-0005-0000-0000-0000E1010000}"/>
    <cellStyle name="20% - Accent5 4 3 3" xfId="651" xr:uid="{00000000-0005-0000-0000-0000E2010000}"/>
    <cellStyle name="20% - Accent5 4 3 4" xfId="890" xr:uid="{00000000-0005-0000-0000-0000E3010000}"/>
    <cellStyle name="20% - Accent5 4 3 5" xfId="1248" xr:uid="{00000000-0005-0000-0000-0000E4010000}"/>
    <cellStyle name="20% - Accent5 4 4" xfId="146" xr:uid="{00000000-0005-0000-0000-0000E5010000}"/>
    <cellStyle name="20% - Accent5 4 4 2" xfId="465" xr:uid="{00000000-0005-0000-0000-0000E6010000}"/>
    <cellStyle name="20% - Accent5 4 4 3" xfId="717" xr:uid="{00000000-0005-0000-0000-0000E7010000}"/>
    <cellStyle name="20% - Accent5 4 4 4" xfId="956" xr:uid="{00000000-0005-0000-0000-0000E8010000}"/>
    <cellStyle name="20% - Accent5 4 4 5" xfId="1314" xr:uid="{00000000-0005-0000-0000-0000E9010000}"/>
    <cellStyle name="20% - Accent5 4 5" xfId="320" xr:uid="{00000000-0005-0000-0000-0000EA010000}"/>
    <cellStyle name="20% - Accent5 4 5 2" xfId="1022" xr:uid="{00000000-0005-0000-0000-0000EB010000}"/>
    <cellStyle name="20% - Accent5 4 5 3" xfId="1380" xr:uid="{00000000-0005-0000-0000-0000EC010000}"/>
    <cellStyle name="20% - Accent5 4 6" xfId="572" xr:uid="{00000000-0005-0000-0000-0000ED010000}"/>
    <cellStyle name="20% - Accent5 4 7" xfId="811" xr:uid="{00000000-0005-0000-0000-0000EE010000}"/>
    <cellStyle name="20% - Accent5 4 8" xfId="1169" xr:uid="{00000000-0005-0000-0000-0000EF010000}"/>
    <cellStyle name="20% - Accent5 5" xfId="92" xr:uid="{00000000-0005-0000-0000-0000F0010000}"/>
    <cellStyle name="20% - Accent5 5 2" xfId="266" xr:uid="{00000000-0005-0000-0000-0000F1010000}"/>
    <cellStyle name="20% - Accent5 5 2 2" xfId="439" xr:uid="{00000000-0005-0000-0000-0000F2010000}"/>
    <cellStyle name="20% - Accent5 5 2 3" xfId="691" xr:uid="{00000000-0005-0000-0000-0000F3010000}"/>
    <cellStyle name="20% - Accent5 5 2 4" xfId="930" xr:uid="{00000000-0005-0000-0000-0000F4010000}"/>
    <cellStyle name="20% - Accent5 5 2 5" xfId="1288" xr:uid="{00000000-0005-0000-0000-0000F5010000}"/>
    <cellStyle name="20% - Accent5 5 3" xfId="159" xr:uid="{00000000-0005-0000-0000-0000F6010000}"/>
    <cellStyle name="20% - Accent5 5 3 2" xfId="505" xr:uid="{00000000-0005-0000-0000-0000F7010000}"/>
    <cellStyle name="20% - Accent5 5 3 3" xfId="757" xr:uid="{00000000-0005-0000-0000-0000F8010000}"/>
    <cellStyle name="20% - Accent5 5 3 4" xfId="996" xr:uid="{00000000-0005-0000-0000-0000F9010000}"/>
    <cellStyle name="20% - Accent5 5 3 5" xfId="1354" xr:uid="{00000000-0005-0000-0000-0000FA010000}"/>
    <cellStyle name="20% - Accent5 5 4" xfId="333" xr:uid="{00000000-0005-0000-0000-0000FB010000}"/>
    <cellStyle name="20% - Accent5 5 4 2" xfId="1062" xr:uid="{00000000-0005-0000-0000-0000FC010000}"/>
    <cellStyle name="20% - Accent5 5 4 3" xfId="1420" xr:uid="{00000000-0005-0000-0000-0000FD010000}"/>
    <cellStyle name="20% - Accent5 5 5" xfId="585" xr:uid="{00000000-0005-0000-0000-0000FE010000}"/>
    <cellStyle name="20% - Accent5 5 6" xfId="824" xr:uid="{00000000-0005-0000-0000-0000FF010000}"/>
    <cellStyle name="20% - Accent5 5 7" xfId="1182" xr:uid="{00000000-0005-0000-0000-000000020000}"/>
    <cellStyle name="20% - Accent5 6" xfId="213" xr:uid="{00000000-0005-0000-0000-000001020000}"/>
    <cellStyle name="20% - Accent5 6 2" xfId="386" xr:uid="{00000000-0005-0000-0000-000002020000}"/>
    <cellStyle name="20% - Accent5 6 2 2" xfId="1075" xr:uid="{00000000-0005-0000-0000-000003020000}"/>
    <cellStyle name="20% - Accent5 6 2 3" xfId="1433" xr:uid="{00000000-0005-0000-0000-000004020000}"/>
    <cellStyle name="20% - Accent5 6 3" xfId="638" xr:uid="{00000000-0005-0000-0000-000005020000}"/>
    <cellStyle name="20% - Accent5 6 4" xfId="877" xr:uid="{00000000-0005-0000-0000-000006020000}"/>
    <cellStyle name="20% - Accent5 6 5" xfId="1235" xr:uid="{00000000-0005-0000-0000-000007020000}"/>
    <cellStyle name="20% - Accent5 7" xfId="106" xr:uid="{00000000-0005-0000-0000-000008020000}"/>
    <cellStyle name="20% - Accent5 7 2" xfId="452" xr:uid="{00000000-0005-0000-0000-000009020000}"/>
    <cellStyle name="20% - Accent5 7 2 2" xfId="1446" xr:uid="{00000000-0005-0000-0000-00000A020000}"/>
    <cellStyle name="20% - Accent5 7 3" xfId="704" xr:uid="{00000000-0005-0000-0000-00000B020000}"/>
    <cellStyle name="20% - Accent5 7 4" xfId="943" xr:uid="{00000000-0005-0000-0000-00000C020000}"/>
    <cellStyle name="20% - Accent5 7 5" xfId="1301" xr:uid="{00000000-0005-0000-0000-00000D020000}"/>
    <cellStyle name="20% - Accent5 8" xfId="280" xr:uid="{00000000-0005-0000-0000-00000E020000}"/>
    <cellStyle name="20% - Accent5 8 2" xfId="1009" xr:uid="{00000000-0005-0000-0000-00000F020000}"/>
    <cellStyle name="20% - Accent5 8 3" xfId="1367" xr:uid="{00000000-0005-0000-0000-000010020000}"/>
    <cellStyle name="20% - Accent5 9" xfId="518" xr:uid="{00000000-0005-0000-0000-000011020000}"/>
    <cellStyle name="20% - Accent6" xfId="40" builtinId="50" customBuiltin="1"/>
    <cellStyle name="20% - Accent6 10" xfId="534" xr:uid="{00000000-0005-0000-0000-000013020000}"/>
    <cellStyle name="20% - Accent6 11" xfId="773" xr:uid="{00000000-0005-0000-0000-000014020000}"/>
    <cellStyle name="20% - Accent6 12" xfId="1090" xr:uid="{00000000-0005-0000-0000-000015020000}"/>
    <cellStyle name="20% - Accent6 13" xfId="1129" xr:uid="{00000000-0005-0000-0000-000016020000}"/>
    <cellStyle name="20% - Accent6 14" xfId="1461" xr:uid="{00000000-0005-0000-0000-000017020000}"/>
    <cellStyle name="20% - Accent6 2" xfId="55" xr:uid="{00000000-0005-0000-0000-000018020000}"/>
    <cellStyle name="20% - Accent6 2 2" xfId="202" xr:uid="{00000000-0005-0000-0000-000019020000}"/>
    <cellStyle name="20% - Accent6 2 2 2" xfId="375" xr:uid="{00000000-0005-0000-0000-00001A020000}"/>
    <cellStyle name="20% - Accent6 2 2 3" xfId="627" xr:uid="{00000000-0005-0000-0000-00001B020000}"/>
    <cellStyle name="20% - Accent6 2 2 4" xfId="866" xr:uid="{00000000-0005-0000-0000-00001C020000}"/>
    <cellStyle name="20% - Accent6 2 2 5" xfId="1224" xr:uid="{00000000-0005-0000-0000-00001D020000}"/>
    <cellStyle name="20% - Accent6 2 3" xfId="255" xr:uid="{00000000-0005-0000-0000-00001E020000}"/>
    <cellStyle name="20% - Accent6 2 3 2" xfId="428" xr:uid="{00000000-0005-0000-0000-00001F020000}"/>
    <cellStyle name="20% - Accent6 2 3 3" xfId="680" xr:uid="{00000000-0005-0000-0000-000020020000}"/>
    <cellStyle name="20% - Accent6 2 3 4" xfId="919" xr:uid="{00000000-0005-0000-0000-000021020000}"/>
    <cellStyle name="20% - Accent6 2 3 5" xfId="1277" xr:uid="{00000000-0005-0000-0000-000022020000}"/>
    <cellStyle name="20% - Accent6 2 4" xfId="122" xr:uid="{00000000-0005-0000-0000-000023020000}"/>
    <cellStyle name="20% - Accent6 2 4 2" xfId="494" xr:uid="{00000000-0005-0000-0000-000024020000}"/>
    <cellStyle name="20% - Accent6 2 4 3" xfId="746" xr:uid="{00000000-0005-0000-0000-000025020000}"/>
    <cellStyle name="20% - Accent6 2 4 4" xfId="985" xr:uid="{00000000-0005-0000-0000-000026020000}"/>
    <cellStyle name="20% - Accent6 2 4 5" xfId="1343" xr:uid="{00000000-0005-0000-0000-000027020000}"/>
    <cellStyle name="20% - Accent6 2 5" xfId="296" xr:uid="{00000000-0005-0000-0000-000028020000}"/>
    <cellStyle name="20% - Accent6 2 5 2" xfId="1051" xr:uid="{00000000-0005-0000-0000-000029020000}"/>
    <cellStyle name="20% - Accent6 2 5 3" xfId="1409" xr:uid="{00000000-0005-0000-0000-00002A020000}"/>
    <cellStyle name="20% - Accent6 2 6" xfId="548" xr:uid="{00000000-0005-0000-0000-00002B020000}"/>
    <cellStyle name="20% - Accent6 2 7" xfId="787" xr:uid="{00000000-0005-0000-0000-00002C020000}"/>
    <cellStyle name="20% - Accent6 2 8" xfId="1145" xr:uid="{00000000-0005-0000-0000-00002D020000}"/>
    <cellStyle name="20% - Accent6 3" xfId="68" xr:uid="{00000000-0005-0000-0000-00002E020000}"/>
    <cellStyle name="20% - Accent6 3 2" xfId="188" xr:uid="{00000000-0005-0000-0000-00002F020000}"/>
    <cellStyle name="20% - Accent6 3 2 2" xfId="361" xr:uid="{00000000-0005-0000-0000-000030020000}"/>
    <cellStyle name="20% - Accent6 3 2 3" xfId="613" xr:uid="{00000000-0005-0000-0000-000031020000}"/>
    <cellStyle name="20% - Accent6 3 2 4" xfId="852" xr:uid="{00000000-0005-0000-0000-000032020000}"/>
    <cellStyle name="20% - Accent6 3 2 5" xfId="1210" xr:uid="{00000000-0005-0000-0000-000033020000}"/>
    <cellStyle name="20% - Accent6 3 3" xfId="241" xr:uid="{00000000-0005-0000-0000-000034020000}"/>
    <cellStyle name="20% - Accent6 3 3 2" xfId="414" xr:uid="{00000000-0005-0000-0000-000035020000}"/>
    <cellStyle name="20% - Accent6 3 3 3" xfId="666" xr:uid="{00000000-0005-0000-0000-000036020000}"/>
    <cellStyle name="20% - Accent6 3 3 4" xfId="905" xr:uid="{00000000-0005-0000-0000-000037020000}"/>
    <cellStyle name="20% - Accent6 3 3 5" xfId="1263" xr:uid="{00000000-0005-0000-0000-000038020000}"/>
    <cellStyle name="20% - Accent6 3 4" xfId="135" xr:uid="{00000000-0005-0000-0000-000039020000}"/>
    <cellStyle name="20% - Accent6 3 4 2" xfId="480" xr:uid="{00000000-0005-0000-0000-00003A020000}"/>
    <cellStyle name="20% - Accent6 3 4 3" xfId="732" xr:uid="{00000000-0005-0000-0000-00003B020000}"/>
    <cellStyle name="20% - Accent6 3 4 4" xfId="971" xr:uid="{00000000-0005-0000-0000-00003C020000}"/>
    <cellStyle name="20% - Accent6 3 4 5" xfId="1329" xr:uid="{00000000-0005-0000-0000-00003D020000}"/>
    <cellStyle name="20% - Accent6 3 5" xfId="309" xr:uid="{00000000-0005-0000-0000-00003E020000}"/>
    <cellStyle name="20% - Accent6 3 5 2" xfId="1037" xr:uid="{00000000-0005-0000-0000-00003F020000}"/>
    <cellStyle name="20% - Accent6 3 5 3" xfId="1395" xr:uid="{00000000-0005-0000-0000-000040020000}"/>
    <cellStyle name="20% - Accent6 3 6" xfId="561" xr:uid="{00000000-0005-0000-0000-000041020000}"/>
    <cellStyle name="20% - Accent6 3 7" xfId="800" xr:uid="{00000000-0005-0000-0000-000042020000}"/>
    <cellStyle name="20% - Accent6 3 8" xfId="1158" xr:uid="{00000000-0005-0000-0000-000043020000}"/>
    <cellStyle name="20% - Accent6 4" xfId="81" xr:uid="{00000000-0005-0000-0000-000044020000}"/>
    <cellStyle name="20% - Accent6 4 2" xfId="175" xr:uid="{00000000-0005-0000-0000-000045020000}"/>
    <cellStyle name="20% - Accent6 4 2 2" xfId="348" xr:uid="{00000000-0005-0000-0000-000046020000}"/>
    <cellStyle name="20% - Accent6 4 2 3" xfId="600" xr:uid="{00000000-0005-0000-0000-000047020000}"/>
    <cellStyle name="20% - Accent6 4 2 4" xfId="839" xr:uid="{00000000-0005-0000-0000-000048020000}"/>
    <cellStyle name="20% - Accent6 4 2 5" xfId="1197" xr:uid="{00000000-0005-0000-0000-000049020000}"/>
    <cellStyle name="20% - Accent6 4 3" xfId="228" xr:uid="{00000000-0005-0000-0000-00004A020000}"/>
    <cellStyle name="20% - Accent6 4 3 2" xfId="401" xr:uid="{00000000-0005-0000-0000-00004B020000}"/>
    <cellStyle name="20% - Accent6 4 3 3" xfId="653" xr:uid="{00000000-0005-0000-0000-00004C020000}"/>
    <cellStyle name="20% - Accent6 4 3 4" xfId="892" xr:uid="{00000000-0005-0000-0000-00004D020000}"/>
    <cellStyle name="20% - Accent6 4 3 5" xfId="1250" xr:uid="{00000000-0005-0000-0000-00004E020000}"/>
    <cellStyle name="20% - Accent6 4 4" xfId="148" xr:uid="{00000000-0005-0000-0000-00004F020000}"/>
    <cellStyle name="20% - Accent6 4 4 2" xfId="467" xr:uid="{00000000-0005-0000-0000-000050020000}"/>
    <cellStyle name="20% - Accent6 4 4 3" xfId="719" xr:uid="{00000000-0005-0000-0000-000051020000}"/>
    <cellStyle name="20% - Accent6 4 4 4" xfId="958" xr:uid="{00000000-0005-0000-0000-000052020000}"/>
    <cellStyle name="20% - Accent6 4 4 5" xfId="1316" xr:uid="{00000000-0005-0000-0000-000053020000}"/>
    <cellStyle name="20% - Accent6 4 5" xfId="322" xr:uid="{00000000-0005-0000-0000-000054020000}"/>
    <cellStyle name="20% - Accent6 4 5 2" xfId="1024" xr:uid="{00000000-0005-0000-0000-000055020000}"/>
    <cellStyle name="20% - Accent6 4 5 3" xfId="1382" xr:uid="{00000000-0005-0000-0000-000056020000}"/>
    <cellStyle name="20% - Accent6 4 6" xfId="574" xr:uid="{00000000-0005-0000-0000-000057020000}"/>
    <cellStyle name="20% - Accent6 4 7" xfId="813" xr:uid="{00000000-0005-0000-0000-000058020000}"/>
    <cellStyle name="20% - Accent6 4 8" xfId="1171" xr:uid="{00000000-0005-0000-0000-000059020000}"/>
    <cellStyle name="20% - Accent6 5" xfId="94" xr:uid="{00000000-0005-0000-0000-00005A020000}"/>
    <cellStyle name="20% - Accent6 5 2" xfId="268" xr:uid="{00000000-0005-0000-0000-00005B020000}"/>
    <cellStyle name="20% - Accent6 5 2 2" xfId="441" xr:uid="{00000000-0005-0000-0000-00005C020000}"/>
    <cellStyle name="20% - Accent6 5 2 3" xfId="693" xr:uid="{00000000-0005-0000-0000-00005D020000}"/>
    <cellStyle name="20% - Accent6 5 2 4" xfId="932" xr:uid="{00000000-0005-0000-0000-00005E020000}"/>
    <cellStyle name="20% - Accent6 5 2 5" xfId="1290" xr:uid="{00000000-0005-0000-0000-00005F020000}"/>
    <cellStyle name="20% - Accent6 5 3" xfId="161" xr:uid="{00000000-0005-0000-0000-000060020000}"/>
    <cellStyle name="20% - Accent6 5 3 2" xfId="507" xr:uid="{00000000-0005-0000-0000-000061020000}"/>
    <cellStyle name="20% - Accent6 5 3 3" xfId="759" xr:uid="{00000000-0005-0000-0000-000062020000}"/>
    <cellStyle name="20% - Accent6 5 3 4" xfId="998" xr:uid="{00000000-0005-0000-0000-000063020000}"/>
    <cellStyle name="20% - Accent6 5 3 5" xfId="1356" xr:uid="{00000000-0005-0000-0000-000064020000}"/>
    <cellStyle name="20% - Accent6 5 4" xfId="335" xr:uid="{00000000-0005-0000-0000-000065020000}"/>
    <cellStyle name="20% - Accent6 5 4 2" xfId="1064" xr:uid="{00000000-0005-0000-0000-000066020000}"/>
    <cellStyle name="20% - Accent6 5 4 3" xfId="1422" xr:uid="{00000000-0005-0000-0000-000067020000}"/>
    <cellStyle name="20% - Accent6 5 5" xfId="587" xr:uid="{00000000-0005-0000-0000-000068020000}"/>
    <cellStyle name="20% - Accent6 5 6" xfId="826" xr:uid="{00000000-0005-0000-0000-000069020000}"/>
    <cellStyle name="20% - Accent6 5 7" xfId="1184" xr:uid="{00000000-0005-0000-0000-00006A020000}"/>
    <cellStyle name="20% - Accent6 6" xfId="215" xr:uid="{00000000-0005-0000-0000-00006B020000}"/>
    <cellStyle name="20% - Accent6 6 2" xfId="388" xr:uid="{00000000-0005-0000-0000-00006C020000}"/>
    <cellStyle name="20% - Accent6 6 2 2" xfId="1077" xr:uid="{00000000-0005-0000-0000-00006D020000}"/>
    <cellStyle name="20% - Accent6 6 2 3" xfId="1435" xr:uid="{00000000-0005-0000-0000-00006E020000}"/>
    <cellStyle name="20% - Accent6 6 3" xfId="640" xr:uid="{00000000-0005-0000-0000-00006F020000}"/>
    <cellStyle name="20% - Accent6 6 4" xfId="879" xr:uid="{00000000-0005-0000-0000-000070020000}"/>
    <cellStyle name="20% - Accent6 6 5" xfId="1237" xr:uid="{00000000-0005-0000-0000-000071020000}"/>
    <cellStyle name="20% - Accent6 7" xfId="108" xr:uid="{00000000-0005-0000-0000-000072020000}"/>
    <cellStyle name="20% - Accent6 7 2" xfId="454" xr:uid="{00000000-0005-0000-0000-000073020000}"/>
    <cellStyle name="20% - Accent6 7 2 2" xfId="1448" xr:uid="{00000000-0005-0000-0000-000074020000}"/>
    <cellStyle name="20% - Accent6 7 3" xfId="706" xr:uid="{00000000-0005-0000-0000-000075020000}"/>
    <cellStyle name="20% - Accent6 7 4" xfId="945" xr:uid="{00000000-0005-0000-0000-000076020000}"/>
    <cellStyle name="20% - Accent6 7 5" xfId="1303" xr:uid="{00000000-0005-0000-0000-000077020000}"/>
    <cellStyle name="20% - Accent6 8" xfId="282" xr:uid="{00000000-0005-0000-0000-000078020000}"/>
    <cellStyle name="20% - Accent6 8 2" xfId="1011" xr:uid="{00000000-0005-0000-0000-000079020000}"/>
    <cellStyle name="20% - Accent6 8 3" xfId="1369" xr:uid="{00000000-0005-0000-0000-00007A020000}"/>
    <cellStyle name="20% - Accent6 9" xfId="520" xr:uid="{00000000-0005-0000-0000-00007B020000}"/>
    <cellStyle name="40% - Accent1" xfId="21" builtinId="31" customBuiltin="1"/>
    <cellStyle name="40% - Accent1 10" xfId="525" xr:uid="{00000000-0005-0000-0000-00007D020000}"/>
    <cellStyle name="40% - Accent1 11" xfId="764" xr:uid="{00000000-0005-0000-0000-00007E020000}"/>
    <cellStyle name="40% - Accent1 12" xfId="1081" xr:uid="{00000000-0005-0000-0000-00007F020000}"/>
    <cellStyle name="40% - Accent1 13" xfId="1110" xr:uid="{00000000-0005-0000-0000-000080020000}"/>
    <cellStyle name="40% - Accent1 14" xfId="1452" xr:uid="{00000000-0005-0000-0000-000081020000}"/>
    <cellStyle name="40% - Accent1 2" xfId="46" xr:uid="{00000000-0005-0000-0000-000082020000}"/>
    <cellStyle name="40% - Accent1 2 2" xfId="193" xr:uid="{00000000-0005-0000-0000-000083020000}"/>
    <cellStyle name="40% - Accent1 2 2 2" xfId="366" xr:uid="{00000000-0005-0000-0000-000084020000}"/>
    <cellStyle name="40% - Accent1 2 2 3" xfId="618" xr:uid="{00000000-0005-0000-0000-000085020000}"/>
    <cellStyle name="40% - Accent1 2 2 4" xfId="857" xr:uid="{00000000-0005-0000-0000-000086020000}"/>
    <cellStyle name="40% - Accent1 2 2 5" xfId="1215" xr:uid="{00000000-0005-0000-0000-000087020000}"/>
    <cellStyle name="40% - Accent1 2 3" xfId="246" xr:uid="{00000000-0005-0000-0000-000088020000}"/>
    <cellStyle name="40% - Accent1 2 3 2" xfId="419" xr:uid="{00000000-0005-0000-0000-000089020000}"/>
    <cellStyle name="40% - Accent1 2 3 3" xfId="671" xr:uid="{00000000-0005-0000-0000-00008A020000}"/>
    <cellStyle name="40% - Accent1 2 3 4" xfId="910" xr:uid="{00000000-0005-0000-0000-00008B020000}"/>
    <cellStyle name="40% - Accent1 2 3 5" xfId="1268" xr:uid="{00000000-0005-0000-0000-00008C020000}"/>
    <cellStyle name="40% - Accent1 2 4" xfId="113" xr:uid="{00000000-0005-0000-0000-00008D020000}"/>
    <cellStyle name="40% - Accent1 2 4 2" xfId="485" xr:uid="{00000000-0005-0000-0000-00008E020000}"/>
    <cellStyle name="40% - Accent1 2 4 3" xfId="737" xr:uid="{00000000-0005-0000-0000-00008F020000}"/>
    <cellStyle name="40% - Accent1 2 4 4" xfId="976" xr:uid="{00000000-0005-0000-0000-000090020000}"/>
    <cellStyle name="40% - Accent1 2 4 5" xfId="1334" xr:uid="{00000000-0005-0000-0000-000091020000}"/>
    <cellStyle name="40% - Accent1 2 5" xfId="287" xr:uid="{00000000-0005-0000-0000-000092020000}"/>
    <cellStyle name="40% - Accent1 2 5 2" xfId="1042" xr:uid="{00000000-0005-0000-0000-000093020000}"/>
    <cellStyle name="40% - Accent1 2 5 3" xfId="1400" xr:uid="{00000000-0005-0000-0000-000094020000}"/>
    <cellStyle name="40% - Accent1 2 6" xfId="539" xr:uid="{00000000-0005-0000-0000-000095020000}"/>
    <cellStyle name="40% - Accent1 2 7" xfId="778" xr:uid="{00000000-0005-0000-0000-000096020000}"/>
    <cellStyle name="40% - Accent1 2 8" xfId="1136" xr:uid="{00000000-0005-0000-0000-000097020000}"/>
    <cellStyle name="40% - Accent1 3" xfId="59" xr:uid="{00000000-0005-0000-0000-000098020000}"/>
    <cellStyle name="40% - Accent1 3 2" xfId="179" xr:uid="{00000000-0005-0000-0000-000099020000}"/>
    <cellStyle name="40% - Accent1 3 2 2" xfId="352" xr:uid="{00000000-0005-0000-0000-00009A020000}"/>
    <cellStyle name="40% - Accent1 3 2 3" xfId="604" xr:uid="{00000000-0005-0000-0000-00009B020000}"/>
    <cellStyle name="40% - Accent1 3 2 4" xfId="843" xr:uid="{00000000-0005-0000-0000-00009C020000}"/>
    <cellStyle name="40% - Accent1 3 2 5" xfId="1201" xr:uid="{00000000-0005-0000-0000-00009D020000}"/>
    <cellStyle name="40% - Accent1 3 3" xfId="232" xr:uid="{00000000-0005-0000-0000-00009E020000}"/>
    <cellStyle name="40% - Accent1 3 3 2" xfId="405" xr:uid="{00000000-0005-0000-0000-00009F020000}"/>
    <cellStyle name="40% - Accent1 3 3 3" xfId="657" xr:uid="{00000000-0005-0000-0000-0000A0020000}"/>
    <cellStyle name="40% - Accent1 3 3 4" xfId="896" xr:uid="{00000000-0005-0000-0000-0000A1020000}"/>
    <cellStyle name="40% - Accent1 3 3 5" xfId="1254" xr:uid="{00000000-0005-0000-0000-0000A2020000}"/>
    <cellStyle name="40% - Accent1 3 4" xfId="126" xr:uid="{00000000-0005-0000-0000-0000A3020000}"/>
    <cellStyle name="40% - Accent1 3 4 2" xfId="471" xr:uid="{00000000-0005-0000-0000-0000A4020000}"/>
    <cellStyle name="40% - Accent1 3 4 3" xfId="723" xr:uid="{00000000-0005-0000-0000-0000A5020000}"/>
    <cellStyle name="40% - Accent1 3 4 4" xfId="962" xr:uid="{00000000-0005-0000-0000-0000A6020000}"/>
    <cellStyle name="40% - Accent1 3 4 5" xfId="1320" xr:uid="{00000000-0005-0000-0000-0000A7020000}"/>
    <cellStyle name="40% - Accent1 3 5" xfId="300" xr:uid="{00000000-0005-0000-0000-0000A8020000}"/>
    <cellStyle name="40% - Accent1 3 5 2" xfId="1028" xr:uid="{00000000-0005-0000-0000-0000A9020000}"/>
    <cellStyle name="40% - Accent1 3 5 3" xfId="1386" xr:uid="{00000000-0005-0000-0000-0000AA020000}"/>
    <cellStyle name="40% - Accent1 3 6" xfId="552" xr:uid="{00000000-0005-0000-0000-0000AB020000}"/>
    <cellStyle name="40% - Accent1 3 7" xfId="791" xr:uid="{00000000-0005-0000-0000-0000AC020000}"/>
    <cellStyle name="40% - Accent1 3 8" xfId="1149" xr:uid="{00000000-0005-0000-0000-0000AD020000}"/>
    <cellStyle name="40% - Accent1 4" xfId="72" xr:uid="{00000000-0005-0000-0000-0000AE020000}"/>
    <cellStyle name="40% - Accent1 4 2" xfId="166" xr:uid="{00000000-0005-0000-0000-0000AF020000}"/>
    <cellStyle name="40% - Accent1 4 2 2" xfId="339" xr:uid="{00000000-0005-0000-0000-0000B0020000}"/>
    <cellStyle name="40% - Accent1 4 2 3" xfId="591" xr:uid="{00000000-0005-0000-0000-0000B1020000}"/>
    <cellStyle name="40% - Accent1 4 2 4" xfId="830" xr:uid="{00000000-0005-0000-0000-0000B2020000}"/>
    <cellStyle name="40% - Accent1 4 2 5" xfId="1188" xr:uid="{00000000-0005-0000-0000-0000B3020000}"/>
    <cellStyle name="40% - Accent1 4 3" xfId="219" xr:uid="{00000000-0005-0000-0000-0000B4020000}"/>
    <cellStyle name="40% - Accent1 4 3 2" xfId="392" xr:uid="{00000000-0005-0000-0000-0000B5020000}"/>
    <cellStyle name="40% - Accent1 4 3 3" xfId="644" xr:uid="{00000000-0005-0000-0000-0000B6020000}"/>
    <cellStyle name="40% - Accent1 4 3 4" xfId="883" xr:uid="{00000000-0005-0000-0000-0000B7020000}"/>
    <cellStyle name="40% - Accent1 4 3 5" xfId="1241" xr:uid="{00000000-0005-0000-0000-0000B8020000}"/>
    <cellStyle name="40% - Accent1 4 4" xfId="139" xr:uid="{00000000-0005-0000-0000-0000B9020000}"/>
    <cellStyle name="40% - Accent1 4 4 2" xfId="458" xr:uid="{00000000-0005-0000-0000-0000BA020000}"/>
    <cellStyle name="40% - Accent1 4 4 3" xfId="710" xr:uid="{00000000-0005-0000-0000-0000BB020000}"/>
    <cellStyle name="40% - Accent1 4 4 4" xfId="949" xr:uid="{00000000-0005-0000-0000-0000BC020000}"/>
    <cellStyle name="40% - Accent1 4 4 5" xfId="1307" xr:uid="{00000000-0005-0000-0000-0000BD020000}"/>
    <cellStyle name="40% - Accent1 4 5" xfId="313" xr:uid="{00000000-0005-0000-0000-0000BE020000}"/>
    <cellStyle name="40% - Accent1 4 5 2" xfId="1015" xr:uid="{00000000-0005-0000-0000-0000BF020000}"/>
    <cellStyle name="40% - Accent1 4 5 3" xfId="1373" xr:uid="{00000000-0005-0000-0000-0000C0020000}"/>
    <cellStyle name="40% - Accent1 4 6" xfId="565" xr:uid="{00000000-0005-0000-0000-0000C1020000}"/>
    <cellStyle name="40% - Accent1 4 7" xfId="804" xr:uid="{00000000-0005-0000-0000-0000C2020000}"/>
    <cellStyle name="40% - Accent1 4 8" xfId="1162" xr:uid="{00000000-0005-0000-0000-0000C3020000}"/>
    <cellStyle name="40% - Accent1 5" xfId="85" xr:uid="{00000000-0005-0000-0000-0000C4020000}"/>
    <cellStyle name="40% - Accent1 5 2" xfId="259" xr:uid="{00000000-0005-0000-0000-0000C5020000}"/>
    <cellStyle name="40% - Accent1 5 2 2" xfId="432" xr:uid="{00000000-0005-0000-0000-0000C6020000}"/>
    <cellStyle name="40% - Accent1 5 2 3" xfId="684" xr:uid="{00000000-0005-0000-0000-0000C7020000}"/>
    <cellStyle name="40% - Accent1 5 2 4" xfId="923" xr:uid="{00000000-0005-0000-0000-0000C8020000}"/>
    <cellStyle name="40% - Accent1 5 2 5" xfId="1281" xr:uid="{00000000-0005-0000-0000-0000C9020000}"/>
    <cellStyle name="40% - Accent1 5 3" xfId="152" xr:uid="{00000000-0005-0000-0000-0000CA020000}"/>
    <cellStyle name="40% - Accent1 5 3 2" xfId="498" xr:uid="{00000000-0005-0000-0000-0000CB020000}"/>
    <cellStyle name="40% - Accent1 5 3 3" xfId="750" xr:uid="{00000000-0005-0000-0000-0000CC020000}"/>
    <cellStyle name="40% - Accent1 5 3 4" xfId="989" xr:uid="{00000000-0005-0000-0000-0000CD020000}"/>
    <cellStyle name="40% - Accent1 5 3 5" xfId="1347" xr:uid="{00000000-0005-0000-0000-0000CE020000}"/>
    <cellStyle name="40% - Accent1 5 4" xfId="326" xr:uid="{00000000-0005-0000-0000-0000CF020000}"/>
    <cellStyle name="40% - Accent1 5 4 2" xfId="1055" xr:uid="{00000000-0005-0000-0000-0000D0020000}"/>
    <cellStyle name="40% - Accent1 5 4 3" xfId="1413" xr:uid="{00000000-0005-0000-0000-0000D1020000}"/>
    <cellStyle name="40% - Accent1 5 5" xfId="578" xr:uid="{00000000-0005-0000-0000-0000D2020000}"/>
    <cellStyle name="40% - Accent1 5 6" xfId="817" xr:uid="{00000000-0005-0000-0000-0000D3020000}"/>
    <cellStyle name="40% - Accent1 5 7" xfId="1175" xr:uid="{00000000-0005-0000-0000-0000D4020000}"/>
    <cellStyle name="40% - Accent1 6" xfId="206" xr:uid="{00000000-0005-0000-0000-0000D5020000}"/>
    <cellStyle name="40% - Accent1 6 2" xfId="379" xr:uid="{00000000-0005-0000-0000-0000D6020000}"/>
    <cellStyle name="40% - Accent1 6 2 2" xfId="1068" xr:uid="{00000000-0005-0000-0000-0000D7020000}"/>
    <cellStyle name="40% - Accent1 6 2 3" xfId="1426" xr:uid="{00000000-0005-0000-0000-0000D8020000}"/>
    <cellStyle name="40% - Accent1 6 3" xfId="631" xr:uid="{00000000-0005-0000-0000-0000D9020000}"/>
    <cellStyle name="40% - Accent1 6 4" xfId="870" xr:uid="{00000000-0005-0000-0000-0000DA020000}"/>
    <cellStyle name="40% - Accent1 6 5" xfId="1228" xr:uid="{00000000-0005-0000-0000-0000DB020000}"/>
    <cellStyle name="40% - Accent1 7" xfId="99" xr:uid="{00000000-0005-0000-0000-0000DC020000}"/>
    <cellStyle name="40% - Accent1 7 2" xfId="445" xr:uid="{00000000-0005-0000-0000-0000DD020000}"/>
    <cellStyle name="40% - Accent1 7 2 2" xfId="1439" xr:uid="{00000000-0005-0000-0000-0000DE020000}"/>
    <cellStyle name="40% - Accent1 7 3" xfId="697" xr:uid="{00000000-0005-0000-0000-0000DF020000}"/>
    <cellStyle name="40% - Accent1 7 4" xfId="936" xr:uid="{00000000-0005-0000-0000-0000E0020000}"/>
    <cellStyle name="40% - Accent1 7 5" xfId="1294" xr:uid="{00000000-0005-0000-0000-0000E1020000}"/>
    <cellStyle name="40% - Accent1 8" xfId="273" xr:uid="{00000000-0005-0000-0000-0000E2020000}"/>
    <cellStyle name="40% - Accent1 8 2" xfId="1002" xr:uid="{00000000-0005-0000-0000-0000E3020000}"/>
    <cellStyle name="40% - Accent1 8 3" xfId="1360" xr:uid="{00000000-0005-0000-0000-0000E4020000}"/>
    <cellStyle name="40% - Accent1 9" xfId="511" xr:uid="{00000000-0005-0000-0000-0000E5020000}"/>
    <cellStyle name="40% - Accent2" xfId="25" builtinId="35" customBuiltin="1"/>
    <cellStyle name="40% - Accent2 10" xfId="527" xr:uid="{00000000-0005-0000-0000-0000E7020000}"/>
    <cellStyle name="40% - Accent2 11" xfId="766" xr:uid="{00000000-0005-0000-0000-0000E8020000}"/>
    <cellStyle name="40% - Accent2 12" xfId="1083" xr:uid="{00000000-0005-0000-0000-0000E9020000}"/>
    <cellStyle name="40% - Accent2 13" xfId="1114" xr:uid="{00000000-0005-0000-0000-0000EA020000}"/>
    <cellStyle name="40% - Accent2 14" xfId="1454" xr:uid="{00000000-0005-0000-0000-0000EB020000}"/>
    <cellStyle name="40% - Accent2 2" xfId="48" xr:uid="{00000000-0005-0000-0000-0000EC020000}"/>
    <cellStyle name="40% - Accent2 2 2" xfId="195" xr:uid="{00000000-0005-0000-0000-0000ED020000}"/>
    <cellStyle name="40% - Accent2 2 2 2" xfId="368" xr:uid="{00000000-0005-0000-0000-0000EE020000}"/>
    <cellStyle name="40% - Accent2 2 2 3" xfId="620" xr:uid="{00000000-0005-0000-0000-0000EF020000}"/>
    <cellStyle name="40% - Accent2 2 2 4" xfId="859" xr:uid="{00000000-0005-0000-0000-0000F0020000}"/>
    <cellStyle name="40% - Accent2 2 2 5" xfId="1217" xr:uid="{00000000-0005-0000-0000-0000F1020000}"/>
    <cellStyle name="40% - Accent2 2 3" xfId="248" xr:uid="{00000000-0005-0000-0000-0000F2020000}"/>
    <cellStyle name="40% - Accent2 2 3 2" xfId="421" xr:uid="{00000000-0005-0000-0000-0000F3020000}"/>
    <cellStyle name="40% - Accent2 2 3 3" xfId="673" xr:uid="{00000000-0005-0000-0000-0000F4020000}"/>
    <cellStyle name="40% - Accent2 2 3 4" xfId="912" xr:uid="{00000000-0005-0000-0000-0000F5020000}"/>
    <cellStyle name="40% - Accent2 2 3 5" xfId="1270" xr:uid="{00000000-0005-0000-0000-0000F6020000}"/>
    <cellStyle name="40% - Accent2 2 4" xfId="115" xr:uid="{00000000-0005-0000-0000-0000F7020000}"/>
    <cellStyle name="40% - Accent2 2 4 2" xfId="487" xr:uid="{00000000-0005-0000-0000-0000F8020000}"/>
    <cellStyle name="40% - Accent2 2 4 3" xfId="739" xr:uid="{00000000-0005-0000-0000-0000F9020000}"/>
    <cellStyle name="40% - Accent2 2 4 4" xfId="978" xr:uid="{00000000-0005-0000-0000-0000FA020000}"/>
    <cellStyle name="40% - Accent2 2 4 5" xfId="1336" xr:uid="{00000000-0005-0000-0000-0000FB020000}"/>
    <cellStyle name="40% - Accent2 2 5" xfId="289" xr:uid="{00000000-0005-0000-0000-0000FC020000}"/>
    <cellStyle name="40% - Accent2 2 5 2" xfId="1044" xr:uid="{00000000-0005-0000-0000-0000FD020000}"/>
    <cellStyle name="40% - Accent2 2 5 3" xfId="1402" xr:uid="{00000000-0005-0000-0000-0000FE020000}"/>
    <cellStyle name="40% - Accent2 2 6" xfId="541" xr:uid="{00000000-0005-0000-0000-0000FF020000}"/>
    <cellStyle name="40% - Accent2 2 7" xfId="780" xr:uid="{00000000-0005-0000-0000-000000030000}"/>
    <cellStyle name="40% - Accent2 2 8" xfId="1138" xr:uid="{00000000-0005-0000-0000-000001030000}"/>
    <cellStyle name="40% - Accent2 3" xfId="61" xr:uid="{00000000-0005-0000-0000-000002030000}"/>
    <cellStyle name="40% - Accent2 3 2" xfId="181" xr:uid="{00000000-0005-0000-0000-000003030000}"/>
    <cellStyle name="40% - Accent2 3 2 2" xfId="354" xr:uid="{00000000-0005-0000-0000-000004030000}"/>
    <cellStyle name="40% - Accent2 3 2 3" xfId="606" xr:uid="{00000000-0005-0000-0000-000005030000}"/>
    <cellStyle name="40% - Accent2 3 2 4" xfId="845" xr:uid="{00000000-0005-0000-0000-000006030000}"/>
    <cellStyle name="40% - Accent2 3 2 5" xfId="1203" xr:uid="{00000000-0005-0000-0000-000007030000}"/>
    <cellStyle name="40% - Accent2 3 3" xfId="234" xr:uid="{00000000-0005-0000-0000-000008030000}"/>
    <cellStyle name="40% - Accent2 3 3 2" xfId="407" xr:uid="{00000000-0005-0000-0000-000009030000}"/>
    <cellStyle name="40% - Accent2 3 3 3" xfId="659" xr:uid="{00000000-0005-0000-0000-00000A030000}"/>
    <cellStyle name="40% - Accent2 3 3 4" xfId="898" xr:uid="{00000000-0005-0000-0000-00000B030000}"/>
    <cellStyle name="40% - Accent2 3 3 5" xfId="1256" xr:uid="{00000000-0005-0000-0000-00000C030000}"/>
    <cellStyle name="40% - Accent2 3 4" xfId="128" xr:uid="{00000000-0005-0000-0000-00000D030000}"/>
    <cellStyle name="40% - Accent2 3 4 2" xfId="473" xr:uid="{00000000-0005-0000-0000-00000E030000}"/>
    <cellStyle name="40% - Accent2 3 4 3" xfId="725" xr:uid="{00000000-0005-0000-0000-00000F030000}"/>
    <cellStyle name="40% - Accent2 3 4 4" xfId="964" xr:uid="{00000000-0005-0000-0000-000010030000}"/>
    <cellStyle name="40% - Accent2 3 4 5" xfId="1322" xr:uid="{00000000-0005-0000-0000-000011030000}"/>
    <cellStyle name="40% - Accent2 3 5" xfId="302" xr:uid="{00000000-0005-0000-0000-000012030000}"/>
    <cellStyle name="40% - Accent2 3 5 2" xfId="1030" xr:uid="{00000000-0005-0000-0000-000013030000}"/>
    <cellStyle name="40% - Accent2 3 5 3" xfId="1388" xr:uid="{00000000-0005-0000-0000-000014030000}"/>
    <cellStyle name="40% - Accent2 3 6" xfId="554" xr:uid="{00000000-0005-0000-0000-000015030000}"/>
    <cellStyle name="40% - Accent2 3 7" xfId="793" xr:uid="{00000000-0005-0000-0000-000016030000}"/>
    <cellStyle name="40% - Accent2 3 8" xfId="1151" xr:uid="{00000000-0005-0000-0000-000017030000}"/>
    <cellStyle name="40% - Accent2 4" xfId="74" xr:uid="{00000000-0005-0000-0000-000018030000}"/>
    <cellStyle name="40% - Accent2 4 2" xfId="168" xr:uid="{00000000-0005-0000-0000-000019030000}"/>
    <cellStyle name="40% - Accent2 4 2 2" xfId="341" xr:uid="{00000000-0005-0000-0000-00001A030000}"/>
    <cellStyle name="40% - Accent2 4 2 3" xfId="593" xr:uid="{00000000-0005-0000-0000-00001B030000}"/>
    <cellStyle name="40% - Accent2 4 2 4" xfId="832" xr:uid="{00000000-0005-0000-0000-00001C030000}"/>
    <cellStyle name="40% - Accent2 4 2 5" xfId="1190" xr:uid="{00000000-0005-0000-0000-00001D030000}"/>
    <cellStyle name="40% - Accent2 4 3" xfId="221" xr:uid="{00000000-0005-0000-0000-00001E030000}"/>
    <cellStyle name="40% - Accent2 4 3 2" xfId="394" xr:uid="{00000000-0005-0000-0000-00001F030000}"/>
    <cellStyle name="40% - Accent2 4 3 3" xfId="646" xr:uid="{00000000-0005-0000-0000-000020030000}"/>
    <cellStyle name="40% - Accent2 4 3 4" xfId="885" xr:uid="{00000000-0005-0000-0000-000021030000}"/>
    <cellStyle name="40% - Accent2 4 3 5" xfId="1243" xr:uid="{00000000-0005-0000-0000-000022030000}"/>
    <cellStyle name="40% - Accent2 4 4" xfId="141" xr:uid="{00000000-0005-0000-0000-000023030000}"/>
    <cellStyle name="40% - Accent2 4 4 2" xfId="460" xr:uid="{00000000-0005-0000-0000-000024030000}"/>
    <cellStyle name="40% - Accent2 4 4 3" xfId="712" xr:uid="{00000000-0005-0000-0000-000025030000}"/>
    <cellStyle name="40% - Accent2 4 4 4" xfId="951" xr:uid="{00000000-0005-0000-0000-000026030000}"/>
    <cellStyle name="40% - Accent2 4 4 5" xfId="1309" xr:uid="{00000000-0005-0000-0000-000027030000}"/>
    <cellStyle name="40% - Accent2 4 5" xfId="315" xr:uid="{00000000-0005-0000-0000-000028030000}"/>
    <cellStyle name="40% - Accent2 4 5 2" xfId="1017" xr:uid="{00000000-0005-0000-0000-000029030000}"/>
    <cellStyle name="40% - Accent2 4 5 3" xfId="1375" xr:uid="{00000000-0005-0000-0000-00002A030000}"/>
    <cellStyle name="40% - Accent2 4 6" xfId="567" xr:uid="{00000000-0005-0000-0000-00002B030000}"/>
    <cellStyle name="40% - Accent2 4 7" xfId="806" xr:uid="{00000000-0005-0000-0000-00002C030000}"/>
    <cellStyle name="40% - Accent2 4 8" xfId="1164" xr:uid="{00000000-0005-0000-0000-00002D030000}"/>
    <cellStyle name="40% - Accent2 5" xfId="87" xr:uid="{00000000-0005-0000-0000-00002E030000}"/>
    <cellStyle name="40% - Accent2 5 2" xfId="261" xr:uid="{00000000-0005-0000-0000-00002F030000}"/>
    <cellStyle name="40% - Accent2 5 2 2" xfId="434" xr:uid="{00000000-0005-0000-0000-000030030000}"/>
    <cellStyle name="40% - Accent2 5 2 3" xfId="686" xr:uid="{00000000-0005-0000-0000-000031030000}"/>
    <cellStyle name="40% - Accent2 5 2 4" xfId="925" xr:uid="{00000000-0005-0000-0000-000032030000}"/>
    <cellStyle name="40% - Accent2 5 2 5" xfId="1283" xr:uid="{00000000-0005-0000-0000-000033030000}"/>
    <cellStyle name="40% - Accent2 5 3" xfId="154" xr:uid="{00000000-0005-0000-0000-000034030000}"/>
    <cellStyle name="40% - Accent2 5 3 2" xfId="500" xr:uid="{00000000-0005-0000-0000-000035030000}"/>
    <cellStyle name="40% - Accent2 5 3 3" xfId="752" xr:uid="{00000000-0005-0000-0000-000036030000}"/>
    <cellStyle name="40% - Accent2 5 3 4" xfId="991" xr:uid="{00000000-0005-0000-0000-000037030000}"/>
    <cellStyle name="40% - Accent2 5 3 5" xfId="1349" xr:uid="{00000000-0005-0000-0000-000038030000}"/>
    <cellStyle name="40% - Accent2 5 4" xfId="328" xr:uid="{00000000-0005-0000-0000-000039030000}"/>
    <cellStyle name="40% - Accent2 5 4 2" xfId="1057" xr:uid="{00000000-0005-0000-0000-00003A030000}"/>
    <cellStyle name="40% - Accent2 5 4 3" xfId="1415" xr:uid="{00000000-0005-0000-0000-00003B030000}"/>
    <cellStyle name="40% - Accent2 5 5" xfId="580" xr:uid="{00000000-0005-0000-0000-00003C030000}"/>
    <cellStyle name="40% - Accent2 5 6" xfId="819" xr:uid="{00000000-0005-0000-0000-00003D030000}"/>
    <cellStyle name="40% - Accent2 5 7" xfId="1177" xr:uid="{00000000-0005-0000-0000-00003E030000}"/>
    <cellStyle name="40% - Accent2 6" xfId="208" xr:uid="{00000000-0005-0000-0000-00003F030000}"/>
    <cellStyle name="40% - Accent2 6 2" xfId="381" xr:uid="{00000000-0005-0000-0000-000040030000}"/>
    <cellStyle name="40% - Accent2 6 2 2" xfId="1070" xr:uid="{00000000-0005-0000-0000-000041030000}"/>
    <cellStyle name="40% - Accent2 6 2 3" xfId="1428" xr:uid="{00000000-0005-0000-0000-000042030000}"/>
    <cellStyle name="40% - Accent2 6 3" xfId="633" xr:uid="{00000000-0005-0000-0000-000043030000}"/>
    <cellStyle name="40% - Accent2 6 4" xfId="872" xr:uid="{00000000-0005-0000-0000-000044030000}"/>
    <cellStyle name="40% - Accent2 6 5" xfId="1230" xr:uid="{00000000-0005-0000-0000-000045030000}"/>
    <cellStyle name="40% - Accent2 7" xfId="101" xr:uid="{00000000-0005-0000-0000-000046030000}"/>
    <cellStyle name="40% - Accent2 7 2" xfId="447" xr:uid="{00000000-0005-0000-0000-000047030000}"/>
    <cellStyle name="40% - Accent2 7 2 2" xfId="1441" xr:uid="{00000000-0005-0000-0000-000048030000}"/>
    <cellStyle name="40% - Accent2 7 3" xfId="699" xr:uid="{00000000-0005-0000-0000-000049030000}"/>
    <cellStyle name="40% - Accent2 7 4" xfId="938" xr:uid="{00000000-0005-0000-0000-00004A030000}"/>
    <cellStyle name="40% - Accent2 7 5" xfId="1296" xr:uid="{00000000-0005-0000-0000-00004B030000}"/>
    <cellStyle name="40% - Accent2 8" xfId="275" xr:uid="{00000000-0005-0000-0000-00004C030000}"/>
    <cellStyle name="40% - Accent2 8 2" xfId="1004" xr:uid="{00000000-0005-0000-0000-00004D030000}"/>
    <cellStyle name="40% - Accent2 8 3" xfId="1362" xr:uid="{00000000-0005-0000-0000-00004E030000}"/>
    <cellStyle name="40% - Accent2 9" xfId="513" xr:uid="{00000000-0005-0000-0000-00004F030000}"/>
    <cellStyle name="40% - Accent3" xfId="29" builtinId="39" customBuiltin="1"/>
    <cellStyle name="40% - Accent3 10" xfId="529" xr:uid="{00000000-0005-0000-0000-000051030000}"/>
    <cellStyle name="40% - Accent3 11" xfId="768" xr:uid="{00000000-0005-0000-0000-000052030000}"/>
    <cellStyle name="40% - Accent3 12" xfId="1085" xr:uid="{00000000-0005-0000-0000-000053030000}"/>
    <cellStyle name="40% - Accent3 13" xfId="1118" xr:uid="{00000000-0005-0000-0000-000054030000}"/>
    <cellStyle name="40% - Accent3 14" xfId="1456" xr:uid="{00000000-0005-0000-0000-000055030000}"/>
    <cellStyle name="40% - Accent3 2" xfId="50" xr:uid="{00000000-0005-0000-0000-000056030000}"/>
    <cellStyle name="40% - Accent3 2 2" xfId="197" xr:uid="{00000000-0005-0000-0000-000057030000}"/>
    <cellStyle name="40% - Accent3 2 2 2" xfId="370" xr:uid="{00000000-0005-0000-0000-000058030000}"/>
    <cellStyle name="40% - Accent3 2 2 3" xfId="622" xr:uid="{00000000-0005-0000-0000-000059030000}"/>
    <cellStyle name="40% - Accent3 2 2 4" xfId="861" xr:uid="{00000000-0005-0000-0000-00005A030000}"/>
    <cellStyle name="40% - Accent3 2 2 5" xfId="1219" xr:uid="{00000000-0005-0000-0000-00005B030000}"/>
    <cellStyle name="40% - Accent3 2 3" xfId="250" xr:uid="{00000000-0005-0000-0000-00005C030000}"/>
    <cellStyle name="40% - Accent3 2 3 2" xfId="423" xr:uid="{00000000-0005-0000-0000-00005D030000}"/>
    <cellStyle name="40% - Accent3 2 3 3" xfId="675" xr:uid="{00000000-0005-0000-0000-00005E030000}"/>
    <cellStyle name="40% - Accent3 2 3 4" xfId="914" xr:uid="{00000000-0005-0000-0000-00005F030000}"/>
    <cellStyle name="40% - Accent3 2 3 5" xfId="1272" xr:uid="{00000000-0005-0000-0000-000060030000}"/>
    <cellStyle name="40% - Accent3 2 4" xfId="117" xr:uid="{00000000-0005-0000-0000-000061030000}"/>
    <cellStyle name="40% - Accent3 2 4 2" xfId="489" xr:uid="{00000000-0005-0000-0000-000062030000}"/>
    <cellStyle name="40% - Accent3 2 4 3" xfId="741" xr:uid="{00000000-0005-0000-0000-000063030000}"/>
    <cellStyle name="40% - Accent3 2 4 4" xfId="980" xr:uid="{00000000-0005-0000-0000-000064030000}"/>
    <cellStyle name="40% - Accent3 2 4 5" xfId="1338" xr:uid="{00000000-0005-0000-0000-000065030000}"/>
    <cellStyle name="40% - Accent3 2 5" xfId="291" xr:uid="{00000000-0005-0000-0000-000066030000}"/>
    <cellStyle name="40% - Accent3 2 5 2" xfId="1046" xr:uid="{00000000-0005-0000-0000-000067030000}"/>
    <cellStyle name="40% - Accent3 2 5 3" xfId="1404" xr:uid="{00000000-0005-0000-0000-000068030000}"/>
    <cellStyle name="40% - Accent3 2 6" xfId="543" xr:uid="{00000000-0005-0000-0000-000069030000}"/>
    <cellStyle name="40% - Accent3 2 7" xfId="782" xr:uid="{00000000-0005-0000-0000-00006A030000}"/>
    <cellStyle name="40% - Accent3 2 8" xfId="1140" xr:uid="{00000000-0005-0000-0000-00006B030000}"/>
    <cellStyle name="40% - Accent3 3" xfId="63" xr:uid="{00000000-0005-0000-0000-00006C030000}"/>
    <cellStyle name="40% - Accent3 3 2" xfId="183" xr:uid="{00000000-0005-0000-0000-00006D030000}"/>
    <cellStyle name="40% - Accent3 3 2 2" xfId="356" xr:uid="{00000000-0005-0000-0000-00006E030000}"/>
    <cellStyle name="40% - Accent3 3 2 3" xfId="608" xr:uid="{00000000-0005-0000-0000-00006F030000}"/>
    <cellStyle name="40% - Accent3 3 2 4" xfId="847" xr:uid="{00000000-0005-0000-0000-000070030000}"/>
    <cellStyle name="40% - Accent3 3 2 5" xfId="1205" xr:uid="{00000000-0005-0000-0000-000071030000}"/>
    <cellStyle name="40% - Accent3 3 3" xfId="236" xr:uid="{00000000-0005-0000-0000-000072030000}"/>
    <cellStyle name="40% - Accent3 3 3 2" xfId="409" xr:uid="{00000000-0005-0000-0000-000073030000}"/>
    <cellStyle name="40% - Accent3 3 3 3" xfId="661" xr:uid="{00000000-0005-0000-0000-000074030000}"/>
    <cellStyle name="40% - Accent3 3 3 4" xfId="900" xr:uid="{00000000-0005-0000-0000-000075030000}"/>
    <cellStyle name="40% - Accent3 3 3 5" xfId="1258" xr:uid="{00000000-0005-0000-0000-000076030000}"/>
    <cellStyle name="40% - Accent3 3 4" xfId="130" xr:uid="{00000000-0005-0000-0000-000077030000}"/>
    <cellStyle name="40% - Accent3 3 4 2" xfId="475" xr:uid="{00000000-0005-0000-0000-000078030000}"/>
    <cellStyle name="40% - Accent3 3 4 3" xfId="727" xr:uid="{00000000-0005-0000-0000-000079030000}"/>
    <cellStyle name="40% - Accent3 3 4 4" xfId="966" xr:uid="{00000000-0005-0000-0000-00007A030000}"/>
    <cellStyle name="40% - Accent3 3 4 5" xfId="1324" xr:uid="{00000000-0005-0000-0000-00007B030000}"/>
    <cellStyle name="40% - Accent3 3 5" xfId="304" xr:uid="{00000000-0005-0000-0000-00007C030000}"/>
    <cellStyle name="40% - Accent3 3 5 2" xfId="1032" xr:uid="{00000000-0005-0000-0000-00007D030000}"/>
    <cellStyle name="40% - Accent3 3 5 3" xfId="1390" xr:uid="{00000000-0005-0000-0000-00007E030000}"/>
    <cellStyle name="40% - Accent3 3 6" xfId="556" xr:uid="{00000000-0005-0000-0000-00007F030000}"/>
    <cellStyle name="40% - Accent3 3 7" xfId="795" xr:uid="{00000000-0005-0000-0000-000080030000}"/>
    <cellStyle name="40% - Accent3 3 8" xfId="1153" xr:uid="{00000000-0005-0000-0000-000081030000}"/>
    <cellStyle name="40% - Accent3 4" xfId="76" xr:uid="{00000000-0005-0000-0000-000082030000}"/>
    <cellStyle name="40% - Accent3 4 2" xfId="170" xr:uid="{00000000-0005-0000-0000-000083030000}"/>
    <cellStyle name="40% - Accent3 4 2 2" xfId="343" xr:uid="{00000000-0005-0000-0000-000084030000}"/>
    <cellStyle name="40% - Accent3 4 2 3" xfId="595" xr:uid="{00000000-0005-0000-0000-000085030000}"/>
    <cellStyle name="40% - Accent3 4 2 4" xfId="834" xr:uid="{00000000-0005-0000-0000-000086030000}"/>
    <cellStyle name="40% - Accent3 4 2 5" xfId="1192" xr:uid="{00000000-0005-0000-0000-000087030000}"/>
    <cellStyle name="40% - Accent3 4 3" xfId="223" xr:uid="{00000000-0005-0000-0000-000088030000}"/>
    <cellStyle name="40% - Accent3 4 3 2" xfId="396" xr:uid="{00000000-0005-0000-0000-000089030000}"/>
    <cellStyle name="40% - Accent3 4 3 3" xfId="648" xr:uid="{00000000-0005-0000-0000-00008A030000}"/>
    <cellStyle name="40% - Accent3 4 3 4" xfId="887" xr:uid="{00000000-0005-0000-0000-00008B030000}"/>
    <cellStyle name="40% - Accent3 4 3 5" xfId="1245" xr:uid="{00000000-0005-0000-0000-00008C030000}"/>
    <cellStyle name="40% - Accent3 4 4" xfId="143" xr:uid="{00000000-0005-0000-0000-00008D030000}"/>
    <cellStyle name="40% - Accent3 4 4 2" xfId="462" xr:uid="{00000000-0005-0000-0000-00008E030000}"/>
    <cellStyle name="40% - Accent3 4 4 3" xfId="714" xr:uid="{00000000-0005-0000-0000-00008F030000}"/>
    <cellStyle name="40% - Accent3 4 4 4" xfId="953" xr:uid="{00000000-0005-0000-0000-000090030000}"/>
    <cellStyle name="40% - Accent3 4 4 5" xfId="1311" xr:uid="{00000000-0005-0000-0000-000091030000}"/>
    <cellStyle name="40% - Accent3 4 5" xfId="317" xr:uid="{00000000-0005-0000-0000-000092030000}"/>
    <cellStyle name="40% - Accent3 4 5 2" xfId="1019" xr:uid="{00000000-0005-0000-0000-000093030000}"/>
    <cellStyle name="40% - Accent3 4 5 3" xfId="1377" xr:uid="{00000000-0005-0000-0000-000094030000}"/>
    <cellStyle name="40% - Accent3 4 6" xfId="569" xr:uid="{00000000-0005-0000-0000-000095030000}"/>
    <cellStyle name="40% - Accent3 4 7" xfId="808" xr:uid="{00000000-0005-0000-0000-000096030000}"/>
    <cellStyle name="40% - Accent3 4 8" xfId="1166" xr:uid="{00000000-0005-0000-0000-000097030000}"/>
    <cellStyle name="40% - Accent3 5" xfId="89" xr:uid="{00000000-0005-0000-0000-000098030000}"/>
    <cellStyle name="40% - Accent3 5 2" xfId="263" xr:uid="{00000000-0005-0000-0000-000099030000}"/>
    <cellStyle name="40% - Accent3 5 2 2" xfId="436" xr:uid="{00000000-0005-0000-0000-00009A030000}"/>
    <cellStyle name="40% - Accent3 5 2 3" xfId="688" xr:uid="{00000000-0005-0000-0000-00009B030000}"/>
    <cellStyle name="40% - Accent3 5 2 4" xfId="927" xr:uid="{00000000-0005-0000-0000-00009C030000}"/>
    <cellStyle name="40% - Accent3 5 2 5" xfId="1285" xr:uid="{00000000-0005-0000-0000-00009D030000}"/>
    <cellStyle name="40% - Accent3 5 3" xfId="156" xr:uid="{00000000-0005-0000-0000-00009E030000}"/>
    <cellStyle name="40% - Accent3 5 3 2" xfId="502" xr:uid="{00000000-0005-0000-0000-00009F030000}"/>
    <cellStyle name="40% - Accent3 5 3 3" xfId="754" xr:uid="{00000000-0005-0000-0000-0000A0030000}"/>
    <cellStyle name="40% - Accent3 5 3 4" xfId="993" xr:uid="{00000000-0005-0000-0000-0000A1030000}"/>
    <cellStyle name="40% - Accent3 5 3 5" xfId="1351" xr:uid="{00000000-0005-0000-0000-0000A2030000}"/>
    <cellStyle name="40% - Accent3 5 4" xfId="330" xr:uid="{00000000-0005-0000-0000-0000A3030000}"/>
    <cellStyle name="40% - Accent3 5 4 2" xfId="1059" xr:uid="{00000000-0005-0000-0000-0000A4030000}"/>
    <cellStyle name="40% - Accent3 5 4 3" xfId="1417" xr:uid="{00000000-0005-0000-0000-0000A5030000}"/>
    <cellStyle name="40% - Accent3 5 5" xfId="582" xr:uid="{00000000-0005-0000-0000-0000A6030000}"/>
    <cellStyle name="40% - Accent3 5 6" xfId="821" xr:uid="{00000000-0005-0000-0000-0000A7030000}"/>
    <cellStyle name="40% - Accent3 5 7" xfId="1179" xr:uid="{00000000-0005-0000-0000-0000A8030000}"/>
    <cellStyle name="40% - Accent3 6" xfId="210" xr:uid="{00000000-0005-0000-0000-0000A9030000}"/>
    <cellStyle name="40% - Accent3 6 2" xfId="383" xr:uid="{00000000-0005-0000-0000-0000AA030000}"/>
    <cellStyle name="40% - Accent3 6 2 2" xfId="1072" xr:uid="{00000000-0005-0000-0000-0000AB030000}"/>
    <cellStyle name="40% - Accent3 6 2 3" xfId="1430" xr:uid="{00000000-0005-0000-0000-0000AC030000}"/>
    <cellStyle name="40% - Accent3 6 3" xfId="635" xr:uid="{00000000-0005-0000-0000-0000AD030000}"/>
    <cellStyle name="40% - Accent3 6 4" xfId="874" xr:uid="{00000000-0005-0000-0000-0000AE030000}"/>
    <cellStyle name="40% - Accent3 6 5" xfId="1232" xr:uid="{00000000-0005-0000-0000-0000AF030000}"/>
    <cellStyle name="40% - Accent3 7" xfId="103" xr:uid="{00000000-0005-0000-0000-0000B0030000}"/>
    <cellStyle name="40% - Accent3 7 2" xfId="449" xr:uid="{00000000-0005-0000-0000-0000B1030000}"/>
    <cellStyle name="40% - Accent3 7 2 2" xfId="1443" xr:uid="{00000000-0005-0000-0000-0000B2030000}"/>
    <cellStyle name="40% - Accent3 7 3" xfId="701" xr:uid="{00000000-0005-0000-0000-0000B3030000}"/>
    <cellStyle name="40% - Accent3 7 4" xfId="940" xr:uid="{00000000-0005-0000-0000-0000B4030000}"/>
    <cellStyle name="40% - Accent3 7 5" xfId="1298" xr:uid="{00000000-0005-0000-0000-0000B5030000}"/>
    <cellStyle name="40% - Accent3 8" xfId="277" xr:uid="{00000000-0005-0000-0000-0000B6030000}"/>
    <cellStyle name="40% - Accent3 8 2" xfId="1006" xr:uid="{00000000-0005-0000-0000-0000B7030000}"/>
    <cellStyle name="40% - Accent3 8 3" xfId="1364" xr:uid="{00000000-0005-0000-0000-0000B8030000}"/>
    <cellStyle name="40% - Accent3 9" xfId="515" xr:uid="{00000000-0005-0000-0000-0000B9030000}"/>
    <cellStyle name="40% - Accent4" xfId="33" builtinId="43" customBuiltin="1"/>
    <cellStyle name="40% - Accent4 10" xfId="531" xr:uid="{00000000-0005-0000-0000-0000BB030000}"/>
    <cellStyle name="40% - Accent4 11" xfId="770" xr:uid="{00000000-0005-0000-0000-0000BC030000}"/>
    <cellStyle name="40% - Accent4 12" xfId="1087" xr:uid="{00000000-0005-0000-0000-0000BD030000}"/>
    <cellStyle name="40% - Accent4 13" xfId="1122" xr:uid="{00000000-0005-0000-0000-0000BE030000}"/>
    <cellStyle name="40% - Accent4 14" xfId="1458" xr:uid="{00000000-0005-0000-0000-0000BF030000}"/>
    <cellStyle name="40% - Accent4 2" xfId="52" xr:uid="{00000000-0005-0000-0000-0000C0030000}"/>
    <cellStyle name="40% - Accent4 2 2" xfId="199" xr:uid="{00000000-0005-0000-0000-0000C1030000}"/>
    <cellStyle name="40% - Accent4 2 2 2" xfId="372" xr:uid="{00000000-0005-0000-0000-0000C2030000}"/>
    <cellStyle name="40% - Accent4 2 2 3" xfId="624" xr:uid="{00000000-0005-0000-0000-0000C3030000}"/>
    <cellStyle name="40% - Accent4 2 2 4" xfId="863" xr:uid="{00000000-0005-0000-0000-0000C4030000}"/>
    <cellStyle name="40% - Accent4 2 2 5" xfId="1221" xr:uid="{00000000-0005-0000-0000-0000C5030000}"/>
    <cellStyle name="40% - Accent4 2 3" xfId="252" xr:uid="{00000000-0005-0000-0000-0000C6030000}"/>
    <cellStyle name="40% - Accent4 2 3 2" xfId="425" xr:uid="{00000000-0005-0000-0000-0000C7030000}"/>
    <cellStyle name="40% - Accent4 2 3 3" xfId="677" xr:uid="{00000000-0005-0000-0000-0000C8030000}"/>
    <cellStyle name="40% - Accent4 2 3 4" xfId="916" xr:uid="{00000000-0005-0000-0000-0000C9030000}"/>
    <cellStyle name="40% - Accent4 2 3 5" xfId="1274" xr:uid="{00000000-0005-0000-0000-0000CA030000}"/>
    <cellStyle name="40% - Accent4 2 4" xfId="119" xr:uid="{00000000-0005-0000-0000-0000CB030000}"/>
    <cellStyle name="40% - Accent4 2 4 2" xfId="491" xr:uid="{00000000-0005-0000-0000-0000CC030000}"/>
    <cellStyle name="40% - Accent4 2 4 3" xfId="743" xr:uid="{00000000-0005-0000-0000-0000CD030000}"/>
    <cellStyle name="40% - Accent4 2 4 4" xfId="982" xr:uid="{00000000-0005-0000-0000-0000CE030000}"/>
    <cellStyle name="40% - Accent4 2 4 5" xfId="1340" xr:uid="{00000000-0005-0000-0000-0000CF030000}"/>
    <cellStyle name="40% - Accent4 2 5" xfId="293" xr:uid="{00000000-0005-0000-0000-0000D0030000}"/>
    <cellStyle name="40% - Accent4 2 5 2" xfId="1048" xr:uid="{00000000-0005-0000-0000-0000D1030000}"/>
    <cellStyle name="40% - Accent4 2 5 3" xfId="1406" xr:uid="{00000000-0005-0000-0000-0000D2030000}"/>
    <cellStyle name="40% - Accent4 2 6" xfId="545" xr:uid="{00000000-0005-0000-0000-0000D3030000}"/>
    <cellStyle name="40% - Accent4 2 7" xfId="784" xr:uid="{00000000-0005-0000-0000-0000D4030000}"/>
    <cellStyle name="40% - Accent4 2 8" xfId="1142" xr:uid="{00000000-0005-0000-0000-0000D5030000}"/>
    <cellStyle name="40% - Accent4 3" xfId="65" xr:uid="{00000000-0005-0000-0000-0000D6030000}"/>
    <cellStyle name="40% - Accent4 3 2" xfId="185" xr:uid="{00000000-0005-0000-0000-0000D7030000}"/>
    <cellStyle name="40% - Accent4 3 2 2" xfId="358" xr:uid="{00000000-0005-0000-0000-0000D8030000}"/>
    <cellStyle name="40% - Accent4 3 2 3" xfId="610" xr:uid="{00000000-0005-0000-0000-0000D9030000}"/>
    <cellStyle name="40% - Accent4 3 2 4" xfId="849" xr:uid="{00000000-0005-0000-0000-0000DA030000}"/>
    <cellStyle name="40% - Accent4 3 2 5" xfId="1207" xr:uid="{00000000-0005-0000-0000-0000DB030000}"/>
    <cellStyle name="40% - Accent4 3 3" xfId="238" xr:uid="{00000000-0005-0000-0000-0000DC030000}"/>
    <cellStyle name="40% - Accent4 3 3 2" xfId="411" xr:uid="{00000000-0005-0000-0000-0000DD030000}"/>
    <cellStyle name="40% - Accent4 3 3 3" xfId="663" xr:uid="{00000000-0005-0000-0000-0000DE030000}"/>
    <cellStyle name="40% - Accent4 3 3 4" xfId="902" xr:uid="{00000000-0005-0000-0000-0000DF030000}"/>
    <cellStyle name="40% - Accent4 3 3 5" xfId="1260" xr:uid="{00000000-0005-0000-0000-0000E0030000}"/>
    <cellStyle name="40% - Accent4 3 4" xfId="132" xr:uid="{00000000-0005-0000-0000-0000E1030000}"/>
    <cellStyle name="40% - Accent4 3 4 2" xfId="477" xr:uid="{00000000-0005-0000-0000-0000E2030000}"/>
    <cellStyle name="40% - Accent4 3 4 3" xfId="729" xr:uid="{00000000-0005-0000-0000-0000E3030000}"/>
    <cellStyle name="40% - Accent4 3 4 4" xfId="968" xr:uid="{00000000-0005-0000-0000-0000E4030000}"/>
    <cellStyle name="40% - Accent4 3 4 5" xfId="1326" xr:uid="{00000000-0005-0000-0000-0000E5030000}"/>
    <cellStyle name="40% - Accent4 3 5" xfId="306" xr:uid="{00000000-0005-0000-0000-0000E6030000}"/>
    <cellStyle name="40% - Accent4 3 5 2" xfId="1034" xr:uid="{00000000-0005-0000-0000-0000E7030000}"/>
    <cellStyle name="40% - Accent4 3 5 3" xfId="1392" xr:uid="{00000000-0005-0000-0000-0000E8030000}"/>
    <cellStyle name="40% - Accent4 3 6" xfId="558" xr:uid="{00000000-0005-0000-0000-0000E9030000}"/>
    <cellStyle name="40% - Accent4 3 7" xfId="797" xr:uid="{00000000-0005-0000-0000-0000EA030000}"/>
    <cellStyle name="40% - Accent4 3 8" xfId="1155" xr:uid="{00000000-0005-0000-0000-0000EB030000}"/>
    <cellStyle name="40% - Accent4 4" xfId="78" xr:uid="{00000000-0005-0000-0000-0000EC030000}"/>
    <cellStyle name="40% - Accent4 4 2" xfId="172" xr:uid="{00000000-0005-0000-0000-0000ED030000}"/>
    <cellStyle name="40% - Accent4 4 2 2" xfId="345" xr:uid="{00000000-0005-0000-0000-0000EE030000}"/>
    <cellStyle name="40% - Accent4 4 2 3" xfId="597" xr:uid="{00000000-0005-0000-0000-0000EF030000}"/>
    <cellStyle name="40% - Accent4 4 2 4" xfId="836" xr:uid="{00000000-0005-0000-0000-0000F0030000}"/>
    <cellStyle name="40% - Accent4 4 2 5" xfId="1194" xr:uid="{00000000-0005-0000-0000-0000F1030000}"/>
    <cellStyle name="40% - Accent4 4 3" xfId="225" xr:uid="{00000000-0005-0000-0000-0000F2030000}"/>
    <cellStyle name="40% - Accent4 4 3 2" xfId="398" xr:uid="{00000000-0005-0000-0000-0000F3030000}"/>
    <cellStyle name="40% - Accent4 4 3 3" xfId="650" xr:uid="{00000000-0005-0000-0000-0000F4030000}"/>
    <cellStyle name="40% - Accent4 4 3 4" xfId="889" xr:uid="{00000000-0005-0000-0000-0000F5030000}"/>
    <cellStyle name="40% - Accent4 4 3 5" xfId="1247" xr:uid="{00000000-0005-0000-0000-0000F6030000}"/>
    <cellStyle name="40% - Accent4 4 4" xfId="145" xr:uid="{00000000-0005-0000-0000-0000F7030000}"/>
    <cellStyle name="40% - Accent4 4 4 2" xfId="464" xr:uid="{00000000-0005-0000-0000-0000F8030000}"/>
    <cellStyle name="40% - Accent4 4 4 3" xfId="716" xr:uid="{00000000-0005-0000-0000-0000F9030000}"/>
    <cellStyle name="40% - Accent4 4 4 4" xfId="955" xr:uid="{00000000-0005-0000-0000-0000FA030000}"/>
    <cellStyle name="40% - Accent4 4 4 5" xfId="1313" xr:uid="{00000000-0005-0000-0000-0000FB030000}"/>
    <cellStyle name="40% - Accent4 4 5" xfId="319" xr:uid="{00000000-0005-0000-0000-0000FC030000}"/>
    <cellStyle name="40% - Accent4 4 5 2" xfId="1021" xr:uid="{00000000-0005-0000-0000-0000FD030000}"/>
    <cellStyle name="40% - Accent4 4 5 3" xfId="1379" xr:uid="{00000000-0005-0000-0000-0000FE030000}"/>
    <cellStyle name="40% - Accent4 4 6" xfId="571" xr:uid="{00000000-0005-0000-0000-0000FF030000}"/>
    <cellStyle name="40% - Accent4 4 7" xfId="810" xr:uid="{00000000-0005-0000-0000-000000040000}"/>
    <cellStyle name="40% - Accent4 4 8" xfId="1168" xr:uid="{00000000-0005-0000-0000-000001040000}"/>
    <cellStyle name="40% - Accent4 5" xfId="91" xr:uid="{00000000-0005-0000-0000-000002040000}"/>
    <cellStyle name="40% - Accent4 5 2" xfId="265" xr:uid="{00000000-0005-0000-0000-000003040000}"/>
    <cellStyle name="40% - Accent4 5 2 2" xfId="438" xr:uid="{00000000-0005-0000-0000-000004040000}"/>
    <cellStyle name="40% - Accent4 5 2 3" xfId="690" xr:uid="{00000000-0005-0000-0000-000005040000}"/>
    <cellStyle name="40% - Accent4 5 2 4" xfId="929" xr:uid="{00000000-0005-0000-0000-000006040000}"/>
    <cellStyle name="40% - Accent4 5 2 5" xfId="1287" xr:uid="{00000000-0005-0000-0000-000007040000}"/>
    <cellStyle name="40% - Accent4 5 3" xfId="158" xr:uid="{00000000-0005-0000-0000-000008040000}"/>
    <cellStyle name="40% - Accent4 5 3 2" xfId="504" xr:uid="{00000000-0005-0000-0000-000009040000}"/>
    <cellStyle name="40% - Accent4 5 3 3" xfId="756" xr:uid="{00000000-0005-0000-0000-00000A040000}"/>
    <cellStyle name="40% - Accent4 5 3 4" xfId="995" xr:uid="{00000000-0005-0000-0000-00000B040000}"/>
    <cellStyle name="40% - Accent4 5 3 5" xfId="1353" xr:uid="{00000000-0005-0000-0000-00000C040000}"/>
    <cellStyle name="40% - Accent4 5 4" xfId="332" xr:uid="{00000000-0005-0000-0000-00000D040000}"/>
    <cellStyle name="40% - Accent4 5 4 2" xfId="1061" xr:uid="{00000000-0005-0000-0000-00000E040000}"/>
    <cellStyle name="40% - Accent4 5 4 3" xfId="1419" xr:uid="{00000000-0005-0000-0000-00000F040000}"/>
    <cellStyle name="40% - Accent4 5 5" xfId="584" xr:uid="{00000000-0005-0000-0000-000010040000}"/>
    <cellStyle name="40% - Accent4 5 6" xfId="823" xr:uid="{00000000-0005-0000-0000-000011040000}"/>
    <cellStyle name="40% - Accent4 5 7" xfId="1181" xr:uid="{00000000-0005-0000-0000-000012040000}"/>
    <cellStyle name="40% - Accent4 6" xfId="212" xr:uid="{00000000-0005-0000-0000-000013040000}"/>
    <cellStyle name="40% - Accent4 6 2" xfId="385" xr:uid="{00000000-0005-0000-0000-000014040000}"/>
    <cellStyle name="40% - Accent4 6 2 2" xfId="1074" xr:uid="{00000000-0005-0000-0000-000015040000}"/>
    <cellStyle name="40% - Accent4 6 2 3" xfId="1432" xr:uid="{00000000-0005-0000-0000-000016040000}"/>
    <cellStyle name="40% - Accent4 6 3" xfId="637" xr:uid="{00000000-0005-0000-0000-000017040000}"/>
    <cellStyle name="40% - Accent4 6 4" xfId="876" xr:uid="{00000000-0005-0000-0000-000018040000}"/>
    <cellStyle name="40% - Accent4 6 5" xfId="1234" xr:uid="{00000000-0005-0000-0000-000019040000}"/>
    <cellStyle name="40% - Accent4 7" xfId="105" xr:uid="{00000000-0005-0000-0000-00001A040000}"/>
    <cellStyle name="40% - Accent4 7 2" xfId="451" xr:uid="{00000000-0005-0000-0000-00001B040000}"/>
    <cellStyle name="40% - Accent4 7 2 2" xfId="1445" xr:uid="{00000000-0005-0000-0000-00001C040000}"/>
    <cellStyle name="40% - Accent4 7 3" xfId="703" xr:uid="{00000000-0005-0000-0000-00001D040000}"/>
    <cellStyle name="40% - Accent4 7 4" xfId="942" xr:uid="{00000000-0005-0000-0000-00001E040000}"/>
    <cellStyle name="40% - Accent4 7 5" xfId="1300" xr:uid="{00000000-0005-0000-0000-00001F040000}"/>
    <cellStyle name="40% - Accent4 8" xfId="279" xr:uid="{00000000-0005-0000-0000-000020040000}"/>
    <cellStyle name="40% - Accent4 8 2" xfId="1008" xr:uid="{00000000-0005-0000-0000-000021040000}"/>
    <cellStyle name="40% - Accent4 8 3" xfId="1366" xr:uid="{00000000-0005-0000-0000-000022040000}"/>
    <cellStyle name="40% - Accent4 9" xfId="517" xr:uid="{00000000-0005-0000-0000-000023040000}"/>
    <cellStyle name="40% - Accent5" xfId="37" builtinId="47" customBuiltin="1"/>
    <cellStyle name="40% - Accent5 10" xfId="533" xr:uid="{00000000-0005-0000-0000-000025040000}"/>
    <cellStyle name="40% - Accent5 11" xfId="772" xr:uid="{00000000-0005-0000-0000-000026040000}"/>
    <cellStyle name="40% - Accent5 12" xfId="1089" xr:uid="{00000000-0005-0000-0000-000027040000}"/>
    <cellStyle name="40% - Accent5 13" xfId="1126" xr:uid="{00000000-0005-0000-0000-000028040000}"/>
    <cellStyle name="40% - Accent5 14" xfId="1460" xr:uid="{00000000-0005-0000-0000-000029040000}"/>
    <cellStyle name="40% - Accent5 2" xfId="54" xr:uid="{00000000-0005-0000-0000-00002A040000}"/>
    <cellStyle name="40% - Accent5 2 2" xfId="201" xr:uid="{00000000-0005-0000-0000-00002B040000}"/>
    <cellStyle name="40% - Accent5 2 2 2" xfId="374" xr:uid="{00000000-0005-0000-0000-00002C040000}"/>
    <cellStyle name="40% - Accent5 2 2 3" xfId="626" xr:uid="{00000000-0005-0000-0000-00002D040000}"/>
    <cellStyle name="40% - Accent5 2 2 4" xfId="865" xr:uid="{00000000-0005-0000-0000-00002E040000}"/>
    <cellStyle name="40% - Accent5 2 2 5" xfId="1223" xr:uid="{00000000-0005-0000-0000-00002F040000}"/>
    <cellStyle name="40% - Accent5 2 3" xfId="254" xr:uid="{00000000-0005-0000-0000-000030040000}"/>
    <cellStyle name="40% - Accent5 2 3 2" xfId="427" xr:uid="{00000000-0005-0000-0000-000031040000}"/>
    <cellStyle name="40% - Accent5 2 3 3" xfId="679" xr:uid="{00000000-0005-0000-0000-000032040000}"/>
    <cellStyle name="40% - Accent5 2 3 4" xfId="918" xr:uid="{00000000-0005-0000-0000-000033040000}"/>
    <cellStyle name="40% - Accent5 2 3 5" xfId="1276" xr:uid="{00000000-0005-0000-0000-000034040000}"/>
    <cellStyle name="40% - Accent5 2 4" xfId="121" xr:uid="{00000000-0005-0000-0000-000035040000}"/>
    <cellStyle name="40% - Accent5 2 4 2" xfId="493" xr:uid="{00000000-0005-0000-0000-000036040000}"/>
    <cellStyle name="40% - Accent5 2 4 3" xfId="745" xr:uid="{00000000-0005-0000-0000-000037040000}"/>
    <cellStyle name="40% - Accent5 2 4 4" xfId="984" xr:uid="{00000000-0005-0000-0000-000038040000}"/>
    <cellStyle name="40% - Accent5 2 4 5" xfId="1342" xr:uid="{00000000-0005-0000-0000-000039040000}"/>
    <cellStyle name="40% - Accent5 2 5" xfId="295" xr:uid="{00000000-0005-0000-0000-00003A040000}"/>
    <cellStyle name="40% - Accent5 2 5 2" xfId="1050" xr:uid="{00000000-0005-0000-0000-00003B040000}"/>
    <cellStyle name="40% - Accent5 2 5 3" xfId="1408" xr:uid="{00000000-0005-0000-0000-00003C040000}"/>
    <cellStyle name="40% - Accent5 2 6" xfId="547" xr:uid="{00000000-0005-0000-0000-00003D040000}"/>
    <cellStyle name="40% - Accent5 2 7" xfId="786" xr:uid="{00000000-0005-0000-0000-00003E040000}"/>
    <cellStyle name="40% - Accent5 2 8" xfId="1144" xr:uid="{00000000-0005-0000-0000-00003F040000}"/>
    <cellStyle name="40% - Accent5 3" xfId="67" xr:uid="{00000000-0005-0000-0000-000040040000}"/>
    <cellStyle name="40% - Accent5 3 2" xfId="187" xr:uid="{00000000-0005-0000-0000-000041040000}"/>
    <cellStyle name="40% - Accent5 3 2 2" xfId="360" xr:uid="{00000000-0005-0000-0000-000042040000}"/>
    <cellStyle name="40% - Accent5 3 2 3" xfId="612" xr:uid="{00000000-0005-0000-0000-000043040000}"/>
    <cellStyle name="40% - Accent5 3 2 4" xfId="851" xr:uid="{00000000-0005-0000-0000-000044040000}"/>
    <cellStyle name="40% - Accent5 3 2 5" xfId="1209" xr:uid="{00000000-0005-0000-0000-000045040000}"/>
    <cellStyle name="40% - Accent5 3 3" xfId="240" xr:uid="{00000000-0005-0000-0000-000046040000}"/>
    <cellStyle name="40% - Accent5 3 3 2" xfId="413" xr:uid="{00000000-0005-0000-0000-000047040000}"/>
    <cellStyle name="40% - Accent5 3 3 3" xfId="665" xr:uid="{00000000-0005-0000-0000-000048040000}"/>
    <cellStyle name="40% - Accent5 3 3 4" xfId="904" xr:uid="{00000000-0005-0000-0000-000049040000}"/>
    <cellStyle name="40% - Accent5 3 3 5" xfId="1262" xr:uid="{00000000-0005-0000-0000-00004A040000}"/>
    <cellStyle name="40% - Accent5 3 4" xfId="134" xr:uid="{00000000-0005-0000-0000-00004B040000}"/>
    <cellStyle name="40% - Accent5 3 4 2" xfId="479" xr:uid="{00000000-0005-0000-0000-00004C040000}"/>
    <cellStyle name="40% - Accent5 3 4 3" xfId="731" xr:uid="{00000000-0005-0000-0000-00004D040000}"/>
    <cellStyle name="40% - Accent5 3 4 4" xfId="970" xr:uid="{00000000-0005-0000-0000-00004E040000}"/>
    <cellStyle name="40% - Accent5 3 4 5" xfId="1328" xr:uid="{00000000-0005-0000-0000-00004F040000}"/>
    <cellStyle name="40% - Accent5 3 5" xfId="308" xr:uid="{00000000-0005-0000-0000-000050040000}"/>
    <cellStyle name="40% - Accent5 3 5 2" xfId="1036" xr:uid="{00000000-0005-0000-0000-000051040000}"/>
    <cellStyle name="40% - Accent5 3 5 3" xfId="1394" xr:uid="{00000000-0005-0000-0000-000052040000}"/>
    <cellStyle name="40% - Accent5 3 6" xfId="560" xr:uid="{00000000-0005-0000-0000-000053040000}"/>
    <cellStyle name="40% - Accent5 3 7" xfId="799" xr:uid="{00000000-0005-0000-0000-000054040000}"/>
    <cellStyle name="40% - Accent5 3 8" xfId="1157" xr:uid="{00000000-0005-0000-0000-000055040000}"/>
    <cellStyle name="40% - Accent5 4" xfId="80" xr:uid="{00000000-0005-0000-0000-000056040000}"/>
    <cellStyle name="40% - Accent5 4 2" xfId="174" xr:uid="{00000000-0005-0000-0000-000057040000}"/>
    <cellStyle name="40% - Accent5 4 2 2" xfId="347" xr:uid="{00000000-0005-0000-0000-000058040000}"/>
    <cellStyle name="40% - Accent5 4 2 3" xfId="599" xr:uid="{00000000-0005-0000-0000-000059040000}"/>
    <cellStyle name="40% - Accent5 4 2 4" xfId="838" xr:uid="{00000000-0005-0000-0000-00005A040000}"/>
    <cellStyle name="40% - Accent5 4 2 5" xfId="1196" xr:uid="{00000000-0005-0000-0000-00005B040000}"/>
    <cellStyle name="40% - Accent5 4 3" xfId="227" xr:uid="{00000000-0005-0000-0000-00005C040000}"/>
    <cellStyle name="40% - Accent5 4 3 2" xfId="400" xr:uid="{00000000-0005-0000-0000-00005D040000}"/>
    <cellStyle name="40% - Accent5 4 3 3" xfId="652" xr:uid="{00000000-0005-0000-0000-00005E040000}"/>
    <cellStyle name="40% - Accent5 4 3 4" xfId="891" xr:uid="{00000000-0005-0000-0000-00005F040000}"/>
    <cellStyle name="40% - Accent5 4 3 5" xfId="1249" xr:uid="{00000000-0005-0000-0000-000060040000}"/>
    <cellStyle name="40% - Accent5 4 4" xfId="147" xr:uid="{00000000-0005-0000-0000-000061040000}"/>
    <cellStyle name="40% - Accent5 4 4 2" xfId="466" xr:uid="{00000000-0005-0000-0000-000062040000}"/>
    <cellStyle name="40% - Accent5 4 4 3" xfId="718" xr:uid="{00000000-0005-0000-0000-000063040000}"/>
    <cellStyle name="40% - Accent5 4 4 4" xfId="957" xr:uid="{00000000-0005-0000-0000-000064040000}"/>
    <cellStyle name="40% - Accent5 4 4 5" xfId="1315" xr:uid="{00000000-0005-0000-0000-000065040000}"/>
    <cellStyle name="40% - Accent5 4 5" xfId="321" xr:uid="{00000000-0005-0000-0000-000066040000}"/>
    <cellStyle name="40% - Accent5 4 5 2" xfId="1023" xr:uid="{00000000-0005-0000-0000-000067040000}"/>
    <cellStyle name="40% - Accent5 4 5 3" xfId="1381" xr:uid="{00000000-0005-0000-0000-000068040000}"/>
    <cellStyle name="40% - Accent5 4 6" xfId="573" xr:uid="{00000000-0005-0000-0000-000069040000}"/>
    <cellStyle name="40% - Accent5 4 7" xfId="812" xr:uid="{00000000-0005-0000-0000-00006A040000}"/>
    <cellStyle name="40% - Accent5 4 8" xfId="1170" xr:uid="{00000000-0005-0000-0000-00006B040000}"/>
    <cellStyle name="40% - Accent5 5" xfId="93" xr:uid="{00000000-0005-0000-0000-00006C040000}"/>
    <cellStyle name="40% - Accent5 5 2" xfId="267" xr:uid="{00000000-0005-0000-0000-00006D040000}"/>
    <cellStyle name="40% - Accent5 5 2 2" xfId="440" xr:uid="{00000000-0005-0000-0000-00006E040000}"/>
    <cellStyle name="40% - Accent5 5 2 3" xfId="692" xr:uid="{00000000-0005-0000-0000-00006F040000}"/>
    <cellStyle name="40% - Accent5 5 2 4" xfId="931" xr:uid="{00000000-0005-0000-0000-000070040000}"/>
    <cellStyle name="40% - Accent5 5 2 5" xfId="1289" xr:uid="{00000000-0005-0000-0000-000071040000}"/>
    <cellStyle name="40% - Accent5 5 3" xfId="160" xr:uid="{00000000-0005-0000-0000-000072040000}"/>
    <cellStyle name="40% - Accent5 5 3 2" xfId="506" xr:uid="{00000000-0005-0000-0000-000073040000}"/>
    <cellStyle name="40% - Accent5 5 3 3" xfId="758" xr:uid="{00000000-0005-0000-0000-000074040000}"/>
    <cellStyle name="40% - Accent5 5 3 4" xfId="997" xr:uid="{00000000-0005-0000-0000-000075040000}"/>
    <cellStyle name="40% - Accent5 5 3 5" xfId="1355" xr:uid="{00000000-0005-0000-0000-000076040000}"/>
    <cellStyle name="40% - Accent5 5 4" xfId="334" xr:uid="{00000000-0005-0000-0000-000077040000}"/>
    <cellStyle name="40% - Accent5 5 4 2" xfId="1063" xr:uid="{00000000-0005-0000-0000-000078040000}"/>
    <cellStyle name="40% - Accent5 5 4 3" xfId="1421" xr:uid="{00000000-0005-0000-0000-000079040000}"/>
    <cellStyle name="40% - Accent5 5 5" xfId="586" xr:uid="{00000000-0005-0000-0000-00007A040000}"/>
    <cellStyle name="40% - Accent5 5 6" xfId="825" xr:uid="{00000000-0005-0000-0000-00007B040000}"/>
    <cellStyle name="40% - Accent5 5 7" xfId="1183" xr:uid="{00000000-0005-0000-0000-00007C040000}"/>
    <cellStyle name="40% - Accent5 6" xfId="214" xr:uid="{00000000-0005-0000-0000-00007D040000}"/>
    <cellStyle name="40% - Accent5 6 2" xfId="387" xr:uid="{00000000-0005-0000-0000-00007E040000}"/>
    <cellStyle name="40% - Accent5 6 2 2" xfId="1076" xr:uid="{00000000-0005-0000-0000-00007F040000}"/>
    <cellStyle name="40% - Accent5 6 2 3" xfId="1434" xr:uid="{00000000-0005-0000-0000-000080040000}"/>
    <cellStyle name="40% - Accent5 6 3" xfId="639" xr:uid="{00000000-0005-0000-0000-000081040000}"/>
    <cellStyle name="40% - Accent5 6 4" xfId="878" xr:uid="{00000000-0005-0000-0000-000082040000}"/>
    <cellStyle name="40% - Accent5 6 5" xfId="1236" xr:uid="{00000000-0005-0000-0000-000083040000}"/>
    <cellStyle name="40% - Accent5 7" xfId="107" xr:uid="{00000000-0005-0000-0000-000084040000}"/>
    <cellStyle name="40% - Accent5 7 2" xfId="453" xr:uid="{00000000-0005-0000-0000-000085040000}"/>
    <cellStyle name="40% - Accent5 7 2 2" xfId="1447" xr:uid="{00000000-0005-0000-0000-000086040000}"/>
    <cellStyle name="40% - Accent5 7 3" xfId="705" xr:uid="{00000000-0005-0000-0000-000087040000}"/>
    <cellStyle name="40% - Accent5 7 4" xfId="944" xr:uid="{00000000-0005-0000-0000-000088040000}"/>
    <cellStyle name="40% - Accent5 7 5" xfId="1302" xr:uid="{00000000-0005-0000-0000-000089040000}"/>
    <cellStyle name="40% - Accent5 8" xfId="281" xr:uid="{00000000-0005-0000-0000-00008A040000}"/>
    <cellStyle name="40% - Accent5 8 2" xfId="1010" xr:uid="{00000000-0005-0000-0000-00008B040000}"/>
    <cellStyle name="40% - Accent5 8 3" xfId="1368" xr:uid="{00000000-0005-0000-0000-00008C040000}"/>
    <cellStyle name="40% - Accent5 9" xfId="519" xr:uid="{00000000-0005-0000-0000-00008D040000}"/>
    <cellStyle name="40% - Accent6" xfId="41" builtinId="51" customBuiltin="1"/>
    <cellStyle name="40% - Accent6 10" xfId="535" xr:uid="{00000000-0005-0000-0000-00008F040000}"/>
    <cellStyle name="40% - Accent6 11" xfId="774" xr:uid="{00000000-0005-0000-0000-000090040000}"/>
    <cellStyle name="40% - Accent6 12" xfId="1091" xr:uid="{00000000-0005-0000-0000-000091040000}"/>
    <cellStyle name="40% - Accent6 13" xfId="1130" xr:uid="{00000000-0005-0000-0000-000092040000}"/>
    <cellStyle name="40% - Accent6 14" xfId="1462" xr:uid="{00000000-0005-0000-0000-000093040000}"/>
    <cellStyle name="40% - Accent6 2" xfId="56" xr:uid="{00000000-0005-0000-0000-000094040000}"/>
    <cellStyle name="40% - Accent6 2 2" xfId="203" xr:uid="{00000000-0005-0000-0000-000095040000}"/>
    <cellStyle name="40% - Accent6 2 2 2" xfId="376" xr:uid="{00000000-0005-0000-0000-000096040000}"/>
    <cellStyle name="40% - Accent6 2 2 3" xfId="628" xr:uid="{00000000-0005-0000-0000-000097040000}"/>
    <cellStyle name="40% - Accent6 2 2 4" xfId="867" xr:uid="{00000000-0005-0000-0000-000098040000}"/>
    <cellStyle name="40% - Accent6 2 2 5" xfId="1225" xr:uid="{00000000-0005-0000-0000-000099040000}"/>
    <cellStyle name="40% - Accent6 2 3" xfId="256" xr:uid="{00000000-0005-0000-0000-00009A040000}"/>
    <cellStyle name="40% - Accent6 2 3 2" xfId="429" xr:uid="{00000000-0005-0000-0000-00009B040000}"/>
    <cellStyle name="40% - Accent6 2 3 3" xfId="681" xr:uid="{00000000-0005-0000-0000-00009C040000}"/>
    <cellStyle name="40% - Accent6 2 3 4" xfId="920" xr:uid="{00000000-0005-0000-0000-00009D040000}"/>
    <cellStyle name="40% - Accent6 2 3 5" xfId="1278" xr:uid="{00000000-0005-0000-0000-00009E040000}"/>
    <cellStyle name="40% - Accent6 2 4" xfId="123" xr:uid="{00000000-0005-0000-0000-00009F040000}"/>
    <cellStyle name="40% - Accent6 2 4 2" xfId="495" xr:uid="{00000000-0005-0000-0000-0000A0040000}"/>
    <cellStyle name="40% - Accent6 2 4 3" xfId="747" xr:uid="{00000000-0005-0000-0000-0000A1040000}"/>
    <cellStyle name="40% - Accent6 2 4 4" xfId="986" xr:uid="{00000000-0005-0000-0000-0000A2040000}"/>
    <cellStyle name="40% - Accent6 2 4 5" xfId="1344" xr:uid="{00000000-0005-0000-0000-0000A3040000}"/>
    <cellStyle name="40% - Accent6 2 5" xfId="297" xr:uid="{00000000-0005-0000-0000-0000A4040000}"/>
    <cellStyle name="40% - Accent6 2 5 2" xfId="1052" xr:uid="{00000000-0005-0000-0000-0000A5040000}"/>
    <cellStyle name="40% - Accent6 2 5 3" xfId="1410" xr:uid="{00000000-0005-0000-0000-0000A6040000}"/>
    <cellStyle name="40% - Accent6 2 6" xfId="549" xr:uid="{00000000-0005-0000-0000-0000A7040000}"/>
    <cellStyle name="40% - Accent6 2 7" xfId="788" xr:uid="{00000000-0005-0000-0000-0000A8040000}"/>
    <cellStyle name="40% - Accent6 2 8" xfId="1146" xr:uid="{00000000-0005-0000-0000-0000A9040000}"/>
    <cellStyle name="40% - Accent6 3" xfId="69" xr:uid="{00000000-0005-0000-0000-0000AA040000}"/>
    <cellStyle name="40% - Accent6 3 2" xfId="189" xr:uid="{00000000-0005-0000-0000-0000AB040000}"/>
    <cellStyle name="40% - Accent6 3 2 2" xfId="362" xr:uid="{00000000-0005-0000-0000-0000AC040000}"/>
    <cellStyle name="40% - Accent6 3 2 3" xfId="614" xr:uid="{00000000-0005-0000-0000-0000AD040000}"/>
    <cellStyle name="40% - Accent6 3 2 4" xfId="853" xr:uid="{00000000-0005-0000-0000-0000AE040000}"/>
    <cellStyle name="40% - Accent6 3 2 5" xfId="1211" xr:uid="{00000000-0005-0000-0000-0000AF040000}"/>
    <cellStyle name="40% - Accent6 3 3" xfId="242" xr:uid="{00000000-0005-0000-0000-0000B0040000}"/>
    <cellStyle name="40% - Accent6 3 3 2" xfId="415" xr:uid="{00000000-0005-0000-0000-0000B1040000}"/>
    <cellStyle name="40% - Accent6 3 3 3" xfId="667" xr:uid="{00000000-0005-0000-0000-0000B2040000}"/>
    <cellStyle name="40% - Accent6 3 3 4" xfId="906" xr:uid="{00000000-0005-0000-0000-0000B3040000}"/>
    <cellStyle name="40% - Accent6 3 3 5" xfId="1264" xr:uid="{00000000-0005-0000-0000-0000B4040000}"/>
    <cellStyle name="40% - Accent6 3 4" xfId="136" xr:uid="{00000000-0005-0000-0000-0000B5040000}"/>
    <cellStyle name="40% - Accent6 3 4 2" xfId="481" xr:uid="{00000000-0005-0000-0000-0000B6040000}"/>
    <cellStyle name="40% - Accent6 3 4 3" xfId="733" xr:uid="{00000000-0005-0000-0000-0000B7040000}"/>
    <cellStyle name="40% - Accent6 3 4 4" xfId="972" xr:uid="{00000000-0005-0000-0000-0000B8040000}"/>
    <cellStyle name="40% - Accent6 3 4 5" xfId="1330" xr:uid="{00000000-0005-0000-0000-0000B9040000}"/>
    <cellStyle name="40% - Accent6 3 5" xfId="310" xr:uid="{00000000-0005-0000-0000-0000BA040000}"/>
    <cellStyle name="40% - Accent6 3 5 2" xfId="1038" xr:uid="{00000000-0005-0000-0000-0000BB040000}"/>
    <cellStyle name="40% - Accent6 3 5 3" xfId="1396" xr:uid="{00000000-0005-0000-0000-0000BC040000}"/>
    <cellStyle name="40% - Accent6 3 6" xfId="562" xr:uid="{00000000-0005-0000-0000-0000BD040000}"/>
    <cellStyle name="40% - Accent6 3 7" xfId="801" xr:uid="{00000000-0005-0000-0000-0000BE040000}"/>
    <cellStyle name="40% - Accent6 3 8" xfId="1159" xr:uid="{00000000-0005-0000-0000-0000BF040000}"/>
    <cellStyle name="40% - Accent6 4" xfId="82" xr:uid="{00000000-0005-0000-0000-0000C0040000}"/>
    <cellStyle name="40% - Accent6 4 2" xfId="176" xr:uid="{00000000-0005-0000-0000-0000C1040000}"/>
    <cellStyle name="40% - Accent6 4 2 2" xfId="349" xr:uid="{00000000-0005-0000-0000-0000C2040000}"/>
    <cellStyle name="40% - Accent6 4 2 3" xfId="601" xr:uid="{00000000-0005-0000-0000-0000C3040000}"/>
    <cellStyle name="40% - Accent6 4 2 4" xfId="840" xr:uid="{00000000-0005-0000-0000-0000C4040000}"/>
    <cellStyle name="40% - Accent6 4 2 5" xfId="1198" xr:uid="{00000000-0005-0000-0000-0000C5040000}"/>
    <cellStyle name="40% - Accent6 4 3" xfId="229" xr:uid="{00000000-0005-0000-0000-0000C6040000}"/>
    <cellStyle name="40% - Accent6 4 3 2" xfId="402" xr:uid="{00000000-0005-0000-0000-0000C7040000}"/>
    <cellStyle name="40% - Accent6 4 3 3" xfId="654" xr:uid="{00000000-0005-0000-0000-0000C8040000}"/>
    <cellStyle name="40% - Accent6 4 3 4" xfId="893" xr:uid="{00000000-0005-0000-0000-0000C9040000}"/>
    <cellStyle name="40% - Accent6 4 3 5" xfId="1251" xr:uid="{00000000-0005-0000-0000-0000CA040000}"/>
    <cellStyle name="40% - Accent6 4 4" xfId="149" xr:uid="{00000000-0005-0000-0000-0000CB040000}"/>
    <cellStyle name="40% - Accent6 4 4 2" xfId="468" xr:uid="{00000000-0005-0000-0000-0000CC040000}"/>
    <cellStyle name="40% - Accent6 4 4 3" xfId="720" xr:uid="{00000000-0005-0000-0000-0000CD040000}"/>
    <cellStyle name="40% - Accent6 4 4 4" xfId="959" xr:uid="{00000000-0005-0000-0000-0000CE040000}"/>
    <cellStyle name="40% - Accent6 4 4 5" xfId="1317" xr:uid="{00000000-0005-0000-0000-0000CF040000}"/>
    <cellStyle name="40% - Accent6 4 5" xfId="323" xr:uid="{00000000-0005-0000-0000-0000D0040000}"/>
    <cellStyle name="40% - Accent6 4 5 2" xfId="1025" xr:uid="{00000000-0005-0000-0000-0000D1040000}"/>
    <cellStyle name="40% - Accent6 4 5 3" xfId="1383" xr:uid="{00000000-0005-0000-0000-0000D2040000}"/>
    <cellStyle name="40% - Accent6 4 6" xfId="575" xr:uid="{00000000-0005-0000-0000-0000D3040000}"/>
    <cellStyle name="40% - Accent6 4 7" xfId="814" xr:uid="{00000000-0005-0000-0000-0000D4040000}"/>
    <cellStyle name="40% - Accent6 4 8" xfId="1172" xr:uid="{00000000-0005-0000-0000-0000D5040000}"/>
    <cellStyle name="40% - Accent6 5" xfId="95" xr:uid="{00000000-0005-0000-0000-0000D6040000}"/>
    <cellStyle name="40% - Accent6 5 2" xfId="269" xr:uid="{00000000-0005-0000-0000-0000D7040000}"/>
    <cellStyle name="40% - Accent6 5 2 2" xfId="442" xr:uid="{00000000-0005-0000-0000-0000D8040000}"/>
    <cellStyle name="40% - Accent6 5 2 3" xfId="694" xr:uid="{00000000-0005-0000-0000-0000D9040000}"/>
    <cellStyle name="40% - Accent6 5 2 4" xfId="933" xr:uid="{00000000-0005-0000-0000-0000DA040000}"/>
    <cellStyle name="40% - Accent6 5 2 5" xfId="1291" xr:uid="{00000000-0005-0000-0000-0000DB040000}"/>
    <cellStyle name="40% - Accent6 5 3" xfId="162" xr:uid="{00000000-0005-0000-0000-0000DC040000}"/>
    <cellStyle name="40% - Accent6 5 3 2" xfId="508" xr:uid="{00000000-0005-0000-0000-0000DD040000}"/>
    <cellStyle name="40% - Accent6 5 3 3" xfId="760" xr:uid="{00000000-0005-0000-0000-0000DE040000}"/>
    <cellStyle name="40% - Accent6 5 3 4" xfId="999" xr:uid="{00000000-0005-0000-0000-0000DF040000}"/>
    <cellStyle name="40% - Accent6 5 3 5" xfId="1357" xr:uid="{00000000-0005-0000-0000-0000E0040000}"/>
    <cellStyle name="40% - Accent6 5 4" xfId="336" xr:uid="{00000000-0005-0000-0000-0000E1040000}"/>
    <cellStyle name="40% - Accent6 5 4 2" xfId="1065" xr:uid="{00000000-0005-0000-0000-0000E2040000}"/>
    <cellStyle name="40% - Accent6 5 4 3" xfId="1423" xr:uid="{00000000-0005-0000-0000-0000E3040000}"/>
    <cellStyle name="40% - Accent6 5 5" xfId="588" xr:uid="{00000000-0005-0000-0000-0000E4040000}"/>
    <cellStyle name="40% - Accent6 5 6" xfId="827" xr:uid="{00000000-0005-0000-0000-0000E5040000}"/>
    <cellStyle name="40% - Accent6 5 7" xfId="1185" xr:uid="{00000000-0005-0000-0000-0000E6040000}"/>
    <cellStyle name="40% - Accent6 6" xfId="216" xr:uid="{00000000-0005-0000-0000-0000E7040000}"/>
    <cellStyle name="40% - Accent6 6 2" xfId="389" xr:uid="{00000000-0005-0000-0000-0000E8040000}"/>
    <cellStyle name="40% - Accent6 6 2 2" xfId="1078" xr:uid="{00000000-0005-0000-0000-0000E9040000}"/>
    <cellStyle name="40% - Accent6 6 2 3" xfId="1436" xr:uid="{00000000-0005-0000-0000-0000EA040000}"/>
    <cellStyle name="40% - Accent6 6 3" xfId="641" xr:uid="{00000000-0005-0000-0000-0000EB040000}"/>
    <cellStyle name="40% - Accent6 6 4" xfId="880" xr:uid="{00000000-0005-0000-0000-0000EC040000}"/>
    <cellStyle name="40% - Accent6 6 5" xfId="1238" xr:uid="{00000000-0005-0000-0000-0000ED040000}"/>
    <cellStyle name="40% - Accent6 7" xfId="109" xr:uid="{00000000-0005-0000-0000-0000EE040000}"/>
    <cellStyle name="40% - Accent6 7 2" xfId="455" xr:uid="{00000000-0005-0000-0000-0000EF040000}"/>
    <cellStyle name="40% - Accent6 7 2 2" xfId="1449" xr:uid="{00000000-0005-0000-0000-0000F0040000}"/>
    <cellStyle name="40% - Accent6 7 3" xfId="707" xr:uid="{00000000-0005-0000-0000-0000F1040000}"/>
    <cellStyle name="40% - Accent6 7 4" xfId="946" xr:uid="{00000000-0005-0000-0000-0000F2040000}"/>
    <cellStyle name="40% - Accent6 7 5" xfId="1304" xr:uid="{00000000-0005-0000-0000-0000F3040000}"/>
    <cellStyle name="40% - Accent6 8" xfId="283" xr:uid="{00000000-0005-0000-0000-0000F4040000}"/>
    <cellStyle name="40% - Accent6 8 2" xfId="1012" xr:uid="{00000000-0005-0000-0000-0000F5040000}"/>
    <cellStyle name="40% - Accent6 8 3" xfId="1370" xr:uid="{00000000-0005-0000-0000-0000F6040000}"/>
    <cellStyle name="40% - Accent6 9" xfId="521" xr:uid="{00000000-0005-0000-0000-0000F7040000}"/>
    <cellStyle name="60% - Accent1" xfId="22" builtinId="32" customBuiltin="1"/>
    <cellStyle name="60% - Accent1 2" xfId="1111" xr:uid="{00000000-0005-0000-0000-0000F9040000}"/>
    <cellStyle name="60% - Accent2" xfId="26" builtinId="36" customBuiltin="1"/>
    <cellStyle name="60% - Accent2 2" xfId="1115" xr:uid="{00000000-0005-0000-0000-0000FB040000}"/>
    <cellStyle name="60% - Accent3" xfId="30" builtinId="40" customBuiltin="1"/>
    <cellStyle name="60% - Accent3 2" xfId="1119" xr:uid="{00000000-0005-0000-0000-0000FD040000}"/>
    <cellStyle name="60% - Accent4" xfId="34" builtinId="44" customBuiltin="1"/>
    <cellStyle name="60% - Accent4 2" xfId="1123" xr:uid="{00000000-0005-0000-0000-0000FF040000}"/>
    <cellStyle name="60% - Accent5" xfId="38" builtinId="48" customBuiltin="1"/>
    <cellStyle name="60% - Accent5 2" xfId="1127" xr:uid="{00000000-0005-0000-0000-000001050000}"/>
    <cellStyle name="60% - Accent6" xfId="42" builtinId="52" customBuiltin="1"/>
    <cellStyle name="60% - Accent6 2" xfId="1131" xr:uid="{00000000-0005-0000-0000-000003050000}"/>
    <cellStyle name="Accent1" xfId="19" builtinId="29" customBuiltin="1"/>
    <cellStyle name="Accent1 2" xfId="1108" xr:uid="{00000000-0005-0000-0000-000005050000}"/>
    <cellStyle name="Accent2" xfId="23" builtinId="33" customBuiltin="1"/>
    <cellStyle name="Accent2 2" xfId="1112" xr:uid="{00000000-0005-0000-0000-000007050000}"/>
    <cellStyle name="Accent3" xfId="27" builtinId="37" customBuiltin="1"/>
    <cellStyle name="Accent3 2" xfId="1116" xr:uid="{00000000-0005-0000-0000-000009050000}"/>
    <cellStyle name="Accent4" xfId="31" builtinId="41" customBuiltin="1"/>
    <cellStyle name="Accent4 2" xfId="1120" xr:uid="{00000000-0005-0000-0000-00000B050000}"/>
    <cellStyle name="Accent5" xfId="35" builtinId="45" customBuiltin="1"/>
    <cellStyle name="Accent5 2" xfId="1124" xr:uid="{00000000-0005-0000-0000-00000D050000}"/>
    <cellStyle name="Accent6" xfId="39" builtinId="49" customBuiltin="1"/>
    <cellStyle name="Accent6 2" xfId="1128" xr:uid="{00000000-0005-0000-0000-00000F050000}"/>
    <cellStyle name="Bad" xfId="8" builtinId="27" customBuiltin="1"/>
    <cellStyle name="Bad 2" xfId="1097" xr:uid="{00000000-0005-0000-0000-000011050000}"/>
    <cellStyle name="Calculation" xfId="12" builtinId="22" customBuiltin="1"/>
    <cellStyle name="Calculation 2" xfId="1101" xr:uid="{00000000-0005-0000-0000-000013050000}"/>
    <cellStyle name="Check Cell" xfId="14" builtinId="23" customBuiltin="1"/>
    <cellStyle name="Check Cell 2" xfId="1103" xr:uid="{00000000-0005-0000-0000-000015050000}"/>
    <cellStyle name="Comma" xfId="1" builtinId="3"/>
    <cellStyle name="Comma 2" xfId="43" xr:uid="{00000000-0005-0000-0000-000017050000}"/>
    <cellStyle name="Comma 2 2" xfId="190" xr:uid="{00000000-0005-0000-0000-000018050000}"/>
    <cellStyle name="Comma 2 2 2" xfId="363" xr:uid="{00000000-0005-0000-0000-000019050000}"/>
    <cellStyle name="Comma 2 2 3" xfId="615" xr:uid="{00000000-0005-0000-0000-00001A050000}"/>
    <cellStyle name="Comma 2 2 4" xfId="854" xr:uid="{00000000-0005-0000-0000-00001B050000}"/>
    <cellStyle name="Comma 2 2 5" xfId="1212" xr:uid="{00000000-0005-0000-0000-00001C050000}"/>
    <cellStyle name="Comma 2 3" xfId="243" xr:uid="{00000000-0005-0000-0000-00001D050000}"/>
    <cellStyle name="Comma 2 3 2" xfId="416" xr:uid="{00000000-0005-0000-0000-00001E050000}"/>
    <cellStyle name="Comma 2 3 3" xfId="668" xr:uid="{00000000-0005-0000-0000-00001F050000}"/>
    <cellStyle name="Comma 2 3 4" xfId="907" xr:uid="{00000000-0005-0000-0000-000020050000}"/>
    <cellStyle name="Comma 2 3 5" xfId="1265" xr:uid="{00000000-0005-0000-0000-000021050000}"/>
    <cellStyle name="Comma 2 4" xfId="110" xr:uid="{00000000-0005-0000-0000-000022050000}"/>
    <cellStyle name="Comma 2 4 2" xfId="482" xr:uid="{00000000-0005-0000-0000-000023050000}"/>
    <cellStyle name="Comma 2 4 3" xfId="734" xr:uid="{00000000-0005-0000-0000-000024050000}"/>
    <cellStyle name="Comma 2 4 4" xfId="973" xr:uid="{00000000-0005-0000-0000-000025050000}"/>
    <cellStyle name="Comma 2 4 5" xfId="1331" xr:uid="{00000000-0005-0000-0000-000026050000}"/>
    <cellStyle name="Comma 2 5" xfId="284" xr:uid="{00000000-0005-0000-0000-000027050000}"/>
    <cellStyle name="Comma 2 5 2" xfId="1039" xr:uid="{00000000-0005-0000-0000-000028050000}"/>
    <cellStyle name="Comma 2 5 3" xfId="1397" xr:uid="{00000000-0005-0000-0000-000029050000}"/>
    <cellStyle name="Comma 2 6" xfId="536" xr:uid="{00000000-0005-0000-0000-00002A050000}"/>
    <cellStyle name="Comma 2 7" xfId="775" xr:uid="{00000000-0005-0000-0000-00002B050000}"/>
    <cellStyle name="Comma 2 8" xfId="1133" xr:uid="{00000000-0005-0000-0000-00002C050000}"/>
    <cellStyle name="Comma 3" xfId="163" xr:uid="{00000000-0005-0000-0000-00002D050000}"/>
    <cellStyle name="Comma 4" xfId="96" xr:uid="{00000000-0005-0000-0000-00002E050000}"/>
    <cellStyle name="Comma 5" xfId="270" xr:uid="{00000000-0005-0000-0000-00002F050000}"/>
    <cellStyle name="Comma 6" xfId="522" xr:uid="{00000000-0005-0000-0000-000030050000}"/>
    <cellStyle name="Comma 7" xfId="761" xr:uid="{00000000-0005-0000-0000-000031050000}"/>
    <cellStyle name="Comma 8" xfId="1132" xr:uid="{00000000-0005-0000-0000-000032050000}"/>
    <cellStyle name="Currency" xfId="1463" builtinId="4"/>
    <cellStyle name="Explanatory Text" xfId="17" builtinId="53" customBuiltin="1"/>
    <cellStyle name="Explanatory Text 2" xfId="1106" xr:uid="{00000000-0005-0000-0000-000034050000}"/>
    <cellStyle name="Good" xfId="7" builtinId="26" customBuiltin="1"/>
    <cellStyle name="Good 2" xfId="1096" xr:uid="{00000000-0005-0000-0000-000036050000}"/>
    <cellStyle name="Heading 1" xfId="3" builtinId="16" customBuiltin="1"/>
    <cellStyle name="Heading 1 2" xfId="1092" xr:uid="{00000000-0005-0000-0000-000038050000}"/>
    <cellStyle name="Heading 2" xfId="4" builtinId="17" customBuiltin="1"/>
    <cellStyle name="Heading 2 2" xfId="1093" xr:uid="{00000000-0005-0000-0000-00003A050000}"/>
    <cellStyle name="Heading 3" xfId="5" builtinId="18" customBuiltin="1"/>
    <cellStyle name="Heading 3 2" xfId="1094" xr:uid="{00000000-0005-0000-0000-00003C050000}"/>
    <cellStyle name="Heading 4" xfId="6" builtinId="19" customBuiltin="1"/>
    <cellStyle name="Heading 4 2" xfId="1095" xr:uid="{00000000-0005-0000-0000-00003E050000}"/>
    <cellStyle name="Hyperlink" xfId="1467" builtinId="8"/>
    <cellStyle name="Input" xfId="10" builtinId="20" customBuiltin="1"/>
    <cellStyle name="Input 2" xfId="1099" xr:uid="{00000000-0005-0000-0000-000040050000}"/>
    <cellStyle name="Linked Cell" xfId="13" builtinId="24" customBuiltin="1"/>
    <cellStyle name="Linked Cell 2" xfId="1102" xr:uid="{00000000-0005-0000-0000-000042050000}"/>
    <cellStyle name="Neutral" xfId="9" builtinId="28" customBuiltin="1"/>
    <cellStyle name="Neutral 2" xfId="1098" xr:uid="{00000000-0005-0000-0000-000044050000}"/>
    <cellStyle name="Normal" xfId="0" builtinId="0"/>
    <cellStyle name="Normal 2" xfId="1465" xr:uid="{1FE9D81F-9F55-4EAF-A4C8-27F26F6B0DDC}"/>
    <cellStyle name="Normal 3" xfId="1468" xr:uid="{28751DC1-9FF2-4BE8-BBF6-5A227D4EB27C}"/>
    <cellStyle name="Normal_2007 Oregon Earnings Test Report model" xfId="1466" xr:uid="{65E045AB-5AE9-4FA7-ABA4-612157BE9A5B}"/>
    <cellStyle name="Note" xfId="16" builtinId="10" customBuiltin="1"/>
    <cellStyle name="Note 10" xfId="523" xr:uid="{00000000-0005-0000-0000-000047050000}"/>
    <cellStyle name="Note 11" xfId="762" xr:uid="{00000000-0005-0000-0000-000048050000}"/>
    <cellStyle name="Note 12" xfId="1079" xr:uid="{00000000-0005-0000-0000-000049050000}"/>
    <cellStyle name="Note 13" xfId="1105" xr:uid="{00000000-0005-0000-0000-00004A050000}"/>
    <cellStyle name="Note 14" xfId="1450" xr:uid="{00000000-0005-0000-0000-00004B050000}"/>
    <cellStyle name="Note 2" xfId="44" xr:uid="{00000000-0005-0000-0000-00004C050000}"/>
    <cellStyle name="Note 2 2" xfId="191" xr:uid="{00000000-0005-0000-0000-00004D050000}"/>
    <cellStyle name="Note 2 2 2" xfId="364" xr:uid="{00000000-0005-0000-0000-00004E050000}"/>
    <cellStyle name="Note 2 2 3" xfId="616" xr:uid="{00000000-0005-0000-0000-00004F050000}"/>
    <cellStyle name="Note 2 2 4" xfId="855" xr:uid="{00000000-0005-0000-0000-000050050000}"/>
    <cellStyle name="Note 2 2 5" xfId="1213" xr:uid="{00000000-0005-0000-0000-000051050000}"/>
    <cellStyle name="Note 2 3" xfId="244" xr:uid="{00000000-0005-0000-0000-000052050000}"/>
    <cellStyle name="Note 2 3 2" xfId="417" xr:uid="{00000000-0005-0000-0000-000053050000}"/>
    <cellStyle name="Note 2 3 3" xfId="669" xr:uid="{00000000-0005-0000-0000-000054050000}"/>
    <cellStyle name="Note 2 3 4" xfId="908" xr:uid="{00000000-0005-0000-0000-000055050000}"/>
    <cellStyle name="Note 2 3 5" xfId="1266" xr:uid="{00000000-0005-0000-0000-000056050000}"/>
    <cellStyle name="Note 2 4" xfId="111" xr:uid="{00000000-0005-0000-0000-000057050000}"/>
    <cellStyle name="Note 2 4 2" xfId="483" xr:uid="{00000000-0005-0000-0000-000058050000}"/>
    <cellStyle name="Note 2 4 3" xfId="735" xr:uid="{00000000-0005-0000-0000-000059050000}"/>
    <cellStyle name="Note 2 4 4" xfId="974" xr:uid="{00000000-0005-0000-0000-00005A050000}"/>
    <cellStyle name="Note 2 4 5" xfId="1332" xr:uid="{00000000-0005-0000-0000-00005B050000}"/>
    <cellStyle name="Note 2 5" xfId="285" xr:uid="{00000000-0005-0000-0000-00005C050000}"/>
    <cellStyle name="Note 2 5 2" xfId="1040" xr:uid="{00000000-0005-0000-0000-00005D050000}"/>
    <cellStyle name="Note 2 5 3" xfId="1398" xr:uid="{00000000-0005-0000-0000-00005E050000}"/>
    <cellStyle name="Note 2 6" xfId="537" xr:uid="{00000000-0005-0000-0000-00005F050000}"/>
    <cellStyle name="Note 2 7" xfId="776" xr:uid="{00000000-0005-0000-0000-000060050000}"/>
    <cellStyle name="Note 2 8" xfId="1134" xr:uid="{00000000-0005-0000-0000-000061050000}"/>
    <cellStyle name="Note 3" xfId="57" xr:uid="{00000000-0005-0000-0000-000062050000}"/>
    <cellStyle name="Note 3 2" xfId="177" xr:uid="{00000000-0005-0000-0000-000063050000}"/>
    <cellStyle name="Note 3 2 2" xfId="350" xr:uid="{00000000-0005-0000-0000-000064050000}"/>
    <cellStyle name="Note 3 2 3" xfId="602" xr:uid="{00000000-0005-0000-0000-000065050000}"/>
    <cellStyle name="Note 3 2 4" xfId="841" xr:uid="{00000000-0005-0000-0000-000066050000}"/>
    <cellStyle name="Note 3 2 5" xfId="1199" xr:uid="{00000000-0005-0000-0000-000067050000}"/>
    <cellStyle name="Note 3 3" xfId="230" xr:uid="{00000000-0005-0000-0000-000068050000}"/>
    <cellStyle name="Note 3 3 2" xfId="403" xr:uid="{00000000-0005-0000-0000-000069050000}"/>
    <cellStyle name="Note 3 3 3" xfId="655" xr:uid="{00000000-0005-0000-0000-00006A050000}"/>
    <cellStyle name="Note 3 3 4" xfId="894" xr:uid="{00000000-0005-0000-0000-00006B050000}"/>
    <cellStyle name="Note 3 3 5" xfId="1252" xr:uid="{00000000-0005-0000-0000-00006C050000}"/>
    <cellStyle name="Note 3 4" xfId="124" xr:uid="{00000000-0005-0000-0000-00006D050000}"/>
    <cellStyle name="Note 3 4 2" xfId="469" xr:uid="{00000000-0005-0000-0000-00006E050000}"/>
    <cellStyle name="Note 3 4 3" xfId="721" xr:uid="{00000000-0005-0000-0000-00006F050000}"/>
    <cellStyle name="Note 3 4 4" xfId="960" xr:uid="{00000000-0005-0000-0000-000070050000}"/>
    <cellStyle name="Note 3 4 5" xfId="1318" xr:uid="{00000000-0005-0000-0000-000071050000}"/>
    <cellStyle name="Note 3 5" xfId="298" xr:uid="{00000000-0005-0000-0000-000072050000}"/>
    <cellStyle name="Note 3 5 2" xfId="1026" xr:uid="{00000000-0005-0000-0000-000073050000}"/>
    <cellStyle name="Note 3 5 3" xfId="1384" xr:uid="{00000000-0005-0000-0000-000074050000}"/>
    <cellStyle name="Note 3 6" xfId="550" xr:uid="{00000000-0005-0000-0000-000075050000}"/>
    <cellStyle name="Note 3 7" xfId="789" xr:uid="{00000000-0005-0000-0000-000076050000}"/>
    <cellStyle name="Note 3 8" xfId="1147" xr:uid="{00000000-0005-0000-0000-000077050000}"/>
    <cellStyle name="Note 4" xfId="70" xr:uid="{00000000-0005-0000-0000-000078050000}"/>
    <cellStyle name="Note 4 2" xfId="164" xr:uid="{00000000-0005-0000-0000-000079050000}"/>
    <cellStyle name="Note 4 2 2" xfId="337" xr:uid="{00000000-0005-0000-0000-00007A050000}"/>
    <cellStyle name="Note 4 2 3" xfId="589" xr:uid="{00000000-0005-0000-0000-00007B050000}"/>
    <cellStyle name="Note 4 2 4" xfId="828" xr:uid="{00000000-0005-0000-0000-00007C050000}"/>
    <cellStyle name="Note 4 2 5" xfId="1186" xr:uid="{00000000-0005-0000-0000-00007D050000}"/>
    <cellStyle name="Note 4 3" xfId="217" xr:uid="{00000000-0005-0000-0000-00007E050000}"/>
    <cellStyle name="Note 4 3 2" xfId="390" xr:uid="{00000000-0005-0000-0000-00007F050000}"/>
    <cellStyle name="Note 4 3 3" xfId="642" xr:uid="{00000000-0005-0000-0000-000080050000}"/>
    <cellStyle name="Note 4 3 4" xfId="881" xr:uid="{00000000-0005-0000-0000-000081050000}"/>
    <cellStyle name="Note 4 3 5" xfId="1239" xr:uid="{00000000-0005-0000-0000-000082050000}"/>
    <cellStyle name="Note 4 4" xfId="137" xr:uid="{00000000-0005-0000-0000-000083050000}"/>
    <cellStyle name="Note 4 4 2" xfId="456" xr:uid="{00000000-0005-0000-0000-000084050000}"/>
    <cellStyle name="Note 4 4 3" xfId="708" xr:uid="{00000000-0005-0000-0000-000085050000}"/>
    <cellStyle name="Note 4 4 4" xfId="947" xr:uid="{00000000-0005-0000-0000-000086050000}"/>
    <cellStyle name="Note 4 4 5" xfId="1305" xr:uid="{00000000-0005-0000-0000-000087050000}"/>
    <cellStyle name="Note 4 5" xfId="311" xr:uid="{00000000-0005-0000-0000-000088050000}"/>
    <cellStyle name="Note 4 5 2" xfId="1013" xr:uid="{00000000-0005-0000-0000-000089050000}"/>
    <cellStyle name="Note 4 5 3" xfId="1371" xr:uid="{00000000-0005-0000-0000-00008A050000}"/>
    <cellStyle name="Note 4 6" xfId="563" xr:uid="{00000000-0005-0000-0000-00008B050000}"/>
    <cellStyle name="Note 4 7" xfId="802" xr:uid="{00000000-0005-0000-0000-00008C050000}"/>
    <cellStyle name="Note 4 8" xfId="1160" xr:uid="{00000000-0005-0000-0000-00008D050000}"/>
    <cellStyle name="Note 5" xfId="83" xr:uid="{00000000-0005-0000-0000-00008E050000}"/>
    <cellStyle name="Note 5 2" xfId="257" xr:uid="{00000000-0005-0000-0000-00008F050000}"/>
    <cellStyle name="Note 5 2 2" xfId="430" xr:uid="{00000000-0005-0000-0000-000090050000}"/>
    <cellStyle name="Note 5 2 3" xfId="682" xr:uid="{00000000-0005-0000-0000-000091050000}"/>
    <cellStyle name="Note 5 2 4" xfId="921" xr:uid="{00000000-0005-0000-0000-000092050000}"/>
    <cellStyle name="Note 5 2 5" xfId="1279" xr:uid="{00000000-0005-0000-0000-000093050000}"/>
    <cellStyle name="Note 5 3" xfId="150" xr:uid="{00000000-0005-0000-0000-000094050000}"/>
    <cellStyle name="Note 5 3 2" xfId="496" xr:uid="{00000000-0005-0000-0000-000095050000}"/>
    <cellStyle name="Note 5 3 3" xfId="748" xr:uid="{00000000-0005-0000-0000-000096050000}"/>
    <cellStyle name="Note 5 3 4" xfId="987" xr:uid="{00000000-0005-0000-0000-000097050000}"/>
    <cellStyle name="Note 5 3 5" xfId="1345" xr:uid="{00000000-0005-0000-0000-000098050000}"/>
    <cellStyle name="Note 5 4" xfId="324" xr:uid="{00000000-0005-0000-0000-000099050000}"/>
    <cellStyle name="Note 5 4 2" xfId="1053" xr:uid="{00000000-0005-0000-0000-00009A050000}"/>
    <cellStyle name="Note 5 4 3" xfId="1411" xr:uid="{00000000-0005-0000-0000-00009B050000}"/>
    <cellStyle name="Note 5 5" xfId="576" xr:uid="{00000000-0005-0000-0000-00009C050000}"/>
    <cellStyle name="Note 5 6" xfId="815" xr:uid="{00000000-0005-0000-0000-00009D050000}"/>
    <cellStyle name="Note 5 7" xfId="1173" xr:uid="{00000000-0005-0000-0000-00009E050000}"/>
    <cellStyle name="Note 6" xfId="204" xr:uid="{00000000-0005-0000-0000-00009F050000}"/>
    <cellStyle name="Note 6 2" xfId="377" xr:uid="{00000000-0005-0000-0000-0000A0050000}"/>
    <cellStyle name="Note 6 2 2" xfId="1066" xr:uid="{00000000-0005-0000-0000-0000A1050000}"/>
    <cellStyle name="Note 6 2 3" xfId="1424" xr:uid="{00000000-0005-0000-0000-0000A2050000}"/>
    <cellStyle name="Note 6 3" xfId="629" xr:uid="{00000000-0005-0000-0000-0000A3050000}"/>
    <cellStyle name="Note 6 4" xfId="868" xr:uid="{00000000-0005-0000-0000-0000A4050000}"/>
    <cellStyle name="Note 6 5" xfId="1226" xr:uid="{00000000-0005-0000-0000-0000A5050000}"/>
    <cellStyle name="Note 7" xfId="97" xr:uid="{00000000-0005-0000-0000-0000A6050000}"/>
    <cellStyle name="Note 7 2" xfId="443" xr:uid="{00000000-0005-0000-0000-0000A7050000}"/>
    <cellStyle name="Note 7 2 2" xfId="1437" xr:uid="{00000000-0005-0000-0000-0000A8050000}"/>
    <cellStyle name="Note 7 3" xfId="695" xr:uid="{00000000-0005-0000-0000-0000A9050000}"/>
    <cellStyle name="Note 7 4" xfId="934" xr:uid="{00000000-0005-0000-0000-0000AA050000}"/>
    <cellStyle name="Note 7 5" xfId="1292" xr:uid="{00000000-0005-0000-0000-0000AB050000}"/>
    <cellStyle name="Note 8" xfId="271" xr:uid="{00000000-0005-0000-0000-0000AC050000}"/>
    <cellStyle name="Note 8 2" xfId="1000" xr:uid="{00000000-0005-0000-0000-0000AD050000}"/>
    <cellStyle name="Note 8 3" xfId="1358" xr:uid="{00000000-0005-0000-0000-0000AE050000}"/>
    <cellStyle name="Note 9" xfId="509" xr:uid="{00000000-0005-0000-0000-0000AF050000}"/>
    <cellStyle name="Output" xfId="11" builtinId="21" customBuiltin="1"/>
    <cellStyle name="Output 2" xfId="1100" xr:uid="{00000000-0005-0000-0000-0000B1050000}"/>
    <cellStyle name="Percent" xfId="1464" builtinId="5"/>
    <cellStyle name="Title" xfId="2" builtinId="15" customBuiltin="1"/>
    <cellStyle name="Total" xfId="18" builtinId="25" customBuiltin="1"/>
    <cellStyle name="Total 2" xfId="1107" xr:uid="{00000000-0005-0000-0000-0000B4050000}"/>
    <cellStyle name="Warning Text" xfId="15" builtinId="11" customBuiltin="1"/>
    <cellStyle name="Warning Text 2" xfId="1104" xr:uid="{00000000-0005-0000-0000-0000B6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7-12-18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10-12-1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2-Walker-WP1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20">
          <cell r="D120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FA"/>
      <sheetName val="Gross"/>
      <sheetName val="Reserve"/>
      <sheetName val="Factors"/>
      <sheetName val="Washington FORM 2"/>
      <sheetName val="Oregon FORM 2"/>
      <sheetName val="Lookup Table"/>
    </sheetNames>
    <sheetDataSet>
      <sheetData sheetId="0">
        <row r="6">
          <cell r="D6">
            <v>0.11529999999999996</v>
          </cell>
        </row>
        <row r="7">
          <cell r="D7">
            <v>1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0.10960000000000003</v>
          </cell>
        </row>
        <row r="12">
          <cell r="D12">
            <v>0.15610907092426418</v>
          </cell>
        </row>
        <row r="13">
          <cell r="D13">
            <v>8.1521967401518625E-2</v>
          </cell>
        </row>
        <row r="14">
          <cell r="D14">
            <v>0.10809999999999997</v>
          </cell>
        </row>
        <row r="15">
          <cell r="D15">
            <v>0.10960000000000003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A GRC"/>
      <sheetName val="2018 WA GRC"/>
    </sheetNames>
    <sheetDataSet>
      <sheetData sheetId="0">
        <row r="8">
          <cell r="C8">
            <v>33000000</v>
          </cell>
        </row>
        <row r="15">
          <cell r="D15">
            <v>-642400.00000000012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BD7D-8506-49CE-A44D-FA61B95ACC93}">
  <dimension ref="A1:M167"/>
  <sheetViews>
    <sheetView showGridLine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57" sqref="H157"/>
    </sheetView>
  </sheetViews>
  <sheetFormatPr defaultRowHeight="12.75" x14ac:dyDescent="0.2"/>
  <cols>
    <col min="1" max="1" width="32.42578125" style="1" bestFit="1" customWidth="1"/>
    <col min="2" max="2" width="12.85546875" style="1" customWidth="1"/>
    <col min="3" max="4" width="9.140625" style="1"/>
    <col min="5" max="5" width="37" style="1" bestFit="1" customWidth="1"/>
    <col min="6" max="6" width="15" style="1" bestFit="1" customWidth="1"/>
    <col min="7" max="7" width="16.28515625" style="1" customWidth="1"/>
    <col min="8" max="8" width="13.85546875" style="1" bestFit="1" customWidth="1"/>
    <col min="9" max="9" width="11" style="1" customWidth="1"/>
    <col min="10" max="11" width="14.7109375" style="1" customWidth="1"/>
    <col min="12" max="16384" width="9.140625" style="1"/>
  </cols>
  <sheetData>
    <row r="1" spans="1:13" x14ac:dyDescent="0.2">
      <c r="A1" s="63" t="s">
        <v>279</v>
      </c>
      <c r="B1" s="63"/>
    </row>
    <row r="2" spans="1:13" x14ac:dyDescent="0.2">
      <c r="A2" s="63" t="s">
        <v>1123</v>
      </c>
      <c r="B2" s="63"/>
    </row>
    <row r="4" spans="1:13" x14ac:dyDescent="0.2">
      <c r="F4" s="64" t="s">
        <v>280</v>
      </c>
      <c r="G4" s="64" t="s">
        <v>281</v>
      </c>
      <c r="H4" s="64" t="s">
        <v>282</v>
      </c>
    </row>
    <row r="5" spans="1:13" x14ac:dyDescent="0.2">
      <c r="A5" s="65" t="s">
        <v>284</v>
      </c>
      <c r="B5" s="65" t="s">
        <v>0</v>
      </c>
      <c r="C5" s="65" t="s">
        <v>1</v>
      </c>
      <c r="D5" s="65" t="s">
        <v>2</v>
      </c>
      <c r="E5" s="65" t="s">
        <v>3</v>
      </c>
      <c r="F5" s="66" t="s">
        <v>5</v>
      </c>
      <c r="G5" s="66" t="s">
        <v>5</v>
      </c>
      <c r="H5" s="67" t="s">
        <v>5</v>
      </c>
      <c r="I5" s="68" t="s">
        <v>283</v>
      </c>
    </row>
    <row r="6" spans="1:13" x14ac:dyDescent="0.2">
      <c r="A6" s="1" t="str">
        <f>VLOOKUP(D6,Alloc!$A$1:$B$123,2,FALSE)</f>
        <v>Intangible Other</v>
      </c>
      <c r="B6" s="94" t="s">
        <v>11</v>
      </c>
      <c r="C6" s="94" t="s">
        <v>12</v>
      </c>
      <c r="D6" s="1">
        <v>301</v>
      </c>
      <c r="E6" s="94" t="s">
        <v>158</v>
      </c>
      <c r="F6" s="95">
        <v>0</v>
      </c>
      <c r="G6" s="96">
        <v>0</v>
      </c>
      <c r="H6" s="96">
        <v>0</v>
      </c>
      <c r="I6" s="61">
        <f>F6-G6-H6</f>
        <v>0</v>
      </c>
      <c r="M6" s="4"/>
    </row>
    <row r="7" spans="1:13" x14ac:dyDescent="0.2">
      <c r="A7" s="1" t="str">
        <f>VLOOKUP(D7,Alloc!$A$1:$B$123,2,FALSE)</f>
        <v>Intangible Other</v>
      </c>
      <c r="B7" s="94" t="s">
        <v>11</v>
      </c>
      <c r="C7" s="94" t="s">
        <v>12</v>
      </c>
      <c r="D7" s="1">
        <v>302</v>
      </c>
      <c r="E7" s="94" t="s">
        <v>160</v>
      </c>
      <c r="F7" s="95">
        <v>0</v>
      </c>
      <c r="G7" s="96">
        <v>0</v>
      </c>
      <c r="H7" s="96">
        <v>0</v>
      </c>
      <c r="I7" s="61">
        <f t="shared" ref="I7:I70" si="0">F7-G7-H7</f>
        <v>0</v>
      </c>
      <c r="M7" s="4"/>
    </row>
    <row r="8" spans="1:13" x14ac:dyDescent="0.2">
      <c r="A8" s="1" t="str">
        <f>VLOOKUP(D8,Alloc!$A$1:$B$123,2,FALSE)</f>
        <v>Intangible Software</v>
      </c>
      <c r="B8" s="94" t="s">
        <v>11</v>
      </c>
      <c r="C8" s="94" t="s">
        <v>12</v>
      </c>
      <c r="D8" s="1">
        <v>303.10000000000002</v>
      </c>
      <c r="E8" s="94" t="s">
        <v>16</v>
      </c>
      <c r="F8" s="95">
        <v>6424915.4299999997</v>
      </c>
      <c r="G8" s="96">
        <v>6419734.6500000004</v>
      </c>
      <c r="H8" s="96">
        <v>5180.78</v>
      </c>
      <c r="I8" s="61">
        <f t="shared" si="0"/>
        <v>-6.7029759520664811E-10</v>
      </c>
      <c r="M8" s="4"/>
    </row>
    <row r="9" spans="1:13" x14ac:dyDescent="0.2">
      <c r="A9" s="1" t="str">
        <f>VLOOKUP(D9,Alloc!$A$1:$B$123,2,FALSE)</f>
        <v>Intangible Software</v>
      </c>
      <c r="B9" s="94" t="s">
        <v>11</v>
      </c>
      <c r="C9" s="94" t="s">
        <v>12</v>
      </c>
      <c r="D9" s="1">
        <v>303.2</v>
      </c>
      <c r="E9" s="94" t="s">
        <v>147</v>
      </c>
      <c r="F9" s="95">
        <v>0</v>
      </c>
      <c r="G9" s="96">
        <v>0</v>
      </c>
      <c r="H9" s="96">
        <v>0</v>
      </c>
      <c r="I9" s="61">
        <f t="shared" si="0"/>
        <v>0</v>
      </c>
      <c r="M9" s="4"/>
    </row>
    <row r="10" spans="1:13" x14ac:dyDescent="0.2">
      <c r="A10" s="1" t="str">
        <f>VLOOKUP(D10,Alloc!$A$1:$B$123,2,FALSE)</f>
        <v>Intangible Software</v>
      </c>
      <c r="B10" s="94" t="s">
        <v>11</v>
      </c>
      <c r="C10" s="94" t="s">
        <v>12</v>
      </c>
      <c r="D10" s="1">
        <v>303.3</v>
      </c>
      <c r="E10" s="94" t="s">
        <v>163</v>
      </c>
      <c r="F10" s="95">
        <v>0</v>
      </c>
      <c r="G10" s="96">
        <v>0</v>
      </c>
      <c r="H10" s="96">
        <v>0</v>
      </c>
      <c r="I10" s="61">
        <f t="shared" si="0"/>
        <v>0</v>
      </c>
      <c r="M10" s="4"/>
    </row>
    <row r="11" spans="1:13" x14ac:dyDescent="0.2">
      <c r="A11" s="1" t="str">
        <f>VLOOKUP(D11,Alloc!$A$1:$B$123,2,FALSE)</f>
        <v>Intangible Software</v>
      </c>
      <c r="B11" s="94" t="s">
        <v>11</v>
      </c>
      <c r="C11" s="94" t="s">
        <v>12</v>
      </c>
      <c r="D11" s="1">
        <v>303.39999999999998</v>
      </c>
      <c r="E11" s="94" t="s">
        <v>14</v>
      </c>
      <c r="F11" s="95">
        <v>0</v>
      </c>
      <c r="G11" s="96">
        <v>0</v>
      </c>
      <c r="H11" s="96">
        <v>0</v>
      </c>
      <c r="I11" s="61">
        <f t="shared" si="0"/>
        <v>0</v>
      </c>
      <c r="M11" s="4"/>
    </row>
    <row r="12" spans="1:13" x14ac:dyDescent="0.2">
      <c r="A12" s="1" t="str">
        <f>VLOOKUP(D12,Alloc!$A$1:$B$123,2,FALSE)</f>
        <v>Intangible Software</v>
      </c>
      <c r="B12" s="94" t="s">
        <v>11</v>
      </c>
      <c r="C12" s="94" t="s">
        <v>12</v>
      </c>
      <c r="D12" s="1">
        <v>303.5</v>
      </c>
      <c r="E12" s="94" t="s">
        <v>165</v>
      </c>
      <c r="F12" s="95">
        <v>0</v>
      </c>
      <c r="G12" s="96">
        <v>0</v>
      </c>
      <c r="H12" s="96">
        <v>0</v>
      </c>
      <c r="I12" s="61">
        <f t="shared" si="0"/>
        <v>0</v>
      </c>
      <c r="M12" s="4"/>
    </row>
    <row r="13" spans="1:13" x14ac:dyDescent="0.2">
      <c r="A13" s="1" t="str">
        <f>VLOOKUP(D13,Alloc!$A$1:$B$123,2,FALSE)</f>
        <v>Intangible Software</v>
      </c>
      <c r="B13" s="94" t="s">
        <v>11</v>
      </c>
      <c r="C13" s="94" t="s">
        <v>12</v>
      </c>
      <c r="D13" s="1">
        <v>303.7</v>
      </c>
      <c r="E13" s="94" t="s">
        <v>276</v>
      </c>
      <c r="F13" s="95">
        <v>218835.53</v>
      </c>
      <c r="G13" s="96">
        <v>218835.53</v>
      </c>
      <c r="H13" s="96"/>
      <c r="I13" s="61">
        <f t="shared" si="0"/>
        <v>0</v>
      </c>
      <c r="M13" s="4"/>
    </row>
    <row r="14" spans="1:13" x14ac:dyDescent="0.2">
      <c r="A14" s="1" t="str">
        <f>VLOOKUP(D14,Alloc!$A$1:$B$123,2,FALSE)</f>
        <v>Production</v>
      </c>
      <c r="B14" s="94" t="s">
        <v>11</v>
      </c>
      <c r="C14" s="94" t="s">
        <v>166</v>
      </c>
      <c r="D14" s="1">
        <v>304.10000000000002</v>
      </c>
      <c r="E14" s="94" t="s">
        <v>168</v>
      </c>
      <c r="F14" s="95">
        <v>0</v>
      </c>
      <c r="G14" s="96">
        <v>0</v>
      </c>
      <c r="H14" s="96">
        <v>0</v>
      </c>
      <c r="I14" s="61">
        <f t="shared" si="0"/>
        <v>0</v>
      </c>
      <c r="M14" s="4"/>
    </row>
    <row r="15" spans="1:13" x14ac:dyDescent="0.2">
      <c r="A15" s="1" t="str">
        <f>VLOOKUP(D15,Alloc!$A$1:$B$123,2,FALSE)</f>
        <v>Production</v>
      </c>
      <c r="B15" s="94" t="s">
        <v>11</v>
      </c>
      <c r="C15" s="94" t="s">
        <v>166</v>
      </c>
      <c r="D15" s="1">
        <v>305.2</v>
      </c>
      <c r="E15" s="94" t="s">
        <v>174</v>
      </c>
      <c r="F15" s="95">
        <v>0</v>
      </c>
      <c r="G15" s="96">
        <v>0</v>
      </c>
      <c r="H15" s="96">
        <v>0</v>
      </c>
      <c r="I15" s="61">
        <f t="shared" si="0"/>
        <v>0</v>
      </c>
      <c r="M15" s="4"/>
    </row>
    <row r="16" spans="1:13" x14ac:dyDescent="0.2">
      <c r="A16" s="1" t="str">
        <f>VLOOKUP(D16,Alloc!$A$1:$B$123,2,FALSE)</f>
        <v>Production</v>
      </c>
      <c r="B16" s="94" t="s">
        <v>11</v>
      </c>
      <c r="C16" s="94" t="s">
        <v>166</v>
      </c>
      <c r="D16" s="1">
        <v>305.5</v>
      </c>
      <c r="E16" s="94" t="s">
        <v>176</v>
      </c>
      <c r="F16" s="95">
        <v>0</v>
      </c>
      <c r="G16" s="96">
        <v>0</v>
      </c>
      <c r="H16" s="96">
        <v>0</v>
      </c>
      <c r="I16" s="61">
        <f t="shared" si="0"/>
        <v>0</v>
      </c>
      <c r="M16" s="4"/>
    </row>
    <row r="17" spans="1:13" x14ac:dyDescent="0.2">
      <c r="A17" s="1" t="str">
        <f>VLOOKUP(D17,Alloc!$A$1:$B$123,2,FALSE)</f>
        <v>Production</v>
      </c>
      <c r="B17" s="94" t="s">
        <v>11</v>
      </c>
      <c r="C17" s="94" t="s">
        <v>166</v>
      </c>
      <c r="D17" s="1">
        <v>312.3</v>
      </c>
      <c r="E17" s="94" t="s">
        <v>184</v>
      </c>
      <c r="F17" s="95">
        <v>0</v>
      </c>
      <c r="G17" s="96">
        <v>0</v>
      </c>
      <c r="H17" s="96">
        <v>0</v>
      </c>
      <c r="I17" s="61">
        <f t="shared" si="0"/>
        <v>0</v>
      </c>
      <c r="M17" s="4"/>
    </row>
    <row r="18" spans="1:13" x14ac:dyDescent="0.2">
      <c r="A18" s="1" t="str">
        <f>VLOOKUP(D18,Alloc!$A$1:$B$123,2,FALSE)</f>
        <v>Production</v>
      </c>
      <c r="B18" s="94" t="s">
        <v>11</v>
      </c>
      <c r="C18" s="94" t="s">
        <v>166</v>
      </c>
      <c r="D18" s="1">
        <v>318.3</v>
      </c>
      <c r="E18" s="94" t="s">
        <v>186</v>
      </c>
      <c r="F18" s="95">
        <v>0</v>
      </c>
      <c r="G18" s="96">
        <v>0</v>
      </c>
      <c r="H18" s="96">
        <v>0</v>
      </c>
      <c r="I18" s="61">
        <f t="shared" si="0"/>
        <v>0</v>
      </c>
      <c r="M18" s="4"/>
    </row>
    <row r="19" spans="1:13" x14ac:dyDescent="0.2">
      <c r="A19" s="1" t="str">
        <f>VLOOKUP(D19,Alloc!$A$1:$B$123,2,FALSE)</f>
        <v>Production</v>
      </c>
      <c r="B19" s="94" t="s">
        <v>11</v>
      </c>
      <c r="C19" s="94" t="s">
        <v>166</v>
      </c>
      <c r="D19" s="1">
        <v>318.5</v>
      </c>
      <c r="E19" s="94" t="s">
        <v>188</v>
      </c>
      <c r="F19" s="95">
        <v>0</v>
      </c>
      <c r="G19" s="96">
        <v>0</v>
      </c>
      <c r="H19" s="96">
        <v>0</v>
      </c>
      <c r="I19" s="61">
        <f t="shared" si="0"/>
        <v>0</v>
      </c>
      <c r="M19" s="4"/>
    </row>
    <row r="20" spans="1:13" x14ac:dyDescent="0.2">
      <c r="A20" s="1" t="str">
        <f>VLOOKUP(D20,Alloc!$A$1:$B$123,2,FALSE)</f>
        <v>Production</v>
      </c>
      <c r="B20" s="94" t="s">
        <v>11</v>
      </c>
      <c r="C20" s="94" t="s">
        <v>166</v>
      </c>
      <c r="D20" s="1">
        <v>325</v>
      </c>
      <c r="E20" s="94" t="s">
        <v>192</v>
      </c>
      <c r="F20" s="95">
        <v>0</v>
      </c>
      <c r="G20" s="96">
        <v>0</v>
      </c>
      <c r="H20" s="96">
        <v>0</v>
      </c>
      <c r="I20" s="61">
        <f t="shared" si="0"/>
        <v>0</v>
      </c>
      <c r="M20" s="4"/>
    </row>
    <row r="21" spans="1:13" x14ac:dyDescent="0.2">
      <c r="A21" s="1" t="str">
        <f>VLOOKUP(D21,Alloc!$A$1:$B$123,2,FALSE)</f>
        <v>Production</v>
      </c>
      <c r="B21" s="94" t="s">
        <v>11</v>
      </c>
      <c r="C21" s="94" t="s">
        <v>166</v>
      </c>
      <c r="D21" s="1">
        <v>327</v>
      </c>
      <c r="E21" s="94" t="s">
        <v>194</v>
      </c>
      <c r="F21" s="95">
        <v>0</v>
      </c>
      <c r="G21" s="96">
        <v>0</v>
      </c>
      <c r="H21" s="96">
        <v>0</v>
      </c>
      <c r="I21" s="61">
        <f t="shared" si="0"/>
        <v>0</v>
      </c>
      <c r="M21" s="4"/>
    </row>
    <row r="22" spans="1:13" x14ac:dyDescent="0.2">
      <c r="A22" s="1" t="str">
        <f>VLOOKUP(D22,Alloc!$A$1:$B$123,2,FALSE)</f>
        <v>Production</v>
      </c>
      <c r="B22" s="94" t="s">
        <v>11</v>
      </c>
      <c r="C22" s="94" t="s">
        <v>166</v>
      </c>
      <c r="D22" s="1">
        <v>328</v>
      </c>
      <c r="E22" s="94" t="s">
        <v>192</v>
      </c>
      <c r="F22" s="95">
        <v>0</v>
      </c>
      <c r="G22" s="96">
        <v>0</v>
      </c>
      <c r="H22" s="96">
        <v>0</v>
      </c>
      <c r="I22" s="61">
        <f t="shared" si="0"/>
        <v>0</v>
      </c>
      <c r="M22" s="4"/>
    </row>
    <row r="23" spans="1:13" x14ac:dyDescent="0.2">
      <c r="A23" s="1" t="str">
        <f>VLOOKUP(D23,Alloc!$A$1:$B$123,2,FALSE)</f>
        <v>Production</v>
      </c>
      <c r="B23" s="94" t="s">
        <v>11</v>
      </c>
      <c r="C23" s="94" t="s">
        <v>166</v>
      </c>
      <c r="D23" s="1">
        <v>331</v>
      </c>
      <c r="E23" s="94" t="s">
        <v>194</v>
      </c>
      <c r="F23" s="95">
        <v>0</v>
      </c>
      <c r="G23" s="96">
        <v>0</v>
      </c>
      <c r="H23" s="96">
        <v>0</v>
      </c>
      <c r="I23" s="61">
        <f t="shared" si="0"/>
        <v>0</v>
      </c>
      <c r="M23" s="4"/>
    </row>
    <row r="24" spans="1:13" x14ac:dyDescent="0.2">
      <c r="A24" s="1" t="str">
        <f>VLOOKUP(D24,Alloc!$A$1:$B$123,2,FALSE)</f>
        <v>Production</v>
      </c>
      <c r="B24" s="94" t="s">
        <v>11</v>
      </c>
      <c r="C24" s="94" t="s">
        <v>166</v>
      </c>
      <c r="D24" s="1">
        <v>332</v>
      </c>
      <c r="E24" s="94" t="s">
        <v>194</v>
      </c>
      <c r="F24" s="95">
        <v>0</v>
      </c>
      <c r="G24" s="96">
        <v>0</v>
      </c>
      <c r="H24" s="96">
        <v>0</v>
      </c>
      <c r="I24" s="61">
        <f t="shared" si="0"/>
        <v>0</v>
      </c>
      <c r="M24" s="4"/>
    </row>
    <row r="25" spans="1:13" x14ac:dyDescent="0.2">
      <c r="A25" s="1" t="str">
        <f>VLOOKUP(D25,Alloc!$A$1:$B$123,2,FALSE)</f>
        <v>Production</v>
      </c>
      <c r="B25" s="94" t="s">
        <v>11</v>
      </c>
      <c r="C25" s="94" t="s">
        <v>166</v>
      </c>
      <c r="D25" s="1">
        <v>333</v>
      </c>
      <c r="E25" s="94" t="s">
        <v>194</v>
      </c>
      <c r="F25" s="95">
        <v>0</v>
      </c>
      <c r="G25" s="96">
        <v>0</v>
      </c>
      <c r="H25" s="96">
        <v>0</v>
      </c>
      <c r="I25" s="61">
        <f t="shared" si="0"/>
        <v>0</v>
      </c>
      <c r="M25" s="4"/>
    </row>
    <row r="26" spans="1:13" x14ac:dyDescent="0.2">
      <c r="A26" s="1" t="str">
        <f>VLOOKUP(D26,Alloc!$A$1:$B$123,2,FALSE)</f>
        <v>Production</v>
      </c>
      <c r="B26" s="94" t="s">
        <v>11</v>
      </c>
      <c r="C26" s="94" t="s">
        <v>166</v>
      </c>
      <c r="D26" s="1">
        <v>334</v>
      </c>
      <c r="E26" s="94" t="s">
        <v>194</v>
      </c>
      <c r="F26" s="95">
        <v>0</v>
      </c>
      <c r="G26" s="96">
        <v>0</v>
      </c>
      <c r="H26" s="96">
        <v>0</v>
      </c>
      <c r="I26" s="61">
        <f t="shared" si="0"/>
        <v>0</v>
      </c>
      <c r="M26" s="4"/>
    </row>
    <row r="27" spans="1:13" x14ac:dyDescent="0.2">
      <c r="A27" s="1" t="str">
        <f>VLOOKUP(D27,Alloc!$A$1:$B$123,2,FALSE)</f>
        <v>Production</v>
      </c>
      <c r="B27" s="94" t="s">
        <v>11</v>
      </c>
      <c r="C27" s="94" t="s">
        <v>17</v>
      </c>
      <c r="D27" s="1">
        <v>305.11</v>
      </c>
      <c r="E27" s="94" t="s">
        <v>170</v>
      </c>
      <c r="F27" s="95">
        <v>0</v>
      </c>
      <c r="G27" s="96">
        <v>0</v>
      </c>
      <c r="H27" s="96">
        <v>0</v>
      </c>
      <c r="I27" s="61">
        <f t="shared" si="0"/>
        <v>0</v>
      </c>
      <c r="M27" s="4"/>
    </row>
    <row r="28" spans="1:13" x14ac:dyDescent="0.2">
      <c r="A28" s="1" t="str">
        <f>VLOOKUP(D28,Alloc!$A$1:$B$123,2,FALSE)</f>
        <v>Production</v>
      </c>
      <c r="B28" s="94" t="s">
        <v>11</v>
      </c>
      <c r="C28" s="94" t="s">
        <v>17</v>
      </c>
      <c r="D28" s="1">
        <v>305.17</v>
      </c>
      <c r="E28" s="94" t="s">
        <v>172</v>
      </c>
      <c r="F28" s="95">
        <v>0</v>
      </c>
      <c r="G28" s="96">
        <v>0</v>
      </c>
      <c r="H28" s="96">
        <v>0</v>
      </c>
      <c r="I28" s="61">
        <f t="shared" si="0"/>
        <v>0</v>
      </c>
      <c r="M28" s="4"/>
    </row>
    <row r="29" spans="1:13" x14ac:dyDescent="0.2">
      <c r="A29" s="1" t="str">
        <f>VLOOKUP(D29,Alloc!$A$1:$B$123,2,FALSE)</f>
        <v>Production</v>
      </c>
      <c r="B29" s="94" t="s">
        <v>11</v>
      </c>
      <c r="C29" s="94" t="s">
        <v>17</v>
      </c>
      <c r="D29" s="1">
        <v>311</v>
      </c>
      <c r="E29" s="94" t="s">
        <v>19</v>
      </c>
      <c r="F29" s="95">
        <v>-0.01</v>
      </c>
      <c r="G29" s="96">
        <v>-0.01</v>
      </c>
      <c r="H29" s="96">
        <v>0</v>
      </c>
      <c r="I29" s="61">
        <f t="shared" si="0"/>
        <v>0</v>
      </c>
      <c r="M29" s="4"/>
    </row>
    <row r="30" spans="1:13" x14ac:dyDescent="0.2">
      <c r="A30" s="1" t="str">
        <f>VLOOKUP(D30,Alloc!$A$1:$B$123,2,FALSE)</f>
        <v>Production</v>
      </c>
      <c r="B30" s="94" t="s">
        <v>11</v>
      </c>
      <c r="C30" s="94" t="s">
        <v>17</v>
      </c>
      <c r="D30" s="1">
        <v>311.39999999999998</v>
      </c>
      <c r="E30" s="94" t="s">
        <v>178</v>
      </c>
      <c r="F30" s="95">
        <v>0</v>
      </c>
      <c r="G30" s="96">
        <v>0</v>
      </c>
      <c r="H30" s="96">
        <v>0</v>
      </c>
      <c r="I30" s="61">
        <f t="shared" si="0"/>
        <v>0</v>
      </c>
      <c r="M30" s="4"/>
    </row>
    <row r="31" spans="1:13" x14ac:dyDescent="0.2">
      <c r="A31" s="1" t="str">
        <f>VLOOKUP(D31,Alloc!$A$1:$B$123,2,FALSE)</f>
        <v>Production</v>
      </c>
      <c r="B31" s="94" t="s">
        <v>11</v>
      </c>
      <c r="C31" s="94" t="s">
        <v>17</v>
      </c>
      <c r="D31" s="1">
        <v>311.7</v>
      </c>
      <c r="E31" s="94" t="s">
        <v>180</v>
      </c>
      <c r="F31" s="95">
        <v>0</v>
      </c>
      <c r="G31" s="96">
        <v>0</v>
      </c>
      <c r="H31" s="96">
        <v>0</v>
      </c>
      <c r="I31" s="61">
        <f t="shared" si="0"/>
        <v>0</v>
      </c>
      <c r="M31" s="4"/>
    </row>
    <row r="32" spans="1:13" x14ac:dyDescent="0.2">
      <c r="A32" s="1" t="str">
        <f>VLOOKUP(D32,Alloc!$A$1:$B$123,2,FALSE)</f>
        <v>Production</v>
      </c>
      <c r="B32" s="94" t="s">
        <v>11</v>
      </c>
      <c r="C32" s="94" t="s">
        <v>17</v>
      </c>
      <c r="D32" s="1">
        <v>311.8</v>
      </c>
      <c r="E32" s="94" t="s">
        <v>182</v>
      </c>
      <c r="F32" s="95">
        <v>0</v>
      </c>
      <c r="G32" s="96">
        <v>0</v>
      </c>
      <c r="H32" s="96">
        <v>0</v>
      </c>
      <c r="I32" s="61">
        <f t="shared" si="0"/>
        <v>0</v>
      </c>
      <c r="M32" s="4"/>
    </row>
    <row r="33" spans="1:13" x14ac:dyDescent="0.2">
      <c r="A33" s="1" t="str">
        <f>VLOOKUP(D33,Alloc!$A$1:$B$123,2,FALSE)</f>
        <v>Production</v>
      </c>
      <c r="B33" s="94" t="s">
        <v>11</v>
      </c>
      <c r="C33" s="94" t="s">
        <v>17</v>
      </c>
      <c r="D33" s="1">
        <v>319</v>
      </c>
      <c r="E33" s="94" t="s">
        <v>190</v>
      </c>
      <c r="F33" s="95">
        <v>0</v>
      </c>
      <c r="G33" s="96">
        <v>0</v>
      </c>
      <c r="H33" s="96">
        <v>0</v>
      </c>
      <c r="I33" s="61">
        <f t="shared" si="0"/>
        <v>0</v>
      </c>
      <c r="M33" s="4"/>
    </row>
    <row r="34" spans="1:13" x14ac:dyDescent="0.2">
      <c r="A34" s="1" t="str">
        <f>VLOOKUP(D34,Alloc!$A$1:$B$123,2,FALSE)</f>
        <v>Storage and Storage Transmission</v>
      </c>
      <c r="B34" s="94" t="s">
        <v>11</v>
      </c>
      <c r="C34" s="94" t="s">
        <v>20</v>
      </c>
      <c r="D34" s="1">
        <v>350.1</v>
      </c>
      <c r="E34" s="94" t="s">
        <v>168</v>
      </c>
      <c r="F34" s="95">
        <v>0</v>
      </c>
      <c r="G34" s="96">
        <v>0</v>
      </c>
      <c r="H34" s="96">
        <v>0</v>
      </c>
      <c r="I34" s="61">
        <f t="shared" si="0"/>
        <v>0</v>
      </c>
      <c r="M34" s="4"/>
    </row>
    <row r="35" spans="1:13" x14ac:dyDescent="0.2">
      <c r="A35" s="1" t="str">
        <f>VLOOKUP(D35,Alloc!$A$1:$B$123,2,FALSE)</f>
        <v>Storage and Storage Transmission</v>
      </c>
      <c r="B35" s="94" t="s">
        <v>11</v>
      </c>
      <c r="C35" s="94" t="s">
        <v>20</v>
      </c>
      <c r="D35" s="1">
        <v>350.2</v>
      </c>
      <c r="E35" s="94" t="s">
        <v>42</v>
      </c>
      <c r="F35" s="95">
        <v>1567.64</v>
      </c>
      <c r="G35" s="96">
        <v>1567.64</v>
      </c>
      <c r="H35" s="96">
        <v>0</v>
      </c>
      <c r="I35" s="61">
        <f t="shared" si="0"/>
        <v>0</v>
      </c>
      <c r="M35" s="4"/>
    </row>
    <row r="36" spans="1:13" x14ac:dyDescent="0.2">
      <c r="A36" s="1" t="str">
        <f>VLOOKUP(D36,Alloc!$A$1:$B$123,2,FALSE)</f>
        <v>Storage and Storage Transmission</v>
      </c>
      <c r="B36" s="94" t="s">
        <v>11</v>
      </c>
      <c r="C36" s="94" t="s">
        <v>20</v>
      </c>
      <c r="D36" s="1">
        <v>351</v>
      </c>
      <c r="E36" s="94" t="s">
        <v>40</v>
      </c>
      <c r="F36" s="95">
        <v>129505.22</v>
      </c>
      <c r="G36" s="96">
        <v>129505.22</v>
      </c>
      <c r="H36" s="96">
        <v>0</v>
      </c>
      <c r="I36" s="61">
        <f t="shared" si="0"/>
        <v>0</v>
      </c>
      <c r="M36" s="4"/>
    </row>
    <row r="37" spans="1:13" x14ac:dyDescent="0.2">
      <c r="A37" s="1" t="str">
        <f>VLOOKUP(D37,Alloc!$A$1:$B$123,2,FALSE)</f>
        <v>Storage and Storage Transmission</v>
      </c>
      <c r="B37" s="94" t="s">
        <v>11</v>
      </c>
      <c r="C37" s="94" t="s">
        <v>20</v>
      </c>
      <c r="D37" s="1">
        <v>352</v>
      </c>
      <c r="E37" s="94" t="s">
        <v>38</v>
      </c>
      <c r="F37" s="95">
        <v>381969.69</v>
      </c>
      <c r="G37" s="96">
        <v>381969.69</v>
      </c>
      <c r="H37" s="96">
        <v>0</v>
      </c>
      <c r="I37" s="61">
        <f t="shared" si="0"/>
        <v>0</v>
      </c>
      <c r="M37" s="4"/>
    </row>
    <row r="38" spans="1:13" x14ac:dyDescent="0.2">
      <c r="A38" s="1" t="str">
        <f>VLOOKUP(D38,Alloc!$A$1:$B$123,2,FALSE)</f>
        <v>Storage and Storage Transmission</v>
      </c>
      <c r="B38" s="94" t="s">
        <v>11</v>
      </c>
      <c r="C38" s="94" t="s">
        <v>20</v>
      </c>
      <c r="D38" s="1">
        <v>352.1</v>
      </c>
      <c r="E38" s="94" t="s">
        <v>36</v>
      </c>
      <c r="F38" s="95">
        <v>65772.81</v>
      </c>
      <c r="G38" s="96">
        <v>65772.81</v>
      </c>
      <c r="H38" s="96">
        <v>0</v>
      </c>
      <c r="I38" s="61">
        <f t="shared" si="0"/>
        <v>0</v>
      </c>
      <c r="M38" s="4"/>
    </row>
    <row r="39" spans="1:13" x14ac:dyDescent="0.2">
      <c r="A39" s="1" t="str">
        <f>VLOOKUP(D39,Alloc!$A$1:$B$123,2,FALSE)</f>
        <v>Storage and Storage Transmission</v>
      </c>
      <c r="B39" s="94" t="s">
        <v>11</v>
      </c>
      <c r="C39" s="94" t="s">
        <v>20</v>
      </c>
      <c r="D39" s="1">
        <v>352.2</v>
      </c>
      <c r="E39" s="94" t="s">
        <v>34</v>
      </c>
      <c r="F39" s="95">
        <v>125815.18</v>
      </c>
      <c r="G39" s="96">
        <v>125815.18</v>
      </c>
      <c r="H39" s="96">
        <v>0</v>
      </c>
      <c r="I39" s="61">
        <f t="shared" si="0"/>
        <v>0</v>
      </c>
      <c r="M39" s="4"/>
    </row>
    <row r="40" spans="1:13" x14ac:dyDescent="0.2">
      <c r="A40" s="1" t="str">
        <f>VLOOKUP(D40,Alloc!$A$1:$B$123,2,FALSE)</f>
        <v>Storage and Storage Transmission</v>
      </c>
      <c r="B40" s="94" t="s">
        <v>11</v>
      </c>
      <c r="C40" s="94" t="s">
        <v>20</v>
      </c>
      <c r="D40" s="1">
        <v>352.3</v>
      </c>
      <c r="E40" s="94" t="s">
        <v>32</v>
      </c>
      <c r="F40" s="95">
        <v>101121.98</v>
      </c>
      <c r="G40" s="96">
        <v>101121.98</v>
      </c>
      <c r="H40" s="96">
        <v>0</v>
      </c>
      <c r="I40" s="61">
        <f t="shared" si="0"/>
        <v>0</v>
      </c>
      <c r="M40" s="4"/>
    </row>
    <row r="41" spans="1:13" x14ac:dyDescent="0.2">
      <c r="A41" s="1" t="str">
        <f>VLOOKUP(D41,Alloc!$A$1:$B$123,2,FALSE)</f>
        <v>Storage and Storage Transmission</v>
      </c>
      <c r="B41" s="94" t="s">
        <v>11</v>
      </c>
      <c r="C41" s="94" t="s">
        <v>20</v>
      </c>
      <c r="D41" s="1">
        <v>353</v>
      </c>
      <c r="E41" s="94" t="s">
        <v>30</v>
      </c>
      <c r="F41" s="95">
        <v>165934.93</v>
      </c>
      <c r="G41" s="96">
        <v>165934.93</v>
      </c>
      <c r="H41" s="96">
        <v>0</v>
      </c>
      <c r="I41" s="61">
        <f t="shared" si="0"/>
        <v>0</v>
      </c>
      <c r="M41" s="4"/>
    </row>
    <row r="42" spans="1:13" x14ac:dyDescent="0.2">
      <c r="A42" s="1" t="str">
        <f>VLOOKUP(D42,Alloc!$A$1:$B$123,2,FALSE)</f>
        <v>Storage and Storage Transmission</v>
      </c>
      <c r="B42" s="94" t="s">
        <v>11</v>
      </c>
      <c r="C42" s="94" t="s">
        <v>20</v>
      </c>
      <c r="D42" s="1">
        <v>354</v>
      </c>
      <c r="E42" s="94" t="s">
        <v>28</v>
      </c>
      <c r="F42" s="95">
        <v>0</v>
      </c>
      <c r="G42" s="96">
        <v>0</v>
      </c>
      <c r="H42" s="96">
        <v>0</v>
      </c>
      <c r="I42" s="61">
        <f t="shared" si="0"/>
        <v>0</v>
      </c>
      <c r="M42" s="4"/>
    </row>
    <row r="43" spans="1:13" x14ac:dyDescent="0.2">
      <c r="A43" s="1" t="str">
        <f>VLOOKUP(D43,Alloc!$A$1:$B$123,2,FALSE)</f>
        <v>Storage and Storage Transmission</v>
      </c>
      <c r="B43" s="94" t="s">
        <v>11</v>
      </c>
      <c r="C43" s="94" t="s">
        <v>20</v>
      </c>
      <c r="D43" s="1">
        <v>354.1</v>
      </c>
      <c r="E43" s="94" t="s">
        <v>235</v>
      </c>
      <c r="F43" s="95">
        <v>62732.95</v>
      </c>
      <c r="G43" s="96">
        <v>62732.95</v>
      </c>
      <c r="H43" s="96"/>
      <c r="I43" s="61">
        <f t="shared" si="0"/>
        <v>0</v>
      </c>
      <c r="M43" s="4"/>
    </row>
    <row r="44" spans="1:13" x14ac:dyDescent="0.2">
      <c r="A44" s="1" t="str">
        <f>VLOOKUP(D44,Alloc!$A$1:$B$123,2,FALSE)</f>
        <v>Storage and Storage Transmission</v>
      </c>
      <c r="B44" s="94" t="s">
        <v>11</v>
      </c>
      <c r="C44" s="94" t="s">
        <v>20</v>
      </c>
      <c r="D44" s="1">
        <v>354.2</v>
      </c>
      <c r="E44" s="94" t="s">
        <v>237</v>
      </c>
      <c r="F44" s="95">
        <v>61486.46</v>
      </c>
      <c r="G44" s="96">
        <v>61486.46</v>
      </c>
      <c r="H44" s="96"/>
      <c r="I44" s="61">
        <f t="shared" si="0"/>
        <v>0</v>
      </c>
      <c r="M44" s="4"/>
    </row>
    <row r="45" spans="1:13" x14ac:dyDescent="0.2">
      <c r="A45" s="1" t="str">
        <f>VLOOKUP(D45,Alloc!$A$1:$B$123,2,FALSE)</f>
        <v>Storage and Storage Transmission</v>
      </c>
      <c r="B45" s="94" t="s">
        <v>11</v>
      </c>
      <c r="C45" s="94" t="s">
        <v>20</v>
      </c>
      <c r="D45" s="1">
        <v>354.3</v>
      </c>
      <c r="E45" s="94" t="s">
        <v>239</v>
      </c>
      <c r="F45" s="95">
        <v>365283.65</v>
      </c>
      <c r="G45" s="96">
        <v>365283.65</v>
      </c>
      <c r="H45" s="96"/>
      <c r="I45" s="61">
        <f t="shared" si="0"/>
        <v>0</v>
      </c>
      <c r="M45" s="4"/>
    </row>
    <row r="46" spans="1:13" x14ac:dyDescent="0.2">
      <c r="A46" s="1" t="str">
        <f>VLOOKUP(D46,Alloc!$A$1:$B$123,2,FALSE)</f>
        <v>Storage and Storage Transmission</v>
      </c>
      <c r="B46" s="94" t="s">
        <v>11</v>
      </c>
      <c r="C46" s="94" t="s">
        <v>20</v>
      </c>
      <c r="D46" s="1">
        <v>354.4</v>
      </c>
      <c r="E46" s="94" t="s">
        <v>241</v>
      </c>
      <c r="F46" s="95">
        <v>86921.96</v>
      </c>
      <c r="G46" s="96">
        <v>86921.96</v>
      </c>
      <c r="H46" s="96"/>
      <c r="I46" s="61">
        <f t="shared" si="0"/>
        <v>0</v>
      </c>
      <c r="M46" s="4"/>
    </row>
    <row r="47" spans="1:13" x14ac:dyDescent="0.2">
      <c r="A47" s="1" t="str">
        <f>VLOOKUP(D47,Alloc!$A$1:$B$123,2,FALSE)</f>
        <v>Storage and Storage Transmission</v>
      </c>
      <c r="B47" s="94" t="s">
        <v>11</v>
      </c>
      <c r="C47" s="94" t="s">
        <v>20</v>
      </c>
      <c r="D47" s="1">
        <v>354.6</v>
      </c>
      <c r="E47" s="94" t="s">
        <v>243</v>
      </c>
      <c r="F47" s="95">
        <v>1897.2</v>
      </c>
      <c r="G47" s="96">
        <v>1897.2</v>
      </c>
      <c r="H47" s="96"/>
      <c r="I47" s="61">
        <f t="shared" si="0"/>
        <v>0</v>
      </c>
      <c r="M47" s="4"/>
    </row>
    <row r="48" spans="1:13" x14ac:dyDescent="0.2">
      <c r="A48" s="1" t="str">
        <f>VLOOKUP(D48,Alloc!$A$1:$B$123,2,FALSE)</f>
        <v>Storage and Storage Transmission</v>
      </c>
      <c r="B48" s="94" t="s">
        <v>11</v>
      </c>
      <c r="C48" s="94" t="s">
        <v>20</v>
      </c>
      <c r="D48" s="1">
        <v>355</v>
      </c>
      <c r="E48" s="94" t="s">
        <v>26</v>
      </c>
      <c r="F48" s="95">
        <v>169893.05</v>
      </c>
      <c r="G48" s="96">
        <v>169893.05</v>
      </c>
      <c r="H48" s="96">
        <v>0</v>
      </c>
      <c r="I48" s="61">
        <f t="shared" si="0"/>
        <v>0</v>
      </c>
      <c r="M48" s="4"/>
    </row>
    <row r="49" spans="1:13" x14ac:dyDescent="0.2">
      <c r="A49" s="1" t="str">
        <f>VLOOKUP(D49,Alloc!$A$1:$B$123,2,FALSE)</f>
        <v>Storage and Storage Transmission</v>
      </c>
      <c r="B49" s="94" t="s">
        <v>11</v>
      </c>
      <c r="C49" s="94" t="s">
        <v>20</v>
      </c>
      <c r="D49" s="1">
        <v>356</v>
      </c>
      <c r="E49" s="94" t="s">
        <v>24</v>
      </c>
      <c r="F49" s="95">
        <v>4983.0200000000004</v>
      </c>
      <c r="G49" s="96">
        <v>4983.0200000000004</v>
      </c>
      <c r="H49" s="96">
        <v>0</v>
      </c>
      <c r="I49" s="61">
        <f t="shared" si="0"/>
        <v>0</v>
      </c>
      <c r="M49" s="4"/>
    </row>
    <row r="50" spans="1:13" x14ac:dyDescent="0.2">
      <c r="A50" s="1" t="str">
        <f>VLOOKUP(D50,Alloc!$A$1:$B$123,2,FALSE)</f>
        <v>Storage and Storage Transmission</v>
      </c>
      <c r="B50" s="94" t="s">
        <v>11</v>
      </c>
      <c r="C50" s="94" t="s">
        <v>20</v>
      </c>
      <c r="D50" s="1">
        <v>357</v>
      </c>
      <c r="E50" s="94" t="s">
        <v>22</v>
      </c>
      <c r="F50" s="95">
        <v>69278.62</v>
      </c>
      <c r="G50" s="96">
        <v>69278.62</v>
      </c>
      <c r="H50" s="96">
        <v>0</v>
      </c>
      <c r="I50" s="61">
        <f t="shared" si="0"/>
        <v>0</v>
      </c>
      <c r="M50" s="4"/>
    </row>
    <row r="51" spans="1:13" x14ac:dyDescent="0.2">
      <c r="A51" s="1" t="str">
        <f>VLOOKUP(D51,Alloc!$A$1:$B$123,2,FALSE)</f>
        <v>Storage and Storage Transmission</v>
      </c>
      <c r="B51" s="94" t="s">
        <v>11</v>
      </c>
      <c r="C51" s="94" t="s">
        <v>43</v>
      </c>
      <c r="D51" s="1">
        <v>360.11</v>
      </c>
      <c r="E51" s="94" t="s">
        <v>202</v>
      </c>
      <c r="F51" s="95">
        <v>0</v>
      </c>
      <c r="G51" s="96">
        <v>0</v>
      </c>
      <c r="H51" s="96">
        <v>0</v>
      </c>
      <c r="I51" s="61">
        <f t="shared" si="0"/>
        <v>0</v>
      </c>
      <c r="M51" s="4"/>
    </row>
    <row r="52" spans="1:13" x14ac:dyDescent="0.2">
      <c r="A52" s="1" t="str">
        <f>VLOOKUP(D52,Alloc!$A$1:$B$123,2,FALSE)</f>
        <v>Storage and Storage Transmission</v>
      </c>
      <c r="B52" s="94" t="s">
        <v>11</v>
      </c>
      <c r="C52" s="94" t="s">
        <v>43</v>
      </c>
      <c r="D52" s="1">
        <v>360.12</v>
      </c>
      <c r="E52" s="94" t="s">
        <v>204</v>
      </c>
      <c r="F52" s="95">
        <v>0</v>
      </c>
      <c r="G52" s="96">
        <v>0</v>
      </c>
      <c r="H52" s="96">
        <v>0</v>
      </c>
      <c r="I52" s="61">
        <f t="shared" si="0"/>
        <v>0</v>
      </c>
      <c r="M52" s="4"/>
    </row>
    <row r="53" spans="1:13" x14ac:dyDescent="0.2">
      <c r="A53" s="1" t="str">
        <f>VLOOKUP(D53,Alloc!$A$1:$B$123,2,FALSE)</f>
        <v>Storage and Storage Transmission</v>
      </c>
      <c r="B53" s="94" t="s">
        <v>11</v>
      </c>
      <c r="C53" s="94" t="s">
        <v>43</v>
      </c>
      <c r="D53" s="1">
        <v>360.2</v>
      </c>
      <c r="E53" s="94" t="s">
        <v>206</v>
      </c>
      <c r="F53" s="95">
        <v>0</v>
      </c>
      <c r="G53" s="96">
        <v>0</v>
      </c>
      <c r="H53" s="96">
        <v>0</v>
      </c>
      <c r="I53" s="61">
        <f t="shared" si="0"/>
        <v>0</v>
      </c>
      <c r="M53" s="4"/>
    </row>
    <row r="54" spans="1:13" x14ac:dyDescent="0.2">
      <c r="A54" s="1" t="str">
        <f>VLOOKUP(D54,Alloc!$A$1:$B$123,2,FALSE)</f>
        <v>Storage and Storage Transmission</v>
      </c>
      <c r="B54" s="94" t="s">
        <v>11</v>
      </c>
      <c r="C54" s="94" t="s">
        <v>43</v>
      </c>
      <c r="D54" s="1">
        <v>361.11</v>
      </c>
      <c r="E54" s="94" t="s">
        <v>70</v>
      </c>
      <c r="F54" s="95">
        <v>404482.68</v>
      </c>
      <c r="G54" s="96">
        <v>404482.68</v>
      </c>
      <c r="H54" s="96">
        <v>0</v>
      </c>
      <c r="I54" s="61">
        <f t="shared" si="0"/>
        <v>0</v>
      </c>
      <c r="M54" s="4"/>
    </row>
    <row r="55" spans="1:13" x14ac:dyDescent="0.2">
      <c r="A55" s="1" t="str">
        <f>VLOOKUP(D55,Alloc!$A$1:$B$123,2,FALSE)</f>
        <v>Storage and Storage Transmission</v>
      </c>
      <c r="B55" s="94" t="s">
        <v>11</v>
      </c>
      <c r="C55" s="94" t="s">
        <v>43</v>
      </c>
      <c r="D55" s="1">
        <v>361.12</v>
      </c>
      <c r="E55" s="94" t="s">
        <v>70</v>
      </c>
      <c r="F55" s="95">
        <v>523789.29</v>
      </c>
      <c r="G55" s="96">
        <v>523789.29</v>
      </c>
      <c r="H55" s="96">
        <v>0</v>
      </c>
      <c r="I55" s="61">
        <f t="shared" si="0"/>
        <v>0</v>
      </c>
      <c r="M55" s="4"/>
    </row>
    <row r="56" spans="1:13" x14ac:dyDescent="0.2">
      <c r="A56" s="1" t="str">
        <f>VLOOKUP(D56,Alloc!$A$1:$B$123,2,FALSE)</f>
        <v>Storage and Storage Transmission</v>
      </c>
      <c r="B56" s="94" t="s">
        <v>11</v>
      </c>
      <c r="C56" s="94" t="s">
        <v>43</v>
      </c>
      <c r="D56" s="1">
        <v>361.2</v>
      </c>
      <c r="E56" s="94" t="s">
        <v>68</v>
      </c>
      <c r="F56" s="95">
        <v>473.6</v>
      </c>
      <c r="G56" s="96">
        <v>473.6</v>
      </c>
      <c r="H56" s="96">
        <v>0</v>
      </c>
      <c r="I56" s="61">
        <f t="shared" si="0"/>
        <v>0</v>
      </c>
      <c r="M56" s="4"/>
    </row>
    <row r="57" spans="1:13" x14ac:dyDescent="0.2">
      <c r="A57" s="1" t="str">
        <f>VLOOKUP(D57,Alloc!$A$1:$B$123,2,FALSE)</f>
        <v>Storage and Storage Transmission</v>
      </c>
      <c r="B57" s="94" t="s">
        <v>11</v>
      </c>
      <c r="C57" s="94" t="s">
        <v>43</v>
      </c>
      <c r="D57" s="1">
        <v>362.11</v>
      </c>
      <c r="E57" s="94" t="s">
        <v>66</v>
      </c>
      <c r="F57" s="95">
        <v>117546.42</v>
      </c>
      <c r="G57" s="96">
        <v>117546.42</v>
      </c>
      <c r="H57" s="96">
        <v>0</v>
      </c>
      <c r="I57" s="61">
        <f t="shared" si="0"/>
        <v>0</v>
      </c>
      <c r="M57" s="4"/>
    </row>
    <row r="58" spans="1:13" x14ac:dyDescent="0.2">
      <c r="A58" s="1" t="str">
        <f>VLOOKUP(D58,Alloc!$A$1:$B$123,2,FALSE)</f>
        <v>Storage and Storage Transmission</v>
      </c>
      <c r="B58" s="94" t="s">
        <v>11</v>
      </c>
      <c r="C58" s="94" t="s">
        <v>43</v>
      </c>
      <c r="D58" s="1">
        <v>362.12</v>
      </c>
      <c r="E58" s="94" t="s">
        <v>64</v>
      </c>
      <c r="F58" s="95">
        <v>144028.62</v>
      </c>
      <c r="G58" s="96">
        <v>144028.62</v>
      </c>
      <c r="H58" s="96">
        <v>0</v>
      </c>
      <c r="I58" s="61">
        <f t="shared" si="0"/>
        <v>0</v>
      </c>
      <c r="M58" s="4"/>
    </row>
    <row r="59" spans="1:13" x14ac:dyDescent="0.2">
      <c r="A59" s="1" t="str">
        <f>VLOOKUP(D59,Alloc!$A$1:$B$123,2,FALSE)</f>
        <v>Storage and Storage Transmission</v>
      </c>
      <c r="B59" s="94" t="s">
        <v>11</v>
      </c>
      <c r="C59" s="94" t="s">
        <v>43</v>
      </c>
      <c r="D59" s="1">
        <v>362.2</v>
      </c>
      <c r="E59" s="94" t="s">
        <v>62</v>
      </c>
      <c r="F59" s="95">
        <v>15.98</v>
      </c>
      <c r="G59" s="96">
        <v>15.98</v>
      </c>
      <c r="H59" s="96">
        <v>0</v>
      </c>
      <c r="I59" s="61">
        <f t="shared" si="0"/>
        <v>0</v>
      </c>
      <c r="M59" s="4"/>
    </row>
    <row r="60" spans="1:13" x14ac:dyDescent="0.2">
      <c r="A60" s="1" t="str">
        <f>VLOOKUP(D60,Alloc!$A$1:$B$123,2,FALSE)</f>
        <v>Storage and Storage Transmission</v>
      </c>
      <c r="B60" s="94" t="s">
        <v>11</v>
      </c>
      <c r="C60" s="94" t="s">
        <v>43</v>
      </c>
      <c r="D60" s="1">
        <v>363.11</v>
      </c>
      <c r="E60" s="94" t="s">
        <v>60</v>
      </c>
      <c r="F60" s="95">
        <v>44212.28</v>
      </c>
      <c r="G60" s="96">
        <v>44212.28</v>
      </c>
      <c r="H60" s="96">
        <v>0</v>
      </c>
      <c r="I60" s="61">
        <f t="shared" si="0"/>
        <v>0</v>
      </c>
      <c r="M60" s="4"/>
    </row>
    <row r="61" spans="1:13" x14ac:dyDescent="0.2">
      <c r="A61" s="1" t="str">
        <f>VLOOKUP(D61,Alloc!$A$1:$B$123,2,FALSE)</f>
        <v>Storage and Storage Transmission</v>
      </c>
      <c r="B61" s="94" t="s">
        <v>11</v>
      </c>
      <c r="C61" s="94" t="s">
        <v>43</v>
      </c>
      <c r="D61" s="1">
        <v>363.12</v>
      </c>
      <c r="E61" s="94" t="s">
        <v>58</v>
      </c>
      <c r="F61" s="95">
        <v>105458.84</v>
      </c>
      <c r="G61" s="96">
        <v>105458.84</v>
      </c>
      <c r="H61" s="96">
        <v>0</v>
      </c>
      <c r="I61" s="61">
        <f t="shared" si="0"/>
        <v>0</v>
      </c>
      <c r="M61" s="4"/>
    </row>
    <row r="62" spans="1:13" x14ac:dyDescent="0.2">
      <c r="A62" s="1" t="str">
        <f>VLOOKUP(D62,Alloc!$A$1:$B$123,2,FALSE)</f>
        <v>Storage and Storage Transmission</v>
      </c>
      <c r="B62" s="94" t="s">
        <v>11</v>
      </c>
      <c r="C62" s="94" t="s">
        <v>43</v>
      </c>
      <c r="D62" s="1">
        <v>363.21</v>
      </c>
      <c r="E62" s="94" t="s">
        <v>56</v>
      </c>
      <c r="F62" s="95">
        <v>20955.53</v>
      </c>
      <c r="G62" s="96">
        <v>20955.53</v>
      </c>
      <c r="H62" s="96">
        <v>0</v>
      </c>
      <c r="I62" s="61">
        <f t="shared" si="0"/>
        <v>0</v>
      </c>
      <c r="M62" s="4"/>
    </row>
    <row r="63" spans="1:13" x14ac:dyDescent="0.2">
      <c r="A63" s="1" t="str">
        <f>VLOOKUP(D63,Alloc!$A$1:$B$123,2,FALSE)</f>
        <v>Storage and Storage Transmission</v>
      </c>
      <c r="B63" s="94" t="s">
        <v>11</v>
      </c>
      <c r="C63" s="94" t="s">
        <v>43</v>
      </c>
      <c r="D63" s="1">
        <v>363.22</v>
      </c>
      <c r="E63" s="94" t="s">
        <v>54</v>
      </c>
      <c r="F63" s="95">
        <v>115556.7</v>
      </c>
      <c r="G63" s="96">
        <v>115556.7</v>
      </c>
      <c r="H63" s="96">
        <v>0</v>
      </c>
      <c r="I63" s="61">
        <f t="shared" si="0"/>
        <v>0</v>
      </c>
      <c r="M63" s="4"/>
    </row>
    <row r="64" spans="1:13" x14ac:dyDescent="0.2">
      <c r="A64" s="1" t="str">
        <f>VLOOKUP(D64,Alloc!$A$1:$B$123,2,FALSE)</f>
        <v>Storage and Storage Transmission</v>
      </c>
      <c r="B64" s="94" t="s">
        <v>11</v>
      </c>
      <c r="C64" s="94" t="s">
        <v>43</v>
      </c>
      <c r="D64" s="1">
        <v>363.31</v>
      </c>
      <c r="E64" s="94" t="s">
        <v>52</v>
      </c>
      <c r="F64" s="95">
        <v>0</v>
      </c>
      <c r="G64" s="96">
        <v>0</v>
      </c>
      <c r="H64" s="96">
        <v>0</v>
      </c>
      <c r="I64" s="61">
        <f t="shared" si="0"/>
        <v>0</v>
      </c>
      <c r="M64" s="4"/>
    </row>
    <row r="65" spans="1:13" x14ac:dyDescent="0.2">
      <c r="A65" s="1" t="str">
        <f>VLOOKUP(D65,Alloc!$A$1:$B$123,2,FALSE)</f>
        <v>Storage and Storage Transmission</v>
      </c>
      <c r="B65" s="94" t="s">
        <v>11</v>
      </c>
      <c r="C65" s="94" t="s">
        <v>43</v>
      </c>
      <c r="D65" s="1">
        <v>363.32</v>
      </c>
      <c r="E65" s="94" t="s">
        <v>50</v>
      </c>
      <c r="F65" s="95">
        <v>350432.97</v>
      </c>
      <c r="G65" s="96">
        <v>350432.97</v>
      </c>
      <c r="H65" s="96">
        <v>0</v>
      </c>
      <c r="I65" s="61">
        <f t="shared" si="0"/>
        <v>0</v>
      </c>
      <c r="M65" s="4"/>
    </row>
    <row r="66" spans="1:13" x14ac:dyDescent="0.2">
      <c r="A66" s="1" t="str">
        <f>VLOOKUP(D66,Alloc!$A$1:$B$123,2,FALSE)</f>
        <v>Storage and Storage Transmission</v>
      </c>
      <c r="B66" s="94" t="s">
        <v>11</v>
      </c>
      <c r="C66" s="94" t="s">
        <v>43</v>
      </c>
      <c r="D66" s="1">
        <v>363.41</v>
      </c>
      <c r="E66" s="94" t="s">
        <v>47</v>
      </c>
      <c r="F66" s="95">
        <v>114852.2</v>
      </c>
      <c r="G66" s="96">
        <v>114852.2</v>
      </c>
      <c r="H66" s="96">
        <v>0</v>
      </c>
      <c r="I66" s="61">
        <f t="shared" si="0"/>
        <v>0</v>
      </c>
      <c r="M66" s="4"/>
    </row>
    <row r="67" spans="1:13" x14ac:dyDescent="0.2">
      <c r="A67" s="1" t="str">
        <f>VLOOKUP(D67,Alloc!$A$1:$B$123,2,FALSE)</f>
        <v>Storage and Storage Transmission</v>
      </c>
      <c r="B67" s="94" t="s">
        <v>11</v>
      </c>
      <c r="C67" s="94" t="s">
        <v>43</v>
      </c>
      <c r="D67" s="1">
        <v>363.42</v>
      </c>
      <c r="E67" s="94" t="s">
        <v>47</v>
      </c>
      <c r="F67" s="95">
        <v>13726.84</v>
      </c>
      <c r="G67" s="96">
        <v>13726.84</v>
      </c>
      <c r="H67" s="96">
        <v>0</v>
      </c>
      <c r="I67" s="61">
        <f t="shared" si="0"/>
        <v>0</v>
      </c>
      <c r="M67" s="4"/>
    </row>
    <row r="68" spans="1:13" x14ac:dyDescent="0.2">
      <c r="A68" s="1" t="str">
        <f>VLOOKUP(D68,Alloc!$A$1:$B$123,2,FALSE)</f>
        <v>CNG and LNG Refueling</v>
      </c>
      <c r="B68" s="94" t="s">
        <v>11</v>
      </c>
      <c r="C68" s="94" t="s">
        <v>43</v>
      </c>
      <c r="D68" s="1">
        <v>363.5</v>
      </c>
      <c r="E68" s="94" t="s">
        <v>45</v>
      </c>
      <c r="F68" s="95">
        <v>79944.13</v>
      </c>
      <c r="G68" s="96">
        <v>79944.13</v>
      </c>
      <c r="H68" s="96">
        <v>0</v>
      </c>
      <c r="I68" s="61">
        <f t="shared" si="0"/>
        <v>0</v>
      </c>
      <c r="M68" s="4"/>
    </row>
    <row r="69" spans="1:13" x14ac:dyDescent="0.2">
      <c r="A69" s="1" t="str">
        <f>VLOOKUP(D69,Alloc!$A$1:$B$123,2,FALSE)</f>
        <v>CNG and LNG Refueling</v>
      </c>
      <c r="B69" s="94" t="s">
        <v>11</v>
      </c>
      <c r="C69" s="94" t="s">
        <v>43</v>
      </c>
      <c r="D69" s="1">
        <v>363.6</v>
      </c>
      <c r="E69" s="94" t="s">
        <v>208</v>
      </c>
      <c r="F69" s="95">
        <v>0</v>
      </c>
      <c r="G69" s="96">
        <v>0</v>
      </c>
      <c r="H69" s="96">
        <v>0</v>
      </c>
      <c r="I69" s="61">
        <f t="shared" si="0"/>
        <v>0</v>
      </c>
      <c r="M69" s="4"/>
    </row>
    <row r="70" spans="1:13" x14ac:dyDescent="0.2">
      <c r="A70" s="1" t="str">
        <f>VLOOKUP(D70,Alloc!$A$1:$B$123,2,FALSE)</f>
        <v>Transmission</v>
      </c>
      <c r="B70" s="94" t="s">
        <v>11</v>
      </c>
      <c r="C70" s="94" t="s">
        <v>72</v>
      </c>
      <c r="D70" s="1">
        <v>365.1</v>
      </c>
      <c r="E70" s="94" t="s">
        <v>168</v>
      </c>
      <c r="F70" s="95">
        <v>0</v>
      </c>
      <c r="G70" s="96">
        <v>0</v>
      </c>
      <c r="H70" s="96">
        <v>0</v>
      </c>
      <c r="I70" s="61">
        <f t="shared" si="0"/>
        <v>0</v>
      </c>
      <c r="M70" s="4"/>
    </row>
    <row r="71" spans="1:13" x14ac:dyDescent="0.2">
      <c r="A71" s="1" t="str">
        <f>VLOOKUP(D71,Alloc!$A$1:$B$123,2,FALSE)</f>
        <v>Transmission</v>
      </c>
      <c r="B71" s="94" t="s">
        <v>11</v>
      </c>
      <c r="C71" s="94" t="s">
        <v>72</v>
      </c>
      <c r="D71" s="1">
        <v>365.2</v>
      </c>
      <c r="E71" s="94" t="s">
        <v>92</v>
      </c>
      <c r="F71" s="95">
        <v>98118.68</v>
      </c>
      <c r="G71" s="96">
        <v>98118.68</v>
      </c>
      <c r="H71" s="96">
        <v>0</v>
      </c>
      <c r="I71" s="61">
        <f t="shared" ref="I71:I127" si="1">F71-G71-H71</f>
        <v>0</v>
      </c>
      <c r="M71" s="4"/>
    </row>
    <row r="72" spans="1:13" x14ac:dyDescent="0.2">
      <c r="A72" s="1" t="str">
        <f>VLOOKUP(D72,Alloc!$A$1:$B$123,2,FALSE)</f>
        <v>Transmission</v>
      </c>
      <c r="B72" s="94" t="s">
        <v>11</v>
      </c>
      <c r="C72" s="94" t="s">
        <v>72</v>
      </c>
      <c r="D72" s="1">
        <v>366.3</v>
      </c>
      <c r="E72" s="94" t="s">
        <v>68</v>
      </c>
      <c r="F72" s="95">
        <v>27056.29</v>
      </c>
      <c r="G72" s="96">
        <v>27056.29</v>
      </c>
      <c r="H72" s="96">
        <v>0</v>
      </c>
      <c r="I72" s="61">
        <f t="shared" si="1"/>
        <v>0</v>
      </c>
      <c r="M72" s="4"/>
    </row>
    <row r="73" spans="1:13" x14ac:dyDescent="0.2">
      <c r="A73" s="1" t="str">
        <f>VLOOKUP(D73,Alloc!$A$1:$B$123,2,FALSE)</f>
        <v>Transmission</v>
      </c>
      <c r="B73" s="94" t="s">
        <v>11</v>
      </c>
      <c r="C73" s="94" t="s">
        <v>72</v>
      </c>
      <c r="D73" s="1">
        <v>367</v>
      </c>
      <c r="E73" s="94" t="s">
        <v>89</v>
      </c>
      <c r="F73" s="95">
        <v>3370001.64</v>
      </c>
      <c r="G73" s="96">
        <v>3349034.23</v>
      </c>
      <c r="H73" s="96">
        <v>20967.41</v>
      </c>
      <c r="I73" s="61">
        <f t="shared" si="1"/>
        <v>1.4915713109076023E-10</v>
      </c>
      <c r="M73" s="4"/>
    </row>
    <row r="74" spans="1:13" x14ac:dyDescent="0.2">
      <c r="A74" s="1" t="str">
        <f>VLOOKUP(D74,Alloc!$A$1:$B$123,2,FALSE)</f>
        <v>Storage and Storage Transmission</v>
      </c>
      <c r="B74" s="94" t="s">
        <v>11</v>
      </c>
      <c r="C74" s="94" t="s">
        <v>72</v>
      </c>
      <c r="D74" s="1">
        <v>367.21</v>
      </c>
      <c r="E74" s="94" t="s">
        <v>87</v>
      </c>
      <c r="F74" s="95">
        <v>34306.82</v>
      </c>
      <c r="G74" s="96">
        <v>34306.82</v>
      </c>
      <c r="H74" s="96">
        <v>0</v>
      </c>
      <c r="I74" s="61">
        <f t="shared" si="1"/>
        <v>0</v>
      </c>
      <c r="M74" s="4"/>
    </row>
    <row r="75" spans="1:13" x14ac:dyDescent="0.2">
      <c r="A75" s="1" t="str">
        <f>VLOOKUP(D75,Alloc!$A$1:$B$123,2,FALSE)</f>
        <v>Storage and Storage Transmission</v>
      </c>
      <c r="B75" s="94" t="s">
        <v>11</v>
      </c>
      <c r="C75" s="94" t="s">
        <v>72</v>
      </c>
      <c r="D75" s="1">
        <v>367.22</v>
      </c>
      <c r="E75" s="94" t="s">
        <v>84</v>
      </c>
      <c r="F75" s="95">
        <v>237693.31</v>
      </c>
      <c r="G75" s="96">
        <v>237693.31</v>
      </c>
      <c r="H75" s="96">
        <v>0</v>
      </c>
      <c r="I75" s="61">
        <f t="shared" si="1"/>
        <v>0</v>
      </c>
      <c r="M75" s="4"/>
    </row>
    <row r="76" spans="1:13" x14ac:dyDescent="0.2">
      <c r="A76" s="1" t="str">
        <f>VLOOKUP(D76,Alloc!$A$1:$B$123,2,FALSE)</f>
        <v>Storage and Storage Transmission</v>
      </c>
      <c r="B76" s="94" t="s">
        <v>11</v>
      </c>
      <c r="C76" s="94" t="s">
        <v>72</v>
      </c>
      <c r="D76" s="1">
        <v>367.23</v>
      </c>
      <c r="E76" s="94" t="s">
        <v>84</v>
      </c>
      <c r="F76" s="95">
        <v>676698.03</v>
      </c>
      <c r="G76" s="96">
        <v>676698.03</v>
      </c>
      <c r="H76" s="96">
        <v>0</v>
      </c>
      <c r="I76" s="61">
        <f t="shared" si="1"/>
        <v>0</v>
      </c>
      <c r="M76" s="4"/>
    </row>
    <row r="77" spans="1:13" x14ac:dyDescent="0.2">
      <c r="A77" s="1" t="str">
        <f>VLOOKUP(D77,Alloc!$A$1:$B$123,2,FALSE)</f>
        <v>Storage and Storage Transmission</v>
      </c>
      <c r="B77" s="94" t="s">
        <v>11</v>
      </c>
      <c r="C77" s="94" t="s">
        <v>72</v>
      </c>
      <c r="D77" s="1">
        <v>367.24</v>
      </c>
      <c r="E77" s="94" t="s">
        <v>82</v>
      </c>
      <c r="F77" s="95">
        <v>338843.92</v>
      </c>
      <c r="G77" s="96">
        <v>338843.92</v>
      </c>
      <c r="H77" s="96">
        <v>0</v>
      </c>
      <c r="I77" s="61">
        <f t="shared" si="1"/>
        <v>0</v>
      </c>
      <c r="M77" s="4"/>
    </row>
    <row r="78" spans="1:13" x14ac:dyDescent="0.2">
      <c r="A78" s="1" t="str">
        <f>VLOOKUP(D78,Alloc!$A$1:$B$123,2,FALSE)</f>
        <v>Storage and Storage Transmission</v>
      </c>
      <c r="B78" s="94" t="s">
        <v>11</v>
      </c>
      <c r="C78" s="94" t="s">
        <v>72</v>
      </c>
      <c r="D78" s="1">
        <v>367.25</v>
      </c>
      <c r="E78" s="94" t="s">
        <v>80</v>
      </c>
      <c r="F78" s="95">
        <v>362966.18</v>
      </c>
      <c r="G78" s="96">
        <v>362966.18</v>
      </c>
      <c r="H78" s="96">
        <v>0</v>
      </c>
      <c r="I78" s="61">
        <f t="shared" si="1"/>
        <v>0</v>
      </c>
      <c r="M78" s="4"/>
    </row>
    <row r="79" spans="1:13" x14ac:dyDescent="0.2">
      <c r="A79" s="1" t="str">
        <f>VLOOKUP(D79,Alloc!$A$1:$B$123,2,FALSE)</f>
        <v>Storage and Storage Transmission</v>
      </c>
      <c r="B79" s="94" t="s">
        <v>11</v>
      </c>
      <c r="C79" s="94" t="s">
        <v>72</v>
      </c>
      <c r="D79" s="1">
        <v>367.26</v>
      </c>
      <c r="E79" s="94" t="s">
        <v>78</v>
      </c>
      <c r="F79" s="95">
        <v>1330537.19</v>
      </c>
      <c r="G79" s="96">
        <v>1330537.19</v>
      </c>
      <c r="H79" s="96">
        <v>0</v>
      </c>
      <c r="I79" s="61">
        <f t="shared" si="1"/>
        <v>0</v>
      </c>
      <c r="M79" s="4"/>
    </row>
    <row r="80" spans="1:13" x14ac:dyDescent="0.2">
      <c r="A80" s="1" t="str">
        <f>VLOOKUP(D80,Alloc!$A$1:$B$123,2,FALSE)</f>
        <v>Transmission</v>
      </c>
      <c r="B80" s="94" t="s">
        <v>11</v>
      </c>
      <c r="C80" s="94" t="s">
        <v>72</v>
      </c>
      <c r="D80" s="1">
        <v>368</v>
      </c>
      <c r="E80" s="94" t="s">
        <v>76</v>
      </c>
      <c r="F80" s="95">
        <v>0</v>
      </c>
      <c r="G80" s="96">
        <v>0</v>
      </c>
      <c r="H80" s="96">
        <v>0</v>
      </c>
      <c r="I80" s="61">
        <f t="shared" si="1"/>
        <v>0</v>
      </c>
      <c r="M80" s="4"/>
    </row>
    <row r="81" spans="1:13" x14ac:dyDescent="0.2">
      <c r="A81" s="1" t="str">
        <f>VLOOKUP(D81,Alloc!$A$1:$B$123,2,FALSE)</f>
        <v>Transmission</v>
      </c>
      <c r="B81" s="94" t="s">
        <v>11</v>
      </c>
      <c r="C81" s="94" t="s">
        <v>72</v>
      </c>
      <c r="D81" s="1">
        <v>369</v>
      </c>
      <c r="E81" s="94" t="s">
        <v>74</v>
      </c>
      <c r="F81" s="95">
        <v>84546</v>
      </c>
      <c r="G81" s="96">
        <v>84546</v>
      </c>
      <c r="H81" s="96">
        <v>0</v>
      </c>
      <c r="I81" s="61">
        <f t="shared" si="1"/>
        <v>0</v>
      </c>
      <c r="M81" s="4"/>
    </row>
    <row r="82" spans="1:13" x14ac:dyDescent="0.2">
      <c r="A82" s="1" t="str">
        <f>VLOOKUP(D82,Alloc!$A$1:$B$123,2,FALSE)</f>
        <v>Transmission</v>
      </c>
      <c r="B82" s="94" t="s">
        <v>11</v>
      </c>
      <c r="C82" s="94" t="s">
        <v>72</v>
      </c>
      <c r="D82" s="1">
        <v>370</v>
      </c>
      <c r="E82" s="94" t="s">
        <v>211</v>
      </c>
      <c r="F82" s="95">
        <v>0</v>
      </c>
      <c r="G82" s="96">
        <v>0</v>
      </c>
      <c r="H82" s="96">
        <v>0</v>
      </c>
      <c r="I82" s="61">
        <f t="shared" si="1"/>
        <v>0</v>
      </c>
      <c r="M82" s="4"/>
    </row>
    <row r="83" spans="1:13" x14ac:dyDescent="0.2">
      <c r="A83" s="1" t="str">
        <f>VLOOKUP(D83,Alloc!$A$1:$B$123,2,FALSE)</f>
        <v>Distribution</v>
      </c>
      <c r="B83" s="94" t="s">
        <v>11</v>
      </c>
      <c r="C83" s="94" t="s">
        <v>93</v>
      </c>
      <c r="D83" s="1">
        <v>374.1</v>
      </c>
      <c r="E83" s="94" t="s">
        <v>168</v>
      </c>
      <c r="F83" s="95">
        <v>0</v>
      </c>
      <c r="G83" s="96">
        <v>0</v>
      </c>
      <c r="H83" s="96">
        <v>0</v>
      </c>
      <c r="I83" s="61">
        <f t="shared" si="1"/>
        <v>0</v>
      </c>
      <c r="M83" s="4"/>
    </row>
    <row r="84" spans="1:13" x14ac:dyDescent="0.2">
      <c r="A84" s="1" t="str">
        <f>VLOOKUP(D84,Alloc!$A$1:$B$123,2,FALSE)</f>
        <v>Distribution</v>
      </c>
      <c r="B84" s="94" t="s">
        <v>11</v>
      </c>
      <c r="C84" s="94" t="s">
        <v>93</v>
      </c>
      <c r="D84" s="1">
        <v>374.2</v>
      </c>
      <c r="E84" s="94" t="s">
        <v>92</v>
      </c>
      <c r="F84" s="95">
        <v>10562.58</v>
      </c>
      <c r="G84" s="96">
        <v>10407.58</v>
      </c>
      <c r="H84" s="96">
        <v>155</v>
      </c>
      <c r="I84" s="61">
        <f t="shared" si="1"/>
        <v>0</v>
      </c>
      <c r="M84" s="4"/>
    </row>
    <row r="85" spans="1:13" x14ac:dyDescent="0.2">
      <c r="A85" s="1" t="str">
        <f>VLOOKUP(D85,Alloc!$A$1:$B$123,2,FALSE)</f>
        <v>Distribution</v>
      </c>
      <c r="B85" s="94" t="s">
        <v>11</v>
      </c>
      <c r="C85" s="94" t="s">
        <v>93</v>
      </c>
      <c r="D85" s="1">
        <v>375</v>
      </c>
      <c r="E85" s="94" t="s">
        <v>70</v>
      </c>
      <c r="F85" s="95">
        <v>37508.21</v>
      </c>
      <c r="G85" s="96">
        <v>1908.93</v>
      </c>
      <c r="H85" s="96">
        <v>35599.279999999999</v>
      </c>
      <c r="I85" s="61">
        <f t="shared" si="1"/>
        <v>0</v>
      </c>
      <c r="M85" s="4"/>
    </row>
    <row r="86" spans="1:13" x14ac:dyDescent="0.2">
      <c r="A86" s="1" t="str">
        <f>VLOOKUP(D86,Alloc!$A$1:$B$123,2,FALSE)</f>
        <v>Distribution</v>
      </c>
      <c r="B86" s="94" t="s">
        <v>11</v>
      </c>
      <c r="C86" s="94" t="s">
        <v>93</v>
      </c>
      <c r="D86" s="1">
        <v>376.11</v>
      </c>
      <c r="E86" s="94" t="s">
        <v>120</v>
      </c>
      <c r="F86" s="95">
        <v>16345257.77</v>
      </c>
      <c r="G86" s="96">
        <f>14038988.78+1020.8</f>
        <v>14040009.58</v>
      </c>
      <c r="H86" s="96">
        <v>2305248.19</v>
      </c>
      <c r="I86" s="61">
        <f t="shared" si="1"/>
        <v>0</v>
      </c>
      <c r="J86" s="1" t="s">
        <v>315</v>
      </c>
      <c r="K86" s="69">
        <v>1020.8</v>
      </c>
      <c r="M86" s="4"/>
    </row>
    <row r="87" spans="1:13" x14ac:dyDescent="0.2">
      <c r="A87" s="1" t="str">
        <f>VLOOKUP(D87,Alloc!$A$1:$B$123,2,FALSE)</f>
        <v>Distribution</v>
      </c>
      <c r="B87" s="94" t="s">
        <v>11</v>
      </c>
      <c r="C87" s="94" t="s">
        <v>93</v>
      </c>
      <c r="D87" s="1">
        <v>376.12</v>
      </c>
      <c r="E87" s="94" t="s">
        <v>118</v>
      </c>
      <c r="F87" s="95">
        <v>14421863.359999999</v>
      </c>
      <c r="G87" s="96">
        <f>12018538.75+403.38</f>
        <v>12018942.130000001</v>
      </c>
      <c r="H87" s="96">
        <v>2402921.23</v>
      </c>
      <c r="I87" s="61">
        <f t="shared" si="1"/>
        <v>0</v>
      </c>
      <c r="J87" s="1" t="s">
        <v>315</v>
      </c>
      <c r="K87" s="69">
        <v>403.38</v>
      </c>
      <c r="M87" s="4"/>
    </row>
    <row r="88" spans="1:13" x14ac:dyDescent="0.2">
      <c r="A88" s="1" t="str">
        <f>VLOOKUP(D88,Alloc!$A$1:$B$123,2,FALSE)</f>
        <v>Distribution</v>
      </c>
      <c r="B88" s="94" t="s">
        <v>11</v>
      </c>
      <c r="C88" s="94" t="s">
        <v>93</v>
      </c>
      <c r="D88" s="1">
        <v>377</v>
      </c>
      <c r="E88" s="94" t="s">
        <v>28</v>
      </c>
      <c r="F88" s="95">
        <v>10802.6</v>
      </c>
      <c r="G88" s="96">
        <v>10802.6</v>
      </c>
      <c r="H88" s="96">
        <v>0</v>
      </c>
      <c r="I88" s="61">
        <f t="shared" si="1"/>
        <v>0</v>
      </c>
      <c r="K88" s="69"/>
      <c r="M88" s="4"/>
    </row>
    <row r="89" spans="1:13" x14ac:dyDescent="0.2">
      <c r="A89" s="1" t="str">
        <f>VLOOKUP(D89,Alloc!$A$1:$B$123,2,FALSE)</f>
        <v>Distribution</v>
      </c>
      <c r="B89" s="94" t="s">
        <v>11</v>
      </c>
      <c r="C89" s="94" t="s">
        <v>93</v>
      </c>
      <c r="D89" s="1">
        <v>378</v>
      </c>
      <c r="E89" s="94" t="s">
        <v>115</v>
      </c>
      <c r="F89" s="95">
        <v>845214.56</v>
      </c>
      <c r="G89" s="96">
        <v>766826.47</v>
      </c>
      <c r="H89" s="96">
        <v>78388.09</v>
      </c>
      <c r="I89" s="61">
        <f t="shared" si="1"/>
        <v>0</v>
      </c>
      <c r="K89" s="69"/>
      <c r="M89" s="4"/>
    </row>
    <row r="90" spans="1:13" x14ac:dyDescent="0.2">
      <c r="A90" s="1" t="str">
        <f>VLOOKUP(D90,Alloc!$A$1:$B$123,2,FALSE)</f>
        <v>Distribution</v>
      </c>
      <c r="B90" s="94" t="s">
        <v>11</v>
      </c>
      <c r="C90" s="94" t="s">
        <v>93</v>
      </c>
      <c r="D90" s="1">
        <v>379</v>
      </c>
      <c r="E90" s="94" t="s">
        <v>113</v>
      </c>
      <c r="F90" s="95">
        <v>354775.77</v>
      </c>
      <c r="G90" s="96">
        <v>304803.38</v>
      </c>
      <c r="H90" s="96">
        <v>49972.39</v>
      </c>
      <c r="I90" s="61">
        <f t="shared" si="1"/>
        <v>0</v>
      </c>
      <c r="K90" s="69"/>
      <c r="M90" s="4"/>
    </row>
    <row r="91" spans="1:13" x14ac:dyDescent="0.2">
      <c r="A91" s="1" t="str">
        <f>VLOOKUP(D91,Alloc!$A$1:$B$123,2,FALSE)</f>
        <v>Distribution</v>
      </c>
      <c r="B91" s="94" t="s">
        <v>11</v>
      </c>
      <c r="C91" s="94" t="s">
        <v>93</v>
      </c>
      <c r="D91" s="1">
        <v>380</v>
      </c>
      <c r="E91" s="94" t="s">
        <v>111</v>
      </c>
      <c r="F91" s="95">
        <v>24272328.670000002</v>
      </c>
      <c r="G91" s="96">
        <f>21938012.1+2252.89</f>
        <v>21940264.990000002</v>
      </c>
      <c r="H91" s="96">
        <v>2332063.6800000002</v>
      </c>
      <c r="I91" s="61">
        <f t="shared" si="1"/>
        <v>0</v>
      </c>
      <c r="J91" s="1" t="s">
        <v>315</v>
      </c>
      <c r="K91" s="69">
        <v>2252.89</v>
      </c>
      <c r="M91" s="4"/>
    </row>
    <row r="92" spans="1:13" x14ac:dyDescent="0.2">
      <c r="A92" s="1" t="str">
        <f>VLOOKUP(D92,Alloc!$A$1:$B$123,2,FALSE)</f>
        <v>Distribution</v>
      </c>
      <c r="B92" s="94" t="s">
        <v>11</v>
      </c>
      <c r="C92" s="94" t="s">
        <v>93</v>
      </c>
      <c r="D92" s="1">
        <v>381</v>
      </c>
      <c r="E92" s="94" t="s">
        <v>109</v>
      </c>
      <c r="F92" s="95">
        <v>2315194.16</v>
      </c>
      <c r="G92" s="96">
        <v>2038906.04</v>
      </c>
      <c r="H92" s="96">
        <v>276288.12</v>
      </c>
      <c r="I92" s="61">
        <f t="shared" si="1"/>
        <v>0</v>
      </c>
      <c r="K92" s="69"/>
      <c r="M92" s="4"/>
    </row>
    <row r="93" spans="1:13" x14ac:dyDescent="0.2">
      <c r="A93" s="1" t="str">
        <f>VLOOKUP(D93,Alloc!$A$1:$B$123,2,FALSE)</f>
        <v>Distribution</v>
      </c>
      <c r="B93" s="94" t="s">
        <v>11</v>
      </c>
      <c r="C93" s="94" t="s">
        <v>93</v>
      </c>
      <c r="D93" s="1">
        <v>381.1</v>
      </c>
      <c r="E93" s="94" t="s">
        <v>107</v>
      </c>
      <c r="F93" s="95">
        <v>49041.52</v>
      </c>
      <c r="G93" s="96">
        <v>49041.52</v>
      </c>
      <c r="H93" s="96">
        <v>0</v>
      </c>
      <c r="I93" s="61">
        <f t="shared" si="1"/>
        <v>0</v>
      </c>
      <c r="K93" s="69"/>
      <c r="M93" s="4"/>
    </row>
    <row r="94" spans="1:13" x14ac:dyDescent="0.2">
      <c r="A94" s="1" t="str">
        <f>VLOOKUP(D94,Alloc!$A$1:$B$123,2,FALSE)</f>
        <v>Distribution</v>
      </c>
      <c r="B94" s="94" t="s">
        <v>11</v>
      </c>
      <c r="C94" s="94" t="s">
        <v>93</v>
      </c>
      <c r="D94" s="1">
        <v>381.2</v>
      </c>
      <c r="E94" s="94" t="s">
        <v>105</v>
      </c>
      <c r="F94" s="95">
        <v>2623507.14</v>
      </c>
      <c r="G94" s="96">
        <v>2206156.9700000002</v>
      </c>
      <c r="H94" s="96">
        <v>417350.17</v>
      </c>
      <c r="I94" s="61">
        <f t="shared" si="1"/>
        <v>0</v>
      </c>
      <c r="K94" s="69"/>
      <c r="M94" s="4"/>
    </row>
    <row r="95" spans="1:13" x14ac:dyDescent="0.2">
      <c r="A95" s="1" t="str">
        <f>VLOOKUP(D95,Alloc!$A$1:$B$123,2,FALSE)</f>
        <v>Distribution</v>
      </c>
      <c r="B95" s="94" t="s">
        <v>11</v>
      </c>
      <c r="C95" s="94" t="s">
        <v>93</v>
      </c>
      <c r="D95" s="1">
        <v>382</v>
      </c>
      <c r="E95" s="94" t="s">
        <v>103</v>
      </c>
      <c r="F95" s="95">
        <v>2979427.54</v>
      </c>
      <c r="G95" s="96">
        <v>2669485.8199999998</v>
      </c>
      <c r="H95" s="96">
        <v>309941.71999999997</v>
      </c>
      <c r="I95" s="61">
        <f t="shared" si="1"/>
        <v>0</v>
      </c>
      <c r="K95" s="69"/>
      <c r="M95" s="4"/>
    </row>
    <row r="96" spans="1:13" x14ac:dyDescent="0.2">
      <c r="A96" s="1" t="str">
        <f>VLOOKUP(D96,Alloc!$A$1:$B$123,2,FALSE)</f>
        <v>Distribution</v>
      </c>
      <c r="B96" s="94" t="s">
        <v>11</v>
      </c>
      <c r="C96" s="94" t="s">
        <v>93</v>
      </c>
      <c r="D96" s="1">
        <v>382.1</v>
      </c>
      <c r="E96" s="94" t="s">
        <v>101</v>
      </c>
      <c r="F96" s="95">
        <v>41415.800000000003</v>
      </c>
      <c r="G96" s="96">
        <v>41415.800000000003</v>
      </c>
      <c r="H96" s="96">
        <v>0</v>
      </c>
      <c r="I96" s="61">
        <f t="shared" si="1"/>
        <v>0</v>
      </c>
      <c r="K96" s="69"/>
      <c r="M96" s="4"/>
    </row>
    <row r="97" spans="1:13" x14ac:dyDescent="0.2">
      <c r="A97" s="1" t="str">
        <f>VLOOKUP(D97,Alloc!$A$1:$B$123,2,FALSE)</f>
        <v>Distribution</v>
      </c>
      <c r="B97" s="94" t="s">
        <v>11</v>
      </c>
      <c r="C97" s="94" t="s">
        <v>93</v>
      </c>
      <c r="D97" s="1">
        <v>382.2</v>
      </c>
      <c r="E97" s="94" t="s">
        <v>99</v>
      </c>
      <c r="F97" s="95">
        <v>347336.53</v>
      </c>
      <c r="G97" s="96">
        <v>311713.18</v>
      </c>
      <c r="H97" s="96">
        <v>35623.35</v>
      </c>
      <c r="I97" s="61">
        <f t="shared" si="1"/>
        <v>0</v>
      </c>
      <c r="K97" s="69"/>
      <c r="M97" s="4"/>
    </row>
    <row r="98" spans="1:13" x14ac:dyDescent="0.2">
      <c r="A98" s="1" t="str">
        <f>VLOOKUP(D98,Alloc!$A$1:$B$123,2,FALSE)</f>
        <v>Distribution</v>
      </c>
      <c r="B98" s="94" t="s">
        <v>11</v>
      </c>
      <c r="C98" s="94" t="s">
        <v>93</v>
      </c>
      <c r="D98" s="1">
        <v>383</v>
      </c>
      <c r="E98" s="94" t="s">
        <v>97</v>
      </c>
      <c r="F98" s="95">
        <v>71635.23</v>
      </c>
      <c r="G98" s="96">
        <f>67265.07+68.04</f>
        <v>67333.11</v>
      </c>
      <c r="H98" s="96">
        <v>4302.12</v>
      </c>
      <c r="I98" s="61">
        <f t="shared" si="1"/>
        <v>0</v>
      </c>
      <c r="J98" s="1" t="s">
        <v>315</v>
      </c>
      <c r="K98" s="69">
        <v>68.040000000000006</v>
      </c>
      <c r="M98" s="4"/>
    </row>
    <row r="99" spans="1:13" x14ac:dyDescent="0.2">
      <c r="A99" s="1" t="str">
        <f>VLOOKUP(D99,Alloc!$A$1:$B$123,2,FALSE)</f>
        <v>Distribution</v>
      </c>
      <c r="B99" s="94" t="s">
        <v>11</v>
      </c>
      <c r="C99" s="94" t="s">
        <v>93</v>
      </c>
      <c r="D99" s="1">
        <v>386</v>
      </c>
      <c r="E99" s="94" t="s">
        <v>214</v>
      </c>
      <c r="F99" s="95">
        <v>123363.83</v>
      </c>
      <c r="G99" s="96">
        <v>123363.83</v>
      </c>
      <c r="H99" s="96">
        <v>0</v>
      </c>
      <c r="I99" s="61">
        <f t="shared" si="1"/>
        <v>0</v>
      </c>
      <c r="K99" s="69"/>
      <c r="M99" s="4"/>
    </row>
    <row r="100" spans="1:13" ht="13.5" thickBot="1" x14ac:dyDescent="0.25">
      <c r="A100" s="1" t="str">
        <f>VLOOKUP(D100,Alloc!$A$1:$B$123,2,FALSE)</f>
        <v>Distribution</v>
      </c>
      <c r="B100" s="94" t="s">
        <v>11</v>
      </c>
      <c r="C100" s="94" t="s">
        <v>93</v>
      </c>
      <c r="D100" s="1">
        <v>386.1</v>
      </c>
      <c r="E100" s="94" t="s">
        <v>246</v>
      </c>
      <c r="F100" s="95">
        <v>0</v>
      </c>
      <c r="G100" s="96">
        <v>0</v>
      </c>
      <c r="H100" s="96"/>
      <c r="I100" s="61">
        <f t="shared" si="1"/>
        <v>0</v>
      </c>
      <c r="K100" s="70">
        <f>SUM(K86:K99)</f>
        <v>3745.1099999999997</v>
      </c>
      <c r="M100" s="4"/>
    </row>
    <row r="101" spans="1:13" ht="13.5" thickTop="1" x14ac:dyDescent="0.2">
      <c r="A101" s="1" t="str">
        <f>VLOOKUP(D101,Alloc!$A$1:$B$123,2,FALSE)</f>
        <v>Distribution</v>
      </c>
      <c r="B101" s="94" t="s">
        <v>11</v>
      </c>
      <c r="C101" s="94" t="s">
        <v>93</v>
      </c>
      <c r="D101" s="1">
        <v>387.1</v>
      </c>
      <c r="E101" s="94" t="s">
        <v>95</v>
      </c>
      <c r="F101" s="95">
        <v>1425.64</v>
      </c>
      <c r="G101" s="96">
        <v>1425.64</v>
      </c>
      <c r="H101" s="96">
        <v>0</v>
      </c>
      <c r="I101" s="61">
        <f t="shared" si="1"/>
        <v>0</v>
      </c>
      <c r="K101" s="69"/>
      <c r="M101" s="4"/>
    </row>
    <row r="102" spans="1:13" x14ac:dyDescent="0.2">
      <c r="A102" s="1" t="str">
        <f>VLOOKUP(D102,Alloc!$A$1:$B$123,2,FALSE)</f>
        <v>Distribution</v>
      </c>
      <c r="B102" s="94" t="s">
        <v>11</v>
      </c>
      <c r="C102" s="94" t="s">
        <v>93</v>
      </c>
      <c r="D102" s="1">
        <v>387.2</v>
      </c>
      <c r="E102" s="94" t="s">
        <v>216</v>
      </c>
      <c r="F102" s="95">
        <v>0</v>
      </c>
      <c r="G102" s="96">
        <v>0</v>
      </c>
      <c r="H102" s="96">
        <v>0</v>
      </c>
      <c r="I102" s="61">
        <f t="shared" si="1"/>
        <v>0</v>
      </c>
      <c r="M102" s="4"/>
    </row>
    <row r="103" spans="1:13" x14ac:dyDescent="0.2">
      <c r="A103" s="1" t="str">
        <f>VLOOKUP(D103,Alloc!$A$1:$B$123,2,FALSE)</f>
        <v>Distribution</v>
      </c>
      <c r="B103" s="94" t="s">
        <v>11</v>
      </c>
      <c r="C103" s="94" t="s">
        <v>93</v>
      </c>
      <c r="D103" s="1">
        <v>387.3</v>
      </c>
      <c r="E103" s="94" t="s">
        <v>218</v>
      </c>
      <c r="F103" s="95">
        <v>0</v>
      </c>
      <c r="G103" s="96">
        <v>0</v>
      </c>
      <c r="H103" s="96">
        <v>0</v>
      </c>
      <c r="I103" s="61">
        <f t="shared" si="1"/>
        <v>0</v>
      </c>
      <c r="M103" s="4"/>
    </row>
    <row r="104" spans="1:13" x14ac:dyDescent="0.2">
      <c r="A104" s="1" t="str">
        <f>VLOOKUP(D104,Alloc!$A$1:$B$123,2,FALSE)</f>
        <v xml:space="preserve">Land </v>
      </c>
      <c r="B104" s="94" t="s">
        <v>11</v>
      </c>
      <c r="C104" s="94" t="s">
        <v>123</v>
      </c>
      <c r="D104" s="1">
        <v>389</v>
      </c>
      <c r="E104" s="94" t="s">
        <v>168</v>
      </c>
      <c r="F104" s="95">
        <v>0</v>
      </c>
      <c r="G104" s="96">
        <v>0</v>
      </c>
      <c r="H104" s="96">
        <v>0</v>
      </c>
      <c r="I104" s="61">
        <f t="shared" si="1"/>
        <v>0</v>
      </c>
      <c r="M104" s="4"/>
    </row>
    <row r="105" spans="1:13" x14ac:dyDescent="0.2">
      <c r="A105" s="1" t="str">
        <f>VLOOKUP(D105,Alloc!$A$1:$B$123,2,FALSE)</f>
        <v>Structures</v>
      </c>
      <c r="B105" s="94" t="s">
        <v>11</v>
      </c>
      <c r="C105" s="94" t="s">
        <v>123</v>
      </c>
      <c r="D105" s="1">
        <v>390</v>
      </c>
      <c r="E105" s="94" t="s">
        <v>70</v>
      </c>
      <c r="F105" s="95">
        <v>1706910.88</v>
      </c>
      <c r="G105" s="96">
        <v>1670711.14</v>
      </c>
      <c r="H105" s="96">
        <v>36199.74</v>
      </c>
      <c r="I105" s="61">
        <f t="shared" si="1"/>
        <v>0</v>
      </c>
      <c r="M105" s="4"/>
    </row>
    <row r="106" spans="1:13" x14ac:dyDescent="0.2">
      <c r="A106" s="1" t="str">
        <f>VLOOKUP(D106,Alloc!$A$1:$B$123,2,FALSE)</f>
        <v>General</v>
      </c>
      <c r="B106" s="94" t="s">
        <v>11</v>
      </c>
      <c r="C106" s="94" t="s">
        <v>123</v>
      </c>
      <c r="D106" s="1">
        <v>390.1</v>
      </c>
      <c r="E106" s="94" t="s">
        <v>155</v>
      </c>
      <c r="F106" s="95">
        <v>436053.21</v>
      </c>
      <c r="G106" s="96">
        <v>420504.11</v>
      </c>
      <c r="H106" s="96">
        <v>15549.1</v>
      </c>
      <c r="I106" s="61">
        <f t="shared" si="1"/>
        <v>3.4560798667371273E-11</v>
      </c>
      <c r="M106" s="4"/>
    </row>
    <row r="107" spans="1:13" x14ac:dyDescent="0.2">
      <c r="A107" s="1" t="str">
        <f>VLOOKUP(D107,Alloc!$A$1:$B$123,2,FALSE)</f>
        <v>General</v>
      </c>
      <c r="B107" s="94" t="s">
        <v>11</v>
      </c>
      <c r="C107" s="94" t="s">
        <v>123</v>
      </c>
      <c r="D107" s="1">
        <v>391.1</v>
      </c>
      <c r="E107" s="94" t="s">
        <v>153</v>
      </c>
      <c r="F107" s="95">
        <v>498170.7</v>
      </c>
      <c r="G107" s="96">
        <v>497344.61</v>
      </c>
      <c r="H107" s="96">
        <v>826.09</v>
      </c>
      <c r="I107" s="61">
        <f t="shared" si="1"/>
        <v>2.5579538487363607E-11</v>
      </c>
      <c r="M107" s="4"/>
    </row>
    <row r="108" spans="1:13" x14ac:dyDescent="0.2">
      <c r="A108" s="1" t="str">
        <f>VLOOKUP(D108,Alloc!$A$1:$B$123,2,FALSE)</f>
        <v>General</v>
      </c>
      <c r="B108" s="94" t="s">
        <v>11</v>
      </c>
      <c r="C108" s="94" t="s">
        <v>123</v>
      </c>
      <c r="D108" s="1">
        <v>391.2</v>
      </c>
      <c r="E108" s="94" t="s">
        <v>151</v>
      </c>
      <c r="F108" s="95">
        <v>7551443.3099999996</v>
      </c>
      <c r="G108" s="96">
        <v>7551443.3099999996</v>
      </c>
      <c r="H108" s="96">
        <v>0</v>
      </c>
      <c r="I108" s="61">
        <f t="shared" si="1"/>
        <v>0</v>
      </c>
      <c r="M108" s="4"/>
    </row>
    <row r="109" spans="1:13" x14ac:dyDescent="0.2">
      <c r="A109" s="1" t="str">
        <f>VLOOKUP(D109,Alloc!$A$1:$B$123,2,FALSE)</f>
        <v>General</v>
      </c>
      <c r="B109" s="94" t="s">
        <v>11</v>
      </c>
      <c r="C109" s="94" t="s">
        <v>123</v>
      </c>
      <c r="D109" s="1">
        <v>391.3</v>
      </c>
      <c r="E109" s="94" t="s">
        <v>149</v>
      </c>
      <c r="F109" s="95">
        <v>0</v>
      </c>
      <c r="G109" s="96">
        <v>0</v>
      </c>
      <c r="H109" s="96">
        <v>0</v>
      </c>
      <c r="I109" s="61">
        <f t="shared" si="1"/>
        <v>0</v>
      </c>
      <c r="M109" s="4"/>
    </row>
    <row r="110" spans="1:13" x14ac:dyDescent="0.2">
      <c r="A110" s="1" t="str">
        <f>VLOOKUP(D110,Alloc!$A$1:$B$123,2,FALSE)</f>
        <v>General</v>
      </c>
      <c r="B110" s="94" t="s">
        <v>11</v>
      </c>
      <c r="C110" s="94" t="s">
        <v>123</v>
      </c>
      <c r="D110" s="1">
        <v>391.4</v>
      </c>
      <c r="E110" s="94" t="s">
        <v>147</v>
      </c>
      <c r="F110" s="95">
        <v>0</v>
      </c>
      <c r="G110" s="96">
        <v>0</v>
      </c>
      <c r="H110" s="96">
        <v>0</v>
      </c>
      <c r="I110" s="61">
        <f t="shared" si="1"/>
        <v>0</v>
      </c>
      <c r="M110" s="4"/>
    </row>
    <row r="111" spans="1:13" x14ac:dyDescent="0.2">
      <c r="A111" s="1" t="str">
        <f>VLOOKUP(D111,Alloc!$A$1:$B$123,2,FALSE)</f>
        <v>General</v>
      </c>
      <c r="B111" s="94" t="s">
        <v>11</v>
      </c>
      <c r="C111" s="94" t="s">
        <v>123</v>
      </c>
      <c r="D111" s="1">
        <v>392</v>
      </c>
      <c r="E111" s="94" t="s">
        <v>145</v>
      </c>
      <c r="F111" s="95"/>
      <c r="G111" s="96"/>
      <c r="H111" s="96"/>
      <c r="I111" s="61">
        <f t="shared" si="1"/>
        <v>0</v>
      </c>
      <c r="J111" s="1" t="s">
        <v>316</v>
      </c>
      <c r="M111" s="4"/>
    </row>
    <row r="112" spans="1:13" x14ac:dyDescent="0.2">
      <c r="A112" s="1" t="str">
        <f>VLOOKUP(D112,Alloc!$A$1:$B$123,2,FALSE)</f>
        <v>General</v>
      </c>
      <c r="B112" s="94" t="s">
        <v>11</v>
      </c>
      <c r="C112" s="94" t="s">
        <v>123</v>
      </c>
      <c r="D112" s="1">
        <v>393</v>
      </c>
      <c r="E112" s="94" t="s">
        <v>221</v>
      </c>
      <c r="F112" s="95">
        <v>0</v>
      </c>
      <c r="G112" s="96">
        <v>0</v>
      </c>
      <c r="H112" s="96">
        <v>0</v>
      </c>
      <c r="I112" s="61">
        <f t="shared" si="1"/>
        <v>0</v>
      </c>
      <c r="M112" s="4"/>
    </row>
    <row r="113" spans="1:13" x14ac:dyDescent="0.2">
      <c r="A113" s="1" t="str">
        <f>VLOOKUP(D113,Alloc!$A$1:$B$123,2,FALSE)</f>
        <v>General</v>
      </c>
      <c r="B113" s="94" t="s">
        <v>11</v>
      </c>
      <c r="C113" s="94" t="s">
        <v>123</v>
      </c>
      <c r="D113" s="1">
        <v>394</v>
      </c>
      <c r="E113" s="94" t="s">
        <v>143</v>
      </c>
      <c r="F113" s="95"/>
      <c r="G113" s="96"/>
      <c r="H113" s="96"/>
      <c r="I113" s="61">
        <f t="shared" si="1"/>
        <v>0</v>
      </c>
      <c r="J113" s="1" t="s">
        <v>316</v>
      </c>
      <c r="M113" s="4"/>
    </row>
    <row r="114" spans="1:13" x14ac:dyDescent="0.2">
      <c r="A114" s="1" t="str">
        <f>VLOOKUP(D114,Alloc!$A$1:$B$123,2,FALSE)</f>
        <v>General</v>
      </c>
      <c r="B114" s="94" t="s">
        <v>11</v>
      </c>
      <c r="C114" s="94" t="s">
        <v>123</v>
      </c>
      <c r="D114" s="1">
        <v>395</v>
      </c>
      <c r="E114" s="94" t="s">
        <v>223</v>
      </c>
      <c r="F114" s="95">
        <v>-9.9600000000000009</v>
      </c>
      <c r="G114" s="96">
        <v>-9.9600000000000009</v>
      </c>
      <c r="H114" s="96">
        <v>0</v>
      </c>
      <c r="I114" s="61">
        <f t="shared" si="1"/>
        <v>0</v>
      </c>
      <c r="M114" s="4"/>
    </row>
    <row r="115" spans="1:13" x14ac:dyDescent="0.2">
      <c r="A115" s="1" t="str">
        <f>VLOOKUP(D115,Alloc!$A$1:$B$123,2,FALSE)</f>
        <v>General</v>
      </c>
      <c r="B115" s="94" t="s">
        <v>11</v>
      </c>
      <c r="C115" s="94" t="s">
        <v>123</v>
      </c>
      <c r="D115" s="1">
        <v>396</v>
      </c>
      <c r="E115" s="94" t="s">
        <v>141</v>
      </c>
      <c r="F115" s="95">
        <v>455433.78</v>
      </c>
      <c r="G115" s="96">
        <v>447524.96</v>
      </c>
      <c r="H115" s="96">
        <v>7908.82</v>
      </c>
      <c r="I115" s="61">
        <f t="shared" si="1"/>
        <v>7.2759576141834259E-12</v>
      </c>
      <c r="M115" s="4"/>
    </row>
    <row r="116" spans="1:13" x14ac:dyDescent="0.2">
      <c r="A116" s="1" t="str">
        <f>VLOOKUP(D116,Alloc!$A$1:$B$123,2,FALSE)</f>
        <v>General</v>
      </c>
      <c r="B116" s="94" t="s">
        <v>11</v>
      </c>
      <c r="C116" s="94" t="s">
        <v>123</v>
      </c>
      <c r="D116" s="1">
        <v>397</v>
      </c>
      <c r="E116" s="94" t="s">
        <v>139</v>
      </c>
      <c r="F116" s="95">
        <v>7009.09</v>
      </c>
      <c r="G116" s="96">
        <v>7009.09</v>
      </c>
      <c r="H116" s="96">
        <v>0</v>
      </c>
      <c r="I116" s="61">
        <f t="shared" si="1"/>
        <v>0</v>
      </c>
      <c r="M116" s="4"/>
    </row>
    <row r="117" spans="1:13" x14ac:dyDescent="0.2">
      <c r="A117" s="1" t="str">
        <f>VLOOKUP(D117,Alloc!$A$1:$B$123,2,FALSE)</f>
        <v>General</v>
      </c>
      <c r="B117" s="94" t="s">
        <v>11</v>
      </c>
      <c r="C117" s="94" t="s">
        <v>123</v>
      </c>
      <c r="D117" s="1">
        <v>397.1</v>
      </c>
      <c r="E117" s="94" t="s">
        <v>137</v>
      </c>
      <c r="F117" s="95">
        <v>389053.14</v>
      </c>
      <c r="G117" s="96">
        <v>386216.08</v>
      </c>
      <c r="H117" s="96">
        <v>2837.06</v>
      </c>
      <c r="I117" s="61">
        <f t="shared" si="1"/>
        <v>0</v>
      </c>
      <c r="M117" s="4"/>
    </row>
    <row r="118" spans="1:13" x14ac:dyDescent="0.2">
      <c r="A118" s="1" t="str">
        <f>VLOOKUP(D118,Alloc!$A$1:$B$123,2,FALSE)</f>
        <v>General</v>
      </c>
      <c r="B118" s="94" t="s">
        <v>11</v>
      </c>
      <c r="C118" s="94" t="s">
        <v>123</v>
      </c>
      <c r="D118" s="1">
        <v>397.2</v>
      </c>
      <c r="E118" s="94" t="s">
        <v>135</v>
      </c>
      <c r="F118" s="95">
        <v>-17469</v>
      </c>
      <c r="G118" s="96">
        <v>-17469</v>
      </c>
      <c r="H118" s="96">
        <v>0</v>
      </c>
      <c r="I118" s="61">
        <f t="shared" si="1"/>
        <v>0</v>
      </c>
      <c r="M118" s="4"/>
    </row>
    <row r="119" spans="1:13" x14ac:dyDescent="0.2">
      <c r="A119" s="1" t="str">
        <f>VLOOKUP(D119,Alloc!$A$1:$B$123,2,FALSE)</f>
        <v>General</v>
      </c>
      <c r="B119" s="94" t="s">
        <v>11</v>
      </c>
      <c r="C119" s="94" t="s">
        <v>123</v>
      </c>
      <c r="D119" s="1">
        <v>397.3</v>
      </c>
      <c r="E119" s="94" t="s">
        <v>133</v>
      </c>
      <c r="F119" s="95">
        <v>339488.98</v>
      </c>
      <c r="G119" s="96">
        <v>327576.34000000003</v>
      </c>
      <c r="H119" s="96">
        <v>11912.64</v>
      </c>
      <c r="I119" s="61">
        <f t="shared" si="1"/>
        <v>-4.3655745685100555E-11</v>
      </c>
      <c r="M119" s="4"/>
    </row>
    <row r="120" spans="1:13" x14ac:dyDescent="0.2">
      <c r="A120" s="1" t="str">
        <f>VLOOKUP(D120,Alloc!$A$1:$B$123,2,FALSE)</f>
        <v>General</v>
      </c>
      <c r="B120" s="94" t="s">
        <v>11</v>
      </c>
      <c r="C120" s="94" t="s">
        <v>123</v>
      </c>
      <c r="D120" s="1">
        <v>397.4</v>
      </c>
      <c r="E120" s="94" t="s">
        <v>131</v>
      </c>
      <c r="F120" s="95">
        <v>296735.09999999998</v>
      </c>
      <c r="G120" s="96">
        <v>296735.09999999998</v>
      </c>
      <c r="H120" s="96">
        <v>0</v>
      </c>
      <c r="I120" s="61">
        <f t="shared" si="1"/>
        <v>0</v>
      </c>
      <c r="M120" s="4"/>
    </row>
    <row r="121" spans="1:13" x14ac:dyDescent="0.2">
      <c r="A121" s="1" t="str">
        <f>VLOOKUP(D121,Alloc!$A$1:$B$123,2,FALSE)</f>
        <v>General</v>
      </c>
      <c r="B121" s="94" t="s">
        <v>11</v>
      </c>
      <c r="C121" s="94" t="s">
        <v>123</v>
      </c>
      <c r="D121" s="1">
        <v>397.5</v>
      </c>
      <c r="E121" s="94" t="s">
        <v>129</v>
      </c>
      <c r="F121" s="95">
        <v>33485.64</v>
      </c>
      <c r="G121" s="96">
        <v>33485.64</v>
      </c>
      <c r="H121" s="96">
        <v>0</v>
      </c>
      <c r="I121" s="61">
        <f t="shared" si="1"/>
        <v>0</v>
      </c>
      <c r="M121" s="4"/>
    </row>
    <row r="122" spans="1:13" x14ac:dyDescent="0.2">
      <c r="A122" s="1" t="str">
        <f>VLOOKUP(D122,Alloc!$A$1:$B$123,2,FALSE)</f>
        <v>General</v>
      </c>
      <c r="B122" s="94" t="s">
        <v>11</v>
      </c>
      <c r="C122" s="94" t="s">
        <v>123</v>
      </c>
      <c r="D122" s="1">
        <v>398</v>
      </c>
      <c r="E122" s="94" t="s">
        <v>225</v>
      </c>
      <c r="F122" s="95">
        <v>0</v>
      </c>
      <c r="G122" s="96">
        <v>0</v>
      </c>
      <c r="H122" s="96">
        <v>0</v>
      </c>
      <c r="I122" s="61">
        <f t="shared" si="1"/>
        <v>0</v>
      </c>
      <c r="M122" s="4"/>
    </row>
    <row r="123" spans="1:13" x14ac:dyDescent="0.2">
      <c r="A123" s="1" t="str">
        <f>VLOOKUP(D123,Alloc!$A$1:$B$123,2,FALSE)</f>
        <v>General</v>
      </c>
      <c r="B123" s="94" t="s">
        <v>11</v>
      </c>
      <c r="C123" s="94" t="s">
        <v>123</v>
      </c>
      <c r="D123" s="1">
        <v>398.1</v>
      </c>
      <c r="E123" s="94" t="s">
        <v>227</v>
      </c>
      <c r="F123" s="95">
        <v>-494.04</v>
      </c>
      <c r="G123" s="96">
        <v>-494.04</v>
      </c>
      <c r="H123" s="96">
        <v>0</v>
      </c>
      <c r="I123" s="61">
        <f t="shared" si="1"/>
        <v>0</v>
      </c>
      <c r="M123" s="4"/>
    </row>
    <row r="124" spans="1:13" x14ac:dyDescent="0.2">
      <c r="A124" s="1" t="str">
        <f>VLOOKUP(D124,Alloc!$A$1:$B$123,2,FALSE)</f>
        <v>General</v>
      </c>
      <c r="B124" s="94" t="s">
        <v>11</v>
      </c>
      <c r="C124" s="94" t="s">
        <v>123</v>
      </c>
      <c r="D124" s="1">
        <v>398.2</v>
      </c>
      <c r="E124" s="94" t="s">
        <v>127</v>
      </c>
      <c r="F124" s="95">
        <v>1541.97</v>
      </c>
      <c r="G124" s="96">
        <v>1541.97</v>
      </c>
      <c r="H124" s="96">
        <v>0</v>
      </c>
      <c r="I124" s="61">
        <f t="shared" si="1"/>
        <v>0</v>
      </c>
      <c r="M124" s="4"/>
    </row>
    <row r="125" spans="1:13" x14ac:dyDescent="0.2">
      <c r="A125" s="1" t="str">
        <f>VLOOKUP(D125,Alloc!$A$1:$B$123,2,FALSE)</f>
        <v>General</v>
      </c>
      <c r="B125" s="94" t="s">
        <v>11</v>
      </c>
      <c r="C125" s="94" t="s">
        <v>123</v>
      </c>
      <c r="D125" s="1">
        <v>398.3</v>
      </c>
      <c r="E125" s="94" t="s">
        <v>125</v>
      </c>
      <c r="F125" s="95">
        <v>0</v>
      </c>
      <c r="G125" s="96">
        <v>0</v>
      </c>
      <c r="H125" s="96">
        <v>0</v>
      </c>
      <c r="I125" s="61">
        <f t="shared" si="1"/>
        <v>0</v>
      </c>
      <c r="M125" s="4"/>
    </row>
    <row r="126" spans="1:13" x14ac:dyDescent="0.2">
      <c r="A126" s="1" t="str">
        <f>VLOOKUP(D126,Alloc!$A$1:$B$123,2,FALSE)</f>
        <v>General</v>
      </c>
      <c r="B126" s="94" t="s">
        <v>11</v>
      </c>
      <c r="C126" s="94" t="s">
        <v>123</v>
      </c>
      <c r="D126" s="1">
        <v>398.4</v>
      </c>
      <c r="E126" s="94" t="s">
        <v>229</v>
      </c>
      <c r="F126" s="95">
        <v>0</v>
      </c>
      <c r="G126" s="96">
        <v>0</v>
      </c>
      <c r="H126" s="96">
        <v>0</v>
      </c>
      <c r="I126" s="61">
        <f t="shared" si="1"/>
        <v>0</v>
      </c>
      <c r="M126" s="4"/>
    </row>
    <row r="127" spans="1:13" x14ac:dyDescent="0.2">
      <c r="A127" s="1" t="str">
        <f>VLOOKUP(D127,Alloc!$A$1:$B$123,2,FALSE)</f>
        <v>General</v>
      </c>
      <c r="B127" s="94" t="s">
        <v>11</v>
      </c>
      <c r="C127" s="94" t="s">
        <v>123</v>
      </c>
      <c r="D127" s="1">
        <v>398.5</v>
      </c>
      <c r="E127" s="94" t="s">
        <v>231</v>
      </c>
      <c r="F127" s="95">
        <v>0</v>
      </c>
      <c r="G127" s="96">
        <v>0</v>
      </c>
      <c r="H127" s="96">
        <v>0</v>
      </c>
      <c r="I127" s="61">
        <f t="shared" si="1"/>
        <v>0</v>
      </c>
      <c r="M127" s="4"/>
    </row>
    <row r="129" spans="1:10" ht="13.5" thickBot="1" x14ac:dyDescent="0.25">
      <c r="F129" s="71">
        <f>SUM(F6:F128)</f>
        <v>93582173.159999996</v>
      </c>
      <c r="G129" s="71">
        <f t="shared" ref="G129:I129" si="2">SUM(G6:G128)</f>
        <v>85232938.179999992</v>
      </c>
      <c r="H129" s="71">
        <f t="shared" si="2"/>
        <v>8349234.9799999995</v>
      </c>
      <c r="I129" s="71">
        <f t="shared" si="2"/>
        <v>-4.9737991503207013E-10</v>
      </c>
    </row>
    <row r="130" spans="1:10" ht="13.5" thickTop="1" x14ac:dyDescent="0.2">
      <c r="F130" s="1" t="b">
        <f>F129=SYSTEM!F145</f>
        <v>1</v>
      </c>
      <c r="G130" s="61" t="b">
        <f>G129=OR!F145+K100</f>
        <v>1</v>
      </c>
      <c r="H130" s="1" t="b">
        <f>H129=WA!F123</f>
        <v>1</v>
      </c>
      <c r="J130" s="61"/>
    </row>
    <row r="131" spans="1:10" ht="13.5" thickBot="1" x14ac:dyDescent="0.25"/>
    <row r="132" spans="1:10" x14ac:dyDescent="0.2">
      <c r="A132" s="72"/>
      <c r="B132" s="73"/>
      <c r="C132" s="73"/>
      <c r="D132" s="73"/>
      <c r="E132" s="73"/>
      <c r="F132" s="74" t="s">
        <v>296</v>
      </c>
      <c r="G132" s="74" t="s">
        <v>281</v>
      </c>
      <c r="H132" s="74" t="s">
        <v>282</v>
      </c>
      <c r="I132" s="75"/>
    </row>
    <row r="133" spans="1:10" ht="15" x14ac:dyDescent="0.25">
      <c r="A133" s="97" t="s">
        <v>286</v>
      </c>
      <c r="B133" s="76"/>
      <c r="C133" s="76"/>
      <c r="D133" s="76"/>
      <c r="E133" s="76"/>
      <c r="F133" s="77">
        <f>SUMIF($A$6:$A$127,$A$133,F$6:F$127)</f>
        <v>6643750.96</v>
      </c>
      <c r="G133" s="77">
        <f>SUMIF($A$6:$A$127,$A$133,G$6:G$127)</f>
        <v>6638570.1800000006</v>
      </c>
      <c r="H133" s="77">
        <f>SUMIF($A$6:$A$127,$A$133,H$6:H$127)</f>
        <v>5180.78</v>
      </c>
      <c r="I133" s="78"/>
    </row>
    <row r="134" spans="1:10" ht="15" x14ac:dyDescent="0.25">
      <c r="A134" s="97" t="s">
        <v>285</v>
      </c>
      <c r="B134" s="76"/>
      <c r="C134" s="76"/>
      <c r="D134" s="76"/>
      <c r="E134" s="76"/>
      <c r="F134" s="77">
        <f>SUMIF($A$6:$A$127,$A$134,F$6:F$127)</f>
        <v>0</v>
      </c>
      <c r="G134" s="77">
        <f>SUMIF($A$6:$A$127,$A$134,G$6:G$127)</f>
        <v>0</v>
      </c>
      <c r="H134" s="77">
        <f>SUMIF($A$6:$A$127,$A$134,H$6:H$127)</f>
        <v>0</v>
      </c>
      <c r="I134" s="78"/>
    </row>
    <row r="135" spans="1:10" ht="15" x14ac:dyDescent="0.25">
      <c r="A135" s="97" t="s">
        <v>287</v>
      </c>
      <c r="B135" s="76"/>
      <c r="C135" s="76"/>
      <c r="D135" s="76"/>
      <c r="E135" s="76"/>
      <c r="F135" s="77">
        <f>SUMIF($A$6:$A$127,$A$135,F$6:F$127)</f>
        <v>-0.01</v>
      </c>
      <c r="G135" s="77">
        <f>SUMIF($A$6:$A$127,$A$135,G$6:G$127)</f>
        <v>-0.01</v>
      </c>
      <c r="H135" s="77">
        <f>SUMIF($A$6:$A$127,$A$135,H$6:H$127)</f>
        <v>0</v>
      </c>
      <c r="I135" s="78"/>
    </row>
    <row r="136" spans="1:10" ht="15" x14ac:dyDescent="0.25">
      <c r="A136" s="97" t="s">
        <v>290</v>
      </c>
      <c r="B136" s="76"/>
      <c r="C136" s="76"/>
      <c r="D136" s="76"/>
      <c r="E136" s="76"/>
      <c r="F136" s="77">
        <f>SUMIF($A$6:$A$127,$A$136,F$6:F$127)</f>
        <v>3579722.6100000003</v>
      </c>
      <c r="G136" s="77">
        <f>SUMIF($A$6:$A$127,$A$136,G$6:G$127)</f>
        <v>3558755.2</v>
      </c>
      <c r="H136" s="77">
        <f>SUMIF($A$6:$A$127,$A$136,H$6:H$127)</f>
        <v>20967.41</v>
      </c>
      <c r="I136" s="78"/>
    </row>
    <row r="137" spans="1:10" ht="15" x14ac:dyDescent="0.25">
      <c r="A137" s="97" t="s">
        <v>291</v>
      </c>
      <c r="B137" s="76"/>
      <c r="C137" s="76"/>
      <c r="D137" s="76"/>
      <c r="E137" s="76"/>
      <c r="F137" s="77">
        <f>SUMIF($A$6:$A$127,$A$137,F$6:F$127)</f>
        <v>64850660.909999989</v>
      </c>
      <c r="G137" s="77">
        <f>SUMIF($A$6:$A$127,$A$137,G$6:G$127)</f>
        <v>56602807.569999993</v>
      </c>
      <c r="H137" s="77">
        <f>SUMIF($A$6:$A$127,$A$137,H$6:H$127)</f>
        <v>8247853.3399999989</v>
      </c>
      <c r="I137" s="78"/>
    </row>
    <row r="138" spans="1:10" ht="15" x14ac:dyDescent="0.25">
      <c r="A138" s="97" t="s">
        <v>294</v>
      </c>
      <c r="B138" s="76"/>
      <c r="C138" s="76"/>
      <c r="D138" s="76"/>
      <c r="E138" s="76"/>
      <c r="F138" s="77">
        <f>SUMIF($A$6:$A$127,$A$138,F$6:F$127)</f>
        <v>9990441.9199999999</v>
      </c>
      <c r="G138" s="77">
        <f>SUMIF($A$6:$A$127,$A$138,G$6:G$127)</f>
        <v>9951408.2100000009</v>
      </c>
      <c r="H138" s="77">
        <f>SUMIF($A$6:$A$127,$A$138,H$6:H$127)</f>
        <v>39033.710000000006</v>
      </c>
      <c r="I138" s="78"/>
    </row>
    <row r="139" spans="1:10" ht="15" x14ac:dyDescent="0.25">
      <c r="A139" s="98" t="s">
        <v>292</v>
      </c>
      <c r="B139" s="76"/>
      <c r="C139" s="76"/>
      <c r="D139" s="76"/>
      <c r="E139" s="76"/>
      <c r="F139" s="77">
        <f>SUMIF($A$6:$A$127,$A$139,F$6:F$127)</f>
        <v>0</v>
      </c>
      <c r="G139" s="77">
        <f>SUMIF($A$6:$A$127,$A$139,G$6:G$127)</f>
        <v>0</v>
      </c>
      <c r="H139" s="77">
        <f>SUMIF($A$6:$A$127,$A$139,H$6:H$127)</f>
        <v>0</v>
      </c>
      <c r="I139" s="78"/>
    </row>
    <row r="140" spans="1:10" ht="15" x14ac:dyDescent="0.25">
      <c r="A140" s="98" t="s">
        <v>293</v>
      </c>
      <c r="B140" s="76"/>
      <c r="C140" s="76"/>
      <c r="D140" s="76"/>
      <c r="E140" s="76"/>
      <c r="F140" s="77">
        <f>SUMIF($A$6:$A$127,$A$140,F$6:F$127)</f>
        <v>1706910.88</v>
      </c>
      <c r="G140" s="77">
        <f t="shared" ref="G140:H140" si="3">SUMIF($A$6:$A$127,$A$140,G$6:G$127)</f>
        <v>1670711.14</v>
      </c>
      <c r="H140" s="77">
        <f t="shared" si="3"/>
        <v>36199.74</v>
      </c>
      <c r="I140" s="78"/>
    </row>
    <row r="141" spans="1:10" ht="15" x14ac:dyDescent="0.25">
      <c r="A141" s="97" t="s">
        <v>295</v>
      </c>
      <c r="B141" s="76"/>
      <c r="C141" s="76"/>
      <c r="D141" s="76"/>
      <c r="E141" s="76"/>
      <c r="F141" s="77">
        <f>SUMIF($A$6:$A$127,$A$141,F$6:F$127)</f>
        <v>6730741.7599999998</v>
      </c>
      <c r="G141" s="77">
        <f>SUMIF($A$6:$A$127,$A$141,G$6:G$127)</f>
        <v>6730741.7599999998</v>
      </c>
      <c r="H141" s="77">
        <f>SUMIF($A$6:$A$127,$A$141,H$6:H$127)</f>
        <v>0</v>
      </c>
      <c r="I141" s="78"/>
    </row>
    <row r="142" spans="1:10" ht="15" x14ac:dyDescent="0.25">
      <c r="A142" s="97" t="s">
        <v>289</v>
      </c>
      <c r="B142" s="76"/>
      <c r="C142" s="76"/>
      <c r="D142" s="76"/>
      <c r="E142" s="76"/>
      <c r="F142" s="77">
        <f>SUMIF($A$6:$A$127,$A$142,F$6:F$127)</f>
        <v>79944.13</v>
      </c>
      <c r="G142" s="77">
        <f>SUMIF($A$6:$A$127,$A$142,G$6:G$127)</f>
        <v>79944.13</v>
      </c>
      <c r="H142" s="77">
        <f>SUMIF($A$6:$A$127,$A$142,H$6:H$127)</f>
        <v>0</v>
      </c>
      <c r="I142" s="78"/>
    </row>
    <row r="143" spans="1:10" ht="13.5" thickBot="1" x14ac:dyDescent="0.25">
      <c r="A143" s="79"/>
      <c r="B143" s="76"/>
      <c r="C143" s="76"/>
      <c r="D143" s="76"/>
      <c r="E143" s="76"/>
      <c r="F143" s="71">
        <f>SUM(F133:F142)</f>
        <v>93582173.159999982</v>
      </c>
      <c r="G143" s="71">
        <f t="shared" ref="G143:H143" si="4">SUM(G133:G142)</f>
        <v>85232938.180000007</v>
      </c>
      <c r="H143" s="71">
        <f t="shared" si="4"/>
        <v>8349234.9799999995</v>
      </c>
      <c r="I143" s="80"/>
    </row>
    <row r="144" spans="1:10" ht="13.5" thickTop="1" x14ac:dyDescent="0.2">
      <c r="A144" s="79"/>
      <c r="B144" s="76"/>
      <c r="C144" s="76"/>
      <c r="D144" s="76"/>
      <c r="E144" s="76"/>
      <c r="F144" s="76"/>
      <c r="G144" s="76"/>
      <c r="H144" s="76"/>
      <c r="I144" s="80"/>
    </row>
    <row r="145" spans="1:11" ht="15" x14ac:dyDescent="0.25">
      <c r="A145" s="97" t="s">
        <v>297</v>
      </c>
      <c r="B145" s="76"/>
      <c r="C145" s="76"/>
      <c r="D145" s="76"/>
      <c r="E145" s="99"/>
      <c r="F145" s="76"/>
      <c r="G145" s="76"/>
      <c r="H145" s="76"/>
      <c r="I145" s="80"/>
      <c r="J145" s="81" t="s">
        <v>1121</v>
      </c>
      <c r="K145" s="82" t="s">
        <v>1122</v>
      </c>
    </row>
    <row r="146" spans="1:11" ht="15" x14ac:dyDescent="0.25">
      <c r="A146" s="97" t="s">
        <v>286</v>
      </c>
      <c r="B146" s="76"/>
      <c r="C146" s="76"/>
      <c r="D146" s="60">
        <f>'[1]Primary and Summary'!$D$105</f>
        <v>0.11529999999999996</v>
      </c>
      <c r="E146" s="99" t="s">
        <v>298</v>
      </c>
      <c r="F146" s="83">
        <f>F133</f>
        <v>6643750.96</v>
      </c>
      <c r="G146" s="83">
        <f>F146-H146</f>
        <v>5877726.474312</v>
      </c>
      <c r="H146" s="83">
        <f>F133*D146</f>
        <v>766024.48568799975</v>
      </c>
      <c r="I146" s="80"/>
      <c r="J146" s="12">
        <f>'Dep Exp_Sep20'!I147</f>
        <v>905252.5408588904</v>
      </c>
      <c r="K146" s="84">
        <f>J146-H146</f>
        <v>139228.05517089064</v>
      </c>
    </row>
    <row r="147" spans="1:11" ht="15" x14ac:dyDescent="0.25">
      <c r="A147" s="97" t="s">
        <v>285</v>
      </c>
      <c r="B147" s="76"/>
      <c r="C147" s="76"/>
      <c r="D147" s="60">
        <f>'[1]Primary and Summary'!$D$120</f>
        <v>1</v>
      </c>
      <c r="E147" s="99" t="s">
        <v>299</v>
      </c>
      <c r="F147" s="83">
        <f t="shared" ref="F147:F155" si="5">F134</f>
        <v>0</v>
      </c>
      <c r="G147" s="83">
        <f t="shared" ref="G147:G155" si="6">F147-H147</f>
        <v>0</v>
      </c>
      <c r="H147" s="83">
        <f>H134</f>
        <v>0</v>
      </c>
      <c r="I147" s="80"/>
      <c r="J147" s="12">
        <f>'Dep Exp_Sep20'!I148</f>
        <v>0</v>
      </c>
      <c r="K147" s="84">
        <f t="shared" ref="K147:K155" si="7">J147-H147</f>
        <v>0</v>
      </c>
    </row>
    <row r="148" spans="1:11" ht="15" x14ac:dyDescent="0.25">
      <c r="A148" s="97" t="s">
        <v>287</v>
      </c>
      <c r="B148" s="76"/>
      <c r="C148" s="76"/>
      <c r="D148" s="60">
        <f>'[1]Primary and Summary'!$D$120</f>
        <v>1</v>
      </c>
      <c r="E148" s="99" t="s">
        <v>299</v>
      </c>
      <c r="F148" s="83">
        <f t="shared" si="5"/>
        <v>-0.01</v>
      </c>
      <c r="G148" s="83">
        <f t="shared" si="6"/>
        <v>-0.01</v>
      </c>
      <c r="H148" s="83">
        <f>H135</f>
        <v>0</v>
      </c>
      <c r="I148" s="80"/>
      <c r="J148" s="12">
        <f>'Dep Exp_Sep20'!I149</f>
        <v>0</v>
      </c>
      <c r="K148" s="84">
        <f t="shared" si="7"/>
        <v>0</v>
      </c>
    </row>
    <row r="149" spans="1:11" ht="15" x14ac:dyDescent="0.25">
      <c r="A149" s="97" t="s">
        <v>290</v>
      </c>
      <c r="B149" s="76"/>
      <c r="C149" s="76"/>
      <c r="D149" s="60">
        <f>'[1]Primary and Summary'!$D$120</f>
        <v>1</v>
      </c>
      <c r="E149" s="99" t="s">
        <v>299</v>
      </c>
      <c r="F149" s="83">
        <f t="shared" si="5"/>
        <v>3579722.6100000003</v>
      </c>
      <c r="G149" s="83">
        <f t="shared" si="6"/>
        <v>3558755.2</v>
      </c>
      <c r="H149" s="83">
        <f>H136</f>
        <v>20967.41</v>
      </c>
      <c r="I149" s="80"/>
      <c r="J149" s="12">
        <f>'Dep Exp_Sep20'!I150</f>
        <v>20973.924087999996</v>
      </c>
      <c r="K149" s="84">
        <f t="shared" si="7"/>
        <v>6.5140879999962635</v>
      </c>
    </row>
    <row r="150" spans="1:11" ht="15" x14ac:dyDescent="0.25">
      <c r="A150" s="97" t="s">
        <v>291</v>
      </c>
      <c r="B150" s="76"/>
      <c r="C150" s="76"/>
      <c r="D150" s="60">
        <f>'[1]Primary and Summary'!$D$120</f>
        <v>1</v>
      </c>
      <c r="E150" s="99" t="s">
        <v>299</v>
      </c>
      <c r="F150" s="83">
        <f t="shared" si="5"/>
        <v>64850660.909999989</v>
      </c>
      <c r="G150" s="83">
        <f t="shared" si="6"/>
        <v>56602807.569999993</v>
      </c>
      <c r="H150" s="83">
        <f>H137</f>
        <v>8247853.3399999989</v>
      </c>
      <c r="I150" s="80"/>
      <c r="J150" s="12">
        <f>'Dep Exp_Sep20'!I151</f>
        <v>8325647.7603160003</v>
      </c>
      <c r="K150" s="84">
        <f t="shared" si="7"/>
        <v>77794.4203160014</v>
      </c>
    </row>
    <row r="151" spans="1:11" ht="15" x14ac:dyDescent="0.25">
      <c r="A151" s="97" t="s">
        <v>294</v>
      </c>
      <c r="B151" s="76"/>
      <c r="C151" s="76"/>
      <c r="D151" s="60">
        <f>'[1]Primary and Summary'!$D$110</f>
        <v>0.10960000000000003</v>
      </c>
      <c r="E151" s="3" t="s">
        <v>300</v>
      </c>
      <c r="F151" s="83">
        <f t="shared" si="5"/>
        <v>9990441.9199999999</v>
      </c>
      <c r="G151" s="83">
        <f t="shared" si="6"/>
        <v>8895489.485568</v>
      </c>
      <c r="H151" s="83">
        <f>F138*D151</f>
        <v>1094952.4344320004</v>
      </c>
      <c r="I151" s="80"/>
      <c r="J151" s="12">
        <f>'Dep Exp_Sep20'!I152</f>
        <v>1502264.6398420732</v>
      </c>
      <c r="K151" s="84">
        <f t="shared" si="7"/>
        <v>407312.20541007281</v>
      </c>
    </row>
    <row r="152" spans="1:11" ht="15" x14ac:dyDescent="0.25">
      <c r="A152" s="98" t="s">
        <v>292</v>
      </c>
      <c r="B152" s="76"/>
      <c r="C152" s="76"/>
      <c r="D152" s="60">
        <f>[2]Summary!$D12</f>
        <v>0.15610907092426418</v>
      </c>
      <c r="E152" s="3" t="s">
        <v>303</v>
      </c>
      <c r="F152" s="83">
        <f t="shared" si="5"/>
        <v>0</v>
      </c>
      <c r="G152" s="83">
        <f t="shared" si="6"/>
        <v>0</v>
      </c>
      <c r="H152" s="83">
        <f>F139*D152</f>
        <v>0</v>
      </c>
      <c r="I152" s="80"/>
      <c r="J152" s="12">
        <f>'Dep Exp_Sep20'!I153</f>
        <v>0</v>
      </c>
      <c r="K152" s="84">
        <f t="shared" si="7"/>
        <v>0</v>
      </c>
    </row>
    <row r="153" spans="1:11" ht="15" x14ac:dyDescent="0.25">
      <c r="A153" s="98" t="s">
        <v>293</v>
      </c>
      <c r="B153" s="76"/>
      <c r="C153" s="76"/>
      <c r="D153" s="60">
        <f>[2]Summary!$D13</f>
        <v>8.1521967401518625E-2</v>
      </c>
      <c r="E153" s="3" t="s">
        <v>303</v>
      </c>
      <c r="F153" s="83">
        <f t="shared" si="5"/>
        <v>1706910.88</v>
      </c>
      <c r="G153" s="83">
        <f t="shared" si="6"/>
        <v>1567760.1468833424</v>
      </c>
      <c r="H153" s="83">
        <f>F140*D153</f>
        <v>139150.73311665747</v>
      </c>
      <c r="I153" s="80"/>
      <c r="J153" s="12">
        <f>'Dep Exp_Sep20'!I154</f>
        <v>139668.41147564701</v>
      </c>
      <c r="K153" s="84">
        <f t="shared" si="7"/>
        <v>517.6783589895349</v>
      </c>
    </row>
    <row r="154" spans="1:11" ht="15" x14ac:dyDescent="0.25">
      <c r="A154" s="97" t="s">
        <v>295</v>
      </c>
      <c r="B154" s="76"/>
      <c r="C154" s="76"/>
      <c r="D154" s="60">
        <f>'[1]Primary and Summary'!$D$111</f>
        <v>0.10809999999999997</v>
      </c>
      <c r="E154" s="99" t="s">
        <v>301</v>
      </c>
      <c r="F154" s="83">
        <f t="shared" si="5"/>
        <v>6730741.7599999998</v>
      </c>
      <c r="G154" s="83">
        <f t="shared" si="6"/>
        <v>6072592.0157439997</v>
      </c>
      <c r="H154" s="83">
        <f>(F141+B158)*D154</f>
        <v>658149.7442559998</v>
      </c>
      <c r="I154" s="100" t="s">
        <v>304</v>
      </c>
      <c r="J154" s="12">
        <f>'Dep Exp_Sep20'!I155</f>
        <v>662925.75997573766</v>
      </c>
      <c r="K154" s="84">
        <f t="shared" si="7"/>
        <v>4776.0157197378576</v>
      </c>
    </row>
    <row r="155" spans="1:11" ht="15" x14ac:dyDescent="0.25">
      <c r="A155" s="97" t="s">
        <v>289</v>
      </c>
      <c r="B155" s="76"/>
      <c r="C155" s="76"/>
      <c r="D155" s="60">
        <f>'[1]Primary and Summary'!$D$110</f>
        <v>0.10960000000000003</v>
      </c>
      <c r="E155" s="3" t="s">
        <v>300</v>
      </c>
      <c r="F155" s="83">
        <f t="shared" si="5"/>
        <v>79944.13</v>
      </c>
      <c r="G155" s="83">
        <f t="shared" si="6"/>
        <v>71182.253352</v>
      </c>
      <c r="H155" s="83">
        <f>F142*D155</f>
        <v>8761.8766480000031</v>
      </c>
      <c r="I155" s="80"/>
      <c r="J155" s="12">
        <f>'Dep Exp_Sep20'!I156</f>
        <v>8761.8560254448039</v>
      </c>
      <c r="K155" s="84">
        <f t="shared" si="7"/>
        <v>-2.0622555199224735E-2</v>
      </c>
    </row>
    <row r="156" spans="1:11" ht="15" x14ac:dyDescent="0.25">
      <c r="A156" s="97"/>
      <c r="B156" s="76"/>
      <c r="C156" s="76"/>
      <c r="D156" s="60"/>
      <c r="E156" s="3"/>
      <c r="F156" s="76"/>
      <c r="G156" s="76"/>
      <c r="H156" s="85"/>
      <c r="I156" s="80"/>
    </row>
    <row r="157" spans="1:11" ht="15.75" thickBot="1" x14ac:dyDescent="0.3">
      <c r="A157" s="97"/>
      <c r="B157" s="76"/>
      <c r="C157" s="76"/>
      <c r="D157" s="60"/>
      <c r="E157" s="3"/>
      <c r="F157" s="86">
        <f>SUM(F146:F155)</f>
        <v>93582173.159999982</v>
      </c>
      <c r="G157" s="86">
        <f t="shared" ref="G157:H157" si="8">SUM(G146:G155)</f>
        <v>82646313.13585934</v>
      </c>
      <c r="H157" s="86">
        <f t="shared" si="8"/>
        <v>10935860.024140656</v>
      </c>
      <c r="I157" s="80"/>
      <c r="J157" s="87">
        <f>SUM(J146:J156)</f>
        <v>11565494.892581793</v>
      </c>
      <c r="K157" s="87">
        <f>SUM(K146:K156)</f>
        <v>629634.86844113702</v>
      </c>
    </row>
    <row r="158" spans="1:11" ht="16.5" thickTop="1" thickBot="1" x14ac:dyDescent="0.25">
      <c r="A158" s="101" t="s">
        <v>305</v>
      </c>
      <c r="B158" s="88">
        <f>'[3]2021 WA GRC'!$D$15</f>
        <v>-642400.00000000012</v>
      </c>
      <c r="C158" s="89"/>
      <c r="D158" s="89"/>
      <c r="E158" s="90"/>
      <c r="F158" s="91">
        <f>SUM(G158:H158)</f>
        <v>1</v>
      </c>
      <c r="G158" s="92">
        <f>1-H158</f>
        <v>0.88314163205589036</v>
      </c>
      <c r="H158" s="92">
        <f>H157/F157</f>
        <v>0.1168583679441096</v>
      </c>
      <c r="I158" s="93"/>
    </row>
    <row r="160" spans="1:11" x14ac:dyDescent="0.2">
      <c r="E160" s="1" t="s">
        <v>1097</v>
      </c>
      <c r="F160" s="12">
        <f>'Dep Exp_Sep20'!J158</f>
        <v>100081442.89624299</v>
      </c>
      <c r="G160" s="12">
        <f>'Dep Exp_Sep20'!H158</f>
        <v>88515948.0036612</v>
      </c>
      <c r="H160" s="12">
        <f>'Dep Exp_Sep20'!I158</f>
        <v>11565494.892581793</v>
      </c>
    </row>
    <row r="161" spans="5:8" x14ac:dyDescent="0.2">
      <c r="E161" s="1" t="s">
        <v>312</v>
      </c>
      <c r="F161" s="84">
        <f>F157-F160</f>
        <v>-6499269.7362430096</v>
      </c>
      <c r="G161" s="84">
        <f>G157-G160</f>
        <v>-5869634.86780186</v>
      </c>
      <c r="H161" s="84">
        <f t="shared" ref="H161" si="9">H157-H160</f>
        <v>-629634.86844113655</v>
      </c>
    </row>
    <row r="162" spans="5:8" x14ac:dyDescent="0.2">
      <c r="F162" s="84"/>
      <c r="G162" s="84"/>
      <c r="H162" s="84"/>
    </row>
    <row r="163" spans="5:8" x14ac:dyDescent="0.2">
      <c r="E163" s="1" t="s">
        <v>1098</v>
      </c>
      <c r="F163" s="12">
        <f>'Dep Exp_AMA'!J158</f>
        <v>94733666.827687487</v>
      </c>
      <c r="G163" s="12">
        <f>'Dep Exp_AMA'!H158</f>
        <v>83739609.117985025</v>
      </c>
      <c r="H163" s="12">
        <f>'Dep Exp_AMA'!I158</f>
        <v>10994057.709702445</v>
      </c>
    </row>
    <row r="164" spans="5:8" x14ac:dyDescent="0.2">
      <c r="E164" s="1" t="s">
        <v>312</v>
      </c>
      <c r="F164" s="84">
        <f>F157-F163</f>
        <v>-1151493.6676875055</v>
      </c>
      <c r="G164" s="84">
        <f t="shared" ref="G164:H164" si="10">G157-G163</f>
        <v>-1093295.9821256846</v>
      </c>
      <c r="H164" s="84">
        <f t="shared" si="10"/>
        <v>-58197.6855617892</v>
      </c>
    </row>
    <row r="166" spans="5:8" x14ac:dyDescent="0.2">
      <c r="E166" s="1" t="s">
        <v>1096</v>
      </c>
      <c r="F166" s="12">
        <f>IS_TTM_Sep20!N606-IS_TTM_Sep20!N608</f>
        <v>93602999.080000013</v>
      </c>
    </row>
    <row r="167" spans="5:8" x14ac:dyDescent="0.2">
      <c r="E167" s="1" t="s">
        <v>312</v>
      </c>
      <c r="F167" s="84">
        <f>F157-F166</f>
        <v>-20825.92000003159</v>
      </c>
    </row>
  </sheetData>
  <autoFilter ref="A5:I127" xr:uid="{12A60414-68A5-4126-A8F6-6FD7BA382C8B}"/>
  <pageMargins left="0.7" right="0.7" top="0.75" bottom="0.75" header="0.3" footer="0.3"/>
  <pageSetup orientation="portrait" horizontalDpi="0" verticalDpi="0" r:id="rId1"/>
  <headerFooter>
    <oddHeader>&amp;R Exh. KTW-5 Walker WP7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19A5-FE53-49E7-AF57-818B6FC7025D}">
  <dimension ref="A1:Q159"/>
  <sheetViews>
    <sheetView showGridLines="0" zoomScale="90" zoomScaleNormal="90" workbookViewId="0">
      <pane xSplit="3" ySplit="6" topLeftCell="D70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defaultRowHeight="12.75" x14ac:dyDescent="0.2"/>
  <cols>
    <col min="1" max="1" width="30.28515625" style="1" bestFit="1" customWidth="1"/>
    <col min="2" max="2" width="12.140625" style="1" customWidth="1"/>
    <col min="3" max="3" width="39.28515625" style="1" customWidth="1"/>
    <col min="4" max="4" width="15" style="1" customWidth="1"/>
    <col min="5" max="5" width="15.85546875" style="12" customWidth="1"/>
    <col min="6" max="6" width="14.42578125" style="1" customWidth="1"/>
    <col min="7" max="7" width="12.28515625" style="1" customWidth="1"/>
    <col min="8" max="8" width="13.7109375" style="12" customWidth="1"/>
    <col min="9" max="9" width="13.85546875" style="1" customWidth="1"/>
    <col min="10" max="11" width="14.42578125" style="1" customWidth="1"/>
    <col min="12" max="12" width="19.5703125" style="1" customWidth="1"/>
    <col min="13" max="13" width="14" style="1" customWidth="1"/>
    <col min="14" max="14" width="12.7109375" style="1" customWidth="1"/>
    <col min="15" max="15" width="14" style="1" customWidth="1"/>
    <col min="16" max="17" width="12.7109375" style="1" customWidth="1"/>
    <col min="18" max="16384" width="9.140625" style="1"/>
  </cols>
  <sheetData>
    <row r="1" spans="1:11" x14ac:dyDescent="0.2">
      <c r="A1" s="63" t="s">
        <v>279</v>
      </c>
    </row>
    <row r="2" spans="1:11" x14ac:dyDescent="0.2">
      <c r="A2" s="63" t="s">
        <v>1124</v>
      </c>
    </row>
    <row r="5" spans="1:11" ht="15" x14ac:dyDescent="0.25">
      <c r="A5" s="131" t="s">
        <v>306</v>
      </c>
      <c r="B5" s="132"/>
      <c r="D5" s="102" t="s">
        <v>280</v>
      </c>
      <c r="E5" s="103" t="s">
        <v>281</v>
      </c>
      <c r="F5" s="102" t="s">
        <v>282</v>
      </c>
      <c r="H5" s="103" t="s">
        <v>281</v>
      </c>
      <c r="I5" s="102" t="s">
        <v>282</v>
      </c>
      <c r="J5" s="102" t="s">
        <v>280</v>
      </c>
      <c r="K5" s="104"/>
    </row>
    <row r="6" spans="1:11" ht="26.25" x14ac:dyDescent="0.25">
      <c r="A6" s="133" t="s">
        <v>284</v>
      </c>
      <c r="B6" s="134" t="s">
        <v>307</v>
      </c>
      <c r="C6" s="134" t="s">
        <v>308</v>
      </c>
      <c r="D6" s="105">
        <v>44075</v>
      </c>
      <c r="E6" s="105">
        <v>44075</v>
      </c>
      <c r="F6" s="105">
        <v>44075</v>
      </c>
      <c r="G6" s="9" t="s">
        <v>310</v>
      </c>
      <c r="H6" s="10" t="s">
        <v>311</v>
      </c>
      <c r="I6" s="9" t="s">
        <v>311</v>
      </c>
      <c r="J6" s="9" t="s">
        <v>311</v>
      </c>
      <c r="K6" s="62"/>
    </row>
    <row r="7" spans="1:11" x14ac:dyDescent="0.2">
      <c r="A7" s="5" t="s">
        <v>285</v>
      </c>
      <c r="B7" s="4">
        <v>301</v>
      </c>
      <c r="C7" s="1" t="s">
        <v>158</v>
      </c>
      <c r="D7" s="12">
        <f t="shared" ref="D7:D38" si="0">SUM(E7:F7)</f>
        <v>1174</v>
      </c>
      <c r="E7" s="12">
        <v>852</v>
      </c>
      <c r="F7" s="12">
        <v>322</v>
      </c>
      <c r="G7" s="13">
        <f>VLOOKUP(B7,Alloc!$D$1:$F$139,3,FALSE)</f>
        <v>0</v>
      </c>
      <c r="H7" s="12">
        <f>IF(Actual!F6&gt;0,E7*G7,0)</f>
        <v>0</v>
      </c>
      <c r="I7" s="12">
        <f>IF(Actual!F6&gt;0,F7*G7,0)</f>
        <v>0</v>
      </c>
      <c r="J7" s="84">
        <f>SUM(H7:I7)</f>
        <v>0</v>
      </c>
      <c r="K7" s="84"/>
    </row>
    <row r="8" spans="1:11" x14ac:dyDescent="0.2">
      <c r="A8" s="5" t="s">
        <v>285</v>
      </c>
      <c r="B8" s="4">
        <v>302</v>
      </c>
      <c r="C8" s="1" t="s">
        <v>160</v>
      </c>
      <c r="D8" s="12">
        <f t="shared" si="0"/>
        <v>83621.27</v>
      </c>
      <c r="E8" s="12">
        <v>83496.27</v>
      </c>
      <c r="F8" s="12">
        <v>125</v>
      </c>
      <c r="G8" s="13">
        <f>VLOOKUP(B8,Alloc!$D$1:$F$139,3,FALSE)</f>
        <v>0</v>
      </c>
      <c r="H8" s="12">
        <f>IF(Actual!F7&gt;0,E8*G8,0)</f>
        <v>0</v>
      </c>
      <c r="I8" s="12">
        <f>IF(Actual!F7&gt;0,F8*G8,0)</f>
        <v>0</v>
      </c>
      <c r="J8" s="84">
        <f t="shared" ref="J8:J71" si="1">SUM(H8:I8)</f>
        <v>0</v>
      </c>
      <c r="K8" s="84"/>
    </row>
    <row r="9" spans="1:11" x14ac:dyDescent="0.2">
      <c r="A9" s="5" t="s">
        <v>286</v>
      </c>
      <c r="B9" s="4">
        <v>303.10000000000002</v>
      </c>
      <c r="C9" s="1" t="s">
        <v>16</v>
      </c>
      <c r="D9" s="12">
        <f t="shared" si="0"/>
        <v>109625821.61999999</v>
      </c>
      <c r="E9" s="12">
        <v>109549395.06999999</v>
      </c>
      <c r="F9" s="12">
        <v>76426.549999999988</v>
      </c>
      <c r="G9" s="13">
        <f>VLOOKUP(B9,Alloc!$D$1:$F$139,3,FALSE)</f>
        <v>6.7799999999999999E-2</v>
      </c>
      <c r="H9" s="12">
        <f>IF(Actual!F8&gt;0,E9*G9,0)</f>
        <v>7427448.985745999</v>
      </c>
      <c r="I9" s="12">
        <f>IF(Actual!F8&gt;0,F9*G9,0)</f>
        <v>5181.7200899999989</v>
      </c>
      <c r="J9" s="84">
        <f t="shared" si="1"/>
        <v>7432630.705835999</v>
      </c>
      <c r="K9" s="84"/>
    </row>
    <row r="10" spans="1:11" x14ac:dyDescent="0.2">
      <c r="A10" s="5" t="s">
        <v>286</v>
      </c>
      <c r="B10" s="4">
        <v>303.2</v>
      </c>
      <c r="C10" s="1" t="s">
        <v>147</v>
      </c>
      <c r="D10" s="12">
        <f t="shared" si="0"/>
        <v>32348167.73</v>
      </c>
      <c r="E10" s="12">
        <v>30488304.73</v>
      </c>
      <c r="F10" s="12">
        <v>1859863</v>
      </c>
      <c r="G10" s="13">
        <f>VLOOKUP(B10,Alloc!$D$1:$F$139,3,FALSE)</f>
        <v>1E-4</v>
      </c>
      <c r="H10" s="12">
        <f>IF(Actual!F9&gt;0,E10*G10,0)</f>
        <v>0</v>
      </c>
      <c r="I10" s="12">
        <f>IF(Actual!F9&gt;0,F10*G10,0)</f>
        <v>0</v>
      </c>
      <c r="J10" s="84">
        <f t="shared" si="1"/>
        <v>0</v>
      </c>
      <c r="K10" s="84"/>
    </row>
    <row r="11" spans="1:11" x14ac:dyDescent="0.2">
      <c r="A11" s="5" t="s">
        <v>286</v>
      </c>
      <c r="B11" s="4">
        <v>303.3</v>
      </c>
      <c r="C11" s="1" t="s">
        <v>163</v>
      </c>
      <c r="D11" s="12">
        <f t="shared" si="0"/>
        <v>4146951</v>
      </c>
      <c r="E11" s="12">
        <v>4146951</v>
      </c>
      <c r="F11" s="12"/>
      <c r="G11" s="13">
        <f>VLOOKUP(B11,Alloc!$D$1:$F$139,3,FALSE)</f>
        <v>0</v>
      </c>
      <c r="H11" s="12">
        <f>IF(Actual!F10&gt;0,E11*G11,0)</f>
        <v>0</v>
      </c>
      <c r="I11" s="12">
        <f>IF(Actual!F10&gt;0,F11*G11,0)</f>
        <v>0</v>
      </c>
      <c r="J11" s="84">
        <f t="shared" si="1"/>
        <v>0</v>
      </c>
      <c r="K11" s="84"/>
    </row>
    <row r="12" spans="1:11" x14ac:dyDescent="0.2">
      <c r="A12" s="5" t="s">
        <v>286</v>
      </c>
      <c r="B12" s="4">
        <v>303.39999999999998</v>
      </c>
      <c r="C12" s="1" t="s">
        <v>14</v>
      </c>
      <c r="D12" s="12">
        <f t="shared" si="0"/>
        <v>0</v>
      </c>
      <c r="E12" s="12">
        <v>0</v>
      </c>
      <c r="F12" s="12"/>
      <c r="G12" s="13">
        <f>VLOOKUP(B12,Alloc!$D$1:$F$139,3,FALSE)</f>
        <v>0.1096</v>
      </c>
      <c r="H12" s="12">
        <f>IF(Actual!F11&gt;0,E12*G12,0)</f>
        <v>0</v>
      </c>
      <c r="I12" s="12">
        <f>IF(Actual!F11&gt;0,F12*G12,0)</f>
        <v>0</v>
      </c>
      <c r="J12" s="84">
        <f t="shared" si="1"/>
        <v>0</v>
      </c>
      <c r="K12" s="84"/>
    </row>
    <row r="13" spans="1:11" x14ac:dyDescent="0.2">
      <c r="A13" s="5" t="s">
        <v>286</v>
      </c>
      <c r="B13" s="4">
        <v>303.5</v>
      </c>
      <c r="C13" s="1" t="s">
        <v>165</v>
      </c>
      <c r="D13" s="12">
        <f t="shared" si="0"/>
        <v>0</v>
      </c>
      <c r="E13" s="12">
        <v>0</v>
      </c>
      <c r="F13" s="12"/>
      <c r="G13" s="13">
        <f>VLOOKUP(B13,Alloc!$D$1:$F$139,3,FALSE)</f>
        <v>0</v>
      </c>
      <c r="H13" s="12">
        <f>IF(Actual!F12&gt;0,E13*G13,0)</f>
        <v>0</v>
      </c>
      <c r="I13" s="12">
        <f>IF(Actual!F12&gt;0,F13*G13,0)</f>
        <v>0</v>
      </c>
      <c r="J13" s="84">
        <f t="shared" si="1"/>
        <v>0</v>
      </c>
      <c r="K13" s="84"/>
    </row>
    <row r="14" spans="1:11" x14ac:dyDescent="0.2">
      <c r="A14" s="5" t="s">
        <v>286</v>
      </c>
      <c r="B14" s="4">
        <v>303.7</v>
      </c>
      <c r="C14" s="1" t="s">
        <v>276</v>
      </c>
      <c r="D14" s="12">
        <f t="shared" si="0"/>
        <v>1957510.7200000002</v>
      </c>
      <c r="E14" s="12">
        <v>1957510.7200000002</v>
      </c>
      <c r="F14" s="12"/>
      <c r="G14" s="13">
        <f>VLOOKUP(B14,Alloc!$D$1:$F$139,3,FALSE)</f>
        <v>0.21386800885565521</v>
      </c>
      <c r="H14" s="12">
        <f>IF(Actual!F13&gt;0,E14*G14,0)</f>
        <v>418648.92000000004</v>
      </c>
      <c r="I14" s="12">
        <f>IF(Actual!F13&gt;0,F14*G14,0)</f>
        <v>0</v>
      </c>
      <c r="J14" s="84">
        <f t="shared" si="1"/>
        <v>418648.92000000004</v>
      </c>
      <c r="K14" s="84"/>
    </row>
    <row r="15" spans="1:11" x14ac:dyDescent="0.2">
      <c r="A15" s="1" t="s">
        <v>287</v>
      </c>
      <c r="B15" s="4">
        <v>304.10000000000002</v>
      </c>
      <c r="C15" s="1" t="s">
        <v>168</v>
      </c>
      <c r="D15" s="12">
        <f t="shared" si="0"/>
        <v>24998</v>
      </c>
      <c r="E15" s="12">
        <v>24998</v>
      </c>
      <c r="F15" s="12"/>
      <c r="G15" s="13">
        <f>VLOOKUP(B15,Alloc!$D$1:$F$139,3,FALSE)</f>
        <v>0</v>
      </c>
      <c r="H15" s="12">
        <f>IF(Actual!F14&gt;0,E15*G15,0)</f>
        <v>0</v>
      </c>
      <c r="I15" s="12">
        <f>IF(Actual!F14&gt;0,F15*G15,0)</f>
        <v>0</v>
      </c>
      <c r="J15" s="84">
        <f t="shared" si="1"/>
        <v>0</v>
      </c>
      <c r="K15" s="84"/>
    </row>
    <row r="16" spans="1:11" x14ac:dyDescent="0.2">
      <c r="A16" s="1" t="s">
        <v>287</v>
      </c>
      <c r="B16" s="4">
        <v>305.11</v>
      </c>
      <c r="C16" s="1" t="s">
        <v>170</v>
      </c>
      <c r="D16" s="12">
        <f t="shared" si="0"/>
        <v>8320</v>
      </c>
      <c r="E16" s="12">
        <v>8320</v>
      </c>
      <c r="F16" s="12"/>
      <c r="G16" s="13">
        <f>VLOOKUP(B16,Alloc!$D$1:$F$139,3,FALSE)</f>
        <v>0</v>
      </c>
      <c r="H16" s="12">
        <f>IF(Actual!F15&gt;0,E16*G16,0)</f>
        <v>0</v>
      </c>
      <c r="I16" s="12">
        <f>IF(Actual!F15&gt;0,F16*G16,0)</f>
        <v>0</v>
      </c>
      <c r="J16" s="84">
        <f t="shared" si="1"/>
        <v>0</v>
      </c>
      <c r="K16" s="84"/>
    </row>
    <row r="17" spans="1:11" x14ac:dyDescent="0.2">
      <c r="A17" s="1" t="s">
        <v>287</v>
      </c>
      <c r="B17" s="4">
        <v>305.17</v>
      </c>
      <c r="C17" s="1" t="s">
        <v>172</v>
      </c>
      <c r="D17" s="12">
        <f t="shared" si="0"/>
        <v>46587</v>
      </c>
      <c r="E17" s="12">
        <v>46587</v>
      </c>
      <c r="F17" s="12"/>
      <c r="G17" s="13">
        <f>VLOOKUP(B17,Alloc!$D$1:$F$139,3,FALSE)</f>
        <v>0</v>
      </c>
      <c r="H17" s="12">
        <f>IF(Actual!F16&gt;0,E17*G17,0)</f>
        <v>0</v>
      </c>
      <c r="I17" s="12">
        <f>IF(Actual!F16&gt;0,F17*G17,0)</f>
        <v>0</v>
      </c>
      <c r="J17" s="84">
        <f t="shared" si="1"/>
        <v>0</v>
      </c>
      <c r="K17" s="84"/>
    </row>
    <row r="18" spans="1:11" x14ac:dyDescent="0.2">
      <c r="A18" s="1" t="s">
        <v>287</v>
      </c>
      <c r="B18" s="4">
        <v>305.2</v>
      </c>
      <c r="C18" s="1" t="s">
        <v>174</v>
      </c>
      <c r="D18" s="12">
        <f t="shared" si="0"/>
        <v>0</v>
      </c>
      <c r="E18" s="12">
        <v>0</v>
      </c>
      <c r="F18" s="12"/>
      <c r="G18" s="13">
        <f>VLOOKUP(B18,Alloc!$D$1:$F$139,3,FALSE)</f>
        <v>0</v>
      </c>
      <c r="H18" s="12">
        <f>IF(Actual!F17&gt;0,E18*G18,0)</f>
        <v>0</v>
      </c>
      <c r="I18" s="12">
        <f>IF(Actual!F17&gt;0,F18*G18,0)</f>
        <v>0</v>
      </c>
      <c r="J18" s="84">
        <f t="shared" si="1"/>
        <v>0</v>
      </c>
      <c r="K18" s="84"/>
    </row>
    <row r="19" spans="1:11" x14ac:dyDescent="0.2">
      <c r="A19" s="1" t="s">
        <v>287</v>
      </c>
      <c r="B19" s="4">
        <v>305.5</v>
      </c>
      <c r="C19" s="1" t="s">
        <v>176</v>
      </c>
      <c r="D19" s="12">
        <f t="shared" si="0"/>
        <v>13156</v>
      </c>
      <c r="E19" s="12">
        <v>13156</v>
      </c>
      <c r="F19" s="12"/>
      <c r="G19" s="13">
        <f>VLOOKUP(B19,Alloc!$D$1:$F$139,3,FALSE)</f>
        <v>0</v>
      </c>
      <c r="H19" s="12">
        <f>IF(Actual!F18&gt;0,E19*G19,0)</f>
        <v>0</v>
      </c>
      <c r="I19" s="12">
        <f>IF(Actual!F18&gt;0,F19*G19,0)</f>
        <v>0</v>
      </c>
      <c r="J19" s="84">
        <f t="shared" si="1"/>
        <v>0</v>
      </c>
      <c r="K19" s="84"/>
    </row>
    <row r="20" spans="1:11" x14ac:dyDescent="0.2">
      <c r="A20" s="1" t="s">
        <v>287</v>
      </c>
      <c r="B20" s="4">
        <v>311</v>
      </c>
      <c r="C20" s="1" t="s">
        <v>19</v>
      </c>
      <c r="D20" s="12">
        <f t="shared" si="0"/>
        <v>0</v>
      </c>
      <c r="E20" s="12">
        <v>0</v>
      </c>
      <c r="F20" s="12"/>
      <c r="G20" s="13">
        <f>VLOOKUP(B20,Alloc!$D$1:$F$139,3,FALSE)</f>
        <v>0</v>
      </c>
      <c r="H20" s="12">
        <f>IF(Actual!F19&gt;0,E20*G20,0)</f>
        <v>0</v>
      </c>
      <c r="I20" s="12">
        <f>IF(Actual!F19&gt;0,F20*G20,0)</f>
        <v>0</v>
      </c>
      <c r="J20" s="84">
        <f t="shared" si="1"/>
        <v>0</v>
      </c>
      <c r="K20" s="84"/>
    </row>
    <row r="21" spans="1:11" x14ac:dyDescent="0.2">
      <c r="A21" s="1" t="s">
        <v>287</v>
      </c>
      <c r="B21" s="4">
        <v>311.39999999999998</v>
      </c>
      <c r="C21" s="1" t="s">
        <v>178</v>
      </c>
      <c r="D21" s="12">
        <f t="shared" si="0"/>
        <v>0</v>
      </c>
      <c r="E21" s="12">
        <v>0</v>
      </c>
      <c r="F21" s="12"/>
      <c r="G21" s="13">
        <f>VLOOKUP(B21,Alloc!$D$1:$F$139,3,FALSE)</f>
        <v>0</v>
      </c>
      <c r="H21" s="12">
        <f>IF(Actual!F20&gt;0,E21*G21,0)</f>
        <v>0</v>
      </c>
      <c r="I21" s="12">
        <f>IF(Actual!F20&gt;0,F21*G21,0)</f>
        <v>0</v>
      </c>
      <c r="J21" s="84">
        <f t="shared" si="1"/>
        <v>0</v>
      </c>
      <c r="K21" s="84"/>
    </row>
    <row r="22" spans="1:11" x14ac:dyDescent="0.2">
      <c r="A22" s="1" t="s">
        <v>287</v>
      </c>
      <c r="B22" s="4">
        <v>311.7</v>
      </c>
      <c r="C22" s="1" t="s">
        <v>180</v>
      </c>
      <c r="D22" s="12">
        <f t="shared" si="0"/>
        <v>4033</v>
      </c>
      <c r="E22" s="12">
        <v>4033</v>
      </c>
      <c r="F22" s="12"/>
      <c r="G22" s="13">
        <f>VLOOKUP(B22,Alloc!$D$1:$F$139,3,FALSE)</f>
        <v>0</v>
      </c>
      <c r="H22" s="12">
        <f>IF(Actual!F21&gt;0,E22*G22,0)</f>
        <v>0</v>
      </c>
      <c r="I22" s="12">
        <f>IF(Actual!F21&gt;0,F22*G22,0)</f>
        <v>0</v>
      </c>
      <c r="J22" s="84">
        <f t="shared" si="1"/>
        <v>0</v>
      </c>
      <c r="K22" s="84"/>
    </row>
    <row r="23" spans="1:11" x14ac:dyDescent="0.2">
      <c r="A23" s="1" t="s">
        <v>287</v>
      </c>
      <c r="B23" s="4">
        <v>311.8</v>
      </c>
      <c r="C23" s="1" t="s">
        <v>182</v>
      </c>
      <c r="D23" s="12">
        <f t="shared" si="0"/>
        <v>4209</v>
      </c>
      <c r="E23" s="12">
        <v>4209</v>
      </c>
      <c r="F23" s="12"/>
      <c r="G23" s="13">
        <f>VLOOKUP(B23,Alloc!$D$1:$F$139,3,FALSE)</f>
        <v>0</v>
      </c>
      <c r="H23" s="12">
        <f>IF(Actual!F22&gt;0,E23*G23,0)</f>
        <v>0</v>
      </c>
      <c r="I23" s="12">
        <f>IF(Actual!F22&gt;0,F23*G23,0)</f>
        <v>0</v>
      </c>
      <c r="J23" s="84">
        <f t="shared" si="1"/>
        <v>0</v>
      </c>
      <c r="K23" s="84"/>
    </row>
    <row r="24" spans="1:11" x14ac:dyDescent="0.2">
      <c r="A24" s="1" t="s">
        <v>287</v>
      </c>
      <c r="B24" s="4">
        <v>312.3</v>
      </c>
      <c r="C24" s="1" t="s">
        <v>184</v>
      </c>
      <c r="D24" s="12">
        <f t="shared" si="0"/>
        <v>0</v>
      </c>
      <c r="E24" s="12">
        <v>0</v>
      </c>
      <c r="F24" s="12"/>
      <c r="G24" s="13">
        <f>VLOOKUP(B24,Alloc!$D$1:$F$139,3,FALSE)</f>
        <v>0</v>
      </c>
      <c r="H24" s="12">
        <f>IF(Actual!F23&gt;0,E24*G24,0)</f>
        <v>0</v>
      </c>
      <c r="I24" s="12">
        <f>IF(Actual!F23&gt;0,F24*G24,0)</f>
        <v>0</v>
      </c>
      <c r="J24" s="84">
        <f t="shared" si="1"/>
        <v>0</v>
      </c>
      <c r="K24" s="84"/>
    </row>
    <row r="25" spans="1:11" x14ac:dyDescent="0.2">
      <c r="A25" s="1" t="s">
        <v>287</v>
      </c>
      <c r="B25" s="4">
        <v>318.3</v>
      </c>
      <c r="C25" s="1" t="s">
        <v>186</v>
      </c>
      <c r="D25" s="12">
        <f t="shared" si="0"/>
        <v>144896</v>
      </c>
      <c r="E25" s="12">
        <v>144896</v>
      </c>
      <c r="F25" s="12"/>
      <c r="G25" s="13">
        <f>VLOOKUP(B25,Alloc!$D$1:$F$139,3,FALSE)</f>
        <v>0</v>
      </c>
      <c r="H25" s="12">
        <f>IF(Actual!F24&gt;0,E25*G25,0)</f>
        <v>0</v>
      </c>
      <c r="I25" s="12">
        <f>IF(Actual!F24&gt;0,F25*G25,0)</f>
        <v>0</v>
      </c>
      <c r="J25" s="84">
        <f t="shared" si="1"/>
        <v>0</v>
      </c>
      <c r="K25" s="84"/>
    </row>
    <row r="26" spans="1:11" x14ac:dyDescent="0.2">
      <c r="A26" s="1" t="s">
        <v>287</v>
      </c>
      <c r="B26" s="4">
        <v>318.5</v>
      </c>
      <c r="C26" s="1" t="s">
        <v>188</v>
      </c>
      <c r="D26" s="12">
        <f t="shared" si="0"/>
        <v>243551</v>
      </c>
      <c r="E26" s="12">
        <v>243551</v>
      </c>
      <c r="F26" s="12"/>
      <c r="G26" s="13">
        <f>VLOOKUP(B26,Alloc!$D$1:$F$139,3,FALSE)</f>
        <v>0</v>
      </c>
      <c r="H26" s="12">
        <f>IF(Actual!F25&gt;0,E26*G26,0)</f>
        <v>0</v>
      </c>
      <c r="I26" s="12">
        <f>IF(Actual!F25&gt;0,F26*G26,0)</f>
        <v>0</v>
      </c>
      <c r="J26" s="84">
        <f t="shared" si="1"/>
        <v>0</v>
      </c>
      <c r="K26" s="84"/>
    </row>
    <row r="27" spans="1:11" x14ac:dyDescent="0.2">
      <c r="A27" s="1" t="s">
        <v>287</v>
      </c>
      <c r="B27" s="4">
        <v>319</v>
      </c>
      <c r="C27" s="1" t="s">
        <v>190</v>
      </c>
      <c r="D27" s="12">
        <f t="shared" si="0"/>
        <v>185448</v>
      </c>
      <c r="E27" s="12">
        <v>185448</v>
      </c>
      <c r="F27" s="12"/>
      <c r="G27" s="13">
        <f>VLOOKUP(B27,Alloc!$D$1:$F$139,3,FALSE)</f>
        <v>0</v>
      </c>
      <c r="H27" s="12">
        <f>IF(Actual!F26&gt;0,E27*G27,0)</f>
        <v>0</v>
      </c>
      <c r="I27" s="12">
        <f>IF(Actual!F26&gt;0,F27*G27,0)</f>
        <v>0</v>
      </c>
      <c r="J27" s="84">
        <f t="shared" si="1"/>
        <v>0</v>
      </c>
      <c r="K27" s="84"/>
    </row>
    <row r="28" spans="1:11" x14ac:dyDescent="0.2">
      <c r="A28" s="1" t="s">
        <v>287</v>
      </c>
      <c r="B28" s="4">
        <v>325</v>
      </c>
      <c r="C28" s="1" t="s">
        <v>192</v>
      </c>
      <c r="D28" s="12">
        <f t="shared" si="0"/>
        <v>0</v>
      </c>
      <c r="E28" s="12">
        <v>0</v>
      </c>
      <c r="F28" s="12"/>
      <c r="G28" s="13">
        <f>VLOOKUP(B28,Alloc!$D$1:$F$139,3,FALSE)</f>
        <v>0</v>
      </c>
      <c r="H28" s="12">
        <f>IF(Actual!F27&gt;0,E28*G28,0)</f>
        <v>0</v>
      </c>
      <c r="I28" s="12">
        <f>IF(Actual!F27&gt;0,F28*G28,0)</f>
        <v>0</v>
      </c>
      <c r="J28" s="84">
        <f t="shared" si="1"/>
        <v>0</v>
      </c>
      <c r="K28" s="84"/>
    </row>
    <row r="29" spans="1:11" x14ac:dyDescent="0.2">
      <c r="A29" s="1" t="s">
        <v>287</v>
      </c>
      <c r="B29" s="4">
        <v>327</v>
      </c>
      <c r="C29" s="1" t="s">
        <v>194</v>
      </c>
      <c r="D29" s="12">
        <f t="shared" si="0"/>
        <v>0</v>
      </c>
      <c r="E29" s="12">
        <v>0</v>
      </c>
      <c r="F29" s="12"/>
      <c r="G29" s="13">
        <f>VLOOKUP(B29,Alloc!$D$1:$F$139,3,FALSE)</f>
        <v>0</v>
      </c>
      <c r="H29" s="12">
        <f>IF(Actual!F28&gt;0,E29*G29,0)</f>
        <v>0</v>
      </c>
      <c r="I29" s="12">
        <f>IF(Actual!F28&gt;0,F29*G29,0)</f>
        <v>0</v>
      </c>
      <c r="J29" s="84">
        <f t="shared" si="1"/>
        <v>0</v>
      </c>
      <c r="K29" s="84"/>
    </row>
    <row r="30" spans="1:11" x14ac:dyDescent="0.2">
      <c r="A30" s="1" t="s">
        <v>287</v>
      </c>
      <c r="B30" s="4">
        <v>328</v>
      </c>
      <c r="C30" s="1" t="s">
        <v>192</v>
      </c>
      <c r="D30" s="12">
        <f t="shared" si="0"/>
        <v>0</v>
      </c>
      <c r="E30" s="12">
        <v>0</v>
      </c>
      <c r="F30" s="12"/>
      <c r="G30" s="13">
        <f>VLOOKUP(B30,Alloc!$D$1:$F$139,3,FALSE)</f>
        <v>0</v>
      </c>
      <c r="H30" s="12">
        <f>IF(Actual!F29&gt;0,E30*G30,0)</f>
        <v>0</v>
      </c>
      <c r="I30" s="12">
        <f>IF(Actual!F29&gt;0,F30*G30,0)</f>
        <v>0</v>
      </c>
      <c r="J30" s="84">
        <f t="shared" si="1"/>
        <v>0</v>
      </c>
      <c r="K30" s="84"/>
    </row>
    <row r="31" spans="1:11" x14ac:dyDescent="0.2">
      <c r="A31" s="1" t="s">
        <v>287</v>
      </c>
      <c r="B31" s="4">
        <v>331</v>
      </c>
      <c r="C31" s="1" t="s">
        <v>194</v>
      </c>
      <c r="D31" s="12">
        <f t="shared" si="0"/>
        <v>0</v>
      </c>
      <c r="E31" s="12">
        <v>0</v>
      </c>
      <c r="F31" s="12"/>
      <c r="G31" s="13">
        <f>VLOOKUP(B31,Alloc!$D$1:$F$139,3,FALSE)</f>
        <v>0</v>
      </c>
      <c r="H31" s="12">
        <f>IF(Actual!F30&gt;0,E31*G31,0)</f>
        <v>0</v>
      </c>
      <c r="I31" s="12">
        <f>IF(Actual!F30&gt;0,F31*G31,0)</f>
        <v>0</v>
      </c>
      <c r="J31" s="84">
        <f t="shared" si="1"/>
        <v>0</v>
      </c>
      <c r="K31" s="84"/>
    </row>
    <row r="32" spans="1:11" x14ac:dyDescent="0.2">
      <c r="A32" s="1" t="s">
        <v>287</v>
      </c>
      <c r="B32" s="4">
        <v>332</v>
      </c>
      <c r="C32" s="1" t="s">
        <v>194</v>
      </c>
      <c r="D32" s="12">
        <f t="shared" si="0"/>
        <v>0</v>
      </c>
      <c r="E32" s="12">
        <v>0</v>
      </c>
      <c r="F32" s="12"/>
      <c r="G32" s="13">
        <f>VLOOKUP(B32,Alloc!$D$1:$F$139,3,FALSE)</f>
        <v>0</v>
      </c>
      <c r="H32" s="12">
        <f>IF(Actual!F31&gt;0,E32*G32,0)</f>
        <v>0</v>
      </c>
      <c r="I32" s="12">
        <f>IF(Actual!F31&gt;0,F32*G32,0)</f>
        <v>0</v>
      </c>
      <c r="J32" s="84">
        <f t="shared" si="1"/>
        <v>0</v>
      </c>
      <c r="K32" s="84"/>
    </row>
    <row r="33" spans="1:16" x14ac:dyDescent="0.2">
      <c r="A33" s="1" t="s">
        <v>287</v>
      </c>
      <c r="B33" s="4">
        <v>333</v>
      </c>
      <c r="C33" s="1" t="s">
        <v>194</v>
      </c>
      <c r="D33" s="12">
        <f t="shared" si="0"/>
        <v>0</v>
      </c>
      <c r="E33" s="12">
        <v>0</v>
      </c>
      <c r="F33" s="12"/>
      <c r="G33" s="13">
        <f>VLOOKUP(B33,Alloc!$D$1:$F$139,3,FALSE)</f>
        <v>0</v>
      </c>
      <c r="H33" s="12">
        <f>IF(Actual!F32&gt;0,E33*G33,0)</f>
        <v>0</v>
      </c>
      <c r="I33" s="12">
        <f>IF(Actual!F32&gt;0,F33*G33,0)</f>
        <v>0</v>
      </c>
      <c r="J33" s="84">
        <f t="shared" si="1"/>
        <v>0</v>
      </c>
      <c r="K33" s="84"/>
    </row>
    <row r="34" spans="1:16" x14ac:dyDescent="0.2">
      <c r="A34" s="1" t="s">
        <v>287</v>
      </c>
      <c r="B34" s="4">
        <v>334</v>
      </c>
      <c r="C34" s="1" t="s">
        <v>194</v>
      </c>
      <c r="D34" s="12">
        <f t="shared" si="0"/>
        <v>0</v>
      </c>
      <c r="E34" s="12">
        <v>0</v>
      </c>
      <c r="F34" s="12"/>
      <c r="G34" s="13">
        <f>VLOOKUP(B34,Alloc!$D$1:$F$139,3,FALSE)</f>
        <v>0</v>
      </c>
      <c r="H34" s="12">
        <f>IF(Actual!F33&gt;0,E34*G34,0)</f>
        <v>0</v>
      </c>
      <c r="I34" s="12">
        <f>IF(Actual!F33&gt;0,F34*G34,0)</f>
        <v>0</v>
      </c>
      <c r="J34" s="84">
        <f t="shared" si="1"/>
        <v>0</v>
      </c>
      <c r="K34" s="84"/>
    </row>
    <row r="35" spans="1:16" x14ac:dyDescent="0.2">
      <c r="A35" s="1" t="s">
        <v>288</v>
      </c>
      <c r="B35" s="4">
        <v>350.1</v>
      </c>
      <c r="C35" s="1" t="s">
        <v>168</v>
      </c>
      <c r="D35" s="12">
        <f t="shared" si="0"/>
        <v>106549</v>
      </c>
      <c r="E35" s="12">
        <v>106549</v>
      </c>
      <c r="F35" s="12"/>
      <c r="G35" s="13">
        <f>VLOOKUP(B35,Alloc!$D$1:$F$139,3,FALSE)</f>
        <v>0</v>
      </c>
      <c r="H35" s="12">
        <f>IF(Actual!F34&gt;0,E35*G35,0)</f>
        <v>0</v>
      </c>
      <c r="I35" s="12">
        <f>IF(Actual!F34&gt;0,F35*G35,0)</f>
        <v>0</v>
      </c>
      <c r="J35" s="84">
        <f t="shared" si="1"/>
        <v>0</v>
      </c>
      <c r="K35" s="84"/>
    </row>
    <row r="36" spans="1:16" x14ac:dyDescent="0.2">
      <c r="A36" s="1" t="s">
        <v>288</v>
      </c>
      <c r="B36" s="4">
        <v>350.2</v>
      </c>
      <c r="C36" s="1" t="s">
        <v>42</v>
      </c>
      <c r="D36" s="12">
        <f t="shared" si="0"/>
        <v>109624.94</v>
      </c>
      <c r="E36" s="12">
        <v>109624.94</v>
      </c>
      <c r="F36" s="12"/>
      <c r="G36" s="13">
        <f>VLOOKUP(B36,Alloc!$D$1:$F$139,3,FALSE)</f>
        <v>1.43E-2</v>
      </c>
      <c r="H36" s="12">
        <f>IF(Actual!F35&gt;0,E36*G36,0)</f>
        <v>1567.6366420000002</v>
      </c>
      <c r="I36" s="12">
        <f>IF(Actual!F35&gt;0,F36*G36,0)</f>
        <v>0</v>
      </c>
      <c r="J36" s="84">
        <f t="shared" si="1"/>
        <v>1567.6366420000002</v>
      </c>
      <c r="K36" s="84"/>
    </row>
    <row r="37" spans="1:16" x14ac:dyDescent="0.2">
      <c r="A37" s="1" t="s">
        <v>288</v>
      </c>
      <c r="B37" s="4">
        <v>351</v>
      </c>
      <c r="C37" s="1" t="s">
        <v>40</v>
      </c>
      <c r="D37" s="12">
        <f t="shared" si="0"/>
        <v>8634151.0500000026</v>
      </c>
      <c r="E37" s="12">
        <v>8634151.0500000026</v>
      </c>
      <c r="F37" s="12"/>
      <c r="G37" s="13">
        <f>VLOOKUP(B37,Alloc!$D$1:$F$139,3,FALSE)</f>
        <v>1.4999999999999999E-2</v>
      </c>
      <c r="H37" s="12">
        <f>IF(Actual!F36&gt;0,E37*G37,0)</f>
        <v>129512.26575000004</v>
      </c>
      <c r="I37" s="12">
        <f>IF(Actual!F36&gt;0,F37*G37,0)</f>
        <v>0</v>
      </c>
      <c r="J37" s="84">
        <f t="shared" si="1"/>
        <v>129512.26575000004</v>
      </c>
      <c r="K37" s="84"/>
    </row>
    <row r="38" spans="1:16" x14ac:dyDescent="0.2">
      <c r="A38" s="1" t="s">
        <v>288</v>
      </c>
      <c r="B38" s="4">
        <v>352</v>
      </c>
      <c r="C38" s="1" t="s">
        <v>38</v>
      </c>
      <c r="D38" s="12">
        <f t="shared" si="0"/>
        <v>26195632.109999992</v>
      </c>
      <c r="E38" s="12">
        <v>26195632.109999992</v>
      </c>
      <c r="F38" s="12"/>
      <c r="G38" s="13">
        <f>VLOOKUP(B38,Alloc!$D$1:$F$139,3,FALSE)</f>
        <v>1.4999999999999999E-2</v>
      </c>
      <c r="H38" s="12">
        <f>IF(Actual!F37&gt;0,E38*G38,0)</f>
        <v>392934.48164999986</v>
      </c>
      <c r="I38" s="12">
        <f>IF(Actual!F37&gt;0,F38*G38,0)</f>
        <v>0</v>
      </c>
      <c r="J38" s="84">
        <f t="shared" si="1"/>
        <v>392934.48164999986</v>
      </c>
      <c r="K38" s="84"/>
    </row>
    <row r="39" spans="1:16" x14ac:dyDescent="0.2">
      <c r="A39" s="1" t="s">
        <v>288</v>
      </c>
      <c r="B39" s="4">
        <v>352.1</v>
      </c>
      <c r="C39" s="1" t="s">
        <v>36</v>
      </c>
      <c r="D39" s="12">
        <f t="shared" ref="D39:D70" si="2">SUM(E39:F39)</f>
        <v>3938491.32</v>
      </c>
      <c r="E39" s="12">
        <v>3938491.32</v>
      </c>
      <c r="F39" s="12"/>
      <c r="G39" s="13">
        <f>VLOOKUP(B39,Alloc!$D$1:$F$139,3,FALSE)</f>
        <v>1.67E-2</v>
      </c>
      <c r="H39" s="12">
        <f>IF(Actual!F38&gt;0,E39*G39,0)</f>
        <v>65772.805043999993</v>
      </c>
      <c r="I39" s="12">
        <f>IF(Actual!F38&gt;0,F39*G39,0)</f>
        <v>0</v>
      </c>
      <c r="J39" s="84">
        <f t="shared" si="1"/>
        <v>65772.805043999993</v>
      </c>
      <c r="K39" s="84"/>
    </row>
    <row r="40" spans="1:16" x14ac:dyDescent="0.2">
      <c r="A40" s="1" t="s">
        <v>288</v>
      </c>
      <c r="B40" s="4">
        <v>352.2</v>
      </c>
      <c r="C40" s="1" t="s">
        <v>34</v>
      </c>
      <c r="D40" s="12">
        <f t="shared" si="2"/>
        <v>7272553.0899999999</v>
      </c>
      <c r="E40" s="12">
        <v>7272553.0899999999</v>
      </c>
      <c r="F40" s="12"/>
      <c r="G40" s="13">
        <f>VLOOKUP(B40,Alloc!$D$1:$F$139,3,FALSE)</f>
        <v>1.7299999999999999E-2</v>
      </c>
      <c r="H40" s="12">
        <f>IF(Actual!F39&gt;0,E40*G40,0)</f>
        <v>125815.16845699999</v>
      </c>
      <c r="I40" s="12">
        <f>IF(Actual!F39&gt;0,F40*G40,0)</f>
        <v>0</v>
      </c>
      <c r="J40" s="84">
        <f t="shared" si="1"/>
        <v>125815.16845699999</v>
      </c>
      <c r="K40" s="84"/>
      <c r="M40" s="4"/>
      <c r="N40" s="4"/>
      <c r="O40" s="4"/>
    </row>
    <row r="41" spans="1:16" x14ac:dyDescent="0.2">
      <c r="A41" s="1" t="s">
        <v>288</v>
      </c>
      <c r="B41" s="4">
        <v>352.3</v>
      </c>
      <c r="C41" s="1" t="s">
        <v>32</v>
      </c>
      <c r="D41" s="12">
        <f t="shared" si="2"/>
        <v>6440889.8200000003</v>
      </c>
      <c r="E41" s="12">
        <v>6440889.8200000003</v>
      </c>
      <c r="F41" s="12"/>
      <c r="G41" s="13">
        <f>VLOOKUP(B41,Alloc!$D$1:$F$139,3,FALSE)</f>
        <v>1.5699999999999999E-2</v>
      </c>
      <c r="H41" s="12">
        <f>IF(Actual!F40&gt;0,E41*G41,0)</f>
        <v>101121.970174</v>
      </c>
      <c r="I41" s="12">
        <f>IF(Actual!F40&gt;0,F41*G41,0)</f>
        <v>0</v>
      </c>
      <c r="J41" s="84">
        <f t="shared" si="1"/>
        <v>101121.970174</v>
      </c>
      <c r="K41" s="84"/>
      <c r="M41" s="4"/>
      <c r="N41" s="4"/>
      <c r="O41" s="4"/>
    </row>
    <row r="42" spans="1:16" x14ac:dyDescent="0.2">
      <c r="A42" s="1" t="s">
        <v>288</v>
      </c>
      <c r="B42" s="4">
        <v>353</v>
      </c>
      <c r="C42" s="1" t="s">
        <v>30</v>
      </c>
      <c r="D42" s="12">
        <f t="shared" si="2"/>
        <v>8095706.3500000006</v>
      </c>
      <c r="E42" s="12">
        <v>8095706.3500000006</v>
      </c>
      <c r="F42" s="12"/>
      <c r="G42" s="13">
        <f>VLOOKUP(B42,Alloc!$D$1:$F$139,3,FALSE)</f>
        <v>2.06E-2</v>
      </c>
      <c r="H42" s="12">
        <f>IF(Actual!F41&gt;0,E42*G42,0)</f>
        <v>166771.55081000002</v>
      </c>
      <c r="I42" s="12">
        <f>IF(Actual!F41&gt;0,F42*G42,0)</f>
        <v>0</v>
      </c>
      <c r="J42" s="84">
        <f t="shared" si="1"/>
        <v>166771.55081000002</v>
      </c>
      <c r="K42" s="84"/>
      <c r="M42" s="4"/>
      <c r="N42" s="4"/>
      <c r="O42" s="4"/>
    </row>
    <row r="43" spans="1:16" x14ac:dyDescent="0.2">
      <c r="A43" s="1" t="s">
        <v>288</v>
      </c>
      <c r="B43" s="4">
        <v>354</v>
      </c>
      <c r="C43" s="1" t="s">
        <v>28</v>
      </c>
      <c r="D43" s="12">
        <f t="shared" si="2"/>
        <v>0</v>
      </c>
      <c r="E43" s="12">
        <v>0</v>
      </c>
      <c r="F43" s="12"/>
      <c r="G43" s="13">
        <f>VLOOKUP(B43,Alloc!$D$1:$F$139,3,FALSE)</f>
        <v>0</v>
      </c>
      <c r="H43" s="12">
        <f>IF(Actual!F42&gt;0,E43*G43,0)</f>
        <v>0</v>
      </c>
      <c r="I43" s="12">
        <f>IF(Actual!F42&gt;0,F43*G43,0)</f>
        <v>0</v>
      </c>
      <c r="J43" s="84">
        <f t="shared" si="1"/>
        <v>0</v>
      </c>
      <c r="K43" s="84"/>
      <c r="M43" s="4"/>
      <c r="N43" s="4"/>
      <c r="O43" s="4"/>
    </row>
    <row r="44" spans="1:16" x14ac:dyDescent="0.2">
      <c r="A44" s="1" t="s">
        <v>288</v>
      </c>
      <c r="B44" s="4">
        <v>354.1</v>
      </c>
      <c r="C44" s="1" t="s">
        <v>235</v>
      </c>
      <c r="D44" s="12">
        <f t="shared" si="2"/>
        <v>4154699.66</v>
      </c>
      <c r="E44" s="12">
        <v>4154699.66</v>
      </c>
      <c r="F44" s="12"/>
      <c r="G44" s="13">
        <f>VLOOKUP(B44,Alloc!$D$1:$F$139,3,FALSE)</f>
        <v>1.5100000000000001E-2</v>
      </c>
      <c r="H44" s="12">
        <f>IF(Actual!F43&gt;0,E44*G44,0)</f>
        <v>62735.964866000002</v>
      </c>
      <c r="I44" s="12">
        <f>IF(Actual!F43&gt;0,F44*G44,0)</f>
        <v>0</v>
      </c>
      <c r="J44" s="84">
        <f t="shared" si="1"/>
        <v>62735.964866000002</v>
      </c>
      <c r="K44" s="84"/>
      <c r="M44" s="4"/>
      <c r="N44" s="4"/>
      <c r="O44" s="4"/>
    </row>
    <row r="45" spans="1:16" x14ac:dyDescent="0.2">
      <c r="A45" s="1" t="s">
        <v>288</v>
      </c>
      <c r="B45" s="4">
        <v>354.2</v>
      </c>
      <c r="C45" s="1" t="s">
        <v>237</v>
      </c>
      <c r="D45" s="12">
        <f t="shared" si="2"/>
        <v>4154699</v>
      </c>
      <c r="E45" s="12">
        <v>4154699</v>
      </c>
      <c r="F45" s="12"/>
      <c r="G45" s="13">
        <f>VLOOKUP(B45,Alloc!$D$1:$F$139,3,FALSE)</f>
        <v>1.4800000000000001E-2</v>
      </c>
      <c r="H45" s="12">
        <f>IF(Actual!F44&gt;0,E45*G45,0)</f>
        <v>61489.5452</v>
      </c>
      <c r="I45" s="12">
        <f>IF(Actual!F44&gt;0,F45*G45,0)</f>
        <v>0</v>
      </c>
      <c r="J45" s="84">
        <f t="shared" si="1"/>
        <v>61489.5452</v>
      </c>
      <c r="K45" s="84"/>
      <c r="M45" s="4"/>
      <c r="N45" s="4"/>
      <c r="O45" s="4"/>
    </row>
    <row r="46" spans="1:16" ht="13.5" thickBot="1" x14ac:dyDescent="0.25">
      <c r="A46" s="1" t="s">
        <v>288</v>
      </c>
      <c r="B46" s="4">
        <v>354.3</v>
      </c>
      <c r="C46" s="1" t="s">
        <v>239</v>
      </c>
      <c r="D46" s="12">
        <f t="shared" si="2"/>
        <v>19640514.359999999</v>
      </c>
      <c r="E46" s="12">
        <v>19640514.359999999</v>
      </c>
      <c r="F46" s="12"/>
      <c r="G46" s="13">
        <f>VLOOKUP(B46,Alloc!$D$1:$F$139,3,FALSE)</f>
        <v>1.8599999999999998E-2</v>
      </c>
      <c r="H46" s="12">
        <f>IF(Actual!F45&gt;0,E46*G46,0)</f>
        <v>365313.56709599996</v>
      </c>
      <c r="I46" s="12">
        <f>IF(Actual!F45&gt;0,F46*G46,0)</f>
        <v>0</v>
      </c>
      <c r="J46" s="84">
        <f t="shared" si="1"/>
        <v>365313.56709599996</v>
      </c>
      <c r="K46" s="84"/>
      <c r="M46" s="64" t="s">
        <v>1111</v>
      </c>
      <c r="N46" s="4"/>
      <c r="O46" s="4"/>
    </row>
    <row r="47" spans="1:16" x14ac:dyDescent="0.2">
      <c r="A47" s="1" t="s">
        <v>288</v>
      </c>
      <c r="B47" s="4">
        <v>354.4</v>
      </c>
      <c r="C47" s="1" t="s">
        <v>241</v>
      </c>
      <c r="D47" s="12">
        <f t="shared" si="2"/>
        <v>4556230.32</v>
      </c>
      <c r="E47" s="12">
        <v>4556230.32</v>
      </c>
      <c r="F47" s="12"/>
      <c r="G47" s="13">
        <f>VLOOKUP(B47,Alloc!$D$1:$F$139,3,FALSE)</f>
        <v>1.9300000000000001E-2</v>
      </c>
      <c r="H47" s="12">
        <f>IF(Actual!F46&gt;0,E47*G47,0)</f>
        <v>87935.245176000011</v>
      </c>
      <c r="I47" s="12">
        <f>IF(Actual!F46&gt;0,F47*G47,0)</f>
        <v>0</v>
      </c>
      <c r="J47" s="84">
        <f t="shared" si="1"/>
        <v>87935.245176000011</v>
      </c>
      <c r="K47" s="84"/>
      <c r="M47" s="106" t="s">
        <v>1109</v>
      </c>
      <c r="N47" s="74" t="s">
        <v>1110</v>
      </c>
      <c r="O47" s="107" t="s">
        <v>1108</v>
      </c>
    </row>
    <row r="48" spans="1:16" ht="13.5" thickBot="1" x14ac:dyDescent="0.25">
      <c r="A48" s="1" t="s">
        <v>288</v>
      </c>
      <c r="B48" s="4">
        <v>354.6</v>
      </c>
      <c r="C48" s="1" t="s">
        <v>243</v>
      </c>
      <c r="D48" s="12">
        <f t="shared" si="2"/>
        <v>86631.360000000001</v>
      </c>
      <c r="E48" s="12">
        <v>86631.360000000001</v>
      </c>
      <c r="F48" s="12"/>
      <c r="G48" s="13">
        <f>VLOOKUP(B48,Alloc!$D$1:$F$139,3,FALSE)</f>
        <v>2.1899999999999999E-2</v>
      </c>
      <c r="H48" s="12">
        <f>IF(Actual!F47&gt;0,E48*G48,0)</f>
        <v>1897.226784</v>
      </c>
      <c r="I48" s="12">
        <f>IF(Actual!F47&gt;0,F48*G48,0)</f>
        <v>0</v>
      </c>
      <c r="J48" s="84">
        <f t="shared" si="1"/>
        <v>1897.226784</v>
      </c>
      <c r="K48" s="84"/>
      <c r="M48" s="108">
        <f>SUM(D44:D48)</f>
        <v>32592774.699999999</v>
      </c>
      <c r="N48" s="109">
        <f>SUM(H44:H48)</f>
        <v>579371.549122</v>
      </c>
      <c r="O48" s="110">
        <f>N48/M48</f>
        <v>1.7776073208090503E-2</v>
      </c>
      <c r="P48" s="1" t="s">
        <v>1112</v>
      </c>
    </row>
    <row r="49" spans="1:15" x14ac:dyDescent="0.2">
      <c r="A49" s="1" t="s">
        <v>288</v>
      </c>
      <c r="B49" s="4">
        <v>355</v>
      </c>
      <c r="C49" s="1" t="s">
        <v>26</v>
      </c>
      <c r="D49" s="12">
        <f t="shared" si="2"/>
        <v>7484619.8399999989</v>
      </c>
      <c r="E49" s="12">
        <v>7484619.8399999989</v>
      </c>
      <c r="F49" s="12"/>
      <c r="G49" s="13">
        <f>VLOOKUP(B49,Alloc!$D$1:$F$139,3,FALSE)</f>
        <v>2.2700000000000001E-2</v>
      </c>
      <c r="H49" s="12">
        <f>IF(Actual!F48&gt;0,E49*G49,0)</f>
        <v>169900.87036799997</v>
      </c>
      <c r="I49" s="12">
        <f>IF(Actual!F48&gt;0,F49*G49,0)</f>
        <v>0</v>
      </c>
      <c r="J49" s="84">
        <f t="shared" si="1"/>
        <v>169900.87036799997</v>
      </c>
      <c r="K49" s="84"/>
      <c r="M49" s="4"/>
      <c r="N49" s="4"/>
      <c r="O49" s="4"/>
    </row>
    <row r="50" spans="1:15" x14ac:dyDescent="0.2">
      <c r="A50" s="1" t="s">
        <v>288</v>
      </c>
      <c r="B50" s="4">
        <v>356</v>
      </c>
      <c r="C50" s="1" t="s">
        <v>24</v>
      </c>
      <c r="D50" s="12">
        <f t="shared" si="2"/>
        <v>363764.79</v>
      </c>
      <c r="E50" s="12">
        <v>363764.79</v>
      </c>
      <c r="F50" s="12"/>
      <c r="G50" s="13">
        <f>VLOOKUP(B50,Alloc!$D$1:$F$139,3,FALSE)</f>
        <v>1.37E-2</v>
      </c>
      <c r="H50" s="12">
        <f>IF(Actual!F49&gt;0,E50*G50,0)</f>
        <v>4983.5776230000001</v>
      </c>
      <c r="I50" s="12">
        <f>IF(Actual!F49&gt;0,F50*G50,0)</f>
        <v>0</v>
      </c>
      <c r="J50" s="84">
        <f t="shared" si="1"/>
        <v>4983.5776230000001</v>
      </c>
      <c r="K50" s="84"/>
      <c r="M50" s="4"/>
      <c r="N50" s="4"/>
      <c r="O50" s="4"/>
    </row>
    <row r="51" spans="1:15" x14ac:dyDescent="0.2">
      <c r="A51" s="1" t="s">
        <v>288</v>
      </c>
      <c r="B51" s="4">
        <v>357</v>
      </c>
      <c r="C51" s="1" t="s">
        <v>22</v>
      </c>
      <c r="D51" s="12">
        <f t="shared" si="2"/>
        <v>4630895.88</v>
      </c>
      <c r="E51" s="12">
        <v>4630895.88</v>
      </c>
      <c r="F51" s="12"/>
      <c r="G51" s="13">
        <f>VLOOKUP(B51,Alloc!$D$1:$F$139,3,FALSE)</f>
        <v>2.1700000000000001E-2</v>
      </c>
      <c r="H51" s="12">
        <f>IF(Actual!F50&gt;0,E51*G51,0)</f>
        <v>100490.440596</v>
      </c>
      <c r="I51" s="12">
        <f>IF(Actual!F50&gt;0,F51*G51,0)</f>
        <v>0</v>
      </c>
      <c r="J51" s="84">
        <f t="shared" si="1"/>
        <v>100490.440596</v>
      </c>
      <c r="K51" s="84"/>
      <c r="M51" s="4"/>
      <c r="N51" s="4"/>
      <c r="O51" s="4"/>
    </row>
    <row r="52" spans="1:15" x14ac:dyDescent="0.2">
      <c r="A52" s="1" t="s">
        <v>288</v>
      </c>
      <c r="B52" s="4">
        <v>360.11</v>
      </c>
      <c r="C52" s="1" t="s">
        <v>202</v>
      </c>
      <c r="D52" s="12">
        <f t="shared" si="2"/>
        <v>83598</v>
      </c>
      <c r="E52" s="12">
        <v>83598</v>
      </c>
      <c r="F52" s="12"/>
      <c r="G52" s="13">
        <f>VLOOKUP(B52,Alloc!$D$1:$F$139,3,FALSE)</f>
        <v>0</v>
      </c>
      <c r="H52" s="12">
        <f>IF(Actual!F51&gt;0,E52*G52,0)</f>
        <v>0</v>
      </c>
      <c r="I52" s="12">
        <f>IF(Actual!F51&gt;0,F52*G52,0)</f>
        <v>0</v>
      </c>
      <c r="J52" s="84">
        <f t="shared" si="1"/>
        <v>0</v>
      </c>
      <c r="K52" s="84"/>
      <c r="M52" s="4"/>
      <c r="N52" s="4"/>
      <c r="O52" s="4"/>
    </row>
    <row r="53" spans="1:15" x14ac:dyDescent="0.2">
      <c r="A53" s="1" t="s">
        <v>288</v>
      </c>
      <c r="B53" s="4">
        <v>360.12</v>
      </c>
      <c r="C53" s="1" t="s">
        <v>204</v>
      </c>
      <c r="D53" s="12">
        <f t="shared" si="2"/>
        <v>536674.81999999995</v>
      </c>
      <c r="E53" s="12">
        <v>536674.81999999995</v>
      </c>
      <c r="F53" s="12"/>
      <c r="G53" s="13">
        <f>VLOOKUP(B53,Alloc!$D$1:$F$139,3,FALSE)</f>
        <v>0</v>
      </c>
      <c r="H53" s="12">
        <f>IF(Actual!F52&gt;0,E53*G53,0)</f>
        <v>0</v>
      </c>
      <c r="I53" s="12">
        <f>IF(Actual!F52&gt;0,F53*G53,0)</f>
        <v>0</v>
      </c>
      <c r="J53" s="84">
        <f t="shared" si="1"/>
        <v>0</v>
      </c>
      <c r="K53" s="84"/>
      <c r="M53" s="4"/>
      <c r="N53" s="4"/>
      <c r="O53" s="4"/>
    </row>
    <row r="54" spans="1:15" x14ac:dyDescent="0.2">
      <c r="A54" s="1" t="s">
        <v>288</v>
      </c>
      <c r="B54" s="4">
        <v>360.2</v>
      </c>
      <c r="C54" s="1" t="s">
        <v>206</v>
      </c>
      <c r="D54" s="12">
        <f t="shared" si="2"/>
        <v>106557.31</v>
      </c>
      <c r="E54" s="12">
        <v>106557.31</v>
      </c>
      <c r="F54" s="12"/>
      <c r="G54" s="13">
        <f>VLOOKUP(B54,Alloc!$D$1:$F$139,3,FALSE)</f>
        <v>0</v>
      </c>
      <c r="H54" s="12">
        <f>IF(Actual!F53&gt;0,E54*G54,0)</f>
        <v>0</v>
      </c>
      <c r="I54" s="12">
        <f>IF(Actual!F53&gt;0,F54*G54,0)</f>
        <v>0</v>
      </c>
      <c r="J54" s="84">
        <f t="shared" si="1"/>
        <v>0</v>
      </c>
      <c r="K54" s="84"/>
      <c r="M54" s="4"/>
      <c r="N54" s="4"/>
      <c r="O54" s="4"/>
    </row>
    <row r="55" spans="1:15" x14ac:dyDescent="0.2">
      <c r="A55" s="1" t="s">
        <v>288</v>
      </c>
      <c r="B55" s="4">
        <v>361.11</v>
      </c>
      <c r="C55" s="1" t="s">
        <v>70</v>
      </c>
      <c r="D55" s="12">
        <f t="shared" si="2"/>
        <v>10672988.73</v>
      </c>
      <c r="E55" s="12">
        <v>10672988.73</v>
      </c>
      <c r="F55" s="12"/>
      <c r="G55" s="13">
        <f>VLOOKUP(B55,Alloc!$D$1:$F$139,3,FALSE)</f>
        <v>3.7900000000000003E-2</v>
      </c>
      <c r="H55" s="12">
        <f>IF(Actual!F54&gt;0,E55*G55,0)</f>
        <v>404506.27286700002</v>
      </c>
      <c r="I55" s="12">
        <f>IF(Actual!F54&gt;0,F55*G55,0)</f>
        <v>0</v>
      </c>
      <c r="J55" s="84">
        <f t="shared" si="1"/>
        <v>404506.27286700002</v>
      </c>
      <c r="K55" s="84"/>
      <c r="M55" s="4"/>
      <c r="N55" s="4"/>
      <c r="O55" s="4"/>
    </row>
    <row r="56" spans="1:15" x14ac:dyDescent="0.2">
      <c r="A56" s="1" t="s">
        <v>288</v>
      </c>
      <c r="B56" s="4">
        <v>361.12</v>
      </c>
      <c r="C56" s="1" t="s">
        <v>70</v>
      </c>
      <c r="D56" s="12">
        <f t="shared" si="2"/>
        <v>12096752.119999997</v>
      </c>
      <c r="E56" s="12">
        <v>12096752.119999997</v>
      </c>
      <c r="F56" s="12"/>
      <c r="G56" s="13">
        <f>VLOOKUP(B56,Alloc!$D$1:$F$139,3,FALSE)</f>
        <v>4.3299999999999998E-2</v>
      </c>
      <c r="H56" s="12">
        <f>IF(Actual!F55&gt;0,E56*G56,0)</f>
        <v>523789.36679599987</v>
      </c>
      <c r="I56" s="12">
        <f>IF(Actual!F55&gt;0,F56*G56,0)</f>
        <v>0</v>
      </c>
      <c r="J56" s="84">
        <f t="shared" si="1"/>
        <v>523789.36679599987</v>
      </c>
      <c r="K56" s="84"/>
      <c r="M56" s="4"/>
      <c r="N56" s="4"/>
      <c r="O56" s="4"/>
    </row>
    <row r="57" spans="1:15" x14ac:dyDescent="0.2">
      <c r="A57" s="1" t="s">
        <v>288</v>
      </c>
      <c r="B57" s="4">
        <v>361.2</v>
      </c>
      <c r="C57" s="1" t="s">
        <v>68</v>
      </c>
      <c r="D57" s="12">
        <f t="shared" si="2"/>
        <v>26757</v>
      </c>
      <c r="E57" s="12">
        <v>26757</v>
      </c>
      <c r="F57" s="12"/>
      <c r="G57" s="13">
        <f>VLOOKUP(B57,Alloc!$D$1:$F$139,3,FALSE)</f>
        <v>1.77E-2</v>
      </c>
      <c r="H57" s="12">
        <f>IF(Actual!F56&gt;0,E57*G57,0)</f>
        <v>473.59890000000001</v>
      </c>
      <c r="I57" s="12">
        <f>IF(Actual!F56&gt;0,F57*G57,0)</f>
        <v>0</v>
      </c>
      <c r="J57" s="84">
        <f t="shared" si="1"/>
        <v>473.59890000000001</v>
      </c>
      <c r="K57" s="84"/>
      <c r="M57" s="4"/>
      <c r="N57" s="4"/>
      <c r="O57" s="4"/>
    </row>
    <row r="58" spans="1:15" x14ac:dyDescent="0.2">
      <c r="A58" s="1" t="s">
        <v>288</v>
      </c>
      <c r="B58" s="4">
        <v>362.11</v>
      </c>
      <c r="C58" s="1" t="s">
        <v>66</v>
      </c>
      <c r="D58" s="12">
        <f t="shared" si="2"/>
        <v>4556064.3499999996</v>
      </c>
      <c r="E58" s="12">
        <v>4556064.3499999996</v>
      </c>
      <c r="F58" s="12"/>
      <c r="G58" s="13">
        <f>VLOOKUP(B58,Alloc!$D$1:$F$139,3,FALSE)</f>
        <v>2.58E-2</v>
      </c>
      <c r="H58" s="12">
        <f>IF(Actual!F57&gt;0,E58*G58,0)</f>
        <v>117546.46023</v>
      </c>
      <c r="I58" s="12">
        <f>IF(Actual!F57&gt;0,F58*G58,0)</f>
        <v>0</v>
      </c>
      <c r="J58" s="84">
        <f t="shared" si="1"/>
        <v>117546.46023</v>
      </c>
      <c r="K58" s="84"/>
      <c r="M58" s="4"/>
      <c r="N58" s="4"/>
      <c r="O58" s="4"/>
    </row>
    <row r="59" spans="1:15" x14ac:dyDescent="0.2">
      <c r="A59" s="1" t="s">
        <v>288</v>
      </c>
      <c r="B59" s="4">
        <v>362.12</v>
      </c>
      <c r="C59" s="1" t="s">
        <v>64</v>
      </c>
      <c r="D59" s="12">
        <f t="shared" si="2"/>
        <v>5927103.8200000003</v>
      </c>
      <c r="E59" s="12">
        <v>5927103.8200000003</v>
      </c>
      <c r="F59" s="12"/>
      <c r="G59" s="13">
        <f>VLOOKUP(B59,Alloc!$D$1:$F$139,3,FALSE)</f>
        <v>2.4299999999999999E-2</v>
      </c>
      <c r="H59" s="12">
        <f>IF(Actual!F58&gt;0,E59*G59,0)</f>
        <v>144028.62282600001</v>
      </c>
      <c r="I59" s="12">
        <f>IF(Actual!F58&gt;0,F59*G59,0)</f>
        <v>0</v>
      </c>
      <c r="J59" s="84">
        <f t="shared" si="1"/>
        <v>144028.62282600001</v>
      </c>
      <c r="K59" s="84"/>
    </row>
    <row r="60" spans="1:15" x14ac:dyDescent="0.2">
      <c r="A60" s="1" t="s">
        <v>288</v>
      </c>
      <c r="B60" s="4">
        <v>362.2</v>
      </c>
      <c r="C60" s="1" t="s">
        <v>62</v>
      </c>
      <c r="D60" s="12">
        <f t="shared" si="2"/>
        <v>1600.14</v>
      </c>
      <c r="E60" s="12">
        <v>1600.14</v>
      </c>
      <c r="F60" s="12"/>
      <c r="G60" s="13">
        <f>VLOOKUP(B60,Alloc!$D$1:$F$139,3,FALSE)</f>
        <v>0.01</v>
      </c>
      <c r="H60" s="12">
        <f>IF(Actual!F59&gt;0,E60*G60,0)</f>
        <v>16.0014</v>
      </c>
      <c r="I60" s="12">
        <f>IF(Actual!F59&gt;0,F60*G60,0)</f>
        <v>0</v>
      </c>
      <c r="J60" s="84">
        <f t="shared" si="1"/>
        <v>16.0014</v>
      </c>
      <c r="K60" s="84"/>
    </row>
    <row r="61" spans="1:15" x14ac:dyDescent="0.2">
      <c r="A61" s="1" t="s">
        <v>288</v>
      </c>
      <c r="B61" s="4">
        <v>363.11</v>
      </c>
      <c r="C61" s="1" t="s">
        <v>60</v>
      </c>
      <c r="D61" s="12">
        <f t="shared" si="2"/>
        <v>3374986.93</v>
      </c>
      <c r="E61" s="12">
        <v>3374986.93</v>
      </c>
      <c r="F61" s="12"/>
      <c r="G61" s="13">
        <f>VLOOKUP(B61,Alloc!$D$1:$F$139,3,FALSE)</f>
        <v>1.3100000000000001E-2</v>
      </c>
      <c r="H61" s="12">
        <f>IF(Actual!F60&gt;0,E61*G61,0)</f>
        <v>44212.328783000004</v>
      </c>
      <c r="I61" s="12">
        <f>IF(Actual!F60&gt;0,F61*G61,0)</f>
        <v>0</v>
      </c>
      <c r="J61" s="84">
        <f t="shared" si="1"/>
        <v>44212.328783000004</v>
      </c>
      <c r="K61" s="84"/>
    </row>
    <row r="62" spans="1:15" x14ac:dyDescent="0.2">
      <c r="A62" s="1" t="s">
        <v>288</v>
      </c>
      <c r="B62" s="4">
        <v>363.12</v>
      </c>
      <c r="C62" s="1" t="s">
        <v>58</v>
      </c>
      <c r="D62" s="12">
        <f t="shared" si="2"/>
        <v>15748403.830000002</v>
      </c>
      <c r="E62" s="12">
        <v>15748403.830000002</v>
      </c>
      <c r="F62" s="12"/>
      <c r="G62" s="13">
        <f>VLOOKUP(B62,Alloc!$D$1:$F$139,3,FALSE)</f>
        <v>6.7000000000000002E-3</v>
      </c>
      <c r="H62" s="12">
        <f>IF(Actual!F61&gt;0,E62*G62,0)</f>
        <v>105514.30566100002</v>
      </c>
      <c r="I62" s="12">
        <f>IF(Actual!F61&gt;0,F62*G62,0)</f>
        <v>0</v>
      </c>
      <c r="J62" s="84">
        <f t="shared" si="1"/>
        <v>105514.30566100002</v>
      </c>
      <c r="K62" s="84"/>
    </row>
    <row r="63" spans="1:15" x14ac:dyDescent="0.2">
      <c r="A63" s="1" t="s">
        <v>288</v>
      </c>
      <c r="B63" s="4">
        <v>363.21</v>
      </c>
      <c r="C63" s="1" t="s">
        <v>56</v>
      </c>
      <c r="D63" s="12">
        <f t="shared" si="2"/>
        <v>4458618</v>
      </c>
      <c r="E63" s="12">
        <v>4458618</v>
      </c>
      <c r="F63" s="12"/>
      <c r="G63" s="13">
        <f>VLOOKUP(B63,Alloc!$D$1:$F$139,3,FALSE)</f>
        <v>4.7000000000000002E-3</v>
      </c>
      <c r="H63" s="12">
        <f>IF(Actual!F62&gt;0,E63*G63,0)</f>
        <v>20955.5046</v>
      </c>
      <c r="I63" s="12">
        <f>IF(Actual!F62&gt;0,F63*G63,0)</f>
        <v>0</v>
      </c>
      <c r="J63" s="84">
        <f t="shared" si="1"/>
        <v>20955.5046</v>
      </c>
      <c r="K63" s="84"/>
    </row>
    <row r="64" spans="1:15" x14ac:dyDescent="0.2">
      <c r="A64" s="1" t="s">
        <v>288</v>
      </c>
      <c r="B64" s="4">
        <v>363.22</v>
      </c>
      <c r="C64" s="1" t="s">
        <v>54</v>
      </c>
      <c r="D64" s="12">
        <f t="shared" si="2"/>
        <v>3739812.74</v>
      </c>
      <c r="E64" s="12">
        <v>3739812.74</v>
      </c>
      <c r="F64" s="12"/>
      <c r="G64" s="13">
        <f>VLOOKUP(B64,Alloc!$D$1:$F$139,3,FALSE)</f>
        <v>3.09E-2</v>
      </c>
      <c r="H64" s="12">
        <f>IF(Actual!F63&gt;0,E64*G64,0)</f>
        <v>115560.21366600001</v>
      </c>
      <c r="I64" s="12">
        <f>IF(Actual!F63&gt;0,F64*G64,0)</f>
        <v>0</v>
      </c>
      <c r="J64" s="84">
        <f t="shared" si="1"/>
        <v>115560.21366600001</v>
      </c>
      <c r="K64" s="84"/>
    </row>
    <row r="65" spans="1:13" x14ac:dyDescent="0.2">
      <c r="A65" s="1" t="s">
        <v>288</v>
      </c>
      <c r="B65" s="4">
        <v>363.31</v>
      </c>
      <c r="C65" s="1" t="s">
        <v>52</v>
      </c>
      <c r="D65" s="12">
        <f t="shared" si="2"/>
        <v>180903.23</v>
      </c>
      <c r="E65" s="12">
        <v>180903.23</v>
      </c>
      <c r="F65" s="12"/>
      <c r="G65" s="13">
        <f>VLOOKUP(B65,Alloc!$D$1:$F$139,3,FALSE)</f>
        <v>0</v>
      </c>
      <c r="H65" s="12">
        <f>IF(Actual!F64&gt;0,E65*G65,0)</f>
        <v>0</v>
      </c>
      <c r="I65" s="12">
        <f>IF(Actual!F64&gt;0,F65*G65,0)</f>
        <v>0</v>
      </c>
      <c r="J65" s="84">
        <f t="shared" si="1"/>
        <v>0</v>
      </c>
      <c r="K65" s="84"/>
    </row>
    <row r="66" spans="1:13" x14ac:dyDescent="0.2">
      <c r="A66" s="1" t="s">
        <v>288</v>
      </c>
      <c r="B66" s="4">
        <v>363.32</v>
      </c>
      <c r="C66" s="1" t="s">
        <v>50</v>
      </c>
      <c r="D66" s="12">
        <f t="shared" si="2"/>
        <v>4623311.0000000019</v>
      </c>
      <c r="E66" s="12">
        <v>4623311.0000000019</v>
      </c>
      <c r="F66" s="12"/>
      <c r="G66" s="13">
        <f>VLOOKUP(B66,Alloc!$D$1:$F$139,3,FALSE)</f>
        <v>7.5800000000000006E-2</v>
      </c>
      <c r="H66" s="12">
        <f>IF(Actual!F65&gt;0,E66*G66,0)</f>
        <v>350446.97380000015</v>
      </c>
      <c r="I66" s="12">
        <f>IF(Actual!F65&gt;0,F66*G66,0)</f>
        <v>0</v>
      </c>
      <c r="J66" s="84">
        <f t="shared" si="1"/>
        <v>350446.97380000015</v>
      </c>
      <c r="K66" s="84"/>
    </row>
    <row r="67" spans="1:13" x14ac:dyDescent="0.2">
      <c r="A67" s="1" t="s">
        <v>288</v>
      </c>
      <c r="B67" s="4">
        <v>363.41</v>
      </c>
      <c r="C67" s="1" t="s">
        <v>47</v>
      </c>
      <c r="D67" s="12">
        <f t="shared" si="2"/>
        <v>2878574.2599999993</v>
      </c>
      <c r="E67" s="12">
        <v>2878574.2599999993</v>
      </c>
      <c r="F67" s="12"/>
      <c r="G67" s="13">
        <f>VLOOKUP(B67,Alloc!$D$1:$F$139,3,FALSE)</f>
        <v>3.9899999999999998E-2</v>
      </c>
      <c r="H67" s="12">
        <f>IF(Actual!F66&gt;0,E67*G67,0)</f>
        <v>114855.11297399996</v>
      </c>
      <c r="I67" s="12">
        <f>IF(Actual!F66&gt;0,F67*G67,0)</f>
        <v>0</v>
      </c>
      <c r="J67" s="84">
        <f t="shared" si="1"/>
        <v>114855.11297399996</v>
      </c>
      <c r="K67" s="84"/>
    </row>
    <row r="68" spans="1:13" x14ac:dyDescent="0.2">
      <c r="A68" s="1" t="s">
        <v>288</v>
      </c>
      <c r="B68" s="4">
        <v>363.42</v>
      </c>
      <c r="C68" s="1" t="s">
        <v>47</v>
      </c>
      <c r="D68" s="12">
        <f t="shared" si="2"/>
        <v>10562079.449999999</v>
      </c>
      <c r="E68" s="12">
        <v>10562079.449999999</v>
      </c>
      <c r="F68" s="12"/>
      <c r="G68" s="13">
        <f>VLOOKUP(B68,Alloc!$D$1:$F$139,3,FALSE)</f>
        <v>1.2999999999999999E-3</v>
      </c>
      <c r="H68" s="12">
        <f>IF(Actual!F67&gt;0,E68*G68,0)</f>
        <v>13730.703284999998</v>
      </c>
      <c r="I68" s="12">
        <f>IF(Actual!F67&gt;0,F68*G68,0)</f>
        <v>0</v>
      </c>
      <c r="J68" s="84">
        <f t="shared" si="1"/>
        <v>13730.703284999998</v>
      </c>
      <c r="K68" s="84"/>
    </row>
    <row r="69" spans="1:13" x14ac:dyDescent="0.2">
      <c r="A69" s="1" t="s">
        <v>289</v>
      </c>
      <c r="B69" s="4">
        <v>363.5</v>
      </c>
      <c r="C69" s="1" t="s">
        <v>45</v>
      </c>
      <c r="D69" s="12">
        <f t="shared" si="2"/>
        <v>3051295.49</v>
      </c>
      <c r="E69" s="12">
        <v>3051295.49</v>
      </c>
      <c r="F69" s="12"/>
      <c r="G69" s="13">
        <f>VLOOKUP(B69,Alloc!$D$1:$F$139,3,FALSE)</f>
        <v>2.6200000000000001E-2</v>
      </c>
      <c r="H69" s="12">
        <f>IF(Actual!F68&gt;0,E69*G69,0)</f>
        <v>79943.941838000013</v>
      </c>
      <c r="I69" s="12">
        <f>IF(Actual!F68&gt;0,F69*G69,0)</f>
        <v>0</v>
      </c>
      <c r="J69" s="84">
        <f t="shared" si="1"/>
        <v>79943.941838000013</v>
      </c>
      <c r="K69" s="84"/>
    </row>
    <row r="70" spans="1:13" x14ac:dyDescent="0.2">
      <c r="A70" s="1" t="s">
        <v>289</v>
      </c>
      <c r="B70" s="4">
        <v>363.6</v>
      </c>
      <c r="C70" s="1" t="s">
        <v>208</v>
      </c>
      <c r="D70" s="12">
        <f t="shared" si="2"/>
        <v>739473</v>
      </c>
      <c r="E70" s="12">
        <v>739473</v>
      </c>
      <c r="F70" s="12"/>
      <c r="G70" s="13">
        <f>VLOOKUP(B70,Alloc!$D$1:$F$139,3,FALSE)</f>
        <v>2.3E-3</v>
      </c>
      <c r="H70" s="12">
        <f>IF(Actual!F69&gt;0,E70*G70,0)</f>
        <v>0</v>
      </c>
      <c r="I70" s="12">
        <f>IF(Actual!F69&gt;0,F70*G70,0)</f>
        <v>0</v>
      </c>
      <c r="J70" s="84">
        <f t="shared" si="1"/>
        <v>0</v>
      </c>
      <c r="K70" s="84"/>
    </row>
    <row r="71" spans="1:13" x14ac:dyDescent="0.2">
      <c r="A71" s="1" t="s">
        <v>290</v>
      </c>
      <c r="B71" s="4">
        <v>365.1</v>
      </c>
      <c r="C71" s="1" t="s">
        <v>168</v>
      </c>
      <c r="D71" s="12">
        <f t="shared" ref="D71:D102" si="3">SUM(E71:F71)</f>
        <v>1015597.09</v>
      </c>
      <c r="E71" s="12">
        <v>1015597.09</v>
      </c>
      <c r="F71" s="12"/>
      <c r="G71" s="13">
        <f>VLOOKUP(B71,Alloc!$D$1:$F$139,3,FALSE)</f>
        <v>0</v>
      </c>
      <c r="H71" s="12">
        <f>IF(Actual!F70&gt;0,E71*G71,0)</f>
        <v>0</v>
      </c>
      <c r="I71" s="12">
        <f>IF(Actual!F70&gt;0,F71*G71,0)</f>
        <v>0</v>
      </c>
      <c r="J71" s="84">
        <f t="shared" si="1"/>
        <v>0</v>
      </c>
      <c r="K71" s="84"/>
    </row>
    <row r="72" spans="1:13" x14ac:dyDescent="0.2">
      <c r="A72" s="1" t="s">
        <v>290</v>
      </c>
      <c r="B72" s="4">
        <v>365.2</v>
      </c>
      <c r="C72" s="1" t="s">
        <v>92</v>
      </c>
      <c r="D72" s="12">
        <f t="shared" si="3"/>
        <v>6455176.8600000003</v>
      </c>
      <c r="E72" s="12">
        <v>6455176.8600000003</v>
      </c>
      <c r="F72" s="12"/>
      <c r="G72" s="13">
        <f>VLOOKUP(B72,Alloc!$D$1:$F$139,3,FALSE)</f>
        <v>1.52E-2</v>
      </c>
      <c r="H72" s="12">
        <f>IF(Actual!F71&gt;0,E72*G72,0)</f>
        <v>98118.688271999999</v>
      </c>
      <c r="I72" s="12">
        <f>IF(Actual!F71&gt;0,F72*G72,0)</f>
        <v>0</v>
      </c>
      <c r="J72" s="84">
        <f t="shared" ref="J72:J128" si="4">SUM(H72:I72)</f>
        <v>98118.688271999999</v>
      </c>
      <c r="K72" s="84"/>
    </row>
    <row r="73" spans="1:13" x14ac:dyDescent="0.2">
      <c r="A73" s="1" t="s">
        <v>290</v>
      </c>
      <c r="B73" s="4">
        <v>366.3</v>
      </c>
      <c r="C73" s="1" t="s">
        <v>68</v>
      </c>
      <c r="D73" s="12">
        <f t="shared" si="3"/>
        <v>1546072.61</v>
      </c>
      <c r="E73" s="12">
        <v>1546072.61</v>
      </c>
      <c r="F73" s="12"/>
      <c r="G73" s="13">
        <f>VLOOKUP(B73,Alloc!$D$1:$F$139,3,FALSE)</f>
        <v>1.7500000000000002E-2</v>
      </c>
      <c r="H73" s="12">
        <f>IF(Actual!F72&gt;0,E73*G73,0)</f>
        <v>27056.270675000003</v>
      </c>
      <c r="I73" s="12">
        <f>IF(Actual!F72&gt;0,F73*G73,0)</f>
        <v>0</v>
      </c>
      <c r="J73" s="84">
        <f t="shared" si="4"/>
        <v>27056.270675000003</v>
      </c>
      <c r="K73" s="84"/>
    </row>
    <row r="74" spans="1:13" x14ac:dyDescent="0.2">
      <c r="A74" s="1" t="s">
        <v>290</v>
      </c>
      <c r="B74" s="4">
        <v>367</v>
      </c>
      <c r="C74" s="1" t="s">
        <v>89</v>
      </c>
      <c r="D74" s="12">
        <f t="shared" si="3"/>
        <v>181525733.34999996</v>
      </c>
      <c r="E74" s="12">
        <v>180410099.08999997</v>
      </c>
      <c r="F74" s="12">
        <v>1115634.2599999998</v>
      </c>
      <c r="G74" s="13">
        <f>VLOOKUP(B74,Alloc!$D$1:$F$139,3,FALSE)</f>
        <v>1.8800000000000001E-2</v>
      </c>
      <c r="H74" s="12">
        <f>IF(Actual!F73&gt;0,E74*G74,0)</f>
        <v>3391709.8628919995</v>
      </c>
      <c r="I74" s="12">
        <f>IF(Actual!F73&gt;0,F74*G74,0)</f>
        <v>20973.924087999996</v>
      </c>
      <c r="J74" s="84">
        <f t="shared" si="4"/>
        <v>3412683.7869799994</v>
      </c>
      <c r="K74" s="84"/>
    </row>
    <row r="75" spans="1:13" x14ac:dyDescent="0.2">
      <c r="A75" s="1" t="s">
        <v>288</v>
      </c>
      <c r="B75" s="4">
        <v>367.21</v>
      </c>
      <c r="C75" s="1" t="s">
        <v>87</v>
      </c>
      <c r="D75" s="12">
        <f t="shared" si="3"/>
        <v>1994582.39</v>
      </c>
      <c r="E75" s="12">
        <v>1994582.39</v>
      </c>
      <c r="F75" s="12"/>
      <c r="G75" s="13">
        <f>VLOOKUP(B75,Alloc!$D$1:$F$139,3,FALSE)</f>
        <v>1.72E-2</v>
      </c>
      <c r="H75" s="12">
        <f>IF(Actual!F74&gt;0,E75*G75,0)</f>
        <v>34306.817107999996</v>
      </c>
      <c r="I75" s="12">
        <f>IF(Actual!F74&gt;0,F75*G75,0)</f>
        <v>0</v>
      </c>
      <c r="J75" s="84">
        <f t="shared" si="4"/>
        <v>34306.817107999996</v>
      </c>
      <c r="K75" s="84"/>
    </row>
    <row r="76" spans="1:13" x14ac:dyDescent="0.2">
      <c r="A76" s="1" t="s">
        <v>288</v>
      </c>
      <c r="B76" s="4">
        <v>367.22</v>
      </c>
      <c r="C76" s="1" t="s">
        <v>84</v>
      </c>
      <c r="D76" s="12">
        <f t="shared" si="3"/>
        <v>14949264</v>
      </c>
      <c r="E76" s="12">
        <v>14949264</v>
      </c>
      <c r="F76" s="12"/>
      <c r="G76" s="13">
        <f>VLOOKUP(B76,Alloc!$D$1:$F$139,3,FALSE)</f>
        <v>1.5900000000000001E-2</v>
      </c>
      <c r="H76" s="12">
        <f>IF(Actual!F75&gt;0,E76*G76,0)</f>
        <v>237693.29760000002</v>
      </c>
      <c r="I76" s="12">
        <f>IF(Actual!F75&gt;0,F76*G76,0)</f>
        <v>0</v>
      </c>
      <c r="J76" s="84">
        <f t="shared" si="4"/>
        <v>237693.29760000002</v>
      </c>
      <c r="K76" s="84"/>
    </row>
    <row r="77" spans="1:13" x14ac:dyDescent="0.2">
      <c r="A77" s="1" t="s">
        <v>288</v>
      </c>
      <c r="B77" s="4">
        <v>367.23</v>
      </c>
      <c r="C77" s="1" t="s">
        <v>84</v>
      </c>
      <c r="D77" s="12">
        <f t="shared" si="3"/>
        <v>34881341.359999999</v>
      </c>
      <c r="E77" s="12">
        <v>34881341.359999999</v>
      </c>
      <c r="F77" s="12"/>
      <c r="G77" s="13">
        <f>VLOOKUP(B77,Alloc!$D$1:$F$139,3,FALSE)</f>
        <v>1.9400000000000001E-2</v>
      </c>
      <c r="H77" s="12">
        <f>IF(Actual!F76&gt;0,E77*G77,0)</f>
        <v>676698.02238400001</v>
      </c>
      <c r="I77" s="12">
        <f>IF(Actual!F76&gt;0,F77*G77,0)</f>
        <v>0</v>
      </c>
      <c r="J77" s="84">
        <f t="shared" si="4"/>
        <v>676698.02238400001</v>
      </c>
      <c r="K77" s="84"/>
    </row>
    <row r="78" spans="1:13" x14ac:dyDescent="0.2">
      <c r="A78" s="1" t="s">
        <v>288</v>
      </c>
      <c r="B78" s="4">
        <v>367.24</v>
      </c>
      <c r="C78" s="1" t="s">
        <v>82</v>
      </c>
      <c r="D78" s="12">
        <f t="shared" si="3"/>
        <v>17466181.890000001</v>
      </c>
      <c r="E78" s="12">
        <v>17466181.890000001</v>
      </c>
      <c r="F78" s="12"/>
      <c r="G78" s="13">
        <f>VLOOKUP(B78,Alloc!$D$1:$F$139,3,FALSE)</f>
        <v>1.9400000000000001E-2</v>
      </c>
      <c r="H78" s="12">
        <f>IF(Actual!F77&gt;0,E78*G78,0)</f>
        <v>338843.92866600002</v>
      </c>
      <c r="I78" s="12">
        <f>IF(Actual!F77&gt;0,F78*G78,0)</f>
        <v>0</v>
      </c>
      <c r="J78" s="84">
        <f t="shared" si="4"/>
        <v>338843.92866600002</v>
      </c>
      <c r="K78" s="84"/>
    </row>
    <row r="79" spans="1:13" x14ac:dyDescent="0.2">
      <c r="A79" s="1" t="s">
        <v>288</v>
      </c>
      <c r="B79" s="4">
        <v>367.25</v>
      </c>
      <c r="C79" s="1" t="s">
        <v>80</v>
      </c>
      <c r="D79" s="12">
        <f t="shared" si="3"/>
        <v>18613651.149999999</v>
      </c>
      <c r="E79" s="12">
        <v>18613651.149999999</v>
      </c>
      <c r="F79" s="12"/>
      <c r="G79" s="13">
        <f>VLOOKUP(B79,Alloc!$D$1:$F$139,3,FALSE)</f>
        <v>1.95E-2</v>
      </c>
      <c r="H79" s="12">
        <f>IF(Actual!F78&gt;0,E79*G79,0)</f>
        <v>362966.19742499996</v>
      </c>
      <c r="I79" s="12">
        <f>IF(Actual!F78&gt;0,F79*G79,0)</f>
        <v>0</v>
      </c>
      <c r="J79" s="84">
        <f t="shared" si="4"/>
        <v>362966.19742499996</v>
      </c>
      <c r="K79" s="84"/>
    </row>
    <row r="80" spans="1:13" x14ac:dyDescent="0.2">
      <c r="A80" s="1" t="s">
        <v>288</v>
      </c>
      <c r="B80" s="4">
        <v>367.26</v>
      </c>
      <c r="C80" s="1" t="s">
        <v>78</v>
      </c>
      <c r="D80" s="12">
        <f t="shared" si="3"/>
        <v>68232675.579999998</v>
      </c>
      <c r="E80" s="12">
        <v>68232675.579999998</v>
      </c>
      <c r="F80" s="12"/>
      <c r="G80" s="13">
        <f>VLOOKUP(B80,Alloc!$D$1:$F$139,3,FALSE)</f>
        <v>1.95E-2</v>
      </c>
      <c r="H80" s="12">
        <f>IF(Actual!F79&gt;0,E80*G80,0)</f>
        <v>1330537.1738100001</v>
      </c>
      <c r="I80" s="12">
        <f>IF(Actual!F79&gt;0,F80*G80,0)</f>
        <v>0</v>
      </c>
      <c r="J80" s="84">
        <f t="shared" si="4"/>
        <v>1330537.1738100001</v>
      </c>
      <c r="K80" s="84"/>
      <c r="L80" s="1" t="s">
        <v>1114</v>
      </c>
      <c r="M80" s="111">
        <f>I87+I88+I92</f>
        <v>7120771.8419120014</v>
      </c>
    </row>
    <row r="81" spans="1:17" x14ac:dyDescent="0.2">
      <c r="A81" s="1" t="s">
        <v>290</v>
      </c>
      <c r="B81" s="4">
        <v>368</v>
      </c>
      <c r="C81" s="1" t="s">
        <v>76</v>
      </c>
      <c r="D81" s="12">
        <f t="shared" si="3"/>
        <v>0</v>
      </c>
      <c r="E81" s="12">
        <v>0</v>
      </c>
      <c r="F81" s="12"/>
      <c r="G81" s="13">
        <f>VLOOKUP(B81,Alloc!$D$1:$F$139,3,FALSE)</f>
        <v>2.1499999999999998E-2</v>
      </c>
      <c r="H81" s="12">
        <f>IF(Actual!F80&gt;0,E81*G81,0)</f>
        <v>0</v>
      </c>
      <c r="I81" s="12">
        <f>IF(Actual!F80&gt;0,F81*G81,0)</f>
        <v>0</v>
      </c>
      <c r="J81" s="84">
        <f t="shared" si="4"/>
        <v>0</v>
      </c>
      <c r="K81" s="84"/>
      <c r="L81" s="1" t="s">
        <v>1115</v>
      </c>
      <c r="M81" s="111">
        <f>'[4]KTW-2 - Rev Req'!$O$26</f>
        <v>0</v>
      </c>
      <c r="N81" s="1" t="s">
        <v>1117</v>
      </c>
    </row>
    <row r="82" spans="1:17" x14ac:dyDescent="0.2">
      <c r="A82" s="1" t="s">
        <v>290</v>
      </c>
      <c r="B82" s="4">
        <v>369</v>
      </c>
      <c r="C82" s="1" t="s">
        <v>74</v>
      </c>
      <c r="D82" s="12">
        <f t="shared" si="3"/>
        <v>3969549.08</v>
      </c>
      <c r="E82" s="12">
        <v>3969549.08</v>
      </c>
      <c r="F82" s="12"/>
      <c r="G82" s="13">
        <f>VLOOKUP(B82,Alloc!$D$1:$F$139,3,FALSE)</f>
        <v>2.1299999999999999E-2</v>
      </c>
      <c r="H82" s="12">
        <f>IF(Actual!F81&gt;0,E82*G82,0)</f>
        <v>84551.395403999995</v>
      </c>
      <c r="I82" s="12">
        <f>IF(Actual!F81&gt;0,F82*G82,0)</f>
        <v>0</v>
      </c>
      <c r="J82" s="84">
        <f t="shared" si="4"/>
        <v>84551.395403999995</v>
      </c>
      <c r="K82" s="84"/>
      <c r="M82" s="112">
        <f>M80-M81</f>
        <v>7120771.8419120014</v>
      </c>
    </row>
    <row r="83" spans="1:17" x14ac:dyDescent="0.2">
      <c r="A83" s="1" t="s">
        <v>290</v>
      </c>
      <c r="B83" s="4">
        <v>370</v>
      </c>
      <c r="C83" s="1" t="s">
        <v>211</v>
      </c>
      <c r="D83" s="12">
        <f t="shared" si="3"/>
        <v>0</v>
      </c>
      <c r="E83" s="12">
        <v>0</v>
      </c>
      <c r="F83" s="12"/>
      <c r="G83" s="13">
        <f>VLOOKUP(B83,Alloc!$D$1:$F$139,3,FALSE)</f>
        <v>0</v>
      </c>
      <c r="H83" s="12">
        <f>IF(Actual!F82&gt;0,E83*G83,0)</f>
        <v>0</v>
      </c>
      <c r="I83" s="12">
        <f>IF(Actual!F82&gt;0,F83*G83,0)</f>
        <v>0</v>
      </c>
      <c r="J83" s="84">
        <f t="shared" si="4"/>
        <v>0</v>
      </c>
      <c r="K83" s="84"/>
      <c r="M83" s="111"/>
    </row>
    <row r="84" spans="1:17" x14ac:dyDescent="0.2">
      <c r="A84" s="1" t="s">
        <v>291</v>
      </c>
      <c r="B84" s="4">
        <v>374.1</v>
      </c>
      <c r="C84" s="1" t="s">
        <v>168</v>
      </c>
      <c r="D84" s="12">
        <f t="shared" si="3"/>
        <v>85773.440000000002</v>
      </c>
      <c r="E84" s="12">
        <v>75384.44</v>
      </c>
      <c r="F84" s="12">
        <v>10389</v>
      </c>
      <c r="G84" s="13">
        <f>VLOOKUP(B84,Alloc!$D$1:$F$139,3,FALSE)</f>
        <v>0</v>
      </c>
      <c r="H84" s="12">
        <f>IF(Actual!F83&gt;0,E84*G84,0)</f>
        <v>0</v>
      </c>
      <c r="I84" s="12">
        <f>IF(Actual!F83&gt;0,F84*G84,0)</f>
        <v>0</v>
      </c>
      <c r="J84" s="84">
        <f t="shared" si="4"/>
        <v>0</v>
      </c>
      <c r="K84" s="84"/>
    </row>
    <row r="85" spans="1:17" ht="13.5" thickBot="1" x14ac:dyDescent="0.25">
      <c r="A85" s="1" t="s">
        <v>291</v>
      </c>
      <c r="B85" s="4">
        <v>374.2</v>
      </c>
      <c r="C85" s="1" t="s">
        <v>92</v>
      </c>
      <c r="D85" s="12">
        <f t="shared" si="3"/>
        <v>1886180.64</v>
      </c>
      <c r="E85" s="12">
        <v>1858501.64</v>
      </c>
      <c r="F85" s="12">
        <v>27679</v>
      </c>
      <c r="G85" s="13">
        <f>VLOOKUP(B85,Alloc!$D$1:$F$139,3,FALSE)</f>
        <v>5.5999999999999999E-3</v>
      </c>
      <c r="H85" s="12">
        <f>IF(Actual!F84&gt;0,E85*G85,0)</f>
        <v>10407.609183999999</v>
      </c>
      <c r="I85" s="12">
        <f>IF(Actual!F84&gt;0,F85*G85,0)</f>
        <v>155.00239999999999</v>
      </c>
      <c r="J85" s="84">
        <f t="shared" si="4"/>
        <v>10562.611583999998</v>
      </c>
      <c r="K85" s="84"/>
    </row>
    <row r="86" spans="1:17" x14ac:dyDescent="0.2">
      <c r="A86" s="1" t="s">
        <v>291</v>
      </c>
      <c r="B86" s="4">
        <v>375</v>
      </c>
      <c r="C86" s="1" t="s">
        <v>70</v>
      </c>
      <c r="D86" s="12">
        <f t="shared" si="3"/>
        <v>1519558.28</v>
      </c>
      <c r="E86" s="12">
        <v>132550.16</v>
      </c>
      <c r="F86" s="12">
        <v>1387008.12</v>
      </c>
      <c r="G86" s="13">
        <f>VLOOKUP(B86,Alloc!$D$1:$F$139,3,FALSE)</f>
        <v>1.4999999999999999E-2</v>
      </c>
      <c r="H86" s="12">
        <f>IF(Actual!F85&gt;0,E86*G86,0)</f>
        <v>1988.2524000000001</v>
      </c>
      <c r="I86" s="12">
        <f>IF(Actual!F85&gt;0,F86*G86,0)</f>
        <v>20805.121800000001</v>
      </c>
      <c r="J86" s="84">
        <f t="shared" si="4"/>
        <v>22793.374200000002</v>
      </c>
      <c r="K86" s="113" t="s">
        <v>1116</v>
      </c>
      <c r="M86" s="114" t="s">
        <v>1101</v>
      </c>
      <c r="O86" s="114" t="s">
        <v>233</v>
      </c>
      <c r="Q86" s="114" t="s">
        <v>1102</v>
      </c>
    </row>
    <row r="87" spans="1:17" x14ac:dyDescent="0.2">
      <c r="A87" s="1" t="s">
        <v>291</v>
      </c>
      <c r="B87" s="4">
        <v>376.11</v>
      </c>
      <c r="C87" s="1" t="s">
        <v>120</v>
      </c>
      <c r="D87" s="12">
        <f t="shared" si="3"/>
        <v>654787670.23999977</v>
      </c>
      <c r="E87" s="12">
        <v>563930303.73999977</v>
      </c>
      <c r="F87" s="12">
        <v>90857366.5</v>
      </c>
      <c r="G87" s="13">
        <f>VLOOKUP(B87,Alloc!$D$1:$F$139,3,FALSE)</f>
        <v>2.5399999999999999E-2</v>
      </c>
      <c r="H87" s="12">
        <f>IF(Actual!F86&gt;0,E87*G87,0)</f>
        <v>14323829.714995993</v>
      </c>
      <c r="I87" s="12">
        <f>IF(Actual!F86&gt;0,F87*G87,0)</f>
        <v>2307777.1091</v>
      </c>
      <c r="J87" s="84">
        <f t="shared" si="4"/>
        <v>16631606.824095994</v>
      </c>
      <c r="K87" s="115">
        <f>I87/($I$87+$I$88+$I$92)</f>
        <v>0.32409086547566418</v>
      </c>
      <c r="M87" s="61">
        <f>F87*0.01</f>
        <v>908573.66500000004</v>
      </c>
      <c r="O87" s="61">
        <f>I87-M87</f>
        <v>1399203.4441</v>
      </c>
      <c r="Q87" s="116">
        <f>1/G87</f>
        <v>39.370078740157481</v>
      </c>
    </row>
    <row r="88" spans="1:17" x14ac:dyDescent="0.2">
      <c r="A88" s="1" t="s">
        <v>291</v>
      </c>
      <c r="B88" s="4">
        <v>376.12</v>
      </c>
      <c r="C88" s="1" t="s">
        <v>118</v>
      </c>
      <c r="D88" s="12">
        <f t="shared" si="3"/>
        <v>639519602.87</v>
      </c>
      <c r="E88" s="12">
        <v>536506244.86999995</v>
      </c>
      <c r="F88" s="12">
        <v>103013358.00000003</v>
      </c>
      <c r="G88" s="13">
        <f>VLOOKUP(B88,Alloc!$D$1:$F$139,3,FALSE)</f>
        <v>2.3199999999999998E-2</v>
      </c>
      <c r="H88" s="12">
        <f>IF(Actual!F87&gt;0,E88*G88,0)</f>
        <v>12446944.880983997</v>
      </c>
      <c r="I88" s="12">
        <f>IF(Actual!F87&gt;0,F88*G88,0)</f>
        <v>2389909.9056000006</v>
      </c>
      <c r="J88" s="84">
        <f t="shared" si="4"/>
        <v>14836854.786583997</v>
      </c>
      <c r="K88" s="115">
        <f t="shared" ref="K88:K92" si="5">I88/($I$87+$I$88+$I$92)</f>
        <v>0.33562512023391622</v>
      </c>
      <c r="M88" s="61">
        <f>F88*0.01</f>
        <v>1030133.5800000003</v>
      </c>
      <c r="O88" s="61">
        <f>I88-M88</f>
        <v>1359776.3256000003</v>
      </c>
      <c r="Q88" s="116">
        <f>1/G88</f>
        <v>43.103448275862071</v>
      </c>
    </row>
    <row r="89" spans="1:17" x14ac:dyDescent="0.2">
      <c r="A89" s="1" t="s">
        <v>291</v>
      </c>
      <c r="B89" s="4">
        <v>377</v>
      </c>
      <c r="C89" s="1" t="s">
        <v>28</v>
      </c>
      <c r="D89" s="12">
        <f t="shared" si="3"/>
        <v>818380</v>
      </c>
      <c r="E89" s="12">
        <v>818380</v>
      </c>
      <c r="F89" s="12"/>
      <c r="G89" s="13">
        <f>VLOOKUP(B89,Alloc!$D$1:$F$139,3,FALSE)</f>
        <v>1.32E-2</v>
      </c>
      <c r="H89" s="12">
        <f>IF(Actual!F88&gt;0,E89*G89,0)</f>
        <v>10802.616</v>
      </c>
      <c r="I89" s="12">
        <f>IF(Actual!F88&gt;0,F89*G89,0)</f>
        <v>0</v>
      </c>
      <c r="J89" s="84">
        <f t="shared" si="4"/>
        <v>10802.616</v>
      </c>
      <c r="K89" s="115"/>
      <c r="O89" s="61"/>
      <c r="Q89" s="116"/>
    </row>
    <row r="90" spans="1:17" x14ac:dyDescent="0.2">
      <c r="A90" s="1" t="s">
        <v>291</v>
      </c>
      <c r="B90" s="4">
        <v>378</v>
      </c>
      <c r="C90" s="1" t="s">
        <v>115</v>
      </c>
      <c r="D90" s="12">
        <f t="shared" si="3"/>
        <v>39294596.600000009</v>
      </c>
      <c r="E90" s="12">
        <v>35721585.840000011</v>
      </c>
      <c r="F90" s="12">
        <v>3573010.7600000007</v>
      </c>
      <c r="G90" s="13">
        <f>VLOOKUP(B90,Alloc!$D$1:$F$139,3,FALSE)</f>
        <v>2.18E-2</v>
      </c>
      <c r="H90" s="12">
        <f>IF(Actual!F89&gt;0,E90*G90,0)</f>
        <v>778730.57131200028</v>
      </c>
      <c r="I90" s="12">
        <f>IF(Actual!F89&gt;0,F90*G90,0)</f>
        <v>77891.634568000009</v>
      </c>
      <c r="J90" s="84">
        <f t="shared" si="4"/>
        <v>856622.20588000026</v>
      </c>
      <c r="K90" s="115"/>
      <c r="O90" s="61"/>
      <c r="Q90" s="116"/>
    </row>
    <row r="91" spans="1:17" x14ac:dyDescent="0.2">
      <c r="A91" s="1" t="s">
        <v>291</v>
      </c>
      <c r="B91" s="4">
        <v>379</v>
      </c>
      <c r="C91" s="1" t="s">
        <v>113</v>
      </c>
      <c r="D91" s="12">
        <f t="shared" si="3"/>
        <v>17867546.489999995</v>
      </c>
      <c r="E91" s="12">
        <v>15508378.199999996</v>
      </c>
      <c r="F91" s="12">
        <v>2359168.29</v>
      </c>
      <c r="G91" s="13">
        <f>VLOOKUP(B91,Alloc!$D$1:$F$139,3,FALSE)</f>
        <v>2.12E-2</v>
      </c>
      <c r="H91" s="12">
        <f>IF(Actual!F90&gt;0,E91*G91,0)</f>
        <v>328777.6178399999</v>
      </c>
      <c r="I91" s="12">
        <f>IF(Actual!F90&gt;0,F91*G91,0)</f>
        <v>50014.367748000004</v>
      </c>
      <c r="J91" s="84">
        <f t="shared" si="4"/>
        <v>378791.98558799992</v>
      </c>
      <c r="K91" s="115"/>
      <c r="O91" s="61"/>
      <c r="Q91" s="116"/>
    </row>
    <row r="92" spans="1:17" ht="13.5" thickBot="1" x14ac:dyDescent="0.25">
      <c r="A92" s="1" t="s">
        <v>291</v>
      </c>
      <c r="B92" s="4">
        <v>380</v>
      </c>
      <c r="C92" s="1" t="s">
        <v>111</v>
      </c>
      <c r="D92" s="12">
        <f t="shared" si="3"/>
        <v>864919183.69999945</v>
      </c>
      <c r="E92" s="12">
        <v>780491140.93999946</v>
      </c>
      <c r="F92" s="12">
        <v>84428042.760000005</v>
      </c>
      <c r="G92" s="13">
        <f>VLOOKUP(B92,Alloc!$D$1:$F$139,3,FALSE)</f>
        <v>2.87E-2</v>
      </c>
      <c r="H92" s="12">
        <f>IF(Actual!F91&gt;0,E92*G92,0)</f>
        <v>22400095.744977985</v>
      </c>
      <c r="I92" s="12">
        <f>IF(Actual!F91&gt;0,F92*G92,0)</f>
        <v>2423084.8272120003</v>
      </c>
      <c r="J92" s="84">
        <f t="shared" si="4"/>
        <v>24823180.572189987</v>
      </c>
      <c r="K92" s="117">
        <f t="shared" si="5"/>
        <v>0.34028401429041949</v>
      </c>
      <c r="M92" s="61">
        <f>F92*0.01</f>
        <v>844280.42760000005</v>
      </c>
      <c r="O92" s="61">
        <f>I92-M92</f>
        <v>1578804.3996120002</v>
      </c>
      <c r="Q92" s="116">
        <f>1/G92</f>
        <v>34.843205574912893</v>
      </c>
    </row>
    <row r="93" spans="1:17" x14ac:dyDescent="0.2">
      <c r="A93" s="1" t="s">
        <v>291</v>
      </c>
      <c r="B93" s="4">
        <v>381</v>
      </c>
      <c r="C93" s="1" t="s">
        <v>109</v>
      </c>
      <c r="D93" s="12">
        <f t="shared" si="3"/>
        <v>108422427.94999999</v>
      </c>
      <c r="E93" s="12">
        <v>95528439.419999987</v>
      </c>
      <c r="F93" s="12">
        <v>12893988.530000001</v>
      </c>
      <c r="G93" s="13">
        <f>VLOOKUP(B93,Alloc!$D$1:$F$139,3,FALSE)</f>
        <v>2.23E-2</v>
      </c>
      <c r="H93" s="12">
        <f>IF(Actual!F92&gt;0,E93*G93,0)</f>
        <v>2130284.1990659996</v>
      </c>
      <c r="I93" s="12">
        <f>IF(Actual!F92&gt;0,F93*G93,0)</f>
        <v>287535.94421900006</v>
      </c>
      <c r="J93" s="84">
        <f t="shared" si="4"/>
        <v>2417820.1432849998</v>
      </c>
      <c r="K93" s="13"/>
      <c r="O93" s="61"/>
      <c r="Q93" s="4"/>
    </row>
    <row r="94" spans="1:17" x14ac:dyDescent="0.2">
      <c r="A94" s="1" t="s">
        <v>291</v>
      </c>
      <c r="B94" s="4">
        <v>381.1</v>
      </c>
      <c r="C94" s="1" t="s">
        <v>107</v>
      </c>
      <c r="D94" s="12">
        <f t="shared" si="3"/>
        <v>1696938.4600000002</v>
      </c>
      <c r="E94" s="12">
        <v>1696938.4600000002</v>
      </c>
      <c r="F94" s="12"/>
      <c r="G94" s="13">
        <f>VLOOKUP(B94,Alloc!$D$1:$F$139,3,FALSE)</f>
        <v>2.8899999999999999E-2</v>
      </c>
      <c r="H94" s="12">
        <f>IF(Actual!F93&gt;0,E94*G94,0)</f>
        <v>49041.521494000001</v>
      </c>
      <c r="I94" s="12">
        <f>IF(Actual!F93&gt;0,F94*G94,0)</f>
        <v>0</v>
      </c>
      <c r="J94" s="84">
        <f t="shared" si="4"/>
        <v>49041.521494000001</v>
      </c>
      <c r="K94" s="84"/>
      <c r="M94" s="1" t="s">
        <v>1103</v>
      </c>
      <c r="Q94" s="4"/>
    </row>
    <row r="95" spans="1:17" x14ac:dyDescent="0.2">
      <c r="A95" s="1" t="s">
        <v>291</v>
      </c>
      <c r="B95" s="4">
        <v>381.2</v>
      </c>
      <c r="C95" s="1" t="s">
        <v>105</v>
      </c>
      <c r="D95" s="12">
        <f t="shared" si="3"/>
        <v>44865471.030000009</v>
      </c>
      <c r="E95" s="12">
        <v>37779049.220000006</v>
      </c>
      <c r="F95" s="12">
        <v>7086421.8099999996</v>
      </c>
      <c r="G95" s="13">
        <f>VLOOKUP(B95,Alloc!$D$1:$F$139,3,FALSE)</f>
        <v>5.8500000000000003E-2</v>
      </c>
      <c r="H95" s="12">
        <f>IF(Actual!F94&gt;0,E95*G95,0)</f>
        <v>2210074.3793700007</v>
      </c>
      <c r="I95" s="12">
        <f>IF(Actual!F94&gt;0,F95*G95,0)</f>
        <v>414555.67588499998</v>
      </c>
      <c r="J95" s="84">
        <f t="shared" si="4"/>
        <v>2624630.0552550005</v>
      </c>
      <c r="K95" s="84"/>
      <c r="Q95" s="4"/>
    </row>
    <row r="96" spans="1:17" ht="13.5" thickBot="1" x14ac:dyDescent="0.25">
      <c r="A96" s="1" t="s">
        <v>291</v>
      </c>
      <c r="B96" s="4">
        <v>382</v>
      </c>
      <c r="C96" s="1" t="s">
        <v>103</v>
      </c>
      <c r="D96" s="12">
        <f t="shared" si="3"/>
        <v>63523780.95000001</v>
      </c>
      <c r="E96" s="12">
        <v>57026738.13000001</v>
      </c>
      <c r="F96" s="12">
        <v>6497042.8199999994</v>
      </c>
      <c r="G96" s="13">
        <f>VLOOKUP(B96,Alloc!$D$1:$F$139,3,FALSE)</f>
        <v>4.8399999999999999E-2</v>
      </c>
      <c r="H96" s="12">
        <f>IF(Actual!F95&gt;0,E96*G96,0)</f>
        <v>2760094.1254920005</v>
      </c>
      <c r="I96" s="12">
        <f>IF(Actual!F95&gt;0,F96*G96,0)</f>
        <v>314456.87248799996</v>
      </c>
      <c r="J96" s="84">
        <f t="shared" si="4"/>
        <v>3074550.9979800005</v>
      </c>
      <c r="K96" s="84"/>
      <c r="L96" s="158" t="s">
        <v>1120</v>
      </c>
      <c r="M96" s="158"/>
      <c r="N96" s="158"/>
      <c r="O96" s="158"/>
      <c r="P96" s="158"/>
      <c r="Q96" s="158"/>
    </row>
    <row r="97" spans="1:17" x14ac:dyDescent="0.2">
      <c r="A97" s="1" t="s">
        <v>291</v>
      </c>
      <c r="B97" s="4">
        <v>382.1</v>
      </c>
      <c r="C97" s="1" t="s">
        <v>101</v>
      </c>
      <c r="D97" s="12">
        <f t="shared" si="3"/>
        <v>481019.77</v>
      </c>
      <c r="E97" s="12">
        <v>481019.77</v>
      </c>
      <c r="F97" s="12"/>
      <c r="G97" s="13">
        <f>VLOOKUP(B97,Alloc!$D$1:$F$139,3,FALSE)</f>
        <v>8.6099999999999996E-2</v>
      </c>
      <c r="H97" s="12">
        <f>IF(Actual!F96&gt;0,E97*G97,0)</f>
        <v>41415.802196999997</v>
      </c>
      <c r="I97" s="12">
        <f>IF(Actual!F96&gt;0,F97*G97,0)</f>
        <v>0</v>
      </c>
      <c r="J97" s="84">
        <f t="shared" si="4"/>
        <v>41415.802196999997</v>
      </c>
      <c r="K97" s="84"/>
      <c r="L97" s="114" t="s">
        <v>307</v>
      </c>
      <c r="M97" s="114" t="s">
        <v>1113</v>
      </c>
      <c r="N97" s="114" t="s">
        <v>1104</v>
      </c>
      <c r="O97" s="114" t="s">
        <v>1105</v>
      </c>
      <c r="P97" s="114" t="s">
        <v>1106</v>
      </c>
      <c r="Q97" s="114" t="s">
        <v>1107</v>
      </c>
    </row>
    <row r="98" spans="1:17" x14ac:dyDescent="0.2">
      <c r="A98" s="1" t="s">
        <v>291</v>
      </c>
      <c r="B98" s="4">
        <v>382.2</v>
      </c>
      <c r="C98" s="1" t="s">
        <v>99</v>
      </c>
      <c r="D98" s="12">
        <f t="shared" si="3"/>
        <v>9292411.0600000005</v>
      </c>
      <c r="E98" s="12">
        <v>8390893.4199999999</v>
      </c>
      <c r="F98" s="12">
        <v>901517.6399999999</v>
      </c>
      <c r="G98" s="13">
        <f>VLOOKUP(B98,Alloc!$D$1:$F$139,3,FALSE)</f>
        <v>3.9E-2</v>
      </c>
      <c r="H98" s="12">
        <f>IF(Actual!F97&gt;0,E98*G98,0)</f>
        <v>327244.84337999998</v>
      </c>
      <c r="I98" s="12">
        <f>IF(Actual!F97&gt;0,F98*G98,0)</f>
        <v>35159.187959999996</v>
      </c>
      <c r="J98" s="84">
        <f t="shared" si="4"/>
        <v>362404.03133999999</v>
      </c>
      <c r="K98" s="84"/>
      <c r="L98" s="4">
        <v>376.11</v>
      </c>
      <c r="M98" s="118">
        <f>G87</f>
        <v>2.5399999999999999E-2</v>
      </c>
      <c r="N98" s="119">
        <f>$M$82*K87/F87</f>
        <v>2.5399999999999999E-2</v>
      </c>
      <c r="O98" s="119">
        <f>(Q98-N98)/3+N98</f>
        <v>2.5399999999999999E-2</v>
      </c>
      <c r="P98" s="119">
        <f>(Q98-N98)/3+O98</f>
        <v>2.5399999999999999E-2</v>
      </c>
      <c r="Q98" s="118">
        <f>M98</f>
        <v>2.5399999999999999E-2</v>
      </c>
    </row>
    <row r="99" spans="1:17" x14ac:dyDescent="0.2">
      <c r="A99" s="1" t="s">
        <v>291</v>
      </c>
      <c r="B99" s="4">
        <v>383</v>
      </c>
      <c r="C99" s="1" t="s">
        <v>97</v>
      </c>
      <c r="D99" s="12">
        <f t="shared" si="3"/>
        <v>2538237.9000000018</v>
      </c>
      <c r="E99" s="12">
        <v>2390905.3200000017</v>
      </c>
      <c r="F99" s="12">
        <v>147332.57999999999</v>
      </c>
      <c r="G99" s="13">
        <f>VLOOKUP(B99,Alloc!$D$1:$F$139,3,FALSE)</f>
        <v>2.92E-2</v>
      </c>
      <c r="H99" s="12">
        <f>IF(Actual!F98&gt;0,E99*G99,0)</f>
        <v>69814.435344000056</v>
      </c>
      <c r="I99" s="12">
        <f>IF(Actual!F98&gt;0,F99*G99,0)</f>
        <v>4302.1113359999999</v>
      </c>
      <c r="J99" s="84">
        <f t="shared" si="4"/>
        <v>74116.546680000058</v>
      </c>
      <c r="K99" s="84"/>
      <c r="L99" s="4">
        <v>376.12</v>
      </c>
      <c r="M99" s="118">
        <f>G88</f>
        <v>2.3199999999999998E-2</v>
      </c>
      <c r="N99" s="119">
        <f>$M$82*K88/F88</f>
        <v>2.3199999999999998E-2</v>
      </c>
      <c r="O99" s="119">
        <f t="shared" ref="O99:O100" si="6">(Q99-N99)/3+N99</f>
        <v>2.3199999999999998E-2</v>
      </c>
      <c r="P99" s="119">
        <f t="shared" ref="P99:P100" si="7">(Q99-N99)/3+O99</f>
        <v>2.3199999999999998E-2</v>
      </c>
      <c r="Q99" s="118">
        <f t="shared" ref="Q99:Q100" si="8">M99</f>
        <v>2.3199999999999998E-2</v>
      </c>
    </row>
    <row r="100" spans="1:17" x14ac:dyDescent="0.2">
      <c r="A100" s="1" t="s">
        <v>291</v>
      </c>
      <c r="B100" s="4">
        <v>386</v>
      </c>
      <c r="C100" s="1" t="s">
        <v>214</v>
      </c>
      <c r="D100" s="12">
        <f t="shared" si="3"/>
        <v>1162110.4099999999</v>
      </c>
      <c r="E100" s="12">
        <v>1162110.4099999999</v>
      </c>
      <c r="F100" s="12"/>
      <c r="G100" s="13">
        <f>VLOOKUP(B100,Alloc!$D$1:$F$139,3,FALSE)</f>
        <v>0.1</v>
      </c>
      <c r="H100" s="12">
        <f>IF(Actual!F99&gt;0,E100*G100,0)</f>
        <v>116211.041</v>
      </c>
      <c r="I100" s="12">
        <f>IF(Actual!F99&gt;0,F100*G100,0)</f>
        <v>0</v>
      </c>
      <c r="J100" s="84">
        <f t="shared" si="4"/>
        <v>116211.041</v>
      </c>
      <c r="K100" s="84"/>
      <c r="L100" s="4">
        <v>380</v>
      </c>
      <c r="M100" s="118">
        <f>G92</f>
        <v>2.87E-2</v>
      </c>
      <c r="N100" s="119">
        <f>$M$82*K92/F92</f>
        <v>2.87E-2</v>
      </c>
      <c r="O100" s="119">
        <f t="shared" si="6"/>
        <v>2.87E-2</v>
      </c>
      <c r="P100" s="119">
        <f t="shared" si="7"/>
        <v>2.87E-2</v>
      </c>
      <c r="Q100" s="118">
        <f t="shared" si="8"/>
        <v>2.87E-2</v>
      </c>
    </row>
    <row r="101" spans="1:17" x14ac:dyDescent="0.2">
      <c r="A101" s="1" t="s">
        <v>291</v>
      </c>
      <c r="B101" s="4">
        <v>386.1</v>
      </c>
      <c r="C101" s="1" t="s">
        <v>246</v>
      </c>
      <c r="D101" s="12">
        <f t="shared" si="3"/>
        <v>0</v>
      </c>
      <c r="E101" s="12">
        <v>0</v>
      </c>
      <c r="F101" s="12"/>
      <c r="G101" s="13">
        <f>VLOOKUP(B101,Alloc!$D$1:$F$139,3,FALSE)</f>
        <v>0</v>
      </c>
      <c r="H101" s="12">
        <f>IF(Actual!F100&gt;0,E101*G101,0)</f>
        <v>0</v>
      </c>
      <c r="I101" s="12">
        <f>IF(Actual!F100&gt;0,F101*G101,0)</f>
        <v>0</v>
      </c>
      <c r="J101" s="84">
        <f t="shared" si="4"/>
        <v>0</v>
      </c>
      <c r="K101" s="84"/>
    </row>
    <row r="102" spans="1:17" x14ac:dyDescent="0.2">
      <c r="A102" s="1" t="s">
        <v>291</v>
      </c>
      <c r="B102" s="4">
        <v>387.1</v>
      </c>
      <c r="C102" s="1" t="s">
        <v>95</v>
      </c>
      <c r="D102" s="12">
        <f t="shared" si="3"/>
        <v>173858.98</v>
      </c>
      <c r="E102" s="12">
        <v>173858.98</v>
      </c>
      <c r="F102" s="12"/>
      <c r="G102" s="13">
        <f>VLOOKUP(B102,Alloc!$D$1:$F$139,3,FALSE)</f>
        <v>8.2000000000000007E-3</v>
      </c>
      <c r="H102" s="12">
        <f>IF(Actual!F101&gt;0,E102*G102,0)</f>
        <v>1425.6436360000002</v>
      </c>
      <c r="I102" s="12">
        <f>IF(Actual!F101&gt;0,F102*G102,0)</f>
        <v>0</v>
      </c>
      <c r="J102" s="84">
        <f t="shared" si="4"/>
        <v>1425.6436360000002</v>
      </c>
      <c r="K102" s="84"/>
      <c r="L102" s="4" t="s">
        <v>1119</v>
      </c>
      <c r="M102" s="120">
        <f>M80</f>
        <v>7120771.8419120014</v>
      </c>
      <c r="N102" s="120">
        <f>N98*$F$87+N99*$F$88+N100*$F$92</f>
        <v>7120771.8419120014</v>
      </c>
      <c r="O102" s="120">
        <f>O98*$F$87+O99*$F$88+O100*$F$92</f>
        <v>7120771.8419120014</v>
      </c>
      <c r="P102" s="120">
        <f>P98*$F$87+P99*$F$88+P100*$F$92</f>
        <v>7120771.8419120014</v>
      </c>
      <c r="Q102" s="120">
        <f>Q98*$F$87+Q99*$F$88+Q100*$F$92</f>
        <v>7120771.8419120014</v>
      </c>
    </row>
    <row r="103" spans="1:17" x14ac:dyDescent="0.2">
      <c r="A103" s="1" t="s">
        <v>291</v>
      </c>
      <c r="B103" s="4">
        <v>387.2</v>
      </c>
      <c r="C103" s="1" t="s">
        <v>216</v>
      </c>
      <c r="D103" s="12">
        <f t="shared" ref="D103:D128" si="9">SUM(E103:F103)</f>
        <v>96424</v>
      </c>
      <c r="E103" s="12">
        <v>69794</v>
      </c>
      <c r="F103" s="12">
        <v>26630</v>
      </c>
      <c r="G103" s="13">
        <f>VLOOKUP(B103,Alloc!$D$1:$F$139,3,FALSE)</f>
        <v>0</v>
      </c>
      <c r="H103" s="12">
        <f>IF(Actual!F102&gt;0,E103*G103,0)</f>
        <v>0</v>
      </c>
      <c r="I103" s="12">
        <f>IF(Actual!F102&gt;0,F103*G103,0)</f>
        <v>0</v>
      </c>
      <c r="J103" s="84">
        <f t="shared" si="4"/>
        <v>0</v>
      </c>
      <c r="K103" s="84"/>
      <c r="L103" s="1" t="s">
        <v>1118</v>
      </c>
      <c r="M103" s="121">
        <f>M102-$M$102</f>
        <v>0</v>
      </c>
      <c r="N103" s="121">
        <f>N102-$M$102</f>
        <v>0</v>
      </c>
      <c r="O103" s="121">
        <f>O102-$M$102</f>
        <v>0</v>
      </c>
      <c r="P103" s="121">
        <f>P102-$M$102</f>
        <v>0</v>
      </c>
      <c r="Q103" s="121">
        <f>Q102-$M$102</f>
        <v>0</v>
      </c>
    </row>
    <row r="104" spans="1:17" ht="13.5" thickBot="1" x14ac:dyDescent="0.25">
      <c r="A104" s="1" t="s">
        <v>291</v>
      </c>
      <c r="B104" s="4">
        <v>387.3</v>
      </c>
      <c r="C104" s="1" t="s">
        <v>218</v>
      </c>
      <c r="D104" s="12">
        <f t="shared" si="9"/>
        <v>72671</v>
      </c>
      <c r="E104" s="12">
        <v>72671</v>
      </c>
      <c r="F104" s="12"/>
      <c r="G104" s="13">
        <f>VLOOKUP(B104,Alloc!$D$1:$F$139,3,FALSE)</f>
        <v>0</v>
      </c>
      <c r="H104" s="12">
        <f>IF(Actual!F103&gt;0,E104*G104,0)</f>
        <v>0</v>
      </c>
      <c r="I104" s="12">
        <f>IF(Actual!F103&gt;0,F104*G104,0)</f>
        <v>0</v>
      </c>
      <c r="J104" s="84">
        <f t="shared" si="4"/>
        <v>0</v>
      </c>
      <c r="K104" s="84"/>
    </row>
    <row r="105" spans="1:17" x14ac:dyDescent="0.2">
      <c r="A105" s="1" t="s">
        <v>292</v>
      </c>
      <c r="B105" s="4">
        <v>389</v>
      </c>
      <c r="C105" s="1" t="s">
        <v>168</v>
      </c>
      <c r="D105" s="12">
        <f t="shared" si="9"/>
        <v>12639875.300000003</v>
      </c>
      <c r="E105" s="12">
        <v>11481225.780000003</v>
      </c>
      <c r="F105" s="12">
        <v>1158649.52</v>
      </c>
      <c r="G105" s="13">
        <f>VLOOKUP(B105,Alloc!$D$1:$F$139,3,FALSE)</f>
        <v>0</v>
      </c>
      <c r="H105" s="12">
        <f>IF(Actual!F104&gt;0,E105*G105,0)</f>
        <v>0</v>
      </c>
      <c r="I105" s="12">
        <f>IF(Actual!F104&gt;0,F105*G105,0)</f>
        <v>0</v>
      </c>
      <c r="J105" s="84">
        <f t="shared" si="4"/>
        <v>0</v>
      </c>
      <c r="K105" s="84"/>
      <c r="L105" s="122">
        <f>I87+I88+I92</f>
        <v>7120771.8419120014</v>
      </c>
    </row>
    <row r="106" spans="1:17" x14ac:dyDescent="0.2">
      <c r="A106" s="1" t="s">
        <v>293</v>
      </c>
      <c r="B106" s="4">
        <v>390</v>
      </c>
      <c r="C106" s="1" t="s">
        <v>70</v>
      </c>
      <c r="D106" s="12">
        <f t="shared" si="9"/>
        <v>75474055.069999993</v>
      </c>
      <c r="E106" s="12">
        <v>73879351.929999992</v>
      </c>
      <c r="F106" s="12">
        <v>1594703.1400000001</v>
      </c>
      <c r="G106" s="13">
        <f>VLOOKUP(B106,Alloc!$D$1:$F$139,3,FALSE)</f>
        <v>2.2700000000000001E-2</v>
      </c>
      <c r="H106" s="12">
        <f>IF(Actual!F105&gt;0,E106*G106,0)</f>
        <v>1677061.2888109998</v>
      </c>
      <c r="I106" s="12">
        <f>IF(Actual!F105&gt;0,F106*G106,0)</f>
        <v>36199.761278000005</v>
      </c>
      <c r="J106" s="84">
        <f t="shared" si="4"/>
        <v>1713261.0500889998</v>
      </c>
      <c r="K106" s="84"/>
      <c r="L106" s="123">
        <v>3182256</v>
      </c>
    </row>
    <row r="107" spans="1:17" ht="13.5" thickBot="1" x14ac:dyDescent="0.25">
      <c r="A107" s="1" t="s">
        <v>294</v>
      </c>
      <c r="B107" s="4">
        <v>390.1</v>
      </c>
      <c r="C107" s="1" t="s">
        <v>155</v>
      </c>
      <c r="D107" s="12">
        <f t="shared" si="9"/>
        <v>20584022.119999994</v>
      </c>
      <c r="E107" s="12">
        <v>19850766.419999994</v>
      </c>
      <c r="F107" s="12">
        <v>733255.69999999984</v>
      </c>
      <c r="G107" s="13">
        <f>VLOOKUP(B107,Alloc!$D$1:$F$139,3,FALSE)</f>
        <v>2.1499999999999998E-2</v>
      </c>
      <c r="H107" s="12">
        <f>IF(Actual!F106&gt;0,E107*G107,0)</f>
        <v>426791.47802999982</v>
      </c>
      <c r="I107" s="12">
        <f>IF(Actual!F106&gt;0,F107*G107,0)</f>
        <v>15764.997549999995</v>
      </c>
      <c r="J107" s="84">
        <f t="shared" si="4"/>
        <v>442556.47557999979</v>
      </c>
      <c r="K107" s="84"/>
      <c r="L107" s="124">
        <f>L106/L105</f>
        <v>0.44689762158501223</v>
      </c>
    </row>
    <row r="108" spans="1:17" x14ac:dyDescent="0.2">
      <c r="A108" s="1" t="s">
        <v>294</v>
      </c>
      <c r="B108" s="4">
        <v>391.1</v>
      </c>
      <c r="C108" s="1" t="s">
        <v>153</v>
      </c>
      <c r="D108" s="12">
        <f t="shared" si="9"/>
        <v>17262614.350000001</v>
      </c>
      <c r="E108" s="12">
        <v>17246092.530000001</v>
      </c>
      <c r="F108" s="12">
        <v>16521.82</v>
      </c>
      <c r="G108" s="13">
        <f>VLOOKUP(B108,Alloc!$D$1:$F$139,3,FALSE)</f>
        <v>0.05</v>
      </c>
      <c r="H108" s="12">
        <f>IF(Actual!F107&gt;0,E108*G108,0)</f>
        <v>862304.62650000013</v>
      </c>
      <c r="I108" s="12">
        <f>IF(Actual!F107&gt;0,F108*G108,0)</f>
        <v>826.09100000000001</v>
      </c>
      <c r="J108" s="84">
        <f t="shared" si="4"/>
        <v>863130.71750000014</v>
      </c>
      <c r="K108" s="84"/>
    </row>
    <row r="109" spans="1:17" x14ac:dyDescent="0.2">
      <c r="A109" s="1" t="s">
        <v>294</v>
      </c>
      <c r="B109" s="4">
        <v>391.2</v>
      </c>
      <c r="C109" s="1" t="s">
        <v>151</v>
      </c>
      <c r="D109" s="12">
        <f t="shared" si="9"/>
        <v>53606310.79999999</v>
      </c>
      <c r="E109" s="12">
        <v>53606310.79999999</v>
      </c>
      <c r="F109" s="12"/>
      <c r="G109" s="13">
        <f>VLOOKUP(B109,Alloc!$D$1:$F$139,3,FALSE)</f>
        <v>0.2</v>
      </c>
      <c r="H109" s="12">
        <f>IF(Actual!F108&gt;0,E109*G109,0)</f>
        <v>10721262.159999998</v>
      </c>
      <c r="I109" s="12">
        <f>IF(Actual!F108&gt;0,F109*G109,0)</f>
        <v>0</v>
      </c>
      <c r="J109" s="84">
        <f t="shared" si="4"/>
        <v>10721262.159999998</v>
      </c>
      <c r="K109" s="84"/>
    </row>
    <row r="110" spans="1:17" x14ac:dyDescent="0.2">
      <c r="A110" s="1" t="s">
        <v>294</v>
      </c>
      <c r="B110" s="4">
        <v>391.3</v>
      </c>
      <c r="C110" s="1" t="s">
        <v>149</v>
      </c>
      <c r="D110" s="12">
        <f t="shared" si="9"/>
        <v>0</v>
      </c>
      <c r="E110" s="12">
        <v>0</v>
      </c>
      <c r="F110" s="12"/>
      <c r="G110" s="13">
        <f>VLOOKUP(B110,Alloc!$D$1:$F$139,3,FALSE)</f>
        <v>0</v>
      </c>
      <c r="H110" s="12">
        <f>IF(Actual!F109&gt;0,E110*G110,0)</f>
        <v>0</v>
      </c>
      <c r="I110" s="12">
        <f>IF(Actual!F109&gt;0,F110*G110,0)</f>
        <v>0</v>
      </c>
      <c r="J110" s="84">
        <f t="shared" si="4"/>
        <v>0</v>
      </c>
      <c r="K110" s="84"/>
    </row>
    <row r="111" spans="1:17" x14ac:dyDescent="0.2">
      <c r="A111" s="1" t="s">
        <v>294</v>
      </c>
      <c r="B111" s="4">
        <v>391.4</v>
      </c>
      <c r="C111" s="1" t="s">
        <v>147</v>
      </c>
      <c r="D111" s="12">
        <f t="shared" si="9"/>
        <v>0</v>
      </c>
      <c r="E111" s="12">
        <v>0</v>
      </c>
      <c r="F111" s="12">
        <v>0</v>
      </c>
      <c r="G111" s="13">
        <f>VLOOKUP(B111,Alloc!$D$1:$F$139,3,FALSE)</f>
        <v>0</v>
      </c>
      <c r="H111" s="12">
        <f>IF(Actual!F110&gt;0,E111*G111,0)</f>
        <v>0</v>
      </c>
      <c r="I111" s="12">
        <f>IF(Actual!F110&gt;0,F111*G111,0)</f>
        <v>0</v>
      </c>
      <c r="J111" s="84">
        <f t="shared" si="4"/>
        <v>0</v>
      </c>
      <c r="K111" s="84"/>
    </row>
    <row r="112" spans="1:17" x14ac:dyDescent="0.2">
      <c r="A112" s="1" t="s">
        <v>294</v>
      </c>
      <c r="B112" s="4">
        <v>392</v>
      </c>
      <c r="C112" s="1" t="s">
        <v>145</v>
      </c>
      <c r="D112" s="12">
        <f t="shared" si="9"/>
        <v>52269635.969999999</v>
      </c>
      <c r="E112" s="12">
        <v>51812839.519999996</v>
      </c>
      <c r="F112" s="12">
        <v>456796.45000000007</v>
      </c>
      <c r="G112" s="13">
        <f>VLOOKUP(B112,Alloc!$D$1:$F$139,3,FALSE)</f>
        <v>6.8599999999999994E-2</v>
      </c>
      <c r="H112" s="12">
        <f>IF(Actual!F111&gt;0,E112*G112,0)</f>
        <v>0</v>
      </c>
      <c r="I112" s="12">
        <f>IF(Actual!F111&gt;0,F112*G112,0)</f>
        <v>0</v>
      </c>
      <c r="J112" s="84">
        <f t="shared" si="4"/>
        <v>0</v>
      </c>
      <c r="K112" s="84"/>
    </row>
    <row r="113" spans="1:11" x14ac:dyDescent="0.2">
      <c r="A113" s="1" t="s">
        <v>294</v>
      </c>
      <c r="B113" s="4">
        <v>393</v>
      </c>
      <c r="C113" s="1" t="s">
        <v>221</v>
      </c>
      <c r="D113" s="12">
        <f t="shared" si="9"/>
        <v>119406</v>
      </c>
      <c r="E113" s="12">
        <v>119406</v>
      </c>
      <c r="F113" s="12"/>
      <c r="G113" s="13">
        <f>VLOOKUP(B113,Alloc!$D$1:$F$139,3,FALSE)</f>
        <v>0</v>
      </c>
      <c r="H113" s="12">
        <f>IF(Actual!F112&gt;0,E113*G113,0)</f>
        <v>0</v>
      </c>
      <c r="I113" s="12">
        <f>IF(Actual!F112&gt;0,F113*G113,0)</f>
        <v>0</v>
      </c>
      <c r="J113" s="84">
        <f t="shared" si="4"/>
        <v>0</v>
      </c>
      <c r="K113" s="84"/>
    </row>
    <row r="114" spans="1:11" x14ac:dyDescent="0.2">
      <c r="A114" s="1" t="s">
        <v>294</v>
      </c>
      <c r="B114" s="4">
        <v>394</v>
      </c>
      <c r="C114" s="1" t="s">
        <v>143</v>
      </c>
      <c r="D114" s="12">
        <f t="shared" si="9"/>
        <v>15829495.469999995</v>
      </c>
      <c r="E114" s="12">
        <v>15656204.309999995</v>
      </c>
      <c r="F114" s="12">
        <v>173291.15999999997</v>
      </c>
      <c r="G114" s="13">
        <f>VLOOKUP(B114,Alloc!$D$1:$F$139,3,FALSE)</f>
        <v>0.04</v>
      </c>
      <c r="H114" s="12">
        <f>IF(Actual!F113&gt;0,E114*G114,0)</f>
        <v>0</v>
      </c>
      <c r="I114" s="12">
        <f>IF(Actual!F113&gt;0,F114*G114,0)</f>
        <v>0</v>
      </c>
      <c r="J114" s="84">
        <f t="shared" si="4"/>
        <v>0</v>
      </c>
      <c r="K114" s="84"/>
    </row>
    <row r="115" spans="1:11" x14ac:dyDescent="0.2">
      <c r="A115" s="1" t="s">
        <v>294</v>
      </c>
      <c r="B115" s="4">
        <v>395</v>
      </c>
      <c r="C115" s="1" t="s">
        <v>223</v>
      </c>
      <c r="D115" s="12">
        <f t="shared" si="9"/>
        <v>0</v>
      </c>
      <c r="E115" s="12">
        <v>0</v>
      </c>
      <c r="F115" s="12"/>
      <c r="G115" s="13">
        <f>VLOOKUP(B115,Alloc!$D$1:$F$139,3,FALSE)</f>
        <v>0.05</v>
      </c>
      <c r="H115" s="12">
        <f>IF(Actual!F114&gt;0,E115*G115,0)</f>
        <v>0</v>
      </c>
      <c r="I115" s="12">
        <f>IF(Actual!F114&gt;0,F115*G115,0)</f>
        <v>0</v>
      </c>
      <c r="J115" s="84">
        <f t="shared" si="4"/>
        <v>0</v>
      </c>
      <c r="K115" s="84"/>
    </row>
    <row r="116" spans="1:11" x14ac:dyDescent="0.2">
      <c r="A116" s="1" t="s">
        <v>294</v>
      </c>
      <c r="B116" s="4">
        <v>396</v>
      </c>
      <c r="C116" s="1" t="s">
        <v>141</v>
      </c>
      <c r="D116" s="12">
        <f t="shared" si="9"/>
        <v>14208088.58</v>
      </c>
      <c r="E116" s="12">
        <v>14021998.9</v>
      </c>
      <c r="F116" s="12">
        <v>186089.68000000002</v>
      </c>
      <c r="G116" s="13">
        <f>VLOOKUP(B116,Alloc!$D$1:$F$139,3,FALSE)</f>
        <v>3.4000000000000002E-2</v>
      </c>
      <c r="H116" s="12">
        <f>IF(Actual!F115&gt;0,E116*G116,0)</f>
        <v>476747.96260000003</v>
      </c>
      <c r="I116" s="12">
        <f>IF(Actual!F115&gt;0,F116*G116,0)</f>
        <v>6327.0491200000015</v>
      </c>
      <c r="J116" s="84">
        <f t="shared" si="4"/>
        <v>483075.01172000001</v>
      </c>
      <c r="K116" s="84"/>
    </row>
    <row r="117" spans="1:11" x14ac:dyDescent="0.2">
      <c r="A117" s="1" t="s">
        <v>294</v>
      </c>
      <c r="B117" s="4">
        <v>397</v>
      </c>
      <c r="C117" s="1" t="s">
        <v>139</v>
      </c>
      <c r="D117" s="12">
        <f t="shared" si="9"/>
        <v>67400.78</v>
      </c>
      <c r="E117" s="12">
        <v>67400.78</v>
      </c>
      <c r="F117" s="12"/>
      <c r="G117" s="13">
        <f>VLOOKUP(B117,Alloc!$D$1:$F$139,3,FALSE)</f>
        <v>6.6699999999999995E-2</v>
      </c>
      <c r="H117" s="12">
        <f>IF(Actual!F116&gt;0,E117*G117,0)</f>
        <v>4495.6320259999993</v>
      </c>
      <c r="I117" s="12">
        <f>IF(Actual!F116&gt;0,F117*G117,0)</f>
        <v>0</v>
      </c>
      <c r="J117" s="84">
        <f t="shared" si="4"/>
        <v>4495.6320259999993</v>
      </c>
      <c r="K117" s="84"/>
    </row>
    <row r="118" spans="1:11" x14ac:dyDescent="0.2">
      <c r="A118" s="1" t="s">
        <v>294</v>
      </c>
      <c r="B118" s="4">
        <v>397.1</v>
      </c>
      <c r="C118" s="1" t="s">
        <v>137</v>
      </c>
      <c r="D118" s="12">
        <f t="shared" si="9"/>
        <v>4256889.6999999993</v>
      </c>
      <c r="E118" s="12">
        <v>3840750.2999999993</v>
      </c>
      <c r="F118" s="12">
        <v>416139.4</v>
      </c>
      <c r="G118" s="13">
        <f>VLOOKUP(B118,Alloc!$D$1:$F$139,3,FALSE)</f>
        <v>0.1</v>
      </c>
      <c r="H118" s="12">
        <f>IF(Actual!F117&gt;0,E118*G118,0)</f>
        <v>384075.02999999997</v>
      </c>
      <c r="I118" s="12">
        <f>IF(Actual!F117&gt;0,F118*G118,0)</f>
        <v>41613.94</v>
      </c>
      <c r="J118" s="84">
        <f t="shared" si="4"/>
        <v>425688.97</v>
      </c>
      <c r="K118" s="84"/>
    </row>
    <row r="119" spans="1:11" x14ac:dyDescent="0.2">
      <c r="A119" s="1" t="s">
        <v>294</v>
      </c>
      <c r="B119" s="4">
        <v>397.2</v>
      </c>
      <c r="C119" s="1" t="s">
        <v>135</v>
      </c>
      <c r="D119" s="12">
        <f t="shared" si="9"/>
        <v>9957.65</v>
      </c>
      <c r="E119" s="12">
        <v>9957.65</v>
      </c>
      <c r="F119" s="12"/>
      <c r="G119" s="13">
        <f>VLOOKUP(B119,Alloc!$D$1:$F$139,3,FALSE)</f>
        <v>6.6699999999999995E-2</v>
      </c>
      <c r="H119" s="12">
        <f>IF(Actual!F118&gt;0,E119*G119,0)</f>
        <v>0</v>
      </c>
      <c r="I119" s="12">
        <f>IF(Actual!F118&gt;0,F119*G119,0)</f>
        <v>0</v>
      </c>
      <c r="J119" s="84">
        <f t="shared" si="4"/>
        <v>0</v>
      </c>
      <c r="K119" s="84"/>
    </row>
    <row r="120" spans="1:11" x14ac:dyDescent="0.2">
      <c r="A120" s="1" t="s">
        <v>294</v>
      </c>
      <c r="B120" s="4">
        <v>397.3</v>
      </c>
      <c r="C120" s="1" t="s">
        <v>133</v>
      </c>
      <c r="D120" s="12">
        <f t="shared" si="9"/>
        <v>4988714.83</v>
      </c>
      <c r="E120" s="12">
        <v>4810114.51</v>
      </c>
      <c r="F120" s="12">
        <v>178600.32000000001</v>
      </c>
      <c r="G120" s="13">
        <f>VLOOKUP(B120,Alloc!$D$1:$F$139,3,FALSE)</f>
        <v>6.6699999999999995E-2</v>
      </c>
      <c r="H120" s="12">
        <f>IF(Actual!F119&gt;0,E120*G120,0)</f>
        <v>320834.63781699998</v>
      </c>
      <c r="I120" s="12">
        <f>IF(Actual!F119&gt;0,F120*G120,0)</f>
        <v>11912.641344</v>
      </c>
      <c r="J120" s="84">
        <f t="shared" si="4"/>
        <v>332747.27916099998</v>
      </c>
      <c r="K120" s="84"/>
    </row>
    <row r="121" spans="1:11" x14ac:dyDescent="0.2">
      <c r="A121" s="1" t="s">
        <v>294</v>
      </c>
      <c r="B121" s="4">
        <v>397.4</v>
      </c>
      <c r="C121" s="1" t="s">
        <v>131</v>
      </c>
      <c r="D121" s="12">
        <f t="shared" si="9"/>
        <v>5739669.8399999999</v>
      </c>
      <c r="E121" s="12">
        <v>5739669.8399999999</v>
      </c>
      <c r="F121" s="12"/>
      <c r="G121" s="13">
        <f>VLOOKUP(B121,Alloc!$D$1:$F$139,3,FALSE)</f>
        <v>6.6699999999999995E-2</v>
      </c>
      <c r="H121" s="12">
        <f>IF(Actual!F120&gt;0,E121*G121,0)</f>
        <v>382835.97832799994</v>
      </c>
      <c r="I121" s="12">
        <f>IF(Actual!F120&gt;0,F121*G121,0)</f>
        <v>0</v>
      </c>
      <c r="J121" s="84">
        <f t="shared" si="4"/>
        <v>382835.97832799994</v>
      </c>
      <c r="K121" s="84"/>
    </row>
    <row r="122" spans="1:11" x14ac:dyDescent="0.2">
      <c r="A122" s="1" t="s">
        <v>294</v>
      </c>
      <c r="B122" s="4">
        <v>397.5</v>
      </c>
      <c r="C122" s="1" t="s">
        <v>129</v>
      </c>
      <c r="D122" s="12">
        <f t="shared" si="9"/>
        <v>490766.50000000012</v>
      </c>
      <c r="E122" s="12">
        <v>490766.50000000012</v>
      </c>
      <c r="F122" s="12">
        <v>0</v>
      </c>
      <c r="G122" s="13">
        <f>VLOOKUP(B122,Alloc!$D$1:$F$139,3,FALSE)</f>
        <v>0.1</v>
      </c>
      <c r="H122" s="12">
        <f>IF(Actual!F121&gt;0,E122*G122,0)</f>
        <v>49076.650000000016</v>
      </c>
      <c r="I122" s="12">
        <f>IF(Actual!F121&gt;0,F122*G122,0)</f>
        <v>0</v>
      </c>
      <c r="J122" s="84">
        <f t="shared" si="4"/>
        <v>49076.650000000016</v>
      </c>
      <c r="K122" s="84"/>
    </row>
    <row r="123" spans="1:11" x14ac:dyDescent="0.2">
      <c r="A123" s="1" t="s">
        <v>294</v>
      </c>
      <c r="B123" s="4">
        <v>398</v>
      </c>
      <c r="C123" s="76" t="s">
        <v>225</v>
      </c>
      <c r="D123" s="12">
        <f t="shared" si="9"/>
        <v>0</v>
      </c>
      <c r="E123" s="12">
        <v>0</v>
      </c>
      <c r="F123" s="12"/>
      <c r="G123" s="13">
        <f>VLOOKUP(B123,Alloc!$D$1:$F$139,3,FALSE)</f>
        <v>0</v>
      </c>
      <c r="H123" s="12">
        <f>IF(Actual!F122&gt;0,E123*G123,0)</f>
        <v>0</v>
      </c>
      <c r="I123" s="12">
        <f>IF(Actual!F122&gt;0,F123*G123,0)</f>
        <v>0</v>
      </c>
      <c r="J123" s="84">
        <f t="shared" si="4"/>
        <v>0</v>
      </c>
      <c r="K123" s="84"/>
    </row>
    <row r="124" spans="1:11" x14ac:dyDescent="0.2">
      <c r="A124" s="1" t="s">
        <v>294</v>
      </c>
      <c r="B124" s="4">
        <v>398.1</v>
      </c>
      <c r="C124" s="76" t="s">
        <v>227</v>
      </c>
      <c r="D124" s="12">
        <f t="shared" si="9"/>
        <v>4359.3099999999977</v>
      </c>
      <c r="E124" s="12">
        <v>4359.3099999999977</v>
      </c>
      <c r="F124" s="12"/>
      <c r="G124" s="13">
        <f>VLOOKUP(B124,Alloc!$D$1:$F$139,3,FALSE)</f>
        <v>6.6699999999999995E-2</v>
      </c>
      <c r="H124" s="12">
        <f>IF(Actual!F123&gt;0,E124*G124,0)</f>
        <v>0</v>
      </c>
      <c r="I124" s="12">
        <f>IF(Actual!F123&gt;0,F124*G124,0)</f>
        <v>0</v>
      </c>
      <c r="J124" s="84">
        <f t="shared" si="4"/>
        <v>0</v>
      </c>
      <c r="K124" s="84"/>
    </row>
    <row r="125" spans="1:11" x14ac:dyDescent="0.2">
      <c r="A125" s="1" t="s">
        <v>294</v>
      </c>
      <c r="B125" s="4">
        <v>398.2</v>
      </c>
      <c r="C125" s="76" t="s">
        <v>127</v>
      </c>
      <c r="D125" s="12">
        <f t="shared" si="9"/>
        <v>28864.840000000004</v>
      </c>
      <c r="E125" s="12">
        <v>28864.840000000004</v>
      </c>
      <c r="F125" s="12"/>
      <c r="G125" s="13">
        <f>VLOOKUP(B125,Alloc!$D$1:$F$139,3,FALSE)</f>
        <v>6.6699999999999995E-2</v>
      </c>
      <c r="H125" s="12">
        <f>IF(Actual!F124&gt;0,E125*G125,0)</f>
        <v>1925.2848280000001</v>
      </c>
      <c r="I125" s="12">
        <f>IF(Actual!F124&gt;0,F125*G125,0)</f>
        <v>0</v>
      </c>
      <c r="J125" s="84">
        <f t="shared" si="4"/>
        <v>1925.2848280000001</v>
      </c>
      <c r="K125" s="84"/>
    </row>
    <row r="126" spans="1:11" x14ac:dyDescent="0.2">
      <c r="A126" s="1" t="s">
        <v>294</v>
      </c>
      <c r="B126" s="4">
        <v>398.3</v>
      </c>
      <c r="C126" s="135" t="s">
        <v>125</v>
      </c>
      <c r="D126" s="12">
        <f t="shared" si="9"/>
        <v>14873</v>
      </c>
      <c r="E126" s="12">
        <v>14873</v>
      </c>
      <c r="F126" s="12"/>
      <c r="G126" s="13">
        <f>VLOOKUP(B126,Alloc!$D$1:$F$139,3,FALSE)</f>
        <v>0</v>
      </c>
      <c r="H126" s="12">
        <f>IF(Actual!F125&gt;0,E126*G126,0)</f>
        <v>0</v>
      </c>
      <c r="I126" s="12">
        <f>IF(Actual!F125&gt;0,F126*G126,0)</f>
        <v>0</v>
      </c>
      <c r="J126" s="84">
        <f t="shared" si="4"/>
        <v>0</v>
      </c>
      <c r="K126" s="84"/>
    </row>
    <row r="127" spans="1:11" x14ac:dyDescent="0.2">
      <c r="A127" s="1" t="s">
        <v>294</v>
      </c>
      <c r="B127" s="4">
        <v>398.4</v>
      </c>
      <c r="C127" s="136" t="s">
        <v>229</v>
      </c>
      <c r="D127" s="12">
        <f t="shared" si="9"/>
        <v>10120</v>
      </c>
      <c r="E127" s="12">
        <v>5393</v>
      </c>
      <c r="F127" s="12">
        <v>4727</v>
      </c>
      <c r="G127" s="13">
        <f>VLOOKUP(B127,Alloc!$D$1:$F$139,3,FALSE)</f>
        <v>0</v>
      </c>
      <c r="H127" s="12">
        <f>IF(Actual!F126&gt;0,E127*G127,0)</f>
        <v>0</v>
      </c>
      <c r="I127" s="12">
        <f>IF(Actual!F126&gt;0,F127*G127,0)</f>
        <v>0</v>
      </c>
      <c r="J127" s="84">
        <f t="shared" si="4"/>
        <v>0</v>
      </c>
      <c r="K127" s="84"/>
    </row>
    <row r="128" spans="1:11" x14ac:dyDescent="0.2">
      <c r="A128" s="1" t="s">
        <v>294</v>
      </c>
      <c r="B128" s="4">
        <v>398.5</v>
      </c>
      <c r="C128" s="1" t="s">
        <v>231</v>
      </c>
      <c r="D128" s="12">
        <f t="shared" si="9"/>
        <v>66739</v>
      </c>
      <c r="E128" s="12">
        <v>66739</v>
      </c>
      <c r="G128" s="13">
        <f>VLOOKUP(B128,Alloc!$D$1:$F$139,3,FALSE)</f>
        <v>0</v>
      </c>
      <c r="H128" s="12">
        <f>IF(Actual!F127&gt;0,E128*G128,0)</f>
        <v>0</v>
      </c>
      <c r="I128" s="12">
        <f>IF(Actual!F127&gt;0,F128*G128,0)</f>
        <v>0</v>
      </c>
      <c r="J128" s="84">
        <f t="shared" si="4"/>
        <v>0</v>
      </c>
      <c r="K128" s="84"/>
    </row>
    <row r="129" spans="1:11" x14ac:dyDescent="0.2">
      <c r="B129" s="4"/>
    </row>
    <row r="130" spans="1:11" ht="13.5" thickBot="1" x14ac:dyDescent="0.25">
      <c r="D130" s="71">
        <f>SUM(D7:D128)</f>
        <v>3419415179.6899991</v>
      </c>
      <c r="E130" s="71">
        <f>SUM(E7:E128)</f>
        <v>3098235078.8800006</v>
      </c>
      <c r="F130" s="71">
        <f>SUM(F7:F128)</f>
        <v>321180100.80999988</v>
      </c>
      <c r="H130" s="86">
        <f>SUM(H7:H128)</f>
        <v>91616995.011456966</v>
      </c>
      <c r="I130" s="71">
        <f>SUM(I7:I128)</f>
        <v>8464447.8847859986</v>
      </c>
      <c r="J130" s="71">
        <f>SUM(J7:J128)</f>
        <v>100081442.89624299</v>
      </c>
      <c r="K130" s="83"/>
    </row>
    <row r="131" spans="1:11" ht="13.5" thickTop="1" x14ac:dyDescent="0.2">
      <c r="D131" s="83"/>
      <c r="E131" s="83"/>
      <c r="F131" s="83"/>
      <c r="H131" s="77"/>
      <c r="I131" s="77"/>
      <c r="J131" s="77"/>
      <c r="K131" s="77"/>
    </row>
    <row r="132" spans="1:11" ht="13.5" thickBot="1" x14ac:dyDescent="0.25"/>
    <row r="133" spans="1:11" x14ac:dyDescent="0.2">
      <c r="A133" s="72"/>
      <c r="B133" s="73"/>
      <c r="C133" s="73"/>
      <c r="D133" s="73"/>
      <c r="E133" s="73"/>
      <c r="F133" s="73"/>
      <c r="G133" s="73"/>
      <c r="H133" s="74" t="s">
        <v>281</v>
      </c>
      <c r="I133" s="74" t="s">
        <v>282</v>
      </c>
      <c r="J133" s="107" t="s">
        <v>280</v>
      </c>
      <c r="K133" s="104"/>
    </row>
    <row r="134" spans="1:11" ht="15" x14ac:dyDescent="0.25">
      <c r="A134" s="97" t="s">
        <v>286</v>
      </c>
      <c r="B134" s="76"/>
      <c r="C134" s="76"/>
      <c r="D134" s="76"/>
      <c r="E134" s="76"/>
      <c r="F134" s="76"/>
      <c r="G134" s="76"/>
      <c r="H134" s="77">
        <f>SUMIF($A$6:$A$128,A134,H$6:H$128)</f>
        <v>7846097.905745999</v>
      </c>
      <c r="I134" s="77">
        <f>SUMIF($A$6:$A$128,A134,I$6:I$128)</f>
        <v>5181.7200899999989</v>
      </c>
      <c r="J134" s="78">
        <f>SUMIF($A$6:$A$128,A134,J$6:J$128)</f>
        <v>7851279.6258359989</v>
      </c>
      <c r="K134" s="77"/>
    </row>
    <row r="135" spans="1:11" ht="15" x14ac:dyDescent="0.25">
      <c r="A135" s="97" t="s">
        <v>285</v>
      </c>
      <c r="B135" s="76"/>
      <c r="C135" s="76"/>
      <c r="D135" s="76"/>
      <c r="E135" s="76"/>
      <c r="F135" s="76"/>
      <c r="G135" s="76"/>
      <c r="H135" s="77">
        <f t="shared" ref="H135:H143" si="10">SUMIF($A$6:$A$128,A135,H$6:H$128)</f>
        <v>0</v>
      </c>
      <c r="I135" s="77">
        <f t="shared" ref="I135:I143" si="11">SUMIF($A$6:$A$128,A135,I$6:I$128)</f>
        <v>0</v>
      </c>
      <c r="J135" s="78">
        <f t="shared" ref="J135:J143" si="12">SUMIF($A$6:$A$128,A135,J$6:J$128)</f>
        <v>0</v>
      </c>
      <c r="K135" s="77"/>
    </row>
    <row r="136" spans="1:11" ht="15" x14ac:dyDescent="0.25">
      <c r="A136" s="97" t="s">
        <v>287</v>
      </c>
      <c r="B136" s="76"/>
      <c r="C136" s="76"/>
      <c r="D136" s="76"/>
      <c r="E136" s="76"/>
      <c r="F136" s="76"/>
      <c r="G136" s="76"/>
      <c r="H136" s="77">
        <f t="shared" si="10"/>
        <v>0</v>
      </c>
      <c r="I136" s="77">
        <f t="shared" si="11"/>
        <v>0</v>
      </c>
      <c r="J136" s="78">
        <f t="shared" si="12"/>
        <v>0</v>
      </c>
      <c r="K136" s="77"/>
    </row>
    <row r="137" spans="1:11" ht="15" x14ac:dyDescent="0.25">
      <c r="A137" s="97" t="s">
        <v>290</v>
      </c>
      <c r="B137" s="76"/>
      <c r="C137" s="76"/>
      <c r="D137" s="76"/>
      <c r="E137" s="76"/>
      <c r="F137" s="76"/>
      <c r="G137" s="76"/>
      <c r="H137" s="77">
        <f t="shared" si="10"/>
        <v>3601436.2172429995</v>
      </c>
      <c r="I137" s="77">
        <f t="shared" si="11"/>
        <v>20973.924087999996</v>
      </c>
      <c r="J137" s="78">
        <f t="shared" si="12"/>
        <v>3622410.1413309993</v>
      </c>
      <c r="K137" s="77"/>
    </row>
    <row r="138" spans="1:11" ht="15" x14ac:dyDescent="0.25">
      <c r="A138" s="97" t="s">
        <v>291</v>
      </c>
      <c r="B138" s="76"/>
      <c r="C138" s="76"/>
      <c r="D138" s="76"/>
      <c r="E138" s="76"/>
      <c r="F138" s="76"/>
      <c r="G138" s="76"/>
      <c r="H138" s="77">
        <f t="shared" si="10"/>
        <v>58007182.998672985</v>
      </c>
      <c r="I138" s="77">
        <f t="shared" si="11"/>
        <v>8325647.7603160003</v>
      </c>
      <c r="J138" s="78">
        <f t="shared" si="12"/>
        <v>66332830.758988991</v>
      </c>
      <c r="K138" s="77"/>
    </row>
    <row r="139" spans="1:11" ht="15" x14ac:dyDescent="0.25">
      <c r="A139" s="97" t="s">
        <v>294</v>
      </c>
      <c r="B139" s="76"/>
      <c r="C139" s="76"/>
      <c r="D139" s="76"/>
      <c r="E139" s="76"/>
      <c r="F139" s="76"/>
      <c r="G139" s="76"/>
      <c r="H139" s="77">
        <f t="shared" si="10"/>
        <v>13630349.440128997</v>
      </c>
      <c r="I139" s="77">
        <f t="shared" si="11"/>
        <v>76444.719014000002</v>
      </c>
      <c r="J139" s="78">
        <f t="shared" si="12"/>
        <v>13706794.159143001</v>
      </c>
      <c r="K139" s="77"/>
    </row>
    <row r="140" spans="1:11" ht="15" x14ac:dyDescent="0.25">
      <c r="A140" s="98" t="s">
        <v>292</v>
      </c>
      <c r="B140" s="76"/>
      <c r="C140" s="76"/>
      <c r="D140" s="76"/>
      <c r="E140" s="76"/>
      <c r="F140" s="76"/>
      <c r="G140" s="76"/>
      <c r="H140" s="77">
        <f t="shared" si="10"/>
        <v>0</v>
      </c>
      <c r="I140" s="77">
        <f t="shared" si="11"/>
        <v>0</v>
      </c>
      <c r="J140" s="78">
        <f t="shared" si="12"/>
        <v>0</v>
      </c>
      <c r="K140" s="77"/>
    </row>
    <row r="141" spans="1:11" ht="15" x14ac:dyDescent="0.25">
      <c r="A141" s="98" t="s">
        <v>293</v>
      </c>
      <c r="B141" s="76"/>
      <c r="C141" s="76"/>
      <c r="D141" s="76"/>
      <c r="E141" s="76"/>
      <c r="F141" s="76"/>
      <c r="G141" s="76"/>
      <c r="H141" s="77">
        <f t="shared" si="10"/>
        <v>1677061.2888109998</v>
      </c>
      <c r="I141" s="77">
        <f t="shared" si="11"/>
        <v>36199.761278000005</v>
      </c>
      <c r="J141" s="78">
        <f t="shared" si="12"/>
        <v>1713261.0500889998</v>
      </c>
      <c r="K141" s="77"/>
    </row>
    <row r="142" spans="1:11" ht="15" x14ac:dyDescent="0.25">
      <c r="A142" s="97" t="s">
        <v>295</v>
      </c>
      <c r="B142" s="76"/>
      <c r="C142" s="76"/>
      <c r="D142" s="76"/>
      <c r="E142" s="76"/>
      <c r="F142" s="76"/>
      <c r="G142" s="76"/>
      <c r="H142" s="77">
        <f t="shared" si="10"/>
        <v>6774923.2190170009</v>
      </c>
      <c r="I142" s="77">
        <f t="shared" si="11"/>
        <v>0</v>
      </c>
      <c r="J142" s="78">
        <f t="shared" si="12"/>
        <v>6774923.2190170009</v>
      </c>
      <c r="K142" s="77"/>
    </row>
    <row r="143" spans="1:11" ht="15" x14ac:dyDescent="0.25">
      <c r="A143" s="97" t="s">
        <v>289</v>
      </c>
      <c r="B143" s="76"/>
      <c r="C143" s="76"/>
      <c r="D143" s="76"/>
      <c r="E143" s="76"/>
      <c r="F143" s="76"/>
      <c r="G143" s="76"/>
      <c r="H143" s="77">
        <f t="shared" si="10"/>
        <v>79943.941838000013</v>
      </c>
      <c r="I143" s="77">
        <f t="shared" si="11"/>
        <v>0</v>
      </c>
      <c r="J143" s="78">
        <f t="shared" si="12"/>
        <v>79943.941838000013</v>
      </c>
      <c r="K143" s="77"/>
    </row>
    <row r="144" spans="1:11" ht="13.5" thickBot="1" x14ac:dyDescent="0.25">
      <c r="A144" s="79"/>
      <c r="B144" s="76"/>
      <c r="C144" s="76"/>
      <c r="D144" s="76"/>
      <c r="E144" s="76"/>
      <c r="F144" s="76"/>
      <c r="G144" s="76"/>
      <c r="H144" s="71">
        <f>SUM(H134:H143)</f>
        <v>91616995.011456981</v>
      </c>
      <c r="I144" s="71">
        <f t="shared" ref="I144:J144" si="13">SUM(I134:I143)</f>
        <v>8464447.8847860005</v>
      </c>
      <c r="J144" s="125">
        <f t="shared" si="13"/>
        <v>100081442.89624299</v>
      </c>
      <c r="K144" s="83"/>
    </row>
    <row r="145" spans="1:11" ht="13.5" thickTop="1" x14ac:dyDescent="0.2">
      <c r="A145" s="79"/>
      <c r="B145" s="76"/>
      <c r="C145" s="76"/>
      <c r="D145" s="76"/>
      <c r="E145" s="76"/>
      <c r="F145" s="76"/>
      <c r="G145" s="76"/>
      <c r="H145" s="76"/>
      <c r="I145" s="76"/>
      <c r="J145" s="80"/>
      <c r="K145" s="76"/>
    </row>
    <row r="146" spans="1:11" ht="15" x14ac:dyDescent="0.25">
      <c r="A146" s="97" t="s">
        <v>297</v>
      </c>
      <c r="B146" s="76"/>
      <c r="C146" s="76"/>
      <c r="D146" s="76"/>
      <c r="E146" s="99"/>
      <c r="F146" s="76"/>
      <c r="G146" s="76"/>
      <c r="H146" s="76"/>
      <c r="I146" s="76"/>
      <c r="J146" s="80"/>
      <c r="K146" s="76"/>
    </row>
    <row r="147" spans="1:11" ht="15" x14ac:dyDescent="0.25">
      <c r="A147" s="97" t="s">
        <v>286</v>
      </c>
      <c r="B147" s="76"/>
      <c r="C147" s="76"/>
      <c r="D147" s="60">
        <f>[2]Summary!$D6</f>
        <v>0.11529999999999996</v>
      </c>
      <c r="E147" s="99" t="s">
        <v>298</v>
      </c>
      <c r="F147" s="76"/>
      <c r="G147" s="76"/>
      <c r="H147" s="83">
        <f>J147-I147</f>
        <v>6946027.084977109</v>
      </c>
      <c r="I147" s="83">
        <f>J134*D147</f>
        <v>905252.5408588904</v>
      </c>
      <c r="J147" s="126">
        <f>J134</f>
        <v>7851279.6258359989</v>
      </c>
      <c r="K147" s="83"/>
    </row>
    <row r="148" spans="1:11" ht="15" x14ac:dyDescent="0.25">
      <c r="A148" s="97" t="s">
        <v>285</v>
      </c>
      <c r="B148" s="76"/>
      <c r="C148" s="76"/>
      <c r="D148" s="60">
        <f>[2]Summary!$D7</f>
        <v>1</v>
      </c>
      <c r="E148" s="99" t="s">
        <v>299</v>
      </c>
      <c r="F148" s="76"/>
      <c r="G148" s="76"/>
      <c r="H148" s="83">
        <f t="shared" ref="H148:H156" si="14">J148-I148</f>
        <v>0</v>
      </c>
      <c r="I148" s="83">
        <f>J135*D148</f>
        <v>0</v>
      </c>
      <c r="J148" s="126">
        <f t="shared" ref="J148:J156" si="15">J135</f>
        <v>0</v>
      </c>
      <c r="K148" s="83"/>
    </row>
    <row r="149" spans="1:11" ht="15" x14ac:dyDescent="0.25">
      <c r="A149" s="97" t="s">
        <v>287</v>
      </c>
      <c r="B149" s="76"/>
      <c r="C149" s="76"/>
      <c r="D149" s="60">
        <f>[2]Summary!$D8</f>
        <v>1</v>
      </c>
      <c r="E149" s="99" t="s">
        <v>299</v>
      </c>
      <c r="F149" s="76"/>
      <c r="G149" s="76"/>
      <c r="H149" s="83">
        <f t="shared" si="14"/>
        <v>0</v>
      </c>
      <c r="I149" s="83">
        <f>I136</f>
        <v>0</v>
      </c>
      <c r="J149" s="126">
        <f t="shared" si="15"/>
        <v>0</v>
      </c>
      <c r="K149" s="83"/>
    </row>
    <row r="150" spans="1:11" ht="15" x14ac:dyDescent="0.25">
      <c r="A150" s="97" t="s">
        <v>290</v>
      </c>
      <c r="B150" s="76"/>
      <c r="C150" s="76"/>
      <c r="D150" s="60">
        <f>[2]Summary!$D9</f>
        <v>1</v>
      </c>
      <c r="E150" s="99" t="s">
        <v>299</v>
      </c>
      <c r="F150" s="76"/>
      <c r="G150" s="76"/>
      <c r="H150" s="83">
        <f t="shared" si="14"/>
        <v>3601436.2172429995</v>
      </c>
      <c r="I150" s="83">
        <f>I137</f>
        <v>20973.924087999996</v>
      </c>
      <c r="J150" s="126">
        <f t="shared" si="15"/>
        <v>3622410.1413309993</v>
      </c>
      <c r="K150" s="83"/>
    </row>
    <row r="151" spans="1:11" ht="15" x14ac:dyDescent="0.25">
      <c r="A151" s="97" t="s">
        <v>291</v>
      </c>
      <c r="B151" s="76"/>
      <c r="C151" s="76"/>
      <c r="D151" s="60">
        <f>[2]Summary!$D10</f>
        <v>1</v>
      </c>
      <c r="E151" s="99" t="s">
        <v>299</v>
      </c>
      <c r="F151" s="76"/>
      <c r="G151" s="76"/>
      <c r="H151" s="83">
        <f t="shared" si="14"/>
        <v>58007182.998672992</v>
      </c>
      <c r="I151" s="83">
        <f>I138</f>
        <v>8325647.7603160003</v>
      </c>
      <c r="J151" s="126">
        <f t="shared" si="15"/>
        <v>66332830.758988991</v>
      </c>
      <c r="K151" s="83"/>
    </row>
    <row r="152" spans="1:11" ht="15" x14ac:dyDescent="0.25">
      <c r="A152" s="97" t="s">
        <v>294</v>
      </c>
      <c r="B152" s="76"/>
      <c r="C152" s="76"/>
      <c r="D152" s="60">
        <f>[2]Summary!$D11</f>
        <v>0.10960000000000003</v>
      </c>
      <c r="E152" s="3" t="s">
        <v>300</v>
      </c>
      <c r="F152" s="76"/>
      <c r="G152" s="76"/>
      <c r="H152" s="83">
        <f t="shared" si="14"/>
        <v>12204529.519300928</v>
      </c>
      <c r="I152" s="83">
        <f>J139*D152</f>
        <v>1502264.6398420732</v>
      </c>
      <c r="J152" s="126">
        <f t="shared" si="15"/>
        <v>13706794.159143001</v>
      </c>
      <c r="K152" s="83"/>
    </row>
    <row r="153" spans="1:11" ht="15" x14ac:dyDescent="0.25">
      <c r="A153" s="98" t="s">
        <v>292</v>
      </c>
      <c r="B153" s="76"/>
      <c r="C153" s="76"/>
      <c r="D153" s="60">
        <f>[2]Summary!$D12</f>
        <v>0.15610907092426418</v>
      </c>
      <c r="E153" s="3" t="s">
        <v>303</v>
      </c>
      <c r="F153" s="76"/>
      <c r="G153" s="76"/>
      <c r="H153" s="83">
        <f t="shared" si="14"/>
        <v>0</v>
      </c>
      <c r="I153" s="83">
        <f>J140*D153</f>
        <v>0</v>
      </c>
      <c r="J153" s="126">
        <f t="shared" si="15"/>
        <v>0</v>
      </c>
      <c r="K153" s="83"/>
    </row>
    <row r="154" spans="1:11" ht="15" x14ac:dyDescent="0.25">
      <c r="A154" s="98" t="s">
        <v>293</v>
      </c>
      <c r="B154" s="76"/>
      <c r="C154" s="76"/>
      <c r="D154" s="60">
        <f>[2]Summary!$D13</f>
        <v>8.1521967401518625E-2</v>
      </c>
      <c r="E154" s="3" t="s">
        <v>303</v>
      </c>
      <c r="F154" s="76"/>
      <c r="G154" s="76"/>
      <c r="H154" s="83">
        <f t="shared" si="14"/>
        <v>1573592.6386133528</v>
      </c>
      <c r="I154" s="83">
        <f>J141*D154</f>
        <v>139668.41147564701</v>
      </c>
      <c r="J154" s="126">
        <f t="shared" si="15"/>
        <v>1713261.0500889998</v>
      </c>
      <c r="K154" s="83"/>
    </row>
    <row r="155" spans="1:11" ht="15" x14ac:dyDescent="0.25">
      <c r="A155" s="97" t="s">
        <v>295</v>
      </c>
      <c r="B155" s="76"/>
      <c r="C155" s="76"/>
      <c r="D155" s="60">
        <f>[2]Summary!$D14</f>
        <v>0.10809999999999997</v>
      </c>
      <c r="E155" s="99" t="s">
        <v>301</v>
      </c>
      <c r="F155" s="76"/>
      <c r="G155" s="76"/>
      <c r="H155" s="83">
        <f t="shared" si="14"/>
        <v>6111997.459041263</v>
      </c>
      <c r="I155" s="83">
        <f>(J142+B159)*D155</f>
        <v>662925.75997573766</v>
      </c>
      <c r="J155" s="126">
        <f>J142</f>
        <v>6774923.2190170009</v>
      </c>
      <c r="K155" s="83"/>
    </row>
    <row r="156" spans="1:11" ht="15" x14ac:dyDescent="0.25">
      <c r="A156" s="97" t="s">
        <v>289</v>
      </c>
      <c r="B156" s="76"/>
      <c r="C156" s="76"/>
      <c r="D156" s="60">
        <f>[2]Summary!$D15</f>
        <v>0.10960000000000003</v>
      </c>
      <c r="E156" s="3" t="s">
        <v>300</v>
      </c>
      <c r="F156" s="76"/>
      <c r="G156" s="76"/>
      <c r="H156" s="83">
        <f t="shared" si="14"/>
        <v>71182.085812555204</v>
      </c>
      <c r="I156" s="83">
        <f>J143*D156</f>
        <v>8761.8560254448039</v>
      </c>
      <c r="J156" s="126">
        <f t="shared" si="15"/>
        <v>79943.941838000013</v>
      </c>
      <c r="K156" s="83"/>
    </row>
    <row r="157" spans="1:11" ht="15" x14ac:dyDescent="0.25">
      <c r="A157" s="97"/>
      <c r="B157" s="76"/>
      <c r="C157" s="76"/>
      <c r="D157" s="60"/>
      <c r="E157" s="3"/>
      <c r="F157" s="76"/>
      <c r="G157" s="76"/>
      <c r="H157" s="76"/>
      <c r="I157" s="76"/>
      <c r="J157" s="127"/>
      <c r="K157" s="85"/>
    </row>
    <row r="158" spans="1:11" ht="15.75" thickBot="1" x14ac:dyDescent="0.3">
      <c r="A158" s="97"/>
      <c r="B158" s="76"/>
      <c r="C158" s="76"/>
      <c r="D158" s="60"/>
      <c r="E158" s="3"/>
      <c r="F158" s="76"/>
      <c r="G158" s="76"/>
      <c r="H158" s="86">
        <f>SUM(H147:H156)</f>
        <v>88515948.0036612</v>
      </c>
      <c r="I158" s="86">
        <f t="shared" ref="I158:J158" si="16">SUM(I147:I156)</f>
        <v>11565494.892581793</v>
      </c>
      <c r="J158" s="128">
        <f t="shared" si="16"/>
        <v>100081442.89624299</v>
      </c>
      <c r="K158" s="77"/>
    </row>
    <row r="159" spans="1:11" ht="16.5" thickTop="1" thickBot="1" x14ac:dyDescent="0.25">
      <c r="A159" s="101" t="s">
        <v>305</v>
      </c>
      <c r="B159" s="88">
        <f>'[3]2021 WA GRC'!$D$15</f>
        <v>-642400.00000000012</v>
      </c>
      <c r="C159" s="89"/>
      <c r="D159" s="89"/>
      <c r="E159" s="90"/>
      <c r="F159" s="89"/>
      <c r="G159" s="89"/>
      <c r="H159" s="91">
        <f>H158/J158</f>
        <v>0.88443916716336679</v>
      </c>
      <c r="I159" s="92">
        <f>I158/J158</f>
        <v>0.11556083283663325</v>
      </c>
      <c r="J159" s="129">
        <f>SUM(H159:I159)</f>
        <v>1</v>
      </c>
      <c r="K159" s="130"/>
    </row>
  </sheetData>
  <mergeCells count="1">
    <mergeCell ref="L96:Q96"/>
  </mergeCells>
  <pageMargins left="0.7" right="0.7" top="0.75" bottom="0.75" header="0.3" footer="0.3"/>
  <pageSetup orientation="portrait" r:id="rId1"/>
  <headerFooter>
    <oddHeader>&amp;RExh. KTW-5 Walker WP7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24AD-DA3D-44B4-9712-CF0C0E579BA3}">
  <dimension ref="A1:K159"/>
  <sheetViews>
    <sheetView showGridLines="0" zoomScale="90" zoomScaleNormal="90" workbookViewId="0">
      <pane xSplit="3" ySplit="6" topLeftCell="D76" activePane="bottomRight" state="frozen"/>
      <selection pane="topRight" activeCell="D1" sqref="D1"/>
      <selection pane="bottomLeft" activeCell="A7" sqref="A7"/>
      <selection pane="bottomRight" activeCell="C133" sqref="C133"/>
    </sheetView>
  </sheetViews>
  <sheetFormatPr defaultRowHeight="12.75" x14ac:dyDescent="0.2"/>
  <cols>
    <col min="1" max="1" width="30.28515625" style="1" bestFit="1" customWidth="1"/>
    <col min="2" max="2" width="12.140625" style="1" customWidth="1"/>
    <col min="3" max="3" width="39.28515625" style="1" customWidth="1"/>
    <col min="4" max="4" width="15" style="1" customWidth="1"/>
    <col min="5" max="5" width="15.85546875" style="12" customWidth="1"/>
    <col min="6" max="6" width="14.42578125" style="1" customWidth="1"/>
    <col min="7" max="7" width="12.28515625" style="1" customWidth="1"/>
    <col min="8" max="8" width="13.7109375" style="12" customWidth="1"/>
    <col min="9" max="9" width="13.85546875" style="1" customWidth="1"/>
    <col min="10" max="10" width="14.42578125" style="1" customWidth="1"/>
    <col min="11" max="11" width="12.28515625" style="1" customWidth="1"/>
    <col min="12" max="16384" width="9.140625" style="1"/>
  </cols>
  <sheetData>
    <row r="1" spans="1:11" x14ac:dyDescent="0.2">
      <c r="A1" s="63" t="s">
        <v>279</v>
      </c>
    </row>
    <row r="2" spans="1:11" x14ac:dyDescent="0.2">
      <c r="A2" s="63" t="s">
        <v>1125</v>
      </c>
    </row>
    <row r="5" spans="1:11" ht="15" x14ac:dyDescent="0.25">
      <c r="A5" s="131" t="s">
        <v>306</v>
      </c>
      <c r="B5" s="132"/>
      <c r="D5" s="102" t="s">
        <v>280</v>
      </c>
      <c r="E5" s="103" t="s">
        <v>281</v>
      </c>
      <c r="F5" s="102" t="s">
        <v>282</v>
      </c>
      <c r="H5" s="103" t="s">
        <v>281</v>
      </c>
      <c r="I5" s="102" t="s">
        <v>282</v>
      </c>
      <c r="J5" s="102" t="s">
        <v>280</v>
      </c>
    </row>
    <row r="6" spans="1:11" ht="26.25" x14ac:dyDescent="0.25">
      <c r="A6" s="133" t="s">
        <v>284</v>
      </c>
      <c r="B6" s="134" t="s">
        <v>307</v>
      </c>
      <c r="C6" s="134" t="s">
        <v>308</v>
      </c>
      <c r="D6" s="102" t="s">
        <v>309</v>
      </c>
      <c r="E6" s="102" t="s">
        <v>309</v>
      </c>
      <c r="F6" s="102" t="s">
        <v>309</v>
      </c>
      <c r="G6" s="9" t="s">
        <v>310</v>
      </c>
      <c r="H6" s="10" t="s">
        <v>311</v>
      </c>
      <c r="I6" s="9" t="s">
        <v>311</v>
      </c>
      <c r="J6" s="9" t="s">
        <v>311</v>
      </c>
    </row>
    <row r="7" spans="1:11" x14ac:dyDescent="0.2">
      <c r="A7" s="5" t="s">
        <v>285</v>
      </c>
      <c r="B7" s="4">
        <v>301</v>
      </c>
      <c r="C7" s="1" t="s">
        <v>158</v>
      </c>
      <c r="D7" s="12">
        <v>1174</v>
      </c>
      <c r="E7" s="12">
        <v>852</v>
      </c>
      <c r="F7" s="12">
        <v>322</v>
      </c>
      <c r="G7" s="13">
        <f>VLOOKUP(B7,Alloc!$D$1:$F$139,3,FALSE)</f>
        <v>0</v>
      </c>
      <c r="H7" s="12">
        <f>IF(Actual!F6&gt;0,E7*G7,0)</f>
        <v>0</v>
      </c>
      <c r="I7" s="12">
        <f>IF(Actual!F6&gt;0,F7*G7,0)</f>
        <v>0</v>
      </c>
      <c r="J7" s="84">
        <f>SUM(H7:I7)</f>
        <v>0</v>
      </c>
      <c r="K7" s="12"/>
    </row>
    <row r="8" spans="1:11" x14ac:dyDescent="0.2">
      <c r="A8" s="5" t="s">
        <v>285</v>
      </c>
      <c r="B8" s="4">
        <v>302</v>
      </c>
      <c r="C8" s="1" t="s">
        <v>160</v>
      </c>
      <c r="D8" s="12">
        <v>83621.27</v>
      </c>
      <c r="E8" s="12">
        <v>83496.27</v>
      </c>
      <c r="F8" s="12">
        <v>125</v>
      </c>
      <c r="G8" s="13">
        <f>VLOOKUP(B8,Alloc!$D$1:$F$139,3,FALSE)</f>
        <v>0</v>
      </c>
      <c r="H8" s="12">
        <f>IF(Actual!F7&gt;0,E8*G8,0)</f>
        <v>0</v>
      </c>
      <c r="I8" s="12">
        <f>IF(Actual!F7&gt;0,F8*G8,0)</f>
        <v>0</v>
      </c>
      <c r="J8" s="84">
        <f t="shared" ref="J8:J70" si="0">SUM(H8:I8)</f>
        <v>0</v>
      </c>
      <c r="K8" s="12"/>
    </row>
    <row r="9" spans="1:11" x14ac:dyDescent="0.2">
      <c r="A9" s="5" t="s">
        <v>286</v>
      </c>
      <c r="B9" s="4">
        <v>303.10000000000002</v>
      </c>
      <c r="C9" s="1" t="s">
        <v>16</v>
      </c>
      <c r="D9" s="12">
        <v>94762241.025416628</v>
      </c>
      <c r="E9" s="12">
        <v>94685826.039999977</v>
      </c>
      <c r="F9" s="12">
        <v>76414.985416666663</v>
      </c>
      <c r="G9" s="13">
        <f>VLOOKUP(B9,Alloc!$D$1:$F$139,3,FALSE)</f>
        <v>6.7799999999999999E-2</v>
      </c>
      <c r="H9" s="12">
        <f>IF(Actual!F8&gt;0,E9*G9,0)</f>
        <v>6419699.0055119982</v>
      </c>
      <c r="I9" s="12">
        <f>IF(Actual!F8&gt;0,F9*G9,0)</f>
        <v>5180.9360112499999</v>
      </c>
      <c r="J9" s="84">
        <f t="shared" si="0"/>
        <v>6424879.9415232483</v>
      </c>
      <c r="K9" s="12"/>
    </row>
    <row r="10" spans="1:11" x14ac:dyDescent="0.2">
      <c r="A10" s="5" t="s">
        <v>286</v>
      </c>
      <c r="B10" s="4">
        <v>303.2</v>
      </c>
      <c r="C10" s="1" t="s">
        <v>147</v>
      </c>
      <c r="D10" s="12">
        <v>32348167.730000004</v>
      </c>
      <c r="E10" s="12">
        <v>30488304.730000004</v>
      </c>
      <c r="F10" s="12">
        <v>1859863</v>
      </c>
      <c r="G10" s="13">
        <f>VLOOKUP(B10,Alloc!$D$1:$F$139,3,FALSE)</f>
        <v>1E-4</v>
      </c>
      <c r="H10" s="12">
        <f>IF(Actual!F9&gt;0,E10*G10,0)</f>
        <v>0</v>
      </c>
      <c r="I10" s="12">
        <f>IF(Actual!F9&gt;0,F10*G10,0)</f>
        <v>0</v>
      </c>
      <c r="J10" s="84">
        <f t="shared" si="0"/>
        <v>0</v>
      </c>
      <c r="K10" s="12"/>
    </row>
    <row r="11" spans="1:11" x14ac:dyDescent="0.2">
      <c r="A11" s="5" t="s">
        <v>286</v>
      </c>
      <c r="B11" s="4">
        <v>303.3</v>
      </c>
      <c r="C11" s="1" t="s">
        <v>163</v>
      </c>
      <c r="D11" s="12">
        <v>4146951</v>
      </c>
      <c r="E11" s="12">
        <v>4146951</v>
      </c>
      <c r="F11" s="12"/>
      <c r="G11" s="13">
        <f>VLOOKUP(B11,Alloc!$D$1:$F$139,3,FALSE)</f>
        <v>0</v>
      </c>
      <c r="H11" s="12">
        <f>IF(Actual!F10&gt;0,E11*G11,0)</f>
        <v>0</v>
      </c>
      <c r="I11" s="12">
        <f>IF(Actual!F10&gt;0,F11*G11,0)</f>
        <v>0</v>
      </c>
      <c r="J11" s="84">
        <f t="shared" si="0"/>
        <v>0</v>
      </c>
      <c r="K11" s="12"/>
    </row>
    <row r="12" spans="1:11" x14ac:dyDescent="0.2">
      <c r="A12" s="5" t="s">
        <v>286</v>
      </c>
      <c r="B12" s="4">
        <v>303.39999999999998</v>
      </c>
      <c r="C12" s="1" t="s">
        <v>14</v>
      </c>
      <c r="D12" s="12">
        <v>483715.55624999997</v>
      </c>
      <c r="E12" s="12">
        <v>483715.55624999997</v>
      </c>
      <c r="F12" s="12"/>
      <c r="G12" s="13">
        <f>VLOOKUP(B12,Alloc!$D$1:$F$139,3,FALSE)</f>
        <v>0.1096</v>
      </c>
      <c r="H12" s="12">
        <f>IF(Actual!F11&gt;0,E12*G12,0)</f>
        <v>0</v>
      </c>
      <c r="I12" s="12">
        <f>IF(Actual!F11&gt;0,F12*G12,0)</f>
        <v>0</v>
      </c>
      <c r="J12" s="84">
        <f t="shared" si="0"/>
        <v>0</v>
      </c>
      <c r="K12" s="12"/>
    </row>
    <row r="13" spans="1:11" x14ac:dyDescent="0.2">
      <c r="A13" s="5" t="s">
        <v>286</v>
      </c>
      <c r="B13" s="4">
        <v>303.5</v>
      </c>
      <c r="C13" s="1" t="s">
        <v>165</v>
      </c>
      <c r="D13" s="12">
        <v>0</v>
      </c>
      <c r="E13" s="12">
        <v>0</v>
      </c>
      <c r="F13" s="12"/>
      <c r="G13" s="13">
        <f>VLOOKUP(B13,Alloc!$D$1:$F$139,3,FALSE)</f>
        <v>0</v>
      </c>
      <c r="H13" s="12">
        <f>IF(Actual!F12&gt;0,E13*G13,0)</f>
        <v>0</v>
      </c>
      <c r="I13" s="12">
        <f>IF(Actual!F12&gt;0,F13*G13,0)</f>
        <v>0</v>
      </c>
      <c r="J13" s="84">
        <f t="shared" si="0"/>
        <v>0</v>
      </c>
      <c r="K13" s="12"/>
    </row>
    <row r="14" spans="1:11" x14ac:dyDescent="0.2">
      <c r="A14" s="5" t="s">
        <v>286</v>
      </c>
      <c r="B14" s="4">
        <v>303.7</v>
      </c>
      <c r="C14" s="1" t="s">
        <v>276</v>
      </c>
      <c r="D14" s="12">
        <v>873902.69000000006</v>
      </c>
      <c r="E14" s="12">
        <v>873902.69000000006</v>
      </c>
      <c r="F14" s="12"/>
      <c r="G14" s="13">
        <f>VLOOKUP(B14,Alloc!$D$1:$F$139,3,FALSE)</f>
        <v>0.21386800885565521</v>
      </c>
      <c r="H14" s="12">
        <f>IF(Actual!F13&gt;0,E14*G14,0)</f>
        <v>186899.82824390093</v>
      </c>
      <c r="I14" s="12">
        <f>IF(Actual!F13&gt;0,F14*G14,0)</f>
        <v>0</v>
      </c>
      <c r="J14" s="84">
        <f t="shared" si="0"/>
        <v>186899.82824390093</v>
      </c>
      <c r="K14" s="12"/>
    </row>
    <row r="15" spans="1:11" x14ac:dyDescent="0.2">
      <c r="A15" s="1" t="s">
        <v>287</v>
      </c>
      <c r="B15" s="4">
        <v>304.10000000000002</v>
      </c>
      <c r="C15" s="1" t="s">
        <v>168</v>
      </c>
      <c r="D15" s="12">
        <v>24998</v>
      </c>
      <c r="E15" s="12">
        <v>24998</v>
      </c>
      <c r="F15" s="12"/>
      <c r="G15" s="13">
        <f>VLOOKUP(B15,Alloc!$D$1:$F$139,3,FALSE)</f>
        <v>0</v>
      </c>
      <c r="H15" s="12">
        <f>IF(Actual!F14&gt;0,E15*G15,0)</f>
        <v>0</v>
      </c>
      <c r="I15" s="12">
        <f>IF(Actual!F14&gt;0,F15*G15,0)</f>
        <v>0</v>
      </c>
      <c r="J15" s="84">
        <f t="shared" si="0"/>
        <v>0</v>
      </c>
      <c r="K15" s="12"/>
    </row>
    <row r="16" spans="1:11" x14ac:dyDescent="0.2">
      <c r="A16" s="1" t="s">
        <v>287</v>
      </c>
      <c r="B16" s="4">
        <v>305.2</v>
      </c>
      <c r="C16" s="1" t="s">
        <v>174</v>
      </c>
      <c r="D16" s="12">
        <v>0</v>
      </c>
      <c r="E16" s="12">
        <v>0</v>
      </c>
      <c r="F16" s="12"/>
      <c r="G16" s="13">
        <f>VLOOKUP(B16,Alloc!$D$1:$F$139,3,FALSE)</f>
        <v>0</v>
      </c>
      <c r="H16" s="12">
        <f>IF(Actual!F15&gt;0,E16*G16,0)</f>
        <v>0</v>
      </c>
      <c r="I16" s="12">
        <f>IF(Actual!F15&gt;0,F16*G16,0)</f>
        <v>0</v>
      </c>
      <c r="J16" s="84">
        <f t="shared" si="0"/>
        <v>0</v>
      </c>
      <c r="K16" s="12"/>
    </row>
    <row r="17" spans="1:11" x14ac:dyDescent="0.2">
      <c r="A17" s="1" t="s">
        <v>287</v>
      </c>
      <c r="B17" s="4">
        <v>305.5</v>
      </c>
      <c r="C17" s="1" t="s">
        <v>176</v>
      </c>
      <c r="D17" s="12">
        <v>13156</v>
      </c>
      <c r="E17" s="12">
        <v>13156</v>
      </c>
      <c r="F17" s="12"/>
      <c r="G17" s="13">
        <f>VLOOKUP(B17,Alloc!$D$1:$F$139,3,FALSE)</f>
        <v>0</v>
      </c>
      <c r="H17" s="12">
        <f>IF(Actual!F16&gt;0,E17*G17,0)</f>
        <v>0</v>
      </c>
      <c r="I17" s="12">
        <f>IF(Actual!F16&gt;0,F17*G17,0)</f>
        <v>0</v>
      </c>
      <c r="J17" s="84">
        <f t="shared" si="0"/>
        <v>0</v>
      </c>
      <c r="K17" s="12"/>
    </row>
    <row r="18" spans="1:11" x14ac:dyDescent="0.2">
      <c r="A18" s="1" t="s">
        <v>287</v>
      </c>
      <c r="B18" s="4">
        <v>312.3</v>
      </c>
      <c r="C18" s="1" t="s">
        <v>184</v>
      </c>
      <c r="D18" s="12">
        <v>0</v>
      </c>
      <c r="E18" s="12">
        <v>0</v>
      </c>
      <c r="F18" s="12"/>
      <c r="G18" s="13">
        <f>VLOOKUP(B18,Alloc!$D$1:$F$139,3,FALSE)</f>
        <v>0</v>
      </c>
      <c r="H18" s="12">
        <f>IF(Actual!F17&gt;0,E18*G18,0)</f>
        <v>0</v>
      </c>
      <c r="I18" s="12">
        <f>IF(Actual!F17&gt;0,F18*G18,0)</f>
        <v>0</v>
      </c>
      <c r="J18" s="84">
        <f t="shared" si="0"/>
        <v>0</v>
      </c>
      <c r="K18" s="12"/>
    </row>
    <row r="19" spans="1:11" x14ac:dyDescent="0.2">
      <c r="A19" s="1" t="s">
        <v>287</v>
      </c>
      <c r="B19" s="4">
        <v>318.3</v>
      </c>
      <c r="C19" s="1" t="s">
        <v>186</v>
      </c>
      <c r="D19" s="12">
        <v>144896</v>
      </c>
      <c r="E19" s="12">
        <v>144896</v>
      </c>
      <c r="F19" s="12"/>
      <c r="G19" s="13">
        <f>VLOOKUP(B19,Alloc!$D$1:$F$139,3,FALSE)</f>
        <v>0</v>
      </c>
      <c r="H19" s="12">
        <f>IF(Actual!F18&gt;0,E19*G19,0)</f>
        <v>0</v>
      </c>
      <c r="I19" s="12">
        <f>IF(Actual!F18&gt;0,F19*G19,0)</f>
        <v>0</v>
      </c>
      <c r="J19" s="84">
        <f t="shared" si="0"/>
        <v>0</v>
      </c>
      <c r="K19" s="12"/>
    </row>
    <row r="20" spans="1:11" x14ac:dyDescent="0.2">
      <c r="A20" s="1" t="s">
        <v>287</v>
      </c>
      <c r="B20" s="4">
        <v>318.5</v>
      </c>
      <c r="C20" s="1" t="s">
        <v>188</v>
      </c>
      <c r="D20" s="12">
        <v>243551</v>
      </c>
      <c r="E20" s="12">
        <v>243551</v>
      </c>
      <c r="F20" s="12"/>
      <c r="G20" s="13">
        <f>VLOOKUP(B20,Alloc!$D$1:$F$139,3,FALSE)</f>
        <v>0</v>
      </c>
      <c r="H20" s="12">
        <f>IF(Actual!F19&gt;0,E20*G20,0)</f>
        <v>0</v>
      </c>
      <c r="I20" s="12">
        <f>IF(Actual!F19&gt;0,F20*G20,0)</f>
        <v>0</v>
      </c>
      <c r="J20" s="84">
        <f t="shared" si="0"/>
        <v>0</v>
      </c>
      <c r="K20" s="12"/>
    </row>
    <row r="21" spans="1:11" x14ac:dyDescent="0.2">
      <c r="A21" s="1" t="s">
        <v>287</v>
      </c>
      <c r="B21" s="4">
        <v>325</v>
      </c>
      <c r="C21" s="1" t="s">
        <v>192</v>
      </c>
      <c r="D21" s="12">
        <v>0</v>
      </c>
      <c r="E21" s="12">
        <v>0</v>
      </c>
      <c r="F21" s="12"/>
      <c r="G21" s="13">
        <f>VLOOKUP(B21,Alloc!$D$1:$F$139,3,FALSE)</f>
        <v>0</v>
      </c>
      <c r="H21" s="12">
        <f>IF(Actual!F20&gt;0,E21*G21,0)</f>
        <v>0</v>
      </c>
      <c r="I21" s="12">
        <f>IF(Actual!F20&gt;0,F21*G21,0)</f>
        <v>0</v>
      </c>
      <c r="J21" s="84">
        <f t="shared" si="0"/>
        <v>0</v>
      </c>
      <c r="K21" s="12"/>
    </row>
    <row r="22" spans="1:11" x14ac:dyDescent="0.2">
      <c r="A22" s="1" t="s">
        <v>287</v>
      </c>
      <c r="B22" s="4">
        <v>327</v>
      </c>
      <c r="C22" s="1" t="s">
        <v>194</v>
      </c>
      <c r="D22" s="12">
        <v>0</v>
      </c>
      <c r="E22" s="12">
        <v>0</v>
      </c>
      <c r="F22" s="12"/>
      <c r="G22" s="13">
        <f>VLOOKUP(B22,Alloc!$D$1:$F$139,3,FALSE)</f>
        <v>0</v>
      </c>
      <c r="H22" s="12">
        <f>IF(Actual!F21&gt;0,E22*G22,0)</f>
        <v>0</v>
      </c>
      <c r="I22" s="12">
        <f>IF(Actual!F21&gt;0,F22*G22,0)</f>
        <v>0</v>
      </c>
      <c r="J22" s="84">
        <f t="shared" si="0"/>
        <v>0</v>
      </c>
      <c r="K22" s="12"/>
    </row>
    <row r="23" spans="1:11" x14ac:dyDescent="0.2">
      <c r="A23" s="1" t="s">
        <v>287</v>
      </c>
      <c r="B23" s="4">
        <v>328</v>
      </c>
      <c r="C23" s="1" t="s">
        <v>192</v>
      </c>
      <c r="D23" s="12">
        <v>0</v>
      </c>
      <c r="E23" s="12">
        <v>0</v>
      </c>
      <c r="F23" s="12"/>
      <c r="G23" s="13">
        <f>VLOOKUP(B23,Alloc!$D$1:$F$139,3,FALSE)</f>
        <v>0</v>
      </c>
      <c r="H23" s="12">
        <f>IF(Actual!F22&gt;0,E23*G23,0)</f>
        <v>0</v>
      </c>
      <c r="I23" s="12">
        <f>IF(Actual!F22&gt;0,F23*G23,0)</f>
        <v>0</v>
      </c>
      <c r="J23" s="84">
        <f t="shared" si="0"/>
        <v>0</v>
      </c>
      <c r="K23" s="12"/>
    </row>
    <row r="24" spans="1:11" x14ac:dyDescent="0.2">
      <c r="A24" s="1" t="s">
        <v>287</v>
      </c>
      <c r="B24" s="4">
        <v>331</v>
      </c>
      <c r="C24" s="1" t="s">
        <v>194</v>
      </c>
      <c r="D24" s="12">
        <v>0</v>
      </c>
      <c r="E24" s="12">
        <v>0</v>
      </c>
      <c r="F24" s="12"/>
      <c r="G24" s="13">
        <f>VLOOKUP(B24,Alloc!$D$1:$F$139,3,FALSE)</f>
        <v>0</v>
      </c>
      <c r="H24" s="12">
        <f>IF(Actual!F23&gt;0,E24*G24,0)</f>
        <v>0</v>
      </c>
      <c r="I24" s="12">
        <f>IF(Actual!F23&gt;0,F24*G24,0)</f>
        <v>0</v>
      </c>
      <c r="J24" s="84">
        <f t="shared" si="0"/>
        <v>0</v>
      </c>
      <c r="K24" s="12"/>
    </row>
    <row r="25" spans="1:11" x14ac:dyDescent="0.2">
      <c r="A25" s="1" t="s">
        <v>287</v>
      </c>
      <c r="B25" s="4">
        <v>332</v>
      </c>
      <c r="C25" s="1" t="s">
        <v>194</v>
      </c>
      <c r="D25" s="12">
        <v>0</v>
      </c>
      <c r="E25" s="12">
        <v>0</v>
      </c>
      <c r="F25" s="12"/>
      <c r="G25" s="13">
        <f>VLOOKUP(B25,Alloc!$D$1:$F$139,3,FALSE)</f>
        <v>0</v>
      </c>
      <c r="H25" s="12">
        <f>IF(Actual!F24&gt;0,E25*G25,0)</f>
        <v>0</v>
      </c>
      <c r="I25" s="12">
        <f>IF(Actual!F24&gt;0,F25*G25,0)</f>
        <v>0</v>
      </c>
      <c r="J25" s="84">
        <f t="shared" si="0"/>
        <v>0</v>
      </c>
      <c r="K25" s="12"/>
    </row>
    <row r="26" spans="1:11" x14ac:dyDescent="0.2">
      <c r="A26" s="1" t="s">
        <v>287</v>
      </c>
      <c r="B26" s="4">
        <v>333</v>
      </c>
      <c r="C26" s="1" t="s">
        <v>194</v>
      </c>
      <c r="D26" s="12">
        <v>0</v>
      </c>
      <c r="E26" s="12">
        <v>0</v>
      </c>
      <c r="F26" s="12"/>
      <c r="G26" s="13">
        <f>VLOOKUP(B26,Alloc!$D$1:$F$139,3,FALSE)</f>
        <v>0</v>
      </c>
      <c r="H26" s="12">
        <f>IF(Actual!F25&gt;0,E26*G26,0)</f>
        <v>0</v>
      </c>
      <c r="I26" s="12">
        <f>IF(Actual!F25&gt;0,F26*G26,0)</f>
        <v>0</v>
      </c>
      <c r="J26" s="84">
        <f t="shared" si="0"/>
        <v>0</v>
      </c>
      <c r="K26" s="12"/>
    </row>
    <row r="27" spans="1:11" x14ac:dyDescent="0.2">
      <c r="A27" s="1" t="s">
        <v>287</v>
      </c>
      <c r="B27" s="4">
        <v>334</v>
      </c>
      <c r="C27" s="1" t="s">
        <v>194</v>
      </c>
      <c r="D27" s="12">
        <v>0</v>
      </c>
      <c r="E27" s="12">
        <v>0</v>
      </c>
      <c r="F27" s="12"/>
      <c r="G27" s="13">
        <f>VLOOKUP(B27,Alloc!$D$1:$F$139,3,FALSE)</f>
        <v>0</v>
      </c>
      <c r="H27" s="12">
        <f>IF(Actual!F26&gt;0,E27*G27,0)</f>
        <v>0</v>
      </c>
      <c r="I27" s="12">
        <f>IF(Actual!F26&gt;0,F27*G27,0)</f>
        <v>0</v>
      </c>
      <c r="J27" s="84">
        <f t="shared" si="0"/>
        <v>0</v>
      </c>
      <c r="K27" s="12"/>
    </row>
    <row r="28" spans="1:11" x14ac:dyDescent="0.2">
      <c r="A28" s="1" t="s">
        <v>287</v>
      </c>
      <c r="B28" s="4">
        <v>305.11</v>
      </c>
      <c r="C28" s="1" t="s">
        <v>170</v>
      </c>
      <c r="D28" s="12">
        <v>8320</v>
      </c>
      <c r="E28" s="12">
        <v>8320</v>
      </c>
      <c r="F28" s="12"/>
      <c r="G28" s="13">
        <f>VLOOKUP(B28,Alloc!$D$1:$F$139,3,FALSE)</f>
        <v>0</v>
      </c>
      <c r="H28" s="12">
        <f>IF(Actual!F27&gt;0,E28*G28,0)</f>
        <v>0</v>
      </c>
      <c r="I28" s="12">
        <f>IF(Actual!F27&gt;0,F28*G28,0)</f>
        <v>0</v>
      </c>
      <c r="J28" s="84">
        <f t="shared" si="0"/>
        <v>0</v>
      </c>
      <c r="K28" s="12"/>
    </row>
    <row r="29" spans="1:11" x14ac:dyDescent="0.2">
      <c r="A29" s="1" t="s">
        <v>287</v>
      </c>
      <c r="B29" s="4">
        <v>305.17</v>
      </c>
      <c r="C29" s="1" t="s">
        <v>172</v>
      </c>
      <c r="D29" s="12">
        <v>46587</v>
      </c>
      <c r="E29" s="12">
        <v>46587</v>
      </c>
      <c r="F29" s="12"/>
      <c r="G29" s="13">
        <f>VLOOKUP(B29,Alloc!$D$1:$F$139,3,FALSE)</f>
        <v>0</v>
      </c>
      <c r="H29" s="12">
        <f>IF(Actual!F28&gt;0,E29*G29,0)</f>
        <v>0</v>
      </c>
      <c r="I29" s="12">
        <f>IF(Actual!F28&gt;0,F29*G29,0)</f>
        <v>0</v>
      </c>
      <c r="J29" s="84">
        <f t="shared" si="0"/>
        <v>0</v>
      </c>
      <c r="K29" s="12"/>
    </row>
    <row r="30" spans="1:11" x14ac:dyDescent="0.2">
      <c r="A30" s="1" t="s">
        <v>287</v>
      </c>
      <c r="B30" s="4">
        <v>311</v>
      </c>
      <c r="C30" s="1" t="s">
        <v>19</v>
      </c>
      <c r="D30" s="12">
        <v>0</v>
      </c>
      <c r="E30" s="12">
        <v>0</v>
      </c>
      <c r="F30" s="12"/>
      <c r="G30" s="13">
        <f>VLOOKUP(B30,Alloc!$D$1:$F$139,3,FALSE)</f>
        <v>0</v>
      </c>
      <c r="H30" s="12">
        <f>IF(Actual!F29&gt;0,E30*G30,0)</f>
        <v>0</v>
      </c>
      <c r="I30" s="12">
        <f>IF(Actual!F29&gt;0,F30*G30,0)</f>
        <v>0</v>
      </c>
      <c r="J30" s="84">
        <f t="shared" si="0"/>
        <v>0</v>
      </c>
      <c r="K30" s="12"/>
    </row>
    <row r="31" spans="1:11" x14ac:dyDescent="0.2">
      <c r="A31" s="1" t="s">
        <v>287</v>
      </c>
      <c r="B31" s="4">
        <v>311.39999999999998</v>
      </c>
      <c r="C31" s="1" t="s">
        <v>178</v>
      </c>
      <c r="D31" s="12">
        <v>0</v>
      </c>
      <c r="E31" s="12">
        <v>0</v>
      </c>
      <c r="F31" s="12"/>
      <c r="G31" s="13">
        <f>VLOOKUP(B31,Alloc!$D$1:$F$139,3,FALSE)</f>
        <v>0</v>
      </c>
      <c r="H31" s="12">
        <f>IF(Actual!F30&gt;0,E31*G31,0)</f>
        <v>0</v>
      </c>
      <c r="I31" s="12">
        <f>IF(Actual!F30&gt;0,F31*G31,0)</f>
        <v>0</v>
      </c>
      <c r="J31" s="84">
        <f t="shared" si="0"/>
        <v>0</v>
      </c>
      <c r="K31" s="12"/>
    </row>
    <row r="32" spans="1:11" x14ac:dyDescent="0.2">
      <c r="A32" s="1" t="s">
        <v>287</v>
      </c>
      <c r="B32" s="4">
        <v>311.7</v>
      </c>
      <c r="C32" s="1" t="s">
        <v>180</v>
      </c>
      <c r="D32" s="12">
        <v>4033</v>
      </c>
      <c r="E32" s="12">
        <v>4033</v>
      </c>
      <c r="F32" s="12"/>
      <c r="G32" s="13">
        <f>VLOOKUP(B32,Alloc!$D$1:$F$139,3,FALSE)</f>
        <v>0</v>
      </c>
      <c r="H32" s="12">
        <f>IF(Actual!F31&gt;0,E32*G32,0)</f>
        <v>0</v>
      </c>
      <c r="I32" s="12">
        <f>IF(Actual!F31&gt;0,F32*G32,0)</f>
        <v>0</v>
      </c>
      <c r="J32" s="84">
        <f t="shared" si="0"/>
        <v>0</v>
      </c>
      <c r="K32" s="12"/>
    </row>
    <row r="33" spans="1:11" x14ac:dyDescent="0.2">
      <c r="A33" s="1" t="s">
        <v>287</v>
      </c>
      <c r="B33" s="4">
        <v>311.8</v>
      </c>
      <c r="C33" s="1" t="s">
        <v>182</v>
      </c>
      <c r="D33" s="12">
        <v>4209</v>
      </c>
      <c r="E33" s="12">
        <v>4209</v>
      </c>
      <c r="F33" s="12"/>
      <c r="G33" s="13">
        <f>VLOOKUP(B33,Alloc!$D$1:$F$139,3,FALSE)</f>
        <v>0</v>
      </c>
      <c r="H33" s="12">
        <f>IF(Actual!F32&gt;0,E33*G33,0)</f>
        <v>0</v>
      </c>
      <c r="I33" s="12">
        <f>IF(Actual!F32&gt;0,F33*G33,0)</f>
        <v>0</v>
      </c>
      <c r="J33" s="84">
        <f t="shared" si="0"/>
        <v>0</v>
      </c>
      <c r="K33" s="12"/>
    </row>
    <row r="34" spans="1:11" x14ac:dyDescent="0.2">
      <c r="A34" s="1" t="s">
        <v>287</v>
      </c>
      <c r="B34" s="4">
        <v>319</v>
      </c>
      <c r="C34" s="1" t="s">
        <v>190</v>
      </c>
      <c r="D34" s="12">
        <v>185448</v>
      </c>
      <c r="E34" s="12">
        <v>185448</v>
      </c>
      <c r="F34" s="12"/>
      <c r="G34" s="13">
        <f>VLOOKUP(B34,Alloc!$D$1:$F$139,3,FALSE)</f>
        <v>0</v>
      </c>
      <c r="H34" s="12">
        <f>IF(Actual!F33&gt;0,E34*G34,0)</f>
        <v>0</v>
      </c>
      <c r="I34" s="12">
        <f>IF(Actual!F33&gt;0,F34*G34,0)</f>
        <v>0</v>
      </c>
      <c r="J34" s="84">
        <f t="shared" si="0"/>
        <v>0</v>
      </c>
      <c r="K34" s="12"/>
    </row>
    <row r="35" spans="1:11" x14ac:dyDescent="0.2">
      <c r="A35" s="1" t="s">
        <v>288</v>
      </c>
      <c r="B35" s="4">
        <v>350.1</v>
      </c>
      <c r="C35" s="1" t="s">
        <v>168</v>
      </c>
      <c r="D35" s="12">
        <v>106549</v>
      </c>
      <c r="E35" s="12">
        <v>106549</v>
      </c>
      <c r="F35" s="12"/>
      <c r="G35" s="13">
        <f>VLOOKUP(B35,Alloc!$D$1:$F$139,3,FALSE)</f>
        <v>0</v>
      </c>
      <c r="H35" s="12">
        <f>IF(Actual!F34&gt;0,E35*G35,0)</f>
        <v>0</v>
      </c>
      <c r="I35" s="12">
        <f>IF(Actual!F34&gt;0,F35*G35,0)</f>
        <v>0</v>
      </c>
      <c r="J35" s="84">
        <f t="shared" si="0"/>
        <v>0</v>
      </c>
      <c r="K35" s="12"/>
    </row>
    <row r="36" spans="1:11" x14ac:dyDescent="0.2">
      <c r="A36" s="1" t="s">
        <v>288</v>
      </c>
      <c r="B36" s="4">
        <v>350.2</v>
      </c>
      <c r="C36" s="1" t="s">
        <v>42</v>
      </c>
      <c r="D36" s="12">
        <v>109624.93999999996</v>
      </c>
      <c r="E36" s="12">
        <v>109624.93999999996</v>
      </c>
      <c r="F36" s="12"/>
      <c r="G36" s="13">
        <f>VLOOKUP(B36,Alloc!$D$1:$F$139,3,FALSE)</f>
        <v>1.43E-2</v>
      </c>
      <c r="H36" s="12">
        <f>IF(Actual!F35&gt;0,E36*G36,0)</f>
        <v>1567.6366419999995</v>
      </c>
      <c r="I36" s="12">
        <f>IF(Actual!F35&gt;0,F36*G36,0)</f>
        <v>0</v>
      </c>
      <c r="J36" s="84">
        <f t="shared" si="0"/>
        <v>1567.6366419999995</v>
      </c>
      <c r="K36" s="12"/>
    </row>
    <row r="37" spans="1:11" x14ac:dyDescent="0.2">
      <c r="A37" s="1" t="s">
        <v>288</v>
      </c>
      <c r="B37" s="4">
        <v>351</v>
      </c>
      <c r="C37" s="1" t="s">
        <v>40</v>
      </c>
      <c r="D37" s="12">
        <v>8633674.4083333351</v>
      </c>
      <c r="E37" s="12">
        <v>8633674.4083333351</v>
      </c>
      <c r="F37" s="12"/>
      <c r="G37" s="13">
        <f>VLOOKUP(B37,Alloc!$D$1:$F$139,3,FALSE)</f>
        <v>1.4999999999999999E-2</v>
      </c>
      <c r="H37" s="12">
        <f>IF(Actual!F36&gt;0,E37*G37,0)</f>
        <v>129505.11612500002</v>
      </c>
      <c r="I37" s="12">
        <f>IF(Actual!F36&gt;0,F37*G37,0)</f>
        <v>0</v>
      </c>
      <c r="J37" s="84">
        <f t="shared" si="0"/>
        <v>129505.11612500002</v>
      </c>
      <c r="K37" s="12"/>
    </row>
    <row r="38" spans="1:11" x14ac:dyDescent="0.2">
      <c r="A38" s="1" t="s">
        <v>288</v>
      </c>
      <c r="B38" s="4">
        <v>352</v>
      </c>
      <c r="C38" s="1" t="s">
        <v>38</v>
      </c>
      <c r="D38" s="12">
        <v>25464875.101249993</v>
      </c>
      <c r="E38" s="12">
        <v>25464875.101249993</v>
      </c>
      <c r="F38" s="12"/>
      <c r="G38" s="13">
        <f>VLOOKUP(B38,Alloc!$D$1:$F$139,3,FALSE)</f>
        <v>1.4999999999999999E-2</v>
      </c>
      <c r="H38" s="12">
        <f>IF(Actual!F37&gt;0,E38*G38,0)</f>
        <v>381973.12651874986</v>
      </c>
      <c r="I38" s="12">
        <f>IF(Actual!F37&gt;0,F38*G38,0)</f>
        <v>0</v>
      </c>
      <c r="J38" s="84">
        <f t="shared" si="0"/>
        <v>381973.12651874986</v>
      </c>
      <c r="K38" s="12"/>
    </row>
    <row r="39" spans="1:11" x14ac:dyDescent="0.2">
      <c r="A39" s="1" t="s">
        <v>288</v>
      </c>
      <c r="B39" s="4">
        <v>352.1</v>
      </c>
      <c r="C39" s="1" t="s">
        <v>36</v>
      </c>
      <c r="D39" s="12">
        <v>3938491.32</v>
      </c>
      <c r="E39" s="12">
        <v>3938491.32</v>
      </c>
      <c r="F39" s="12"/>
      <c r="G39" s="13">
        <f>VLOOKUP(B39,Alloc!$D$1:$F$139,3,FALSE)</f>
        <v>1.67E-2</v>
      </c>
      <c r="H39" s="12">
        <f>IF(Actual!F38&gt;0,E39*G39,0)</f>
        <v>65772.805043999993</v>
      </c>
      <c r="I39" s="12">
        <f>IF(Actual!F38&gt;0,F39*G39,0)</f>
        <v>0</v>
      </c>
      <c r="J39" s="84">
        <f t="shared" si="0"/>
        <v>65772.805043999993</v>
      </c>
      <c r="K39" s="12"/>
    </row>
    <row r="40" spans="1:11" x14ac:dyDescent="0.2">
      <c r="A40" s="1" t="s">
        <v>288</v>
      </c>
      <c r="B40" s="4">
        <v>352.2</v>
      </c>
      <c r="C40" s="1" t="s">
        <v>34</v>
      </c>
      <c r="D40" s="12">
        <v>7272553.0900000026</v>
      </c>
      <c r="E40" s="12">
        <v>7272553.0900000026</v>
      </c>
      <c r="F40" s="12"/>
      <c r="G40" s="13">
        <f>VLOOKUP(B40,Alloc!$D$1:$F$139,3,FALSE)</f>
        <v>1.7299999999999999E-2</v>
      </c>
      <c r="H40" s="12">
        <f>IF(Actual!F39&gt;0,E40*G40,0)</f>
        <v>125815.16845700004</v>
      </c>
      <c r="I40" s="12">
        <f>IF(Actual!F39&gt;0,F40*G40,0)</f>
        <v>0</v>
      </c>
      <c r="J40" s="84">
        <f t="shared" si="0"/>
        <v>125815.16845700004</v>
      </c>
      <c r="K40" s="12"/>
    </row>
    <row r="41" spans="1:11" x14ac:dyDescent="0.2">
      <c r="A41" s="1" t="s">
        <v>288</v>
      </c>
      <c r="B41" s="4">
        <v>352.3</v>
      </c>
      <c r="C41" s="1" t="s">
        <v>32</v>
      </c>
      <c r="D41" s="12">
        <v>6440889.8200000003</v>
      </c>
      <c r="E41" s="12">
        <v>6440889.8200000003</v>
      </c>
      <c r="F41" s="12"/>
      <c r="G41" s="13">
        <f>VLOOKUP(B41,Alloc!$D$1:$F$139,3,FALSE)</f>
        <v>1.5699999999999999E-2</v>
      </c>
      <c r="H41" s="12">
        <f>IF(Actual!F40&gt;0,E41*G41,0)</f>
        <v>101121.970174</v>
      </c>
      <c r="I41" s="12">
        <f>IF(Actual!F40&gt;0,F41*G41,0)</f>
        <v>0</v>
      </c>
      <c r="J41" s="84">
        <f t="shared" si="0"/>
        <v>101121.970174</v>
      </c>
      <c r="K41" s="12"/>
    </row>
    <row r="42" spans="1:11" x14ac:dyDescent="0.2">
      <c r="A42" s="1" t="s">
        <v>288</v>
      </c>
      <c r="B42" s="4">
        <v>353</v>
      </c>
      <c r="C42" s="1" t="s">
        <v>30</v>
      </c>
      <c r="D42" s="12">
        <v>8055097.0624999991</v>
      </c>
      <c r="E42" s="12">
        <v>8055097.0624999991</v>
      </c>
      <c r="F42" s="12"/>
      <c r="G42" s="13">
        <f>VLOOKUP(B42,Alloc!$D$1:$F$139,3,FALSE)</f>
        <v>2.06E-2</v>
      </c>
      <c r="H42" s="12">
        <f>IF(Actual!F41&gt;0,E42*G42,0)</f>
        <v>165934.99948749997</v>
      </c>
      <c r="I42" s="12">
        <f>IF(Actual!F41&gt;0,F42*G42,0)</f>
        <v>0</v>
      </c>
      <c r="J42" s="84">
        <f t="shared" si="0"/>
        <v>165934.99948749997</v>
      </c>
      <c r="K42" s="12"/>
    </row>
    <row r="43" spans="1:11" x14ac:dyDescent="0.2">
      <c r="A43" s="1" t="s">
        <v>288</v>
      </c>
      <c r="B43" s="4">
        <v>354</v>
      </c>
      <c r="C43" s="1" t="s">
        <v>28</v>
      </c>
      <c r="D43" s="12">
        <v>0</v>
      </c>
      <c r="E43" s="12">
        <v>0</v>
      </c>
      <c r="F43" s="12"/>
      <c r="G43" s="13">
        <f>VLOOKUP(B43,Alloc!$D$1:$F$139,3,FALSE)</f>
        <v>0</v>
      </c>
      <c r="H43" s="12">
        <f>IF(Actual!F42&gt;0,E43*G43,0)</f>
        <v>0</v>
      </c>
      <c r="I43" s="12">
        <f>IF(Actual!F42&gt;0,F43*G43,0)</f>
        <v>0</v>
      </c>
      <c r="J43" s="84">
        <f t="shared" si="0"/>
        <v>0</v>
      </c>
      <c r="K43" s="12"/>
    </row>
    <row r="44" spans="1:11" x14ac:dyDescent="0.2">
      <c r="A44" s="1" t="s">
        <v>288</v>
      </c>
      <c r="B44" s="4">
        <v>354.1</v>
      </c>
      <c r="C44" s="1" t="s">
        <v>235</v>
      </c>
      <c r="D44" s="12">
        <v>4154699.6599999988</v>
      </c>
      <c r="E44" s="12">
        <v>4154699.6599999988</v>
      </c>
      <c r="F44" s="12"/>
      <c r="G44" s="13">
        <f>VLOOKUP(B44,Alloc!$D$1:$F$139,3,FALSE)</f>
        <v>1.5100000000000001E-2</v>
      </c>
      <c r="H44" s="12">
        <f>IF(Actual!F43&gt;0,E44*G44,0)</f>
        <v>62735.96486599998</v>
      </c>
      <c r="I44" s="12">
        <f>IF(Actual!F43&gt;0,F44*G44,0)</f>
        <v>0</v>
      </c>
      <c r="J44" s="84">
        <f t="shared" si="0"/>
        <v>62735.96486599998</v>
      </c>
      <c r="K44" s="12"/>
    </row>
    <row r="45" spans="1:11" x14ac:dyDescent="0.2">
      <c r="A45" s="1" t="s">
        <v>288</v>
      </c>
      <c r="B45" s="4">
        <v>354.2</v>
      </c>
      <c r="C45" s="1" t="s">
        <v>237</v>
      </c>
      <c r="D45" s="12">
        <v>4154699</v>
      </c>
      <c r="E45" s="12">
        <v>4154699</v>
      </c>
      <c r="F45" s="12"/>
      <c r="G45" s="13">
        <f>VLOOKUP(B45,Alloc!$D$1:$F$139,3,FALSE)</f>
        <v>1.4800000000000001E-2</v>
      </c>
      <c r="H45" s="12">
        <f>IF(Actual!F44&gt;0,E45*G45,0)</f>
        <v>61489.5452</v>
      </c>
      <c r="I45" s="12">
        <f>IF(Actual!F44&gt;0,F45*G45,0)</f>
        <v>0</v>
      </c>
      <c r="J45" s="84">
        <f t="shared" si="0"/>
        <v>61489.5452</v>
      </c>
      <c r="K45" s="12"/>
    </row>
    <row r="46" spans="1:11" x14ac:dyDescent="0.2">
      <c r="A46" s="1" t="s">
        <v>288</v>
      </c>
      <c r="B46" s="4">
        <v>354.3</v>
      </c>
      <c r="C46" s="1" t="s">
        <v>239</v>
      </c>
      <c r="D46" s="12">
        <v>19640514.360000003</v>
      </c>
      <c r="E46" s="12">
        <v>19640514.360000003</v>
      </c>
      <c r="F46" s="12"/>
      <c r="G46" s="13">
        <f>VLOOKUP(B46,Alloc!$D$1:$F$139,3,FALSE)</f>
        <v>1.8599999999999998E-2</v>
      </c>
      <c r="H46" s="12">
        <f>IF(Actual!F45&gt;0,E46*G46,0)</f>
        <v>365313.56709600001</v>
      </c>
      <c r="I46" s="12">
        <f>IF(Actual!F45&gt;0,F46*G46,0)</f>
        <v>0</v>
      </c>
      <c r="J46" s="84">
        <f t="shared" si="0"/>
        <v>365313.56709600001</v>
      </c>
      <c r="K46" s="12"/>
    </row>
    <row r="47" spans="1:11" x14ac:dyDescent="0.2">
      <c r="A47" s="1" t="s">
        <v>288</v>
      </c>
      <c r="B47" s="4">
        <v>354.4</v>
      </c>
      <c r="C47" s="1" t="s">
        <v>241</v>
      </c>
      <c r="D47" s="12">
        <v>4504561.1887499997</v>
      </c>
      <c r="E47" s="12">
        <v>4504561.1887499997</v>
      </c>
      <c r="F47" s="12"/>
      <c r="G47" s="13">
        <f>VLOOKUP(B47,Alloc!$D$1:$F$139,3,FALSE)</f>
        <v>1.9300000000000001E-2</v>
      </c>
      <c r="H47" s="12">
        <f>IF(Actual!F46&gt;0,E47*G47,0)</f>
        <v>86938.030942875004</v>
      </c>
      <c r="I47" s="12">
        <f>IF(Actual!F46&gt;0,F47*G47,0)</f>
        <v>0</v>
      </c>
      <c r="J47" s="84">
        <f t="shared" si="0"/>
        <v>86938.030942875004</v>
      </c>
      <c r="K47" s="12"/>
    </row>
    <row r="48" spans="1:11" x14ac:dyDescent="0.2">
      <c r="A48" s="1" t="s">
        <v>288</v>
      </c>
      <c r="B48" s="4">
        <v>354.6</v>
      </c>
      <c r="C48" s="1" t="s">
        <v>243</v>
      </c>
      <c r="D48" s="12">
        <v>86631.360000000001</v>
      </c>
      <c r="E48" s="12">
        <v>86631.360000000001</v>
      </c>
      <c r="F48" s="12"/>
      <c r="G48" s="13">
        <f>VLOOKUP(B48,Alloc!$D$1:$F$139,3,FALSE)</f>
        <v>2.1899999999999999E-2</v>
      </c>
      <c r="H48" s="12">
        <f>IF(Actual!F47&gt;0,E48*G48,0)</f>
        <v>1897.226784</v>
      </c>
      <c r="I48" s="12">
        <f>IF(Actual!F47&gt;0,F48*G48,0)</f>
        <v>0</v>
      </c>
      <c r="J48" s="84">
        <f t="shared" si="0"/>
        <v>1897.226784</v>
      </c>
      <c r="K48" s="12"/>
    </row>
    <row r="49" spans="1:11" x14ac:dyDescent="0.2">
      <c r="A49" s="1" t="s">
        <v>288</v>
      </c>
      <c r="B49" s="4">
        <v>355</v>
      </c>
      <c r="C49" s="1" t="s">
        <v>26</v>
      </c>
      <c r="D49" s="12">
        <v>7484589.2837499985</v>
      </c>
      <c r="E49" s="12">
        <v>7484589.2837499985</v>
      </c>
      <c r="F49" s="12"/>
      <c r="G49" s="13">
        <f>VLOOKUP(B49,Alloc!$D$1:$F$139,3,FALSE)</f>
        <v>2.2700000000000001E-2</v>
      </c>
      <c r="H49" s="12">
        <f>IF(Actual!F48&gt;0,E49*G49,0)</f>
        <v>169900.17674112497</v>
      </c>
      <c r="I49" s="12">
        <f>IF(Actual!F48&gt;0,F49*G49,0)</f>
        <v>0</v>
      </c>
      <c r="J49" s="84">
        <f t="shared" si="0"/>
        <v>169900.17674112497</v>
      </c>
      <c r="K49" s="12"/>
    </row>
    <row r="50" spans="1:11" x14ac:dyDescent="0.2">
      <c r="A50" s="1" t="s">
        <v>288</v>
      </c>
      <c r="B50" s="4">
        <v>356</v>
      </c>
      <c r="C50" s="1" t="s">
        <v>24</v>
      </c>
      <c r="D50" s="12">
        <v>363731.69416666665</v>
      </c>
      <c r="E50" s="12">
        <v>363731.69416666665</v>
      </c>
      <c r="F50" s="12"/>
      <c r="G50" s="13">
        <f>VLOOKUP(B50,Alloc!$D$1:$F$139,3,FALSE)</f>
        <v>1.37E-2</v>
      </c>
      <c r="H50" s="12">
        <f>IF(Actual!F49&gt;0,E50*G50,0)</f>
        <v>4983.1242100833333</v>
      </c>
      <c r="I50" s="12">
        <f>IF(Actual!F49&gt;0,F50*G50,0)</f>
        <v>0</v>
      </c>
      <c r="J50" s="84">
        <f t="shared" si="0"/>
        <v>4983.1242100833333</v>
      </c>
      <c r="K50" s="12"/>
    </row>
    <row r="51" spans="1:11" x14ac:dyDescent="0.2">
      <c r="A51" s="1" t="s">
        <v>288</v>
      </c>
      <c r="B51" s="4">
        <v>357</v>
      </c>
      <c r="C51" s="1" t="s">
        <v>22</v>
      </c>
      <c r="D51" s="12">
        <v>3193733.6058333335</v>
      </c>
      <c r="E51" s="12">
        <v>3193733.6058333335</v>
      </c>
      <c r="F51" s="12"/>
      <c r="G51" s="13">
        <f>VLOOKUP(B51,Alloc!$D$1:$F$139,3,FALSE)</f>
        <v>2.1700000000000001E-2</v>
      </c>
      <c r="H51" s="12">
        <f>IF(Actual!F50&gt;0,E51*G51,0)</f>
        <v>69304.019246583339</v>
      </c>
      <c r="I51" s="12">
        <f>IF(Actual!F50&gt;0,F51*G51,0)</f>
        <v>0</v>
      </c>
      <c r="J51" s="84">
        <f t="shared" si="0"/>
        <v>69304.019246583339</v>
      </c>
      <c r="K51" s="12"/>
    </row>
    <row r="52" spans="1:11" x14ac:dyDescent="0.2">
      <c r="A52" s="1" t="s">
        <v>288</v>
      </c>
      <c r="B52" s="4">
        <v>360.11</v>
      </c>
      <c r="C52" s="1" t="s">
        <v>202</v>
      </c>
      <c r="D52" s="12">
        <v>83598</v>
      </c>
      <c r="E52" s="12">
        <v>83598</v>
      </c>
      <c r="F52" s="12"/>
      <c r="G52" s="13">
        <f>VLOOKUP(B52,Alloc!$D$1:$F$139,3,FALSE)</f>
        <v>0</v>
      </c>
      <c r="H52" s="12">
        <f>IF(Actual!F51&gt;0,E52*G52,0)</f>
        <v>0</v>
      </c>
      <c r="I52" s="12">
        <f>IF(Actual!F51&gt;0,F52*G52,0)</f>
        <v>0</v>
      </c>
      <c r="J52" s="84">
        <f t="shared" si="0"/>
        <v>0</v>
      </c>
      <c r="K52" s="12"/>
    </row>
    <row r="53" spans="1:11" x14ac:dyDescent="0.2">
      <c r="A53" s="1" t="s">
        <v>288</v>
      </c>
      <c r="B53" s="4">
        <v>360.12</v>
      </c>
      <c r="C53" s="1" t="s">
        <v>204</v>
      </c>
      <c r="D53" s="12">
        <v>536674.82000000007</v>
      </c>
      <c r="E53" s="12">
        <v>536674.82000000007</v>
      </c>
      <c r="F53" s="12"/>
      <c r="G53" s="13">
        <f>VLOOKUP(B53,Alloc!$D$1:$F$139,3,FALSE)</f>
        <v>0</v>
      </c>
      <c r="H53" s="12">
        <f>IF(Actual!F52&gt;0,E53*G53,0)</f>
        <v>0</v>
      </c>
      <c r="I53" s="12">
        <f>IF(Actual!F52&gt;0,F53*G53,0)</f>
        <v>0</v>
      </c>
      <c r="J53" s="84">
        <f t="shared" si="0"/>
        <v>0</v>
      </c>
      <c r="K53" s="12"/>
    </row>
    <row r="54" spans="1:11" x14ac:dyDescent="0.2">
      <c r="A54" s="1" t="s">
        <v>288</v>
      </c>
      <c r="B54" s="4">
        <v>360.2</v>
      </c>
      <c r="C54" s="1" t="s">
        <v>206</v>
      </c>
      <c r="D54" s="12">
        <v>106557.31000000004</v>
      </c>
      <c r="E54" s="12">
        <v>106557.31000000004</v>
      </c>
      <c r="F54" s="12"/>
      <c r="G54" s="13">
        <f>VLOOKUP(B54,Alloc!$D$1:$F$139,3,FALSE)</f>
        <v>0</v>
      </c>
      <c r="H54" s="12">
        <f>IF(Actual!F53&gt;0,E54*G54,0)</f>
        <v>0</v>
      </c>
      <c r="I54" s="12">
        <f>IF(Actual!F53&gt;0,F54*G54,0)</f>
        <v>0</v>
      </c>
      <c r="J54" s="84">
        <f t="shared" si="0"/>
        <v>0</v>
      </c>
      <c r="K54" s="12"/>
    </row>
    <row r="55" spans="1:11" x14ac:dyDescent="0.2">
      <c r="A55" s="1" t="s">
        <v>288</v>
      </c>
      <c r="B55" s="4">
        <v>361.11</v>
      </c>
      <c r="C55" s="1" t="s">
        <v>70</v>
      </c>
      <c r="D55" s="12">
        <v>10672367.04166667</v>
      </c>
      <c r="E55" s="12">
        <v>10672367.04166667</v>
      </c>
      <c r="F55" s="12"/>
      <c r="G55" s="13">
        <f>VLOOKUP(B55,Alloc!$D$1:$F$139,3,FALSE)</f>
        <v>3.7900000000000003E-2</v>
      </c>
      <c r="H55" s="12">
        <f>IF(Actual!F54&gt;0,E55*G55,0)</f>
        <v>404482.71087916684</v>
      </c>
      <c r="I55" s="12">
        <f>IF(Actual!F54&gt;0,F55*G55,0)</f>
        <v>0</v>
      </c>
      <c r="J55" s="84">
        <f t="shared" si="0"/>
        <v>404482.71087916684</v>
      </c>
      <c r="K55" s="12"/>
    </row>
    <row r="56" spans="1:11" x14ac:dyDescent="0.2">
      <c r="A56" s="1" t="s">
        <v>288</v>
      </c>
      <c r="B56" s="4">
        <v>361.12</v>
      </c>
      <c r="C56" s="1" t="s">
        <v>70</v>
      </c>
      <c r="D56" s="12">
        <v>12096752.119999999</v>
      </c>
      <c r="E56" s="12">
        <v>12096752.119999999</v>
      </c>
      <c r="F56" s="12"/>
      <c r="G56" s="13">
        <f>VLOOKUP(B56,Alloc!$D$1:$F$139,3,FALSE)</f>
        <v>4.3299999999999998E-2</v>
      </c>
      <c r="H56" s="12">
        <f>IF(Actual!F55&gt;0,E56*G56,0)</f>
        <v>523789.36679599993</v>
      </c>
      <c r="I56" s="12">
        <f>IF(Actual!F55&gt;0,F56*G56,0)</f>
        <v>0</v>
      </c>
      <c r="J56" s="84">
        <f t="shared" si="0"/>
        <v>523789.36679599993</v>
      </c>
      <c r="K56" s="12"/>
    </row>
    <row r="57" spans="1:11" x14ac:dyDescent="0.2">
      <c r="A57" s="1" t="s">
        <v>288</v>
      </c>
      <c r="B57" s="4">
        <v>361.2</v>
      </c>
      <c r="C57" s="1" t="s">
        <v>68</v>
      </c>
      <c r="D57" s="12">
        <v>26757</v>
      </c>
      <c r="E57" s="12">
        <v>26757</v>
      </c>
      <c r="F57" s="12"/>
      <c r="G57" s="13">
        <f>VLOOKUP(B57,Alloc!$D$1:$F$139,3,FALSE)</f>
        <v>1.77E-2</v>
      </c>
      <c r="H57" s="12">
        <f>IF(Actual!F56&gt;0,E57*G57,0)</f>
        <v>473.59890000000001</v>
      </c>
      <c r="I57" s="12">
        <f>IF(Actual!F56&gt;0,F57*G57,0)</f>
        <v>0</v>
      </c>
      <c r="J57" s="84">
        <f t="shared" si="0"/>
        <v>473.59890000000001</v>
      </c>
      <c r="K57" s="12"/>
    </row>
    <row r="58" spans="1:11" x14ac:dyDescent="0.2">
      <c r="A58" s="1" t="s">
        <v>288</v>
      </c>
      <c r="B58" s="4">
        <v>362.11</v>
      </c>
      <c r="C58" s="1" t="s">
        <v>66</v>
      </c>
      <c r="D58" s="12">
        <v>4556064.3500000006</v>
      </c>
      <c r="E58" s="12">
        <v>4556064.3500000006</v>
      </c>
      <c r="F58" s="12"/>
      <c r="G58" s="13">
        <f>VLOOKUP(B58,Alloc!$D$1:$F$139,3,FALSE)</f>
        <v>2.58E-2</v>
      </c>
      <c r="H58" s="12">
        <f>IF(Actual!F57&gt;0,E58*G58,0)</f>
        <v>117546.46023000001</v>
      </c>
      <c r="I58" s="12">
        <f>IF(Actual!F57&gt;0,F58*G58,0)</f>
        <v>0</v>
      </c>
      <c r="J58" s="84">
        <f t="shared" si="0"/>
        <v>117546.46023000001</v>
      </c>
      <c r="K58" s="12"/>
    </row>
    <row r="59" spans="1:11" x14ac:dyDescent="0.2">
      <c r="A59" s="1" t="s">
        <v>288</v>
      </c>
      <c r="B59" s="4">
        <v>362.12</v>
      </c>
      <c r="C59" s="1" t="s">
        <v>64</v>
      </c>
      <c r="D59" s="12">
        <v>5927103.8200000003</v>
      </c>
      <c r="E59" s="12">
        <v>5927103.8200000003</v>
      </c>
      <c r="F59" s="12"/>
      <c r="G59" s="13">
        <f>VLOOKUP(B59,Alloc!$D$1:$F$139,3,FALSE)</f>
        <v>2.4299999999999999E-2</v>
      </c>
      <c r="H59" s="12">
        <f>IF(Actual!F58&gt;0,E59*G59,0)</f>
        <v>144028.62282600001</v>
      </c>
      <c r="I59" s="12">
        <f>IF(Actual!F58&gt;0,F59*G59,0)</f>
        <v>0</v>
      </c>
      <c r="J59" s="84">
        <f t="shared" si="0"/>
        <v>144028.62282600001</v>
      </c>
      <c r="K59" s="12"/>
    </row>
    <row r="60" spans="1:11" x14ac:dyDescent="0.2">
      <c r="A60" s="1" t="s">
        <v>288</v>
      </c>
      <c r="B60" s="4">
        <v>362.2</v>
      </c>
      <c r="C60" s="1" t="s">
        <v>62</v>
      </c>
      <c r="D60" s="12">
        <v>1600.1399999999996</v>
      </c>
      <c r="E60" s="12">
        <v>1600.1399999999996</v>
      </c>
      <c r="F60" s="12"/>
      <c r="G60" s="13">
        <f>VLOOKUP(B60,Alloc!$D$1:$F$139,3,FALSE)</f>
        <v>0.01</v>
      </c>
      <c r="H60" s="12">
        <f>IF(Actual!F59&gt;0,E60*G60,0)</f>
        <v>16.001399999999997</v>
      </c>
      <c r="I60" s="12">
        <f>IF(Actual!F59&gt;0,F60*G60,0)</f>
        <v>0</v>
      </c>
      <c r="J60" s="84">
        <f t="shared" si="0"/>
        <v>16.001399999999997</v>
      </c>
      <c r="K60" s="12"/>
    </row>
    <row r="61" spans="1:11" x14ac:dyDescent="0.2">
      <c r="A61" s="1" t="s">
        <v>288</v>
      </c>
      <c r="B61" s="4">
        <v>363.11</v>
      </c>
      <c r="C61" s="1" t="s">
        <v>60</v>
      </c>
      <c r="D61" s="12">
        <v>3375148.4666666668</v>
      </c>
      <c r="E61" s="12">
        <v>3375148.4666666668</v>
      </c>
      <c r="F61" s="12"/>
      <c r="G61" s="13">
        <f>VLOOKUP(B61,Alloc!$D$1:$F$139,3,FALSE)</f>
        <v>1.3100000000000001E-2</v>
      </c>
      <c r="H61" s="12">
        <f>IF(Actual!F60&gt;0,E61*G61,0)</f>
        <v>44214.44491333334</v>
      </c>
      <c r="I61" s="12">
        <f>IF(Actual!F60&gt;0,F61*G61,0)</f>
        <v>0</v>
      </c>
      <c r="J61" s="84">
        <f t="shared" si="0"/>
        <v>44214.44491333334</v>
      </c>
      <c r="K61" s="12"/>
    </row>
    <row r="62" spans="1:11" x14ac:dyDescent="0.2">
      <c r="A62" s="1" t="s">
        <v>288</v>
      </c>
      <c r="B62" s="4">
        <v>363.12</v>
      </c>
      <c r="C62" s="1" t="s">
        <v>58</v>
      </c>
      <c r="D62" s="12">
        <v>15741126.244583337</v>
      </c>
      <c r="E62" s="12">
        <v>15741126.244583337</v>
      </c>
      <c r="F62" s="12"/>
      <c r="G62" s="13">
        <f>VLOOKUP(B62,Alloc!$D$1:$F$139,3,FALSE)</f>
        <v>6.7000000000000002E-3</v>
      </c>
      <c r="H62" s="12">
        <f>IF(Actual!F61&gt;0,E62*G62,0)</f>
        <v>105465.54583870836</v>
      </c>
      <c r="I62" s="12">
        <f>IF(Actual!F61&gt;0,F62*G62,0)</f>
        <v>0</v>
      </c>
      <c r="J62" s="84">
        <f t="shared" si="0"/>
        <v>105465.54583870836</v>
      </c>
      <c r="K62" s="12"/>
    </row>
    <row r="63" spans="1:11" x14ac:dyDescent="0.2">
      <c r="A63" s="1" t="s">
        <v>288</v>
      </c>
      <c r="B63" s="4">
        <v>363.21</v>
      </c>
      <c r="C63" s="1" t="s">
        <v>56</v>
      </c>
      <c r="D63" s="12">
        <v>4458618</v>
      </c>
      <c r="E63" s="12">
        <v>4458618</v>
      </c>
      <c r="F63" s="12"/>
      <c r="G63" s="13">
        <f>VLOOKUP(B63,Alloc!$D$1:$F$139,3,FALSE)</f>
        <v>4.7000000000000002E-3</v>
      </c>
      <c r="H63" s="12">
        <f>IF(Actual!F62&gt;0,E63*G63,0)</f>
        <v>20955.5046</v>
      </c>
      <c r="I63" s="12">
        <f>IF(Actual!F62&gt;0,F63*G63,0)</f>
        <v>0</v>
      </c>
      <c r="J63" s="84">
        <f t="shared" si="0"/>
        <v>20955.5046</v>
      </c>
      <c r="K63" s="12"/>
    </row>
    <row r="64" spans="1:11" x14ac:dyDescent="0.2">
      <c r="A64" s="1" t="s">
        <v>288</v>
      </c>
      <c r="B64" s="4">
        <v>363.22</v>
      </c>
      <c r="C64" s="1" t="s">
        <v>54</v>
      </c>
      <c r="D64" s="12">
        <v>3739812.7400000016</v>
      </c>
      <c r="E64" s="12">
        <v>3739812.7400000016</v>
      </c>
      <c r="F64" s="12"/>
      <c r="G64" s="13">
        <f>VLOOKUP(B64,Alloc!$D$1:$F$139,3,FALSE)</f>
        <v>3.09E-2</v>
      </c>
      <c r="H64" s="12">
        <f>IF(Actual!F63&gt;0,E64*G64,0)</f>
        <v>115560.21366600005</v>
      </c>
      <c r="I64" s="12">
        <f>IF(Actual!F63&gt;0,F64*G64,0)</f>
        <v>0</v>
      </c>
      <c r="J64" s="84">
        <f t="shared" si="0"/>
        <v>115560.21366600005</v>
      </c>
      <c r="K64" s="12"/>
    </row>
    <row r="65" spans="1:11" x14ac:dyDescent="0.2">
      <c r="A65" s="1" t="s">
        <v>288</v>
      </c>
      <c r="B65" s="4">
        <v>363.31</v>
      </c>
      <c r="C65" s="1" t="s">
        <v>52</v>
      </c>
      <c r="D65" s="12">
        <v>180903.23</v>
      </c>
      <c r="E65" s="12">
        <v>180903.23</v>
      </c>
      <c r="F65" s="12"/>
      <c r="G65" s="13">
        <f>VLOOKUP(B65,Alloc!$D$1:$F$139,3,FALSE)</f>
        <v>0</v>
      </c>
      <c r="H65" s="12">
        <f>IF(Actual!F64&gt;0,E65*G65,0)</f>
        <v>0</v>
      </c>
      <c r="I65" s="12">
        <f>IF(Actual!F64&gt;0,F65*G65,0)</f>
        <v>0</v>
      </c>
      <c r="J65" s="84">
        <f t="shared" si="0"/>
        <v>0</v>
      </c>
      <c r="K65" s="12"/>
    </row>
    <row r="66" spans="1:11" x14ac:dyDescent="0.2">
      <c r="A66" s="1" t="s">
        <v>288</v>
      </c>
      <c r="B66" s="4">
        <v>363.32</v>
      </c>
      <c r="C66" s="1" t="s">
        <v>50</v>
      </c>
      <c r="D66" s="12">
        <v>4623311.0000000009</v>
      </c>
      <c r="E66" s="12">
        <v>4623311.0000000009</v>
      </c>
      <c r="F66" s="12"/>
      <c r="G66" s="13">
        <f>VLOOKUP(B66,Alloc!$D$1:$F$139,3,FALSE)</f>
        <v>7.5800000000000006E-2</v>
      </c>
      <c r="H66" s="12">
        <f>IF(Actual!F65&gt;0,E66*G66,0)</f>
        <v>350446.97380000009</v>
      </c>
      <c r="I66" s="12">
        <f>IF(Actual!F65&gt;0,F66*G66,0)</f>
        <v>0</v>
      </c>
      <c r="J66" s="84">
        <f t="shared" si="0"/>
        <v>350446.97380000009</v>
      </c>
      <c r="K66" s="12"/>
    </row>
    <row r="67" spans="1:11" x14ac:dyDescent="0.2">
      <c r="A67" s="1" t="s">
        <v>288</v>
      </c>
      <c r="B67" s="4">
        <v>363.41</v>
      </c>
      <c r="C67" s="1" t="s">
        <v>47</v>
      </c>
      <c r="D67" s="12">
        <v>2878499.6554166661</v>
      </c>
      <c r="E67" s="12">
        <v>2878499.6554166661</v>
      </c>
      <c r="F67" s="12"/>
      <c r="G67" s="13">
        <f>VLOOKUP(B67,Alloc!$D$1:$F$139,3,FALSE)</f>
        <v>3.9899999999999998E-2</v>
      </c>
      <c r="H67" s="12">
        <f>IF(Actual!F66&gt;0,E67*G67,0)</f>
        <v>114852.13625112498</v>
      </c>
      <c r="I67" s="12">
        <f>IF(Actual!F66&gt;0,F67*G67,0)</f>
        <v>0</v>
      </c>
      <c r="J67" s="84">
        <f t="shared" si="0"/>
        <v>114852.13625112498</v>
      </c>
      <c r="K67" s="12"/>
    </row>
    <row r="68" spans="1:11" x14ac:dyDescent="0.2">
      <c r="A68" s="1" t="s">
        <v>288</v>
      </c>
      <c r="B68" s="4">
        <v>363.42</v>
      </c>
      <c r="C68" s="1" t="s">
        <v>47</v>
      </c>
      <c r="D68" s="12">
        <v>10559101.998333333</v>
      </c>
      <c r="E68" s="12">
        <v>10559101.998333333</v>
      </c>
      <c r="F68" s="12"/>
      <c r="G68" s="13">
        <f>VLOOKUP(B68,Alloc!$D$1:$F$139,3,FALSE)</f>
        <v>1.2999999999999999E-3</v>
      </c>
      <c r="H68" s="12">
        <f>IF(Actual!F67&gt;0,E68*G68,0)</f>
        <v>13726.832597833332</v>
      </c>
      <c r="I68" s="12">
        <f>IF(Actual!F67&gt;0,F68*G68,0)</f>
        <v>0</v>
      </c>
      <c r="J68" s="84">
        <f t="shared" si="0"/>
        <v>13726.832597833332</v>
      </c>
      <c r="K68" s="12"/>
    </row>
    <row r="69" spans="1:11" x14ac:dyDescent="0.2">
      <c r="A69" s="1" t="s">
        <v>289</v>
      </c>
      <c r="B69" s="4">
        <v>363.5</v>
      </c>
      <c r="C69" s="1" t="s">
        <v>45</v>
      </c>
      <c r="D69" s="12">
        <v>3051295.4900000007</v>
      </c>
      <c r="E69" s="12">
        <v>3051295.4900000007</v>
      </c>
      <c r="F69" s="12"/>
      <c r="G69" s="13">
        <f>VLOOKUP(B69,Alloc!$D$1:$F$139,3,FALSE)</f>
        <v>2.6200000000000001E-2</v>
      </c>
      <c r="H69" s="12">
        <f>IF(Actual!F68&gt;0,E69*G69,0)</f>
        <v>79943.941838000028</v>
      </c>
      <c r="I69" s="12">
        <f>IF(Actual!F68&gt;0,F69*G69,0)</f>
        <v>0</v>
      </c>
      <c r="J69" s="84">
        <f t="shared" si="0"/>
        <v>79943.941838000028</v>
      </c>
      <c r="K69" s="12"/>
    </row>
    <row r="70" spans="1:11" x14ac:dyDescent="0.2">
      <c r="A70" s="1" t="s">
        <v>289</v>
      </c>
      <c r="B70" s="4">
        <v>363.6</v>
      </c>
      <c r="C70" s="1" t="s">
        <v>208</v>
      </c>
      <c r="D70" s="12">
        <v>739473</v>
      </c>
      <c r="E70" s="12">
        <v>739473</v>
      </c>
      <c r="F70" s="12"/>
      <c r="G70" s="13">
        <f>VLOOKUP(B70,Alloc!$D$1:$F$139,3,FALSE)</f>
        <v>2.3E-3</v>
      </c>
      <c r="H70" s="12">
        <f>IF(Actual!F69&gt;0,E70*G70,0)</f>
        <v>0</v>
      </c>
      <c r="I70" s="12">
        <f>IF(Actual!F69&gt;0,F70*G70,0)</f>
        <v>0</v>
      </c>
      <c r="J70" s="84">
        <f t="shared" si="0"/>
        <v>0</v>
      </c>
      <c r="K70" s="12"/>
    </row>
    <row r="71" spans="1:11" x14ac:dyDescent="0.2">
      <c r="A71" s="1" t="s">
        <v>290</v>
      </c>
      <c r="B71" s="4">
        <v>365.1</v>
      </c>
      <c r="C71" s="1" t="s">
        <v>168</v>
      </c>
      <c r="D71" s="12">
        <v>1015597.09</v>
      </c>
      <c r="E71" s="12">
        <v>1015597.09</v>
      </c>
      <c r="F71" s="12"/>
      <c r="G71" s="13">
        <f>VLOOKUP(B71,Alloc!$D$1:$F$139,3,FALSE)</f>
        <v>0</v>
      </c>
      <c r="H71" s="12">
        <f>IF(Actual!F70&gt;0,E71*G71,0)</f>
        <v>0</v>
      </c>
      <c r="I71" s="12">
        <f>IF(Actual!F70&gt;0,F71*G71,0)</f>
        <v>0</v>
      </c>
      <c r="J71" s="84">
        <f t="shared" ref="J71:J128" si="1">SUM(H71:I71)</f>
        <v>0</v>
      </c>
      <c r="K71" s="12"/>
    </row>
    <row r="72" spans="1:11" x14ac:dyDescent="0.2">
      <c r="A72" s="1" t="s">
        <v>290</v>
      </c>
      <c r="B72" s="4">
        <v>365.2</v>
      </c>
      <c r="C72" s="1" t="s">
        <v>92</v>
      </c>
      <c r="D72" s="12">
        <v>6455176.8600000003</v>
      </c>
      <c r="E72" s="12">
        <v>6455176.8600000003</v>
      </c>
      <c r="F72" s="12"/>
      <c r="G72" s="13">
        <f>VLOOKUP(B72,Alloc!$D$1:$F$139,3,FALSE)</f>
        <v>1.52E-2</v>
      </c>
      <c r="H72" s="12">
        <f>IF(Actual!F71&gt;0,E72*G72,0)</f>
        <v>98118.688271999999</v>
      </c>
      <c r="I72" s="12">
        <f>IF(Actual!F71&gt;0,F72*G72,0)</f>
        <v>0</v>
      </c>
      <c r="J72" s="84">
        <f t="shared" si="1"/>
        <v>98118.688271999999</v>
      </c>
      <c r="K72" s="12"/>
    </row>
    <row r="73" spans="1:11" x14ac:dyDescent="0.2">
      <c r="A73" s="1" t="s">
        <v>290</v>
      </c>
      <c r="B73" s="4">
        <v>366.3</v>
      </c>
      <c r="C73" s="1" t="s">
        <v>68</v>
      </c>
      <c r="D73" s="12">
        <v>1546072.6099999996</v>
      </c>
      <c r="E73" s="12">
        <v>1546072.6099999996</v>
      </c>
      <c r="F73" s="12"/>
      <c r="G73" s="13">
        <f>VLOOKUP(B73,Alloc!$D$1:$F$139,3,FALSE)</f>
        <v>1.7500000000000002E-2</v>
      </c>
      <c r="H73" s="12">
        <f>IF(Actual!F72&gt;0,E73*G73,0)</f>
        <v>27056.270674999996</v>
      </c>
      <c r="I73" s="12">
        <f>IF(Actual!F72&gt;0,F73*G73,0)</f>
        <v>0</v>
      </c>
      <c r="J73" s="84">
        <f t="shared" si="1"/>
        <v>27056.270674999996</v>
      </c>
      <c r="K73" s="12"/>
    </row>
    <row r="74" spans="1:11" x14ac:dyDescent="0.2">
      <c r="A74" s="1" t="s">
        <v>290</v>
      </c>
      <c r="B74" s="4">
        <v>367</v>
      </c>
      <c r="C74" s="1" t="s">
        <v>89</v>
      </c>
      <c r="D74" s="12">
        <v>179242822.02791664</v>
      </c>
      <c r="E74" s="12">
        <v>178127533.24166664</v>
      </c>
      <c r="F74" s="12">
        <v>1115288.7862499997</v>
      </c>
      <c r="G74" s="13">
        <f>VLOOKUP(B74,Alloc!$D$1:$F$139,3,FALSE)</f>
        <v>1.8800000000000001E-2</v>
      </c>
      <c r="H74" s="12">
        <f>IF(Actual!F73&gt;0,E74*G74,0)</f>
        <v>3348797.6249433332</v>
      </c>
      <c r="I74" s="12">
        <f>IF(Actual!F73&gt;0,F74*G74,0)</f>
        <v>20967.429181499996</v>
      </c>
      <c r="J74" s="84">
        <f t="shared" si="1"/>
        <v>3369765.0541248331</v>
      </c>
      <c r="K74" s="12"/>
    </row>
    <row r="75" spans="1:11" x14ac:dyDescent="0.2">
      <c r="A75" s="1" t="s">
        <v>288</v>
      </c>
      <c r="B75" s="4">
        <v>367.21</v>
      </c>
      <c r="C75" s="1" t="s">
        <v>87</v>
      </c>
      <c r="D75" s="12">
        <v>1994582.3900000004</v>
      </c>
      <c r="E75" s="12">
        <v>1994582.3900000004</v>
      </c>
      <c r="F75" s="12"/>
      <c r="G75" s="13">
        <f>VLOOKUP(B75,Alloc!$D$1:$F$139,3,FALSE)</f>
        <v>1.72E-2</v>
      </c>
      <c r="H75" s="12">
        <f>IF(Actual!F74&gt;0,E75*G75,0)</f>
        <v>34306.817108000003</v>
      </c>
      <c r="I75" s="12">
        <f>IF(Actual!F74&gt;0,F75*G75,0)</f>
        <v>0</v>
      </c>
      <c r="J75" s="84">
        <f t="shared" si="1"/>
        <v>34306.817108000003</v>
      </c>
      <c r="K75" s="12"/>
    </row>
    <row r="76" spans="1:11" x14ac:dyDescent="0.2">
      <c r="A76" s="1" t="s">
        <v>288</v>
      </c>
      <c r="B76" s="4">
        <v>367.22</v>
      </c>
      <c r="C76" s="1" t="s">
        <v>84</v>
      </c>
      <c r="D76" s="12">
        <v>14949264</v>
      </c>
      <c r="E76" s="12">
        <v>14949264</v>
      </c>
      <c r="F76" s="12"/>
      <c r="G76" s="13">
        <f>VLOOKUP(B76,Alloc!$D$1:$F$139,3,FALSE)</f>
        <v>1.5900000000000001E-2</v>
      </c>
      <c r="H76" s="12">
        <f>IF(Actual!F75&gt;0,E76*G76,0)</f>
        <v>237693.29760000002</v>
      </c>
      <c r="I76" s="12">
        <f>IF(Actual!F75&gt;0,F76*G76,0)</f>
        <v>0</v>
      </c>
      <c r="J76" s="84">
        <f t="shared" si="1"/>
        <v>237693.29760000002</v>
      </c>
      <c r="K76" s="12"/>
    </row>
    <row r="77" spans="1:11" x14ac:dyDescent="0.2">
      <c r="A77" s="1" t="s">
        <v>288</v>
      </c>
      <c r="B77" s="4">
        <v>367.23</v>
      </c>
      <c r="C77" s="1" t="s">
        <v>84</v>
      </c>
      <c r="D77" s="12">
        <v>34881341.360000007</v>
      </c>
      <c r="E77" s="12">
        <v>34881341.360000007</v>
      </c>
      <c r="F77" s="12"/>
      <c r="G77" s="13">
        <f>VLOOKUP(B77,Alloc!$D$1:$F$139,3,FALSE)</f>
        <v>1.9400000000000001E-2</v>
      </c>
      <c r="H77" s="12">
        <f>IF(Actual!F76&gt;0,E77*G77,0)</f>
        <v>676698.02238400013</v>
      </c>
      <c r="I77" s="12">
        <f>IF(Actual!F76&gt;0,F77*G77,0)</f>
        <v>0</v>
      </c>
      <c r="J77" s="84">
        <f t="shared" si="1"/>
        <v>676698.02238400013</v>
      </c>
      <c r="K77" s="12"/>
    </row>
    <row r="78" spans="1:11" x14ac:dyDescent="0.2">
      <c r="A78" s="1" t="s">
        <v>288</v>
      </c>
      <c r="B78" s="4">
        <v>367.24</v>
      </c>
      <c r="C78" s="1" t="s">
        <v>82</v>
      </c>
      <c r="D78" s="12">
        <v>17466181.889999997</v>
      </c>
      <c r="E78" s="12">
        <v>17466181.889999997</v>
      </c>
      <c r="F78" s="12"/>
      <c r="G78" s="13">
        <f>VLOOKUP(B78,Alloc!$D$1:$F$139,3,FALSE)</f>
        <v>1.9400000000000001E-2</v>
      </c>
      <c r="H78" s="12">
        <f>IF(Actual!F77&gt;0,E78*G78,0)</f>
        <v>338843.92866599996</v>
      </c>
      <c r="I78" s="12">
        <f>IF(Actual!F77&gt;0,F78*G78,0)</f>
        <v>0</v>
      </c>
      <c r="J78" s="84">
        <f t="shared" si="1"/>
        <v>338843.92866599996</v>
      </c>
      <c r="K78" s="12"/>
    </row>
    <row r="79" spans="1:11" x14ac:dyDescent="0.2">
      <c r="A79" s="1" t="s">
        <v>288</v>
      </c>
      <c r="B79" s="4">
        <v>367.25</v>
      </c>
      <c r="C79" s="1" t="s">
        <v>80</v>
      </c>
      <c r="D79" s="12">
        <v>18613651.150000002</v>
      </c>
      <c r="E79" s="12">
        <v>18613651.150000002</v>
      </c>
      <c r="F79" s="12"/>
      <c r="G79" s="13">
        <f>VLOOKUP(B79,Alloc!$D$1:$F$139,3,FALSE)</f>
        <v>1.95E-2</v>
      </c>
      <c r="H79" s="12">
        <f>IF(Actual!F78&gt;0,E79*G79,0)</f>
        <v>362966.19742500002</v>
      </c>
      <c r="I79" s="12">
        <f>IF(Actual!F78&gt;0,F79*G79,0)</f>
        <v>0</v>
      </c>
      <c r="J79" s="84">
        <f t="shared" si="1"/>
        <v>362966.19742500002</v>
      </c>
      <c r="K79" s="12"/>
    </row>
    <row r="80" spans="1:11" x14ac:dyDescent="0.2">
      <c r="A80" s="1" t="s">
        <v>288</v>
      </c>
      <c r="B80" s="4">
        <v>367.26</v>
      </c>
      <c r="C80" s="1" t="s">
        <v>78</v>
      </c>
      <c r="D80" s="12">
        <v>68232675.580000013</v>
      </c>
      <c r="E80" s="12">
        <v>68232675.580000013</v>
      </c>
      <c r="F80" s="12"/>
      <c r="G80" s="13">
        <f>VLOOKUP(B80,Alloc!$D$1:$F$139,3,FALSE)</f>
        <v>1.95E-2</v>
      </c>
      <c r="H80" s="12">
        <f>IF(Actual!F79&gt;0,E80*G80,0)</f>
        <v>1330537.1738100003</v>
      </c>
      <c r="I80" s="12">
        <f>IF(Actual!F79&gt;0,F80*G80,0)</f>
        <v>0</v>
      </c>
      <c r="J80" s="84">
        <f t="shared" si="1"/>
        <v>1330537.1738100003</v>
      </c>
      <c r="K80" s="12"/>
    </row>
    <row r="81" spans="1:11" x14ac:dyDescent="0.2">
      <c r="A81" s="1" t="s">
        <v>290</v>
      </c>
      <c r="B81" s="4">
        <v>368</v>
      </c>
      <c r="C81" s="1" t="s">
        <v>76</v>
      </c>
      <c r="D81" s="12">
        <v>0</v>
      </c>
      <c r="E81" s="12">
        <v>0</v>
      </c>
      <c r="F81" s="12"/>
      <c r="G81" s="13">
        <f>VLOOKUP(B81,Alloc!$D$1:$F$139,3,FALSE)</f>
        <v>2.1499999999999998E-2</v>
      </c>
      <c r="H81" s="12">
        <f>IF(Actual!F80&gt;0,E81*G81,0)</f>
        <v>0</v>
      </c>
      <c r="I81" s="12">
        <f>IF(Actual!F80&gt;0,F81*G81,0)</f>
        <v>0</v>
      </c>
      <c r="J81" s="84">
        <f t="shared" si="1"/>
        <v>0</v>
      </c>
      <c r="K81" s="12"/>
    </row>
    <row r="82" spans="1:11" x14ac:dyDescent="0.2">
      <c r="A82" s="1" t="s">
        <v>290</v>
      </c>
      <c r="B82" s="4">
        <v>369</v>
      </c>
      <c r="C82" s="1" t="s">
        <v>74</v>
      </c>
      <c r="D82" s="12">
        <v>3969549.0799999987</v>
      </c>
      <c r="E82" s="12">
        <v>3969549.0799999987</v>
      </c>
      <c r="F82" s="12"/>
      <c r="G82" s="13">
        <f>VLOOKUP(B82,Alloc!$D$1:$F$139,3,FALSE)</f>
        <v>2.1299999999999999E-2</v>
      </c>
      <c r="H82" s="12">
        <f>IF(Actual!F81&gt;0,E82*G82,0)</f>
        <v>84551.395403999966</v>
      </c>
      <c r="I82" s="12">
        <f>IF(Actual!F81&gt;0,F82*G82,0)</f>
        <v>0</v>
      </c>
      <c r="J82" s="84">
        <f t="shared" si="1"/>
        <v>84551.395403999966</v>
      </c>
      <c r="K82" s="12"/>
    </row>
    <row r="83" spans="1:11" x14ac:dyDescent="0.2">
      <c r="A83" s="1" t="s">
        <v>290</v>
      </c>
      <c r="B83" s="4">
        <v>370</v>
      </c>
      <c r="C83" s="1" t="s">
        <v>211</v>
      </c>
      <c r="D83" s="12">
        <v>0</v>
      </c>
      <c r="E83" s="12">
        <v>0</v>
      </c>
      <c r="F83" s="12"/>
      <c r="G83" s="13">
        <f>VLOOKUP(B83,Alloc!$D$1:$F$139,3,FALSE)</f>
        <v>0</v>
      </c>
      <c r="H83" s="12">
        <f>IF(Actual!F82&gt;0,E83*G83,0)</f>
        <v>0</v>
      </c>
      <c r="I83" s="12">
        <f>IF(Actual!F82&gt;0,F83*G83,0)</f>
        <v>0</v>
      </c>
      <c r="J83" s="84">
        <f t="shared" si="1"/>
        <v>0</v>
      </c>
      <c r="K83" s="12"/>
    </row>
    <row r="84" spans="1:11" x14ac:dyDescent="0.2">
      <c r="A84" s="1" t="s">
        <v>291</v>
      </c>
      <c r="B84" s="4">
        <v>374.1</v>
      </c>
      <c r="C84" s="1" t="s">
        <v>168</v>
      </c>
      <c r="D84" s="12">
        <v>85773.439999999988</v>
      </c>
      <c r="E84" s="12">
        <v>75384.439999999988</v>
      </c>
      <c r="F84" s="12">
        <v>10389</v>
      </c>
      <c r="G84" s="13">
        <f>VLOOKUP(B84,Alloc!$D$1:$F$139,3,FALSE)</f>
        <v>0</v>
      </c>
      <c r="H84" s="12">
        <f>IF(Actual!F83&gt;0,E84*G84,0)</f>
        <v>0</v>
      </c>
      <c r="I84" s="12">
        <f>IF(Actual!F83&gt;0,F84*G84,0)</f>
        <v>0</v>
      </c>
      <c r="J84" s="84">
        <f t="shared" si="1"/>
        <v>0</v>
      </c>
      <c r="K84" s="12"/>
    </row>
    <row r="85" spans="1:11" x14ac:dyDescent="0.2">
      <c r="A85" s="1" t="s">
        <v>291</v>
      </c>
      <c r="B85" s="4">
        <v>374.2</v>
      </c>
      <c r="C85" s="1" t="s">
        <v>92</v>
      </c>
      <c r="D85" s="12">
        <v>1886180.6400000004</v>
      </c>
      <c r="E85" s="12">
        <v>1858501.6400000004</v>
      </c>
      <c r="F85" s="12">
        <v>27679</v>
      </c>
      <c r="G85" s="13">
        <f>VLOOKUP(B85,Alloc!$D$1:$F$139,3,FALSE)</f>
        <v>5.5999999999999999E-3</v>
      </c>
      <c r="H85" s="12">
        <f>IF(Actual!F84&gt;0,E85*G85,0)</f>
        <v>10407.609184000003</v>
      </c>
      <c r="I85" s="12">
        <f>IF(Actual!F84&gt;0,F85*G85,0)</f>
        <v>155.00239999999999</v>
      </c>
      <c r="J85" s="84">
        <f t="shared" si="1"/>
        <v>10562.611584000002</v>
      </c>
      <c r="K85" s="12"/>
    </row>
    <row r="86" spans="1:11" x14ac:dyDescent="0.2">
      <c r="A86" s="1" t="s">
        <v>291</v>
      </c>
      <c r="B86" s="4">
        <v>375</v>
      </c>
      <c r="C86" s="1" t="s">
        <v>70</v>
      </c>
      <c r="D86" s="12">
        <v>1519558.2799999996</v>
      </c>
      <c r="E86" s="12">
        <v>132550.15999999997</v>
      </c>
      <c r="F86" s="12">
        <v>1387008.1200000003</v>
      </c>
      <c r="G86" s="13">
        <f>VLOOKUP(B86,Alloc!$D$1:$F$139,3,FALSE)</f>
        <v>1.4999999999999999E-2</v>
      </c>
      <c r="H86" s="12">
        <f>IF(Actual!F85&gt;0,E86*G86,0)</f>
        <v>1988.2523999999996</v>
      </c>
      <c r="I86" s="12">
        <f>IF(Actual!F85&gt;0,F86*G86,0)</f>
        <v>20805.121800000004</v>
      </c>
      <c r="J86" s="84">
        <f t="shared" si="1"/>
        <v>22793.374200000006</v>
      </c>
      <c r="K86" s="12"/>
    </row>
    <row r="87" spans="1:11" x14ac:dyDescent="0.2">
      <c r="A87" s="1" t="s">
        <v>291</v>
      </c>
      <c r="B87" s="4">
        <v>376.11</v>
      </c>
      <c r="C87" s="1" t="s">
        <v>120</v>
      </c>
      <c r="D87" s="12">
        <v>643027213.37083304</v>
      </c>
      <c r="E87" s="12">
        <v>553383528.49458301</v>
      </c>
      <c r="F87" s="12">
        <v>89643684.876249984</v>
      </c>
      <c r="G87" s="13">
        <f>VLOOKUP(B87,Alloc!$D$1:$F$139,3,FALSE)</f>
        <v>2.5399999999999999E-2</v>
      </c>
      <c r="H87" s="12">
        <f>IF(Actual!F86&gt;0,E87*G87,0)</f>
        <v>14055941.623762408</v>
      </c>
      <c r="I87" s="12">
        <f>IF(Actual!F86&gt;0,F87*G87,0)</f>
        <v>2276949.5958567495</v>
      </c>
      <c r="J87" s="84">
        <f t="shared" si="1"/>
        <v>16332891.219619159</v>
      </c>
      <c r="K87" s="12"/>
    </row>
    <row r="88" spans="1:11" x14ac:dyDescent="0.2">
      <c r="A88" s="1" t="s">
        <v>291</v>
      </c>
      <c r="B88" s="4">
        <v>376.12</v>
      </c>
      <c r="C88" s="1" t="s">
        <v>118</v>
      </c>
      <c r="D88" s="12">
        <v>620111606.43250012</v>
      </c>
      <c r="E88" s="12">
        <v>517964464.27916676</v>
      </c>
      <c r="F88" s="12">
        <v>102147142.15333335</v>
      </c>
      <c r="G88" s="13">
        <f>VLOOKUP(B88,Alloc!$D$1:$F$139,3,FALSE)</f>
        <v>2.3199999999999998E-2</v>
      </c>
      <c r="H88" s="12">
        <f>IF(Actual!F87&gt;0,E88*G88,0)</f>
        <v>12016775.571276668</v>
      </c>
      <c r="I88" s="12">
        <f>IF(Actual!F87&gt;0,F88*G88,0)</f>
        <v>2369813.6979573336</v>
      </c>
      <c r="J88" s="84">
        <f t="shared" si="1"/>
        <v>14386589.269234002</v>
      </c>
      <c r="K88" s="12"/>
    </row>
    <row r="89" spans="1:11" x14ac:dyDescent="0.2">
      <c r="A89" s="1" t="s">
        <v>291</v>
      </c>
      <c r="B89" s="4">
        <v>377</v>
      </c>
      <c r="C89" s="1" t="s">
        <v>28</v>
      </c>
      <c r="D89" s="12">
        <v>818380</v>
      </c>
      <c r="E89" s="12">
        <v>818380</v>
      </c>
      <c r="F89" s="12"/>
      <c r="G89" s="13">
        <f>VLOOKUP(B89,Alloc!$D$1:$F$139,3,FALSE)</f>
        <v>1.32E-2</v>
      </c>
      <c r="H89" s="12">
        <f>IF(Actual!F88&gt;0,E89*G89,0)</f>
        <v>10802.616</v>
      </c>
      <c r="I89" s="12">
        <f>IF(Actual!F88&gt;0,F89*G89,0)</f>
        <v>0</v>
      </c>
      <c r="J89" s="84">
        <f t="shared" si="1"/>
        <v>10802.616</v>
      </c>
      <c r="K89" s="12"/>
    </row>
    <row r="90" spans="1:11" x14ac:dyDescent="0.2">
      <c r="A90" s="1" t="s">
        <v>291</v>
      </c>
      <c r="B90" s="4">
        <v>378</v>
      </c>
      <c r="C90" s="1" t="s">
        <v>115</v>
      </c>
      <c r="D90" s="12">
        <v>38708496.769166671</v>
      </c>
      <c r="E90" s="12">
        <v>35144824.555000007</v>
      </c>
      <c r="F90" s="12">
        <v>3563672.2141666673</v>
      </c>
      <c r="G90" s="13">
        <f>VLOOKUP(B90,Alloc!$D$1:$F$139,3,FALSE)</f>
        <v>2.18E-2</v>
      </c>
      <c r="H90" s="12">
        <f>IF(Actual!F89&gt;0,E90*G90,0)</f>
        <v>766157.17529900011</v>
      </c>
      <c r="I90" s="12">
        <f>IF(Actual!F89&gt;0,F90*G90,0)</f>
        <v>77688.054268833352</v>
      </c>
      <c r="J90" s="84">
        <f t="shared" si="1"/>
        <v>843845.22956783348</v>
      </c>
      <c r="K90" s="12"/>
    </row>
    <row r="91" spans="1:11" x14ac:dyDescent="0.2">
      <c r="A91" s="1" t="s">
        <v>291</v>
      </c>
      <c r="B91" s="4">
        <v>379</v>
      </c>
      <c r="C91" s="1" t="s">
        <v>113</v>
      </c>
      <c r="D91" s="12">
        <v>16696391.475833328</v>
      </c>
      <c r="E91" s="12">
        <v>14402937.749999994</v>
      </c>
      <c r="F91" s="12">
        <v>2293453.7258333336</v>
      </c>
      <c r="G91" s="13">
        <f>VLOOKUP(B91,Alloc!$D$1:$F$139,3,FALSE)</f>
        <v>2.12E-2</v>
      </c>
      <c r="H91" s="12">
        <f>IF(Actual!F90&gt;0,E91*G91,0)</f>
        <v>305342.28029999987</v>
      </c>
      <c r="I91" s="12">
        <f>IF(Actual!F90&gt;0,F91*G91,0)</f>
        <v>48621.218987666674</v>
      </c>
      <c r="J91" s="84">
        <f t="shared" si="1"/>
        <v>353963.49928766652</v>
      </c>
      <c r="K91" s="12"/>
    </row>
    <row r="92" spans="1:11" x14ac:dyDescent="0.2">
      <c r="A92" s="1" t="s">
        <v>291</v>
      </c>
      <c r="B92" s="4">
        <v>380</v>
      </c>
      <c r="C92" s="1" t="s">
        <v>111</v>
      </c>
      <c r="D92" s="12">
        <v>846054260.52249968</v>
      </c>
      <c r="E92" s="12">
        <v>764641963.07374966</v>
      </c>
      <c r="F92" s="12">
        <v>81412297.448750004</v>
      </c>
      <c r="G92" s="13">
        <f>VLOOKUP(B92,Alloc!$D$1:$F$139,3,FALSE)</f>
        <v>2.87E-2</v>
      </c>
      <c r="H92" s="12">
        <f>IF(Actual!F91&gt;0,E92*G92,0)</f>
        <v>21945224.340216614</v>
      </c>
      <c r="I92" s="12">
        <f>IF(Actual!F91&gt;0,F92*G92,0)</f>
        <v>2336532.9367791251</v>
      </c>
      <c r="J92" s="84">
        <f t="shared" si="1"/>
        <v>24281757.276995741</v>
      </c>
      <c r="K92" s="12"/>
    </row>
    <row r="93" spans="1:11" x14ac:dyDescent="0.2">
      <c r="A93" s="1" t="s">
        <v>291</v>
      </c>
      <c r="B93" s="4">
        <v>381</v>
      </c>
      <c r="C93" s="1" t="s">
        <v>109</v>
      </c>
      <c r="D93" s="12">
        <v>103632463.82666665</v>
      </c>
      <c r="E93" s="12">
        <v>91261605.954583347</v>
      </c>
      <c r="F93" s="12">
        <v>12370857.872083336</v>
      </c>
      <c r="G93" s="13">
        <f>VLOOKUP(B93,Alloc!$D$1:$F$139,3,FALSE)</f>
        <v>2.23E-2</v>
      </c>
      <c r="H93" s="12">
        <f>IF(Actual!F92&gt;0,E93*G93,0)</f>
        <v>2035133.8127872087</v>
      </c>
      <c r="I93" s="12">
        <f>IF(Actual!F92&gt;0,F93*G93,0)</f>
        <v>275870.13054745842</v>
      </c>
      <c r="J93" s="84">
        <f t="shared" si="1"/>
        <v>2311003.943334667</v>
      </c>
      <c r="K93" s="12"/>
    </row>
    <row r="94" spans="1:11" x14ac:dyDescent="0.2">
      <c r="A94" s="1" t="s">
        <v>291</v>
      </c>
      <c r="B94" s="4">
        <v>381.1</v>
      </c>
      <c r="C94" s="1" t="s">
        <v>107</v>
      </c>
      <c r="D94" s="12">
        <v>1696938.4600000007</v>
      </c>
      <c r="E94" s="12">
        <v>1696938.4600000007</v>
      </c>
      <c r="F94" s="12"/>
      <c r="G94" s="13">
        <f>VLOOKUP(B94,Alloc!$D$1:$F$139,3,FALSE)</f>
        <v>2.8899999999999999E-2</v>
      </c>
      <c r="H94" s="12">
        <f>IF(Actual!F93&gt;0,E94*G94,0)</f>
        <v>49041.521494000015</v>
      </c>
      <c r="I94" s="12">
        <f>IF(Actual!F93&gt;0,F94*G94,0)</f>
        <v>0</v>
      </c>
      <c r="J94" s="84">
        <f t="shared" si="1"/>
        <v>49041.521494000015</v>
      </c>
      <c r="K94" s="12"/>
    </row>
    <row r="95" spans="1:11" x14ac:dyDescent="0.2">
      <c r="A95" s="1" t="s">
        <v>291</v>
      </c>
      <c r="B95" s="4">
        <v>381.2</v>
      </c>
      <c r="C95" s="1" t="s">
        <v>105</v>
      </c>
      <c r="D95" s="12">
        <v>44600782.537916668</v>
      </c>
      <c r="E95" s="12">
        <v>37491036.130416669</v>
      </c>
      <c r="F95" s="12">
        <v>7109746.4074999997</v>
      </c>
      <c r="G95" s="13">
        <f>VLOOKUP(B95,Alloc!$D$1:$F$139,3,FALSE)</f>
        <v>5.8500000000000003E-2</v>
      </c>
      <c r="H95" s="12">
        <f>IF(Actual!F94&gt;0,E95*G95,0)</f>
        <v>2193225.6136293751</v>
      </c>
      <c r="I95" s="12">
        <f>IF(Actual!F94&gt;0,F95*G95,0)</f>
        <v>415920.16483875003</v>
      </c>
      <c r="J95" s="84">
        <f t="shared" si="1"/>
        <v>2609145.778468125</v>
      </c>
      <c r="K95" s="12"/>
    </row>
    <row r="96" spans="1:11" x14ac:dyDescent="0.2">
      <c r="A96" s="1" t="s">
        <v>291</v>
      </c>
      <c r="B96" s="4">
        <v>382</v>
      </c>
      <c r="C96" s="1" t="s">
        <v>103</v>
      </c>
      <c r="D96" s="12">
        <v>63662662.868750006</v>
      </c>
      <c r="E96" s="12">
        <v>57048357.472083353</v>
      </c>
      <c r="F96" s="12">
        <v>6614305.3966666674</v>
      </c>
      <c r="G96" s="13">
        <f>VLOOKUP(B96,Alloc!$D$1:$F$139,3,FALSE)</f>
        <v>4.8399999999999999E-2</v>
      </c>
      <c r="H96" s="12">
        <f>IF(Actual!F95&gt;0,E96*G96,0)</f>
        <v>2761140.501648834</v>
      </c>
      <c r="I96" s="12">
        <f>IF(Actual!F95&gt;0,F96*G96,0)</f>
        <v>320132.3811986667</v>
      </c>
      <c r="J96" s="84">
        <f t="shared" si="1"/>
        <v>3081272.8828475005</v>
      </c>
      <c r="K96" s="12"/>
    </row>
    <row r="97" spans="1:11" x14ac:dyDescent="0.2">
      <c r="A97" s="1" t="s">
        <v>291</v>
      </c>
      <c r="B97" s="4">
        <v>382.1</v>
      </c>
      <c r="C97" s="1" t="s">
        <v>101</v>
      </c>
      <c r="D97" s="12">
        <v>481019.76999999984</v>
      </c>
      <c r="E97" s="12">
        <v>481019.76999999984</v>
      </c>
      <c r="F97" s="12"/>
      <c r="G97" s="13">
        <f>VLOOKUP(B97,Alloc!$D$1:$F$139,3,FALSE)</f>
        <v>8.6099999999999996E-2</v>
      </c>
      <c r="H97" s="12">
        <f>IF(Actual!F96&gt;0,E97*G97,0)</f>
        <v>41415.802196999983</v>
      </c>
      <c r="I97" s="12">
        <f>IF(Actual!F96&gt;0,F97*G97,0)</f>
        <v>0</v>
      </c>
      <c r="J97" s="84">
        <f t="shared" si="1"/>
        <v>41415.802196999983</v>
      </c>
      <c r="K97" s="12"/>
    </row>
    <row r="98" spans="1:11" x14ac:dyDescent="0.2">
      <c r="A98" s="1" t="s">
        <v>291</v>
      </c>
      <c r="B98" s="4">
        <v>382.2</v>
      </c>
      <c r="C98" s="1" t="s">
        <v>99</v>
      </c>
      <c r="D98" s="12">
        <v>8930236.0966666676</v>
      </c>
      <c r="E98" s="12">
        <v>8016816.9533333331</v>
      </c>
      <c r="F98" s="12">
        <v>913419.1433333332</v>
      </c>
      <c r="G98" s="13">
        <f>VLOOKUP(B98,Alloc!$D$1:$F$139,3,FALSE)</f>
        <v>3.9E-2</v>
      </c>
      <c r="H98" s="12">
        <f>IF(Actual!F97&gt;0,E98*G98,0)</f>
        <v>312655.86118000001</v>
      </c>
      <c r="I98" s="12">
        <f>IF(Actual!F97&gt;0,F98*G98,0)</f>
        <v>35623.346589999994</v>
      </c>
      <c r="J98" s="84">
        <f t="shared" si="1"/>
        <v>348279.20776999998</v>
      </c>
      <c r="K98" s="12"/>
    </row>
    <row r="99" spans="1:11" x14ac:dyDescent="0.2">
      <c r="A99" s="1" t="s">
        <v>291</v>
      </c>
      <c r="B99" s="4">
        <v>383</v>
      </c>
      <c r="C99" s="1" t="s">
        <v>97</v>
      </c>
      <c r="D99" s="12">
        <v>2453537.5445833341</v>
      </c>
      <c r="E99" s="12">
        <v>2306204.9645833345</v>
      </c>
      <c r="F99" s="12">
        <v>147332.58000000002</v>
      </c>
      <c r="G99" s="13">
        <f>VLOOKUP(B99,Alloc!$D$1:$F$139,3,FALSE)</f>
        <v>2.92E-2</v>
      </c>
      <c r="H99" s="12">
        <f>IF(Actual!F98&gt;0,E99*G99,0)</f>
        <v>67341.184965833367</v>
      </c>
      <c r="I99" s="12">
        <f>IF(Actual!F98&gt;0,F99*G99,0)</f>
        <v>4302.1113360000008</v>
      </c>
      <c r="J99" s="84">
        <f t="shared" si="1"/>
        <v>71643.296301833368</v>
      </c>
      <c r="K99" s="12"/>
    </row>
    <row r="100" spans="1:11" x14ac:dyDescent="0.2">
      <c r="A100" s="1" t="s">
        <v>291</v>
      </c>
      <c r="B100" s="4">
        <v>386</v>
      </c>
      <c r="C100" s="1" t="s">
        <v>214</v>
      </c>
      <c r="D100" s="12">
        <v>1162110.4099999999</v>
      </c>
      <c r="E100" s="12">
        <v>1162110.4099999999</v>
      </c>
      <c r="F100" s="12"/>
      <c r="G100" s="13">
        <f>VLOOKUP(B100,Alloc!$D$1:$F$139,3,FALSE)</f>
        <v>0.1</v>
      </c>
      <c r="H100" s="12">
        <f>IF(Actual!F99&gt;0,E100*G100,0)</f>
        <v>116211.041</v>
      </c>
      <c r="I100" s="12">
        <f>IF(Actual!F99&gt;0,F100*G100,0)</f>
        <v>0</v>
      </c>
      <c r="J100" s="84">
        <f t="shared" si="1"/>
        <v>116211.041</v>
      </c>
      <c r="K100" s="12"/>
    </row>
    <row r="101" spans="1:11" x14ac:dyDescent="0.2">
      <c r="A101" s="1" t="s">
        <v>291</v>
      </c>
      <c r="B101" s="4">
        <v>386.1</v>
      </c>
      <c r="C101" s="1" t="s">
        <v>246</v>
      </c>
      <c r="D101" s="12">
        <v>0</v>
      </c>
      <c r="E101" s="12">
        <v>0</v>
      </c>
      <c r="F101" s="12"/>
      <c r="G101" s="13">
        <f>VLOOKUP(B101,Alloc!$D$1:$F$139,3,FALSE)</f>
        <v>0</v>
      </c>
      <c r="H101" s="12">
        <f>IF(Actual!F100&gt;0,E101*G101,0)</f>
        <v>0</v>
      </c>
      <c r="I101" s="12">
        <f>IF(Actual!F100&gt;0,F101*G101,0)</f>
        <v>0</v>
      </c>
      <c r="J101" s="84">
        <f t="shared" si="1"/>
        <v>0</v>
      </c>
      <c r="K101" s="12"/>
    </row>
    <row r="102" spans="1:11" x14ac:dyDescent="0.2">
      <c r="A102" s="1" t="s">
        <v>291</v>
      </c>
      <c r="B102" s="4">
        <v>387.1</v>
      </c>
      <c r="C102" s="1" t="s">
        <v>95</v>
      </c>
      <c r="D102" s="12">
        <v>173858.98</v>
      </c>
      <c r="E102" s="12">
        <v>173858.98</v>
      </c>
      <c r="F102" s="12"/>
      <c r="G102" s="13">
        <f>VLOOKUP(B102,Alloc!$D$1:$F$139,3,FALSE)</f>
        <v>8.2000000000000007E-3</v>
      </c>
      <c r="H102" s="12">
        <f>IF(Actual!F101&gt;0,E102*G102,0)</f>
        <v>1425.6436360000002</v>
      </c>
      <c r="I102" s="12">
        <f>IF(Actual!F101&gt;0,F102*G102,0)</f>
        <v>0</v>
      </c>
      <c r="J102" s="84">
        <f t="shared" si="1"/>
        <v>1425.6436360000002</v>
      </c>
      <c r="K102" s="12"/>
    </row>
    <row r="103" spans="1:11" x14ac:dyDescent="0.2">
      <c r="A103" s="1" t="s">
        <v>291</v>
      </c>
      <c r="B103" s="4">
        <v>387.2</v>
      </c>
      <c r="C103" s="1" t="s">
        <v>216</v>
      </c>
      <c r="D103" s="12">
        <v>96424</v>
      </c>
      <c r="E103" s="12">
        <v>69794</v>
      </c>
      <c r="F103" s="12">
        <v>26630</v>
      </c>
      <c r="G103" s="13">
        <f>VLOOKUP(B103,Alloc!$D$1:$F$139,3,FALSE)</f>
        <v>0</v>
      </c>
      <c r="H103" s="12">
        <f>IF(Actual!F102&gt;0,E103*G103,0)</f>
        <v>0</v>
      </c>
      <c r="I103" s="12">
        <f>IF(Actual!F102&gt;0,F103*G103,0)</f>
        <v>0</v>
      </c>
      <c r="J103" s="84">
        <f t="shared" si="1"/>
        <v>0</v>
      </c>
      <c r="K103" s="12"/>
    </row>
    <row r="104" spans="1:11" x14ac:dyDescent="0.2">
      <c r="A104" s="1" t="s">
        <v>291</v>
      </c>
      <c r="B104" s="4">
        <v>387.3</v>
      </c>
      <c r="C104" s="1" t="s">
        <v>218</v>
      </c>
      <c r="D104" s="12">
        <v>72671</v>
      </c>
      <c r="E104" s="12">
        <v>72671</v>
      </c>
      <c r="F104" s="12"/>
      <c r="G104" s="13">
        <f>VLOOKUP(B104,Alloc!$D$1:$F$139,3,FALSE)</f>
        <v>0</v>
      </c>
      <c r="H104" s="12">
        <f>IF(Actual!F103&gt;0,E104*G104,0)</f>
        <v>0</v>
      </c>
      <c r="I104" s="12">
        <f>IF(Actual!F103&gt;0,F104*G104,0)</f>
        <v>0</v>
      </c>
      <c r="J104" s="84">
        <f t="shared" si="1"/>
        <v>0</v>
      </c>
      <c r="K104" s="12"/>
    </row>
    <row r="105" spans="1:11" x14ac:dyDescent="0.2">
      <c r="A105" s="1" t="s">
        <v>292</v>
      </c>
      <c r="B105" s="4">
        <v>389</v>
      </c>
      <c r="C105" s="1" t="s">
        <v>168</v>
      </c>
      <c r="D105" s="12">
        <v>11939487.130000001</v>
      </c>
      <c r="E105" s="12">
        <v>10780837.610000001</v>
      </c>
      <c r="F105" s="12">
        <v>1158649.5199999998</v>
      </c>
      <c r="G105" s="13">
        <f>VLOOKUP(B105,Alloc!$D$1:$F$139,3,FALSE)</f>
        <v>0</v>
      </c>
      <c r="H105" s="12">
        <f>IF(Actual!F104&gt;0,E105*G105,0)</f>
        <v>0</v>
      </c>
      <c r="I105" s="12">
        <f>IF(Actual!F104&gt;0,F105*G105,0)</f>
        <v>0</v>
      </c>
      <c r="J105" s="84">
        <f t="shared" si="1"/>
        <v>0</v>
      </c>
      <c r="K105" s="12"/>
    </row>
    <row r="106" spans="1:11" x14ac:dyDescent="0.2">
      <c r="A106" s="1" t="s">
        <v>293</v>
      </c>
      <c r="B106" s="4">
        <v>390</v>
      </c>
      <c r="C106" s="1" t="s">
        <v>70</v>
      </c>
      <c r="D106" s="12">
        <v>75194348.053749993</v>
      </c>
      <c r="E106" s="12">
        <v>73599644.913750008</v>
      </c>
      <c r="F106" s="12">
        <v>1594703.1400000004</v>
      </c>
      <c r="G106" s="13">
        <f>VLOOKUP(B106,Alloc!$D$1:$F$139,3,FALSE)</f>
        <v>2.2700000000000001E-2</v>
      </c>
      <c r="H106" s="12">
        <f>IF(Actual!F105&gt;0,E106*G106,0)</f>
        <v>1670711.9395421252</v>
      </c>
      <c r="I106" s="12">
        <f>IF(Actual!F105&gt;0,F106*G106,0)</f>
        <v>36199.761278000013</v>
      </c>
      <c r="J106" s="84">
        <f t="shared" si="1"/>
        <v>1706911.7008201252</v>
      </c>
      <c r="K106" s="12"/>
    </row>
    <row r="107" spans="1:11" x14ac:dyDescent="0.2">
      <c r="A107" s="1" t="s">
        <v>294</v>
      </c>
      <c r="B107" s="4">
        <v>390.1</v>
      </c>
      <c r="C107" s="1" t="s">
        <v>155</v>
      </c>
      <c r="D107" s="12">
        <v>20281545.612916663</v>
      </c>
      <c r="E107" s="12">
        <v>19558332.12041666</v>
      </c>
      <c r="F107" s="12">
        <v>723213.49250000005</v>
      </c>
      <c r="G107" s="13">
        <f>VLOOKUP(B107,Alloc!$D$1:$F$139,3,FALSE)</f>
        <v>2.1499999999999998E-2</v>
      </c>
      <c r="H107" s="12">
        <f>IF(Actual!F106&gt;0,E107*G107,0)</f>
        <v>420504.14058895817</v>
      </c>
      <c r="I107" s="12">
        <f>IF(Actual!F106&gt;0,F107*G107,0)</f>
        <v>15549.090088749999</v>
      </c>
      <c r="J107" s="84">
        <f t="shared" si="1"/>
        <v>436053.23067770817</v>
      </c>
      <c r="K107" s="12"/>
    </row>
    <row r="108" spans="1:11" x14ac:dyDescent="0.2">
      <c r="A108" s="1" t="s">
        <v>294</v>
      </c>
      <c r="B108" s="4">
        <v>391.1</v>
      </c>
      <c r="C108" s="1" t="s">
        <v>153</v>
      </c>
      <c r="D108" s="12">
        <v>13081376.907500004</v>
      </c>
      <c r="E108" s="12">
        <v>13064855.0875</v>
      </c>
      <c r="F108" s="12">
        <v>16521.820000000003</v>
      </c>
      <c r="G108" s="13">
        <f>VLOOKUP(B108,Alloc!$D$1:$F$139,3,FALSE)</f>
        <v>0.05</v>
      </c>
      <c r="H108" s="12">
        <f>IF(Actual!F107&gt;0,E108*G108,0)</f>
        <v>653242.75437500002</v>
      </c>
      <c r="I108" s="12">
        <f>IF(Actual!F107&gt;0,F108*G108,0)</f>
        <v>826.09100000000024</v>
      </c>
      <c r="J108" s="84">
        <f t="shared" si="1"/>
        <v>654068.84537500003</v>
      </c>
      <c r="K108" s="12"/>
    </row>
    <row r="109" spans="1:11" x14ac:dyDescent="0.2">
      <c r="A109" s="1" t="s">
        <v>294</v>
      </c>
      <c r="B109" s="4">
        <v>391.2</v>
      </c>
      <c r="C109" s="1" t="s">
        <v>151</v>
      </c>
      <c r="D109" s="12">
        <v>42766165.040833347</v>
      </c>
      <c r="E109" s="12">
        <v>42766165.040833347</v>
      </c>
      <c r="F109" s="12"/>
      <c r="G109" s="13">
        <f>VLOOKUP(B109,Alloc!$D$1:$F$139,3,FALSE)</f>
        <v>0.2</v>
      </c>
      <c r="H109" s="12">
        <f>IF(Actual!F108&gt;0,E109*G109,0)</f>
        <v>8553233.0081666689</v>
      </c>
      <c r="I109" s="12">
        <f>IF(Actual!F108&gt;0,F109*G109,0)</f>
        <v>0</v>
      </c>
      <c r="J109" s="84">
        <f t="shared" si="1"/>
        <v>8553233.0081666689</v>
      </c>
      <c r="K109" s="12"/>
    </row>
    <row r="110" spans="1:11" x14ac:dyDescent="0.2">
      <c r="A110" s="1" t="s">
        <v>294</v>
      </c>
      <c r="B110" s="4">
        <v>391.3</v>
      </c>
      <c r="C110" s="1" t="s">
        <v>149</v>
      </c>
      <c r="D110" s="12">
        <v>0</v>
      </c>
      <c r="E110" s="12">
        <v>0</v>
      </c>
      <c r="F110" s="12"/>
      <c r="G110" s="13">
        <f>VLOOKUP(B110,Alloc!$D$1:$F$139,3,FALSE)</f>
        <v>0</v>
      </c>
      <c r="H110" s="12">
        <f>IF(Actual!F109&gt;0,E110*G110,0)</f>
        <v>0</v>
      </c>
      <c r="I110" s="12">
        <f>IF(Actual!F109&gt;0,F110*G110,0)</f>
        <v>0</v>
      </c>
      <c r="J110" s="84">
        <f t="shared" si="1"/>
        <v>0</v>
      </c>
      <c r="K110" s="12"/>
    </row>
    <row r="111" spans="1:11" x14ac:dyDescent="0.2">
      <c r="A111" s="1" t="s">
        <v>294</v>
      </c>
      <c r="B111" s="4">
        <v>391.4</v>
      </c>
      <c r="C111" s="1" t="s">
        <v>147</v>
      </c>
      <c r="D111" s="12">
        <v>0</v>
      </c>
      <c r="E111" s="12">
        <v>0</v>
      </c>
      <c r="F111" s="12"/>
      <c r="G111" s="13">
        <f>VLOOKUP(B111,Alloc!$D$1:$F$139,3,FALSE)</f>
        <v>0</v>
      </c>
      <c r="H111" s="12">
        <f>IF(Actual!F110&gt;0,E111*G111,0)</f>
        <v>0</v>
      </c>
      <c r="I111" s="12">
        <f>IF(Actual!F110&gt;0,F111*G111,0)</f>
        <v>0</v>
      </c>
      <c r="J111" s="84">
        <f t="shared" si="1"/>
        <v>0</v>
      </c>
      <c r="K111" s="12"/>
    </row>
    <row r="112" spans="1:11" x14ac:dyDescent="0.2">
      <c r="A112" s="1" t="s">
        <v>294</v>
      </c>
      <c r="B112" s="4">
        <v>392</v>
      </c>
      <c r="C112" s="1" t="s">
        <v>145</v>
      </c>
      <c r="D112" s="12">
        <v>51155328.222083338</v>
      </c>
      <c r="E112" s="12">
        <v>50698531.77208332</v>
      </c>
      <c r="F112" s="12">
        <v>456796.45000000013</v>
      </c>
      <c r="G112" s="13">
        <f>VLOOKUP(B112,Alloc!$D$1:$F$139,3,FALSE)</f>
        <v>6.8599999999999994E-2</v>
      </c>
      <c r="H112" s="12">
        <f>IF(Actual!F111&gt;0,E112*G112,0)</f>
        <v>0</v>
      </c>
      <c r="I112" s="12">
        <f>IF(Actual!F111&gt;0,F112*G112,0)</f>
        <v>0</v>
      </c>
      <c r="J112" s="84">
        <f t="shared" si="1"/>
        <v>0</v>
      </c>
      <c r="K112" s="12"/>
    </row>
    <row r="113" spans="1:11" x14ac:dyDescent="0.2">
      <c r="A113" s="1" t="s">
        <v>294</v>
      </c>
      <c r="B113" s="4">
        <v>393</v>
      </c>
      <c r="C113" s="1" t="s">
        <v>221</v>
      </c>
      <c r="D113" s="12">
        <v>119406</v>
      </c>
      <c r="E113" s="12">
        <v>119406</v>
      </c>
      <c r="F113" s="12"/>
      <c r="G113" s="13">
        <f>VLOOKUP(B113,Alloc!$D$1:$F$139,3,FALSE)</f>
        <v>0</v>
      </c>
      <c r="H113" s="12">
        <f>IF(Actual!F112&gt;0,E113*G113,0)</f>
        <v>0</v>
      </c>
      <c r="I113" s="12">
        <f>IF(Actual!F112&gt;0,F113*G113,0)</f>
        <v>0</v>
      </c>
      <c r="J113" s="84">
        <f t="shared" si="1"/>
        <v>0</v>
      </c>
      <c r="K113" s="12"/>
    </row>
    <row r="114" spans="1:11" x14ac:dyDescent="0.2">
      <c r="A114" s="1" t="s">
        <v>294</v>
      </c>
      <c r="B114" s="4">
        <v>394</v>
      </c>
      <c r="C114" s="1" t="s">
        <v>143</v>
      </c>
      <c r="D114" s="12">
        <v>14882332.188333327</v>
      </c>
      <c r="E114" s="12">
        <v>14709953.097083328</v>
      </c>
      <c r="F114" s="12">
        <v>172379.09124999997</v>
      </c>
      <c r="G114" s="13">
        <f>VLOOKUP(B114,Alloc!$D$1:$F$139,3,FALSE)</f>
        <v>0.04</v>
      </c>
      <c r="H114" s="12">
        <f>IF(Actual!F113&gt;0,E114*G114,0)</f>
        <v>0</v>
      </c>
      <c r="I114" s="12">
        <f>IF(Actual!F113&gt;0,F114*G114,0)</f>
        <v>0</v>
      </c>
      <c r="J114" s="84">
        <f t="shared" si="1"/>
        <v>0</v>
      </c>
      <c r="K114" s="12"/>
    </row>
    <row r="115" spans="1:11" x14ac:dyDescent="0.2">
      <c r="A115" s="1" t="s">
        <v>294</v>
      </c>
      <c r="B115" s="4">
        <v>395</v>
      </c>
      <c r="C115" s="1" t="s">
        <v>223</v>
      </c>
      <c r="D115" s="12">
        <v>34.625</v>
      </c>
      <c r="E115" s="12">
        <v>34.625</v>
      </c>
      <c r="F115" s="12"/>
      <c r="G115" s="13">
        <f>VLOOKUP(B115,Alloc!$D$1:$F$139,3,FALSE)</f>
        <v>0.05</v>
      </c>
      <c r="H115" s="12">
        <f>IF(Actual!F114&gt;0,E115*G115,0)</f>
        <v>0</v>
      </c>
      <c r="I115" s="12">
        <f>IF(Actual!F114&gt;0,F115*G115,0)</f>
        <v>0</v>
      </c>
      <c r="J115" s="84">
        <f t="shared" si="1"/>
        <v>0</v>
      </c>
      <c r="K115" s="12"/>
    </row>
    <row r="116" spans="1:11" x14ac:dyDescent="0.2">
      <c r="A116" s="1" t="s">
        <v>294</v>
      </c>
      <c r="B116" s="4">
        <v>396</v>
      </c>
      <c r="C116" s="1" t="s">
        <v>141</v>
      </c>
      <c r="D116" s="12">
        <v>13261171.722916668</v>
      </c>
      <c r="E116" s="12">
        <v>13075082.042916669</v>
      </c>
      <c r="F116" s="12">
        <v>186089.67999999996</v>
      </c>
      <c r="G116" s="13">
        <f>VLOOKUP(B116,Alloc!$D$1:$F$139,3,FALSE)</f>
        <v>3.4000000000000002E-2</v>
      </c>
      <c r="H116" s="12">
        <f>IF(Actual!F115&gt;0,E116*G116,0)</f>
        <v>444552.78945916676</v>
      </c>
      <c r="I116" s="12">
        <f>IF(Actual!F115&gt;0,F116*G116,0)</f>
        <v>6327.0491199999997</v>
      </c>
      <c r="J116" s="84">
        <f t="shared" si="1"/>
        <v>450879.83857916674</v>
      </c>
      <c r="K116" s="12"/>
    </row>
    <row r="117" spans="1:11" x14ac:dyDescent="0.2">
      <c r="A117" s="1" t="s">
        <v>294</v>
      </c>
      <c r="B117" s="4">
        <v>397</v>
      </c>
      <c r="C117" s="1" t="s">
        <v>139</v>
      </c>
      <c r="D117" s="12">
        <v>70015.961250000008</v>
      </c>
      <c r="E117" s="12">
        <v>70015.961250000008</v>
      </c>
      <c r="F117" s="12"/>
      <c r="G117" s="13">
        <f>VLOOKUP(B117,Alloc!$D$1:$F$139,3,FALSE)</f>
        <v>6.6699999999999995E-2</v>
      </c>
      <c r="H117" s="12">
        <f>IF(Actual!F116&gt;0,E117*G117,0)</f>
        <v>4670.0646153750004</v>
      </c>
      <c r="I117" s="12">
        <f>IF(Actual!F116&gt;0,F117*G117,0)</f>
        <v>0</v>
      </c>
      <c r="J117" s="84">
        <f t="shared" si="1"/>
        <v>4670.0646153750004</v>
      </c>
      <c r="K117" s="12"/>
    </row>
    <row r="118" spans="1:11" x14ac:dyDescent="0.2">
      <c r="A118" s="1" t="s">
        <v>294</v>
      </c>
      <c r="B118" s="4">
        <v>397.1</v>
      </c>
      <c r="C118" s="1" t="s">
        <v>137</v>
      </c>
      <c r="D118" s="12">
        <v>4239323.0425000004</v>
      </c>
      <c r="E118" s="12">
        <v>3822106.2804166656</v>
      </c>
      <c r="F118" s="12">
        <v>417216.76208333339</v>
      </c>
      <c r="G118" s="13">
        <f>VLOOKUP(B118,Alloc!$D$1:$F$139,3,FALSE)</f>
        <v>0.1</v>
      </c>
      <c r="H118" s="12">
        <f>IF(Actual!F117&gt;0,E118*G118,0)</f>
        <v>382210.62804166658</v>
      </c>
      <c r="I118" s="12">
        <f>IF(Actual!F117&gt;0,F118*G118,0)</f>
        <v>41721.676208333345</v>
      </c>
      <c r="J118" s="84">
        <f t="shared" si="1"/>
        <v>423932.30424999993</v>
      </c>
      <c r="K118" s="12"/>
    </row>
    <row r="119" spans="1:11" x14ac:dyDescent="0.2">
      <c r="A119" s="1" t="s">
        <v>294</v>
      </c>
      <c r="B119" s="4">
        <v>397.2</v>
      </c>
      <c r="C119" s="1" t="s">
        <v>135</v>
      </c>
      <c r="D119" s="12">
        <v>9957.6499999999978</v>
      </c>
      <c r="E119" s="12">
        <v>9957.6499999999978</v>
      </c>
      <c r="F119" s="12"/>
      <c r="G119" s="13">
        <f>VLOOKUP(B119,Alloc!$D$1:$F$139,3,FALSE)</f>
        <v>6.6699999999999995E-2</v>
      </c>
      <c r="H119" s="12">
        <f>IF(Actual!F118&gt;0,E119*G119,0)</f>
        <v>0</v>
      </c>
      <c r="I119" s="12">
        <f>IF(Actual!F118&gt;0,F119*G119,0)</f>
        <v>0</v>
      </c>
      <c r="J119" s="84">
        <f t="shared" si="1"/>
        <v>0</v>
      </c>
      <c r="K119" s="12"/>
    </row>
    <row r="120" spans="1:11" x14ac:dyDescent="0.2">
      <c r="A120" s="1" t="s">
        <v>294</v>
      </c>
      <c r="B120" s="4">
        <v>397.3</v>
      </c>
      <c r="C120" s="1" t="s">
        <v>133</v>
      </c>
      <c r="D120" s="12">
        <v>4065488.3108333335</v>
      </c>
      <c r="E120" s="12">
        <v>3886887.9908333332</v>
      </c>
      <c r="F120" s="12">
        <v>178600.32000000004</v>
      </c>
      <c r="G120" s="13">
        <f>VLOOKUP(B120,Alloc!$D$1:$F$139,3,FALSE)</f>
        <v>6.6699999999999995E-2</v>
      </c>
      <c r="H120" s="12">
        <f>IF(Actual!F119&gt;0,E120*G120,0)</f>
        <v>259255.4289885833</v>
      </c>
      <c r="I120" s="12">
        <f>IF(Actual!F119&gt;0,F120*G120,0)</f>
        <v>11912.641344000001</v>
      </c>
      <c r="J120" s="84">
        <f t="shared" si="1"/>
        <v>271168.07033258327</v>
      </c>
      <c r="K120" s="12"/>
    </row>
    <row r="121" spans="1:11" x14ac:dyDescent="0.2">
      <c r="A121" s="1" t="s">
        <v>294</v>
      </c>
      <c r="B121" s="4">
        <v>397.4</v>
      </c>
      <c r="C121" s="1" t="s">
        <v>131</v>
      </c>
      <c r="D121" s="12">
        <v>4613771.0391666666</v>
      </c>
      <c r="E121" s="12">
        <v>4613771.0391666666</v>
      </c>
      <c r="F121" s="12"/>
      <c r="G121" s="13">
        <f>VLOOKUP(B121,Alloc!$D$1:$F$139,3,FALSE)</f>
        <v>6.6699999999999995E-2</v>
      </c>
      <c r="H121" s="12">
        <f>IF(Actual!F120&gt;0,E121*G121,0)</f>
        <v>307738.52831241663</v>
      </c>
      <c r="I121" s="12">
        <f>IF(Actual!F120&gt;0,F121*G121,0)</f>
        <v>0</v>
      </c>
      <c r="J121" s="84">
        <f t="shared" si="1"/>
        <v>307738.52831241663</v>
      </c>
      <c r="K121" s="12"/>
    </row>
    <row r="122" spans="1:11" x14ac:dyDescent="0.2">
      <c r="A122" s="1" t="s">
        <v>294</v>
      </c>
      <c r="B122" s="4">
        <v>397.5</v>
      </c>
      <c r="C122" s="1" t="s">
        <v>129</v>
      </c>
      <c r="D122" s="12">
        <v>490766.50000000006</v>
      </c>
      <c r="E122" s="12">
        <v>490766.50000000006</v>
      </c>
      <c r="F122" s="12"/>
      <c r="G122" s="13">
        <f>VLOOKUP(B122,Alloc!$D$1:$F$139,3,FALSE)</f>
        <v>0.1</v>
      </c>
      <c r="H122" s="12">
        <f>IF(Actual!F121&gt;0,E122*G122,0)</f>
        <v>49076.650000000009</v>
      </c>
      <c r="I122" s="12">
        <f>IF(Actual!F121&gt;0,F122*G122,0)</f>
        <v>0</v>
      </c>
      <c r="J122" s="84">
        <f t="shared" si="1"/>
        <v>49076.650000000009</v>
      </c>
      <c r="K122" s="12"/>
    </row>
    <row r="123" spans="1:11" x14ac:dyDescent="0.2">
      <c r="A123" s="1" t="s">
        <v>294</v>
      </c>
      <c r="B123" s="4">
        <v>398</v>
      </c>
      <c r="C123" s="1" t="s">
        <v>225</v>
      </c>
      <c r="D123" s="12">
        <v>0</v>
      </c>
      <c r="E123" s="12">
        <v>0</v>
      </c>
      <c r="F123" s="12"/>
      <c r="G123" s="13">
        <f>VLOOKUP(B123,Alloc!$D$1:$F$139,3,FALSE)</f>
        <v>0</v>
      </c>
      <c r="H123" s="12">
        <f>IF(Actual!F122&gt;0,E123*G123,0)</f>
        <v>0</v>
      </c>
      <c r="I123" s="12">
        <f>IF(Actual!F122&gt;0,F123*G123,0)</f>
        <v>0</v>
      </c>
      <c r="J123" s="84">
        <f t="shared" si="1"/>
        <v>0</v>
      </c>
      <c r="K123" s="12"/>
    </row>
    <row r="124" spans="1:11" x14ac:dyDescent="0.2">
      <c r="A124" s="1" t="s">
        <v>294</v>
      </c>
      <c r="B124" s="4">
        <v>398.1</v>
      </c>
      <c r="C124" s="76" t="s">
        <v>227</v>
      </c>
      <c r="D124" s="12">
        <v>4359.3099999999977</v>
      </c>
      <c r="E124" s="12">
        <v>4359.3099999999977</v>
      </c>
      <c r="F124" s="12"/>
      <c r="G124" s="13">
        <f>VLOOKUP(B124,Alloc!$D$1:$F$139,3,FALSE)</f>
        <v>6.6699999999999995E-2</v>
      </c>
      <c r="H124" s="12">
        <f>IF(Actual!F123&gt;0,E124*G124,0)</f>
        <v>0</v>
      </c>
      <c r="I124" s="12">
        <f>IF(Actual!F123&gt;0,F124*G124,0)</f>
        <v>0</v>
      </c>
      <c r="J124" s="84">
        <f t="shared" si="1"/>
        <v>0</v>
      </c>
      <c r="K124" s="12"/>
    </row>
    <row r="125" spans="1:11" x14ac:dyDescent="0.2">
      <c r="A125" s="1" t="s">
        <v>294</v>
      </c>
      <c r="B125" s="4">
        <v>398.2</v>
      </c>
      <c r="C125" s="76" t="s">
        <v>127</v>
      </c>
      <c r="D125" s="12">
        <v>18274.748333333337</v>
      </c>
      <c r="E125" s="12">
        <v>18274.748333333337</v>
      </c>
      <c r="F125" s="12"/>
      <c r="G125" s="13">
        <f>VLOOKUP(B125,Alloc!$D$1:$F$139,3,FALSE)</f>
        <v>6.6699999999999995E-2</v>
      </c>
      <c r="H125" s="12">
        <f>IF(Actual!F124&gt;0,E125*G125,0)</f>
        <v>1218.9257138333335</v>
      </c>
      <c r="I125" s="12">
        <f>IF(Actual!F124&gt;0,F125*G125,0)</f>
        <v>0</v>
      </c>
      <c r="J125" s="84">
        <f t="shared" si="1"/>
        <v>1218.9257138333335</v>
      </c>
      <c r="K125" s="12"/>
    </row>
    <row r="126" spans="1:11" x14ac:dyDescent="0.2">
      <c r="A126" s="1" t="s">
        <v>294</v>
      </c>
      <c r="B126" s="4">
        <v>398.3</v>
      </c>
      <c r="C126" s="76" t="s">
        <v>125</v>
      </c>
      <c r="D126" s="12">
        <v>14873</v>
      </c>
      <c r="E126" s="12">
        <v>14873</v>
      </c>
      <c r="F126" s="12"/>
      <c r="G126" s="13">
        <f>VLOOKUP(B126,Alloc!$D$1:$F$139,3,FALSE)</f>
        <v>0</v>
      </c>
      <c r="H126" s="12">
        <f>IF(Actual!F125&gt;0,E126*G126,0)</f>
        <v>0</v>
      </c>
      <c r="I126" s="12">
        <f>IF(Actual!F125&gt;0,F126*G126,0)</f>
        <v>0</v>
      </c>
      <c r="J126" s="84">
        <f t="shared" si="1"/>
        <v>0</v>
      </c>
      <c r="K126" s="12"/>
    </row>
    <row r="127" spans="1:11" x14ac:dyDescent="0.2">
      <c r="A127" s="1" t="s">
        <v>294</v>
      </c>
      <c r="B127" s="4">
        <v>398.4</v>
      </c>
      <c r="C127" s="135" t="s">
        <v>229</v>
      </c>
      <c r="D127" s="12">
        <v>10120</v>
      </c>
      <c r="E127" s="12">
        <v>5393</v>
      </c>
      <c r="F127" s="12">
        <v>4727</v>
      </c>
      <c r="G127" s="13">
        <f>VLOOKUP(B127,Alloc!$D$1:$F$139,3,FALSE)</f>
        <v>0</v>
      </c>
      <c r="H127" s="12">
        <f>IF(Actual!F126&gt;0,E127*G127,0)</f>
        <v>0</v>
      </c>
      <c r="I127" s="12">
        <f>IF(Actual!F126&gt;0,F127*G127,0)</f>
        <v>0</v>
      </c>
      <c r="J127" s="84">
        <f t="shared" si="1"/>
        <v>0</v>
      </c>
      <c r="K127" s="12"/>
    </row>
    <row r="128" spans="1:11" x14ac:dyDescent="0.2">
      <c r="A128" s="1" t="s">
        <v>294</v>
      </c>
      <c r="B128" s="4">
        <v>398.5</v>
      </c>
      <c r="C128" s="136" t="s">
        <v>231</v>
      </c>
      <c r="D128" s="12">
        <v>66739</v>
      </c>
      <c r="E128" s="12">
        <v>66739</v>
      </c>
      <c r="F128" s="12"/>
      <c r="G128" s="13">
        <f>VLOOKUP(B128,Alloc!$D$1:$F$139,3,FALSE)</f>
        <v>0</v>
      </c>
      <c r="H128" s="12">
        <f>IF(Actual!F127&gt;0,E128*G128,0)</f>
        <v>0</v>
      </c>
      <c r="I128" s="12">
        <f>IF(Actual!F127&gt;0,F128*G128,0)</f>
        <v>0</v>
      </c>
      <c r="J128" s="84">
        <f t="shared" si="1"/>
        <v>0</v>
      </c>
      <c r="K128" s="12"/>
    </row>
    <row r="129" spans="1:11" x14ac:dyDescent="0.2">
      <c r="K129" s="76"/>
    </row>
    <row r="130" spans="1:11" ht="13.5" thickBot="1" x14ac:dyDescent="0.25">
      <c r="D130" s="71">
        <f>SUM(D7:D129)</f>
        <v>3320857015.1216664</v>
      </c>
      <c r="E130" s="71">
        <f>SUM(E7:E129)</f>
        <v>3005228486.1362495</v>
      </c>
      <c r="F130" s="71">
        <f>SUM(F7:F129)</f>
        <v>315628528.98541665</v>
      </c>
      <c r="H130" s="86">
        <f>SUM(H7:H129)</f>
        <v>86412568.390895024</v>
      </c>
      <c r="I130" s="71">
        <f>SUM(I7:I129)</f>
        <v>8321098.4367924174</v>
      </c>
      <c r="J130" s="71">
        <f>SUM(J7:J129)</f>
        <v>94733666.827687472</v>
      </c>
      <c r="K130" s="83"/>
    </row>
    <row r="131" spans="1:11" ht="13.5" thickTop="1" x14ac:dyDescent="0.2">
      <c r="D131" s="83"/>
      <c r="E131" s="83"/>
      <c r="F131" s="83"/>
      <c r="H131" s="77"/>
      <c r="I131" s="83"/>
      <c r="J131" s="83"/>
      <c r="K131" s="83"/>
    </row>
    <row r="132" spans="1:11" ht="13.5" thickBot="1" x14ac:dyDescent="0.25">
      <c r="K132" s="76"/>
    </row>
    <row r="133" spans="1:11" x14ac:dyDescent="0.2">
      <c r="A133" s="72"/>
      <c r="B133" s="73"/>
      <c r="C133" s="73"/>
      <c r="D133" s="73"/>
      <c r="E133" s="73"/>
      <c r="F133" s="73"/>
      <c r="G133" s="73"/>
      <c r="H133" s="74" t="s">
        <v>281</v>
      </c>
      <c r="I133" s="74" t="s">
        <v>282</v>
      </c>
      <c r="J133" s="107" t="s">
        <v>280</v>
      </c>
    </row>
    <row r="134" spans="1:11" ht="15" x14ac:dyDescent="0.25">
      <c r="A134" s="97" t="s">
        <v>286</v>
      </c>
      <c r="B134" s="76"/>
      <c r="C134" s="76"/>
      <c r="D134" s="76"/>
      <c r="E134" s="76"/>
      <c r="F134" s="76"/>
      <c r="G134" s="76"/>
      <c r="H134" s="77">
        <f>SUMIF($A$6:$A$128,$A$134,H$6:H$128)</f>
        <v>6606598.8337558992</v>
      </c>
      <c r="I134" s="77">
        <f t="shared" ref="I134:J134" si="2">SUMIF($A$6:$A$128,$A$134,I$6:I$128)</f>
        <v>5180.9360112499999</v>
      </c>
      <c r="J134" s="78">
        <f t="shared" si="2"/>
        <v>6611779.7697671494</v>
      </c>
    </row>
    <row r="135" spans="1:11" ht="15" x14ac:dyDescent="0.25">
      <c r="A135" s="97" t="s">
        <v>285</v>
      </c>
      <c r="B135" s="76"/>
      <c r="C135" s="76"/>
      <c r="D135" s="76"/>
      <c r="E135" s="76"/>
      <c r="F135" s="76"/>
      <c r="G135" s="76"/>
      <c r="H135" s="77">
        <f>SUMIF($A$6:$A$128,$A$135,H$6:H$128)</f>
        <v>0</v>
      </c>
      <c r="I135" s="77">
        <f t="shared" ref="I135:J135" si="3">SUMIF($A$6:$A$128,$A$135,I$6:I$128)</f>
        <v>0</v>
      </c>
      <c r="J135" s="78">
        <f t="shared" si="3"/>
        <v>0</v>
      </c>
    </row>
    <row r="136" spans="1:11" ht="15" x14ac:dyDescent="0.25">
      <c r="A136" s="97" t="s">
        <v>287</v>
      </c>
      <c r="B136" s="76"/>
      <c r="C136" s="76"/>
      <c r="D136" s="76"/>
      <c r="E136" s="76"/>
      <c r="F136" s="76"/>
      <c r="G136" s="76"/>
      <c r="H136" s="77">
        <f>SUMIF($A$6:$A$128,$A$136,H$6:H$128)</f>
        <v>0</v>
      </c>
      <c r="I136" s="77">
        <f t="shared" ref="I136:J136" si="4">SUMIF($A$6:$A$128,$A$136,I$6:I$128)</f>
        <v>0</v>
      </c>
      <c r="J136" s="78">
        <f t="shared" si="4"/>
        <v>0</v>
      </c>
    </row>
    <row r="137" spans="1:11" ht="15" x14ac:dyDescent="0.25">
      <c r="A137" s="97" t="s">
        <v>290</v>
      </c>
      <c r="B137" s="76"/>
      <c r="C137" s="76"/>
      <c r="D137" s="76"/>
      <c r="E137" s="76"/>
      <c r="F137" s="76"/>
      <c r="G137" s="76"/>
      <c r="H137" s="77">
        <f>SUMIF($A$6:$A$128,$A$137,H$6:H$128)</f>
        <v>3558523.9792943331</v>
      </c>
      <c r="I137" s="77">
        <f t="shared" ref="I137:J137" si="5">SUMIF($A$6:$A$128,$A$137,I$6:I$128)</f>
        <v>20967.429181499996</v>
      </c>
      <c r="J137" s="78">
        <f t="shared" si="5"/>
        <v>3579491.408475833</v>
      </c>
    </row>
    <row r="138" spans="1:11" ht="15" x14ac:dyDescent="0.25">
      <c r="A138" s="97" t="s">
        <v>291</v>
      </c>
      <c r="B138" s="76"/>
      <c r="C138" s="76"/>
      <c r="D138" s="76"/>
      <c r="E138" s="76"/>
      <c r="F138" s="76"/>
      <c r="G138" s="76"/>
      <c r="H138" s="77">
        <f>SUMIF($A$6:$A$128,$A$138,H$6:H$128)</f>
        <v>56690230.45097696</v>
      </c>
      <c r="I138" s="77">
        <f t="shared" ref="I138:J138" si="6">SUMIF($A$6:$A$128,$A$138,I$6:I$128)</f>
        <v>8182413.7625605846</v>
      </c>
      <c r="J138" s="78">
        <f t="shared" si="6"/>
        <v>64872644.213537537</v>
      </c>
    </row>
    <row r="139" spans="1:11" ht="15" x14ac:dyDescent="0.25">
      <c r="A139" s="97" t="s">
        <v>294</v>
      </c>
      <c r="B139" s="76"/>
      <c r="C139" s="76"/>
      <c r="D139" s="76"/>
      <c r="E139" s="76"/>
      <c r="F139" s="76"/>
      <c r="G139" s="76"/>
      <c r="H139" s="77">
        <f>SUMIF($A$6:$A$128,$A$139,H$6:H$128)</f>
        <v>11075702.91826167</v>
      </c>
      <c r="I139" s="77">
        <f t="shared" ref="I139:J139" si="7">SUMIF($A$6:$A$128,$A$139,I$6:I$128)</f>
        <v>76336.547761083348</v>
      </c>
      <c r="J139" s="78">
        <f t="shared" si="7"/>
        <v>11152039.466022752</v>
      </c>
    </row>
    <row r="140" spans="1:11" ht="15" x14ac:dyDescent="0.25">
      <c r="A140" s="98" t="s">
        <v>292</v>
      </c>
      <c r="B140" s="76"/>
      <c r="C140" s="76"/>
      <c r="D140" s="76"/>
      <c r="E140" s="76"/>
      <c r="F140" s="76"/>
      <c r="G140" s="76"/>
      <c r="H140" s="77">
        <f>SUMIF($A$6:$A$128,$A$140,H$6:H$128)</f>
        <v>0</v>
      </c>
      <c r="I140" s="77">
        <f t="shared" ref="I140:J140" si="8">SUMIF($A$6:$A$128,$A$140,I$6:I$128)</f>
        <v>0</v>
      </c>
      <c r="J140" s="78">
        <f t="shared" si="8"/>
        <v>0</v>
      </c>
    </row>
    <row r="141" spans="1:11" ht="15" x14ac:dyDescent="0.25">
      <c r="A141" s="98" t="s">
        <v>293</v>
      </c>
      <c r="B141" s="76"/>
      <c r="C141" s="76"/>
      <c r="D141" s="76"/>
      <c r="E141" s="76"/>
      <c r="F141" s="76"/>
      <c r="G141" s="76"/>
      <c r="H141" s="77">
        <f>SUMIF($A$6:$A$128,$A$141,H$6:H$128)</f>
        <v>1670711.9395421252</v>
      </c>
      <c r="I141" s="77">
        <f t="shared" ref="I141:J141" si="9">SUMIF($A$6:$A$128,$A$141,I$6:I$128)</f>
        <v>36199.761278000013</v>
      </c>
      <c r="J141" s="78">
        <f t="shared" si="9"/>
        <v>1706911.7008201252</v>
      </c>
    </row>
    <row r="142" spans="1:11" ht="15" x14ac:dyDescent="0.25">
      <c r="A142" s="97" t="s">
        <v>295</v>
      </c>
      <c r="B142" s="76"/>
      <c r="C142" s="76"/>
      <c r="D142" s="76"/>
      <c r="E142" s="76"/>
      <c r="F142" s="76"/>
      <c r="G142" s="76"/>
      <c r="H142" s="77">
        <f>SUMIF($A$6:$A$128,$A$142,H$6:H$128)</f>
        <v>6730856.3272260856</v>
      </c>
      <c r="I142" s="77">
        <f t="shared" ref="I142:J142" si="10">SUMIF($A$6:$A$128,$A$142,I$6:I$128)</f>
        <v>0</v>
      </c>
      <c r="J142" s="78">
        <f t="shared" si="10"/>
        <v>6730856.3272260856</v>
      </c>
    </row>
    <row r="143" spans="1:11" ht="15" x14ac:dyDescent="0.25">
      <c r="A143" s="97" t="s">
        <v>289</v>
      </c>
      <c r="B143" s="76"/>
      <c r="C143" s="76"/>
      <c r="D143" s="76"/>
      <c r="E143" s="76"/>
      <c r="F143" s="76"/>
      <c r="G143" s="76"/>
      <c r="H143" s="77">
        <f>SUMIF($A$6:$A$128,$A$143,H$6:H$128)</f>
        <v>79943.941838000028</v>
      </c>
      <c r="I143" s="77">
        <f t="shared" ref="I143:J143" si="11">SUMIF($A$6:$A$128,$A$143,I$6:I$128)</f>
        <v>0</v>
      </c>
      <c r="J143" s="78">
        <f t="shared" si="11"/>
        <v>79943.941838000028</v>
      </c>
    </row>
    <row r="144" spans="1:11" ht="13.5" thickBot="1" x14ac:dyDescent="0.25">
      <c r="A144" s="79"/>
      <c r="B144" s="76"/>
      <c r="C144" s="76"/>
      <c r="D144" s="76"/>
      <c r="E144" s="76"/>
      <c r="F144" s="76"/>
      <c r="G144" s="76"/>
      <c r="H144" s="71">
        <f>SUM(H134:H143)</f>
        <v>86412568.390895069</v>
      </c>
      <c r="I144" s="71">
        <f t="shared" ref="I144:J144" si="12">SUM(I134:I143)</f>
        <v>8321098.4367924174</v>
      </c>
      <c r="J144" s="125">
        <f t="shared" si="12"/>
        <v>94733666.827687487</v>
      </c>
    </row>
    <row r="145" spans="1:10" ht="13.5" thickTop="1" x14ac:dyDescent="0.2">
      <c r="A145" s="79"/>
      <c r="B145" s="76"/>
      <c r="C145" s="76"/>
      <c r="D145" s="76"/>
      <c r="E145" s="76"/>
      <c r="F145" s="76"/>
      <c r="G145" s="76"/>
      <c r="H145" s="76"/>
      <c r="I145" s="76"/>
      <c r="J145" s="80"/>
    </row>
    <row r="146" spans="1:10" ht="15" x14ac:dyDescent="0.25">
      <c r="A146" s="97" t="s">
        <v>297</v>
      </c>
      <c r="B146" s="76"/>
      <c r="C146" s="76"/>
      <c r="D146" s="76"/>
      <c r="E146" s="99"/>
      <c r="F146" s="76"/>
      <c r="G146" s="76"/>
      <c r="H146" s="76"/>
      <c r="I146" s="76"/>
      <c r="J146" s="80"/>
    </row>
    <row r="147" spans="1:10" ht="15" x14ac:dyDescent="0.25">
      <c r="A147" s="97" t="s">
        <v>286</v>
      </c>
      <c r="B147" s="76"/>
      <c r="C147" s="76"/>
      <c r="D147" s="60">
        <f>[2]Summary!$D6</f>
        <v>0.11529999999999996</v>
      </c>
      <c r="E147" s="99" t="s">
        <v>298</v>
      </c>
      <c r="F147" s="76"/>
      <c r="G147" s="76"/>
      <c r="H147" s="83">
        <f>J147-I147</f>
        <v>5849441.5623129969</v>
      </c>
      <c r="I147" s="83">
        <f>J134*D147</f>
        <v>762338.20745415206</v>
      </c>
      <c r="J147" s="126">
        <f>J134</f>
        <v>6611779.7697671494</v>
      </c>
    </row>
    <row r="148" spans="1:10" ht="15" x14ac:dyDescent="0.25">
      <c r="A148" s="97" t="s">
        <v>285</v>
      </c>
      <c r="B148" s="76"/>
      <c r="C148" s="76"/>
      <c r="D148" s="60">
        <f>[2]Summary!$D7</f>
        <v>1</v>
      </c>
      <c r="E148" s="99" t="s">
        <v>299</v>
      </c>
      <c r="F148" s="76"/>
      <c r="G148" s="76"/>
      <c r="H148" s="83">
        <f t="shared" ref="H148:H156" si="13">J148-I148</f>
        <v>0</v>
      </c>
      <c r="I148" s="83">
        <f>I135</f>
        <v>0</v>
      </c>
      <c r="J148" s="126">
        <f t="shared" ref="J148:J156" si="14">J135</f>
        <v>0</v>
      </c>
    </row>
    <row r="149" spans="1:10" ht="15" x14ac:dyDescent="0.25">
      <c r="A149" s="97" t="s">
        <v>287</v>
      </c>
      <c r="B149" s="76"/>
      <c r="C149" s="76"/>
      <c r="D149" s="60">
        <f>[2]Summary!$D8</f>
        <v>1</v>
      </c>
      <c r="E149" s="99" t="s">
        <v>299</v>
      </c>
      <c r="F149" s="76"/>
      <c r="G149" s="76"/>
      <c r="H149" s="83">
        <f t="shared" si="13"/>
        <v>0</v>
      </c>
      <c r="I149" s="83">
        <f>I136</f>
        <v>0</v>
      </c>
      <c r="J149" s="126">
        <f t="shared" si="14"/>
        <v>0</v>
      </c>
    </row>
    <row r="150" spans="1:10" ht="15" x14ac:dyDescent="0.25">
      <c r="A150" s="97" t="s">
        <v>290</v>
      </c>
      <c r="B150" s="76"/>
      <c r="C150" s="76"/>
      <c r="D150" s="60">
        <f>[2]Summary!$D9</f>
        <v>1</v>
      </c>
      <c r="E150" s="99" t="s">
        <v>299</v>
      </c>
      <c r="F150" s="76"/>
      <c r="G150" s="76"/>
      <c r="H150" s="83">
        <f t="shared" si="13"/>
        <v>3558523.9792943331</v>
      </c>
      <c r="I150" s="83">
        <f>I137</f>
        <v>20967.429181499996</v>
      </c>
      <c r="J150" s="126">
        <f t="shared" si="14"/>
        <v>3579491.408475833</v>
      </c>
    </row>
    <row r="151" spans="1:10" ht="15" x14ac:dyDescent="0.25">
      <c r="A151" s="97" t="s">
        <v>291</v>
      </c>
      <c r="B151" s="76"/>
      <c r="C151" s="76"/>
      <c r="D151" s="60">
        <f>[2]Summary!$D10</f>
        <v>1</v>
      </c>
      <c r="E151" s="99" t="s">
        <v>299</v>
      </c>
      <c r="F151" s="76"/>
      <c r="G151" s="76"/>
      <c r="H151" s="83">
        <f t="shared" si="13"/>
        <v>56690230.450976953</v>
      </c>
      <c r="I151" s="83">
        <f>I138</f>
        <v>8182413.7625605846</v>
      </c>
      <c r="J151" s="126">
        <f t="shared" si="14"/>
        <v>64872644.213537537</v>
      </c>
    </row>
    <row r="152" spans="1:10" ht="15" x14ac:dyDescent="0.25">
      <c r="A152" s="97" t="s">
        <v>294</v>
      </c>
      <c r="B152" s="76"/>
      <c r="C152" s="76"/>
      <c r="D152" s="60">
        <f>[2]Summary!$D11</f>
        <v>0.10960000000000003</v>
      </c>
      <c r="E152" s="3" t="s">
        <v>300</v>
      </c>
      <c r="F152" s="76"/>
      <c r="G152" s="76"/>
      <c r="H152" s="83">
        <f t="shared" si="13"/>
        <v>9929775.9405466579</v>
      </c>
      <c r="I152" s="83">
        <f>J139*D152</f>
        <v>1222263.5254760941</v>
      </c>
      <c r="J152" s="126">
        <f t="shared" si="14"/>
        <v>11152039.466022752</v>
      </c>
    </row>
    <row r="153" spans="1:10" ht="15" x14ac:dyDescent="0.25">
      <c r="A153" s="98" t="s">
        <v>292</v>
      </c>
      <c r="B153" s="76"/>
      <c r="C153" s="76"/>
      <c r="D153" s="60">
        <f>[2]Summary!$D12</f>
        <v>0.15610907092426418</v>
      </c>
      <c r="E153" s="3" t="s">
        <v>303</v>
      </c>
      <c r="F153" s="76"/>
      <c r="G153" s="76"/>
      <c r="H153" s="83">
        <f t="shared" si="13"/>
        <v>0</v>
      </c>
      <c r="I153" s="83">
        <f>J140*D153</f>
        <v>0</v>
      </c>
      <c r="J153" s="126">
        <f t="shared" si="14"/>
        <v>0</v>
      </c>
    </row>
    <row r="154" spans="1:10" ht="15" x14ac:dyDescent="0.25">
      <c r="A154" s="98" t="s">
        <v>293</v>
      </c>
      <c r="B154" s="76"/>
      <c r="C154" s="76"/>
      <c r="D154" s="60">
        <f>[2]Summary!$D13</f>
        <v>8.1521967401518625E-2</v>
      </c>
      <c r="E154" s="3" t="s">
        <v>303</v>
      </c>
      <c r="F154" s="76"/>
      <c r="G154" s="76"/>
      <c r="H154" s="83">
        <f t="shared" si="13"/>
        <v>1567760.9007885961</v>
      </c>
      <c r="I154" s="83">
        <f>J141*D154</f>
        <v>139150.80003152895</v>
      </c>
      <c r="J154" s="126">
        <f t="shared" si="14"/>
        <v>1706911.7008201252</v>
      </c>
    </row>
    <row r="155" spans="1:10" ht="15" x14ac:dyDescent="0.25">
      <c r="A155" s="97" t="s">
        <v>295</v>
      </c>
      <c r="B155" s="76"/>
      <c r="C155" s="76"/>
      <c r="D155" s="60">
        <f>[2]Summary!$D14</f>
        <v>0.10809999999999997</v>
      </c>
      <c r="E155" s="99" t="s">
        <v>301</v>
      </c>
      <c r="F155" s="76"/>
      <c r="G155" s="76"/>
      <c r="H155" s="83">
        <f t="shared" si="13"/>
        <v>6072694.1982529461</v>
      </c>
      <c r="I155" s="83">
        <f>(J142+B159)*D155</f>
        <v>658162.12897313968</v>
      </c>
      <c r="J155" s="126">
        <f>J142</f>
        <v>6730856.3272260856</v>
      </c>
    </row>
    <row r="156" spans="1:10" ht="15" x14ac:dyDescent="0.25">
      <c r="A156" s="97" t="s">
        <v>289</v>
      </c>
      <c r="B156" s="76"/>
      <c r="C156" s="76"/>
      <c r="D156" s="60">
        <f>[2]Summary!$D15</f>
        <v>0.10960000000000003</v>
      </c>
      <c r="E156" s="3" t="s">
        <v>300</v>
      </c>
      <c r="F156" s="76"/>
      <c r="G156" s="76"/>
      <c r="H156" s="83">
        <f t="shared" si="13"/>
        <v>71182.085812555219</v>
      </c>
      <c r="I156" s="83">
        <f>J143*D156</f>
        <v>8761.8560254448057</v>
      </c>
      <c r="J156" s="126">
        <f t="shared" si="14"/>
        <v>79943.941838000028</v>
      </c>
    </row>
    <row r="157" spans="1:10" ht="15" x14ac:dyDescent="0.25">
      <c r="A157" s="97"/>
      <c r="B157" s="76"/>
      <c r="C157" s="76"/>
      <c r="D157" s="60"/>
      <c r="E157" s="3"/>
      <c r="F157" s="76"/>
      <c r="G157" s="76"/>
      <c r="H157" s="76"/>
      <c r="I157" s="76"/>
      <c r="J157" s="127"/>
    </row>
    <row r="158" spans="1:10" ht="15.75" thickBot="1" x14ac:dyDescent="0.3">
      <c r="A158" s="97"/>
      <c r="B158" s="76"/>
      <c r="C158" s="76"/>
      <c r="D158" s="60"/>
      <c r="E158" s="3"/>
      <c r="F158" s="76"/>
      <c r="G158" s="76"/>
      <c r="H158" s="86">
        <f>SUM(H147:H156)</f>
        <v>83739609.117985025</v>
      </c>
      <c r="I158" s="86">
        <f t="shared" ref="I158:J158" si="15">SUM(I147:I156)</f>
        <v>10994057.709702445</v>
      </c>
      <c r="J158" s="128">
        <f t="shared" si="15"/>
        <v>94733666.827687487</v>
      </c>
    </row>
    <row r="159" spans="1:10" ht="16.5" thickTop="1" thickBot="1" x14ac:dyDescent="0.25">
      <c r="A159" s="101" t="s">
        <v>305</v>
      </c>
      <c r="B159" s="88">
        <f>'[3]2021 WA GRC'!$D$15</f>
        <v>-642400.00000000012</v>
      </c>
      <c r="C159" s="89"/>
      <c r="D159" s="89"/>
      <c r="E159" s="90"/>
      <c r="F159" s="89"/>
      <c r="G159" s="89"/>
      <c r="H159" s="91">
        <f>H158/J158</f>
        <v>0.88394772336111804</v>
      </c>
      <c r="I159" s="92">
        <f>I158/J158</f>
        <v>0.11605227663888176</v>
      </c>
      <c r="J159" s="129">
        <f>SUM(H159:I159)</f>
        <v>0.99999999999999978</v>
      </c>
    </row>
  </sheetData>
  <autoFilter ref="A6:G128" xr:uid="{446C7259-2273-47F6-B92D-77B5A99AC6FA}"/>
  <pageMargins left="0.7" right="0.7" top="0.75" bottom="0.75" header="0.3" footer="0.3"/>
  <pageSetup orientation="portrait" horizontalDpi="0" verticalDpi="0" r:id="rId1"/>
  <headerFooter>
    <oddHeader>&amp;RExh. KTW-5 Walker WP7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7"/>
  <sheetViews>
    <sheetView showGridLines="0" zoomScale="85" zoomScaleNormal="85" workbookViewId="0">
      <selection activeCell="E18" sqref="E18"/>
    </sheetView>
  </sheetViews>
  <sheetFormatPr defaultColWidth="11.42578125" defaultRowHeight="12.75" x14ac:dyDescent="0.2"/>
  <cols>
    <col min="1" max="1" width="8.28515625" style="1" bestFit="1" customWidth="1"/>
    <col min="2" max="2" width="8.42578125" style="1" bestFit="1" customWidth="1"/>
    <col min="3" max="3" width="6.5703125" style="1" bestFit="1" customWidth="1"/>
    <col min="4" max="4" width="41.28515625" style="1" bestFit="1" customWidth="1"/>
    <col min="5" max="5" width="16.42578125" style="1" bestFit="1" customWidth="1"/>
    <col min="6" max="6" width="15" style="1" bestFit="1" customWidth="1"/>
    <col min="7" max="7" width="14.42578125" style="1" bestFit="1" customWidth="1"/>
    <col min="8" max="8" width="13.42578125" style="1" bestFit="1" customWidth="1"/>
    <col min="9" max="10" width="11.28515625" style="1" bestFit="1" customWidth="1"/>
    <col min="11" max="11" width="16.42578125" style="1" bestFit="1" customWidth="1"/>
    <col min="12" max="16384" width="11.42578125" style="1"/>
  </cols>
  <sheetData>
    <row r="1" spans="1:12" x14ac:dyDescent="0.2">
      <c r="E1" s="64" t="s">
        <v>277</v>
      </c>
      <c r="K1" s="64" t="s">
        <v>278</v>
      </c>
    </row>
    <row r="2" spans="1:12" x14ac:dyDescent="0.2">
      <c r="A2" s="138" t="s">
        <v>0</v>
      </c>
      <c r="B2" s="138" t="s">
        <v>1</v>
      </c>
      <c r="C2" s="138" t="s">
        <v>2</v>
      </c>
      <c r="D2" s="138" t="s">
        <v>3</v>
      </c>
      <c r="E2" s="138" t="s">
        <v>4</v>
      </c>
      <c r="F2" s="139" t="s">
        <v>5</v>
      </c>
      <c r="G2" s="139" t="s">
        <v>6</v>
      </c>
      <c r="H2" s="139" t="s">
        <v>7</v>
      </c>
      <c r="I2" s="139" t="s">
        <v>8</v>
      </c>
      <c r="J2" s="139" t="s">
        <v>9</v>
      </c>
      <c r="K2" s="138" t="s">
        <v>10</v>
      </c>
    </row>
    <row r="3" spans="1:12" x14ac:dyDescent="0.2">
      <c r="A3" s="94" t="s">
        <v>11</v>
      </c>
      <c r="B3" s="94" t="s">
        <v>12</v>
      </c>
      <c r="C3" s="94" t="s">
        <v>157</v>
      </c>
      <c r="D3" s="94" t="s">
        <v>158</v>
      </c>
      <c r="E3" s="95">
        <v>0</v>
      </c>
      <c r="F3" s="95">
        <v>0</v>
      </c>
      <c r="G3" s="95">
        <v>0</v>
      </c>
      <c r="H3" s="95">
        <v>0</v>
      </c>
      <c r="I3" s="95">
        <v>0</v>
      </c>
      <c r="J3" s="95">
        <v>0</v>
      </c>
      <c r="K3" s="95">
        <f t="shared" ref="K3:K34" si="0">SUM(E3:J3)</f>
        <v>0</v>
      </c>
    </row>
    <row r="4" spans="1:12" x14ac:dyDescent="0.2">
      <c r="A4" s="94" t="s">
        <v>11</v>
      </c>
      <c r="B4" s="94" t="s">
        <v>12</v>
      </c>
      <c r="C4" s="94" t="s">
        <v>159</v>
      </c>
      <c r="D4" s="94" t="s">
        <v>160</v>
      </c>
      <c r="E4" s="95">
        <v>0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95">
        <f t="shared" si="0"/>
        <v>0</v>
      </c>
    </row>
    <row r="5" spans="1:12" x14ac:dyDescent="0.2">
      <c r="A5" s="94" t="s">
        <v>11</v>
      </c>
      <c r="B5" s="94" t="s">
        <v>12</v>
      </c>
      <c r="C5" s="94" t="s">
        <v>15</v>
      </c>
      <c r="D5" s="94" t="s">
        <v>16</v>
      </c>
      <c r="E5" s="95">
        <v>33639462.910000004</v>
      </c>
      <c r="F5" s="95">
        <v>6424915.4299999997</v>
      </c>
      <c r="G5" s="95">
        <v>0</v>
      </c>
      <c r="H5" s="95">
        <v>0</v>
      </c>
      <c r="I5" s="95">
        <v>0</v>
      </c>
      <c r="J5" s="95">
        <v>0</v>
      </c>
      <c r="K5" s="95">
        <f t="shared" si="0"/>
        <v>40064378.340000004</v>
      </c>
    </row>
    <row r="6" spans="1:12" x14ac:dyDescent="0.2">
      <c r="A6" s="94" t="s">
        <v>11</v>
      </c>
      <c r="B6" s="94" t="s">
        <v>12</v>
      </c>
      <c r="C6" s="94" t="s">
        <v>161</v>
      </c>
      <c r="D6" s="94" t="s">
        <v>147</v>
      </c>
      <c r="E6" s="95">
        <v>32348167.73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f t="shared" si="0"/>
        <v>32348167.73</v>
      </c>
    </row>
    <row r="7" spans="1:12" x14ac:dyDescent="0.2">
      <c r="A7" s="94" t="s">
        <v>11</v>
      </c>
      <c r="B7" s="94" t="s">
        <v>12</v>
      </c>
      <c r="C7" s="94" t="s">
        <v>162</v>
      </c>
      <c r="D7" s="94" t="s">
        <v>163</v>
      </c>
      <c r="E7" s="95">
        <v>4146951</v>
      </c>
      <c r="F7" s="95">
        <v>0</v>
      </c>
      <c r="G7" s="95">
        <v>0</v>
      </c>
      <c r="H7" s="95">
        <v>0</v>
      </c>
      <c r="I7" s="95">
        <v>0</v>
      </c>
      <c r="J7" s="95">
        <v>0</v>
      </c>
      <c r="K7" s="95">
        <f t="shared" si="0"/>
        <v>4146951</v>
      </c>
    </row>
    <row r="8" spans="1:12" x14ac:dyDescent="0.2">
      <c r="A8" s="94" t="s">
        <v>11</v>
      </c>
      <c r="B8" s="94" t="s">
        <v>12</v>
      </c>
      <c r="C8" s="94" t="s">
        <v>13</v>
      </c>
      <c r="D8" s="94" t="s">
        <v>14</v>
      </c>
      <c r="E8" s="95">
        <v>682892.52</v>
      </c>
      <c r="F8" s="95">
        <v>0</v>
      </c>
      <c r="G8" s="95">
        <v>-682892.55</v>
      </c>
      <c r="H8" s="95">
        <v>0</v>
      </c>
      <c r="I8" s="95">
        <v>0</v>
      </c>
      <c r="J8" s="95">
        <v>0</v>
      </c>
      <c r="K8" s="95">
        <f t="shared" si="0"/>
        <v>-3.0000000027939677E-2</v>
      </c>
    </row>
    <row r="9" spans="1:12" x14ac:dyDescent="0.2">
      <c r="A9" s="94" t="s">
        <v>11</v>
      </c>
      <c r="B9" s="94" t="s">
        <v>12</v>
      </c>
      <c r="C9" s="94" t="s">
        <v>164</v>
      </c>
      <c r="D9" s="94" t="s">
        <v>165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0</v>
      </c>
      <c r="K9" s="95">
        <f t="shared" si="0"/>
        <v>0</v>
      </c>
    </row>
    <row r="10" spans="1:12" x14ac:dyDescent="0.2">
      <c r="A10" s="94" t="s">
        <v>11</v>
      </c>
      <c r="B10" s="94" t="s">
        <v>12</v>
      </c>
      <c r="C10" s="94" t="s">
        <v>247</v>
      </c>
      <c r="D10" s="94" t="s">
        <v>248</v>
      </c>
      <c r="E10" s="95">
        <v>33422.75</v>
      </c>
      <c r="F10" s="95">
        <v>90370.76</v>
      </c>
      <c r="G10" s="95">
        <v>0</v>
      </c>
      <c r="H10" s="95">
        <v>0</v>
      </c>
      <c r="I10" s="95">
        <v>0</v>
      </c>
      <c r="J10" s="95">
        <v>0</v>
      </c>
      <c r="K10" s="95">
        <f t="shared" si="0"/>
        <v>123793.51</v>
      </c>
      <c r="L10" s="1" t="s">
        <v>313</v>
      </c>
    </row>
    <row r="11" spans="1:12" x14ac:dyDescent="0.2">
      <c r="A11" s="94" t="s">
        <v>11</v>
      </c>
      <c r="B11" s="94" t="s">
        <v>12</v>
      </c>
      <c r="C11" s="94" t="s">
        <v>275</v>
      </c>
      <c r="D11" s="94" t="s">
        <v>276</v>
      </c>
      <c r="E11" s="95">
        <v>0</v>
      </c>
      <c r="F11" s="95">
        <v>218835.53</v>
      </c>
      <c r="G11" s="95">
        <v>0</v>
      </c>
      <c r="H11" s="95">
        <v>0</v>
      </c>
      <c r="I11" s="95">
        <v>0</v>
      </c>
      <c r="J11" s="95">
        <v>0</v>
      </c>
      <c r="K11" s="95">
        <f t="shared" si="0"/>
        <v>218835.53</v>
      </c>
    </row>
    <row r="12" spans="1:12" x14ac:dyDescent="0.2">
      <c r="A12" s="94" t="s">
        <v>11</v>
      </c>
      <c r="B12" s="94" t="s">
        <v>166</v>
      </c>
      <c r="C12" s="94" t="s">
        <v>167</v>
      </c>
      <c r="D12" s="94" t="s">
        <v>168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f t="shared" si="0"/>
        <v>0</v>
      </c>
    </row>
    <row r="13" spans="1:12" x14ac:dyDescent="0.2">
      <c r="A13" s="94" t="s">
        <v>11</v>
      </c>
      <c r="B13" s="94" t="s">
        <v>166</v>
      </c>
      <c r="C13" s="94" t="s">
        <v>173</v>
      </c>
      <c r="D13" s="94" t="s">
        <v>174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f t="shared" si="0"/>
        <v>0</v>
      </c>
    </row>
    <row r="14" spans="1:12" x14ac:dyDescent="0.2">
      <c r="A14" s="94" t="s">
        <v>11</v>
      </c>
      <c r="B14" s="94" t="s">
        <v>166</v>
      </c>
      <c r="C14" s="94" t="s">
        <v>175</v>
      </c>
      <c r="D14" s="94" t="s">
        <v>176</v>
      </c>
      <c r="E14" s="95">
        <v>13813.8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f t="shared" si="0"/>
        <v>13813.8</v>
      </c>
    </row>
    <row r="15" spans="1:12" x14ac:dyDescent="0.2">
      <c r="A15" s="94" t="s">
        <v>11</v>
      </c>
      <c r="B15" s="94" t="s">
        <v>166</v>
      </c>
      <c r="C15" s="94" t="s">
        <v>183</v>
      </c>
      <c r="D15" s="94" t="s">
        <v>184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0</v>
      </c>
      <c r="K15" s="95">
        <f t="shared" si="0"/>
        <v>0</v>
      </c>
    </row>
    <row r="16" spans="1:12" x14ac:dyDescent="0.2">
      <c r="A16" s="94" t="s">
        <v>11</v>
      </c>
      <c r="B16" s="94" t="s">
        <v>166</v>
      </c>
      <c r="C16" s="94" t="s">
        <v>185</v>
      </c>
      <c r="D16" s="94" t="s">
        <v>186</v>
      </c>
      <c r="E16" s="95">
        <v>152140.79999999999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f t="shared" si="0"/>
        <v>152140.79999999999</v>
      </c>
    </row>
    <row r="17" spans="1:11" x14ac:dyDescent="0.2">
      <c r="A17" s="94" t="s">
        <v>11</v>
      </c>
      <c r="B17" s="94" t="s">
        <v>166</v>
      </c>
      <c r="C17" s="94" t="s">
        <v>187</v>
      </c>
      <c r="D17" s="94" t="s">
        <v>188</v>
      </c>
      <c r="E17" s="95">
        <v>255728.55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f t="shared" si="0"/>
        <v>255728.55</v>
      </c>
    </row>
    <row r="18" spans="1:11" x14ac:dyDescent="0.2">
      <c r="A18" s="94" t="s">
        <v>11</v>
      </c>
      <c r="B18" s="94" t="s">
        <v>166</v>
      </c>
      <c r="C18" s="94" t="s">
        <v>191</v>
      </c>
      <c r="D18" s="94" t="s">
        <v>192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f t="shared" si="0"/>
        <v>0</v>
      </c>
    </row>
    <row r="19" spans="1:11" x14ac:dyDescent="0.2">
      <c r="A19" s="94" t="s">
        <v>11</v>
      </c>
      <c r="B19" s="94" t="s">
        <v>166</v>
      </c>
      <c r="C19" s="94" t="s">
        <v>193</v>
      </c>
      <c r="D19" s="94" t="s">
        <v>194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f t="shared" si="0"/>
        <v>0</v>
      </c>
    </row>
    <row r="20" spans="1:11" x14ac:dyDescent="0.2">
      <c r="A20" s="94" t="s">
        <v>11</v>
      </c>
      <c r="B20" s="94" t="s">
        <v>166</v>
      </c>
      <c r="C20" s="94" t="s">
        <v>195</v>
      </c>
      <c r="D20" s="94" t="s">
        <v>192</v>
      </c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f t="shared" si="0"/>
        <v>0</v>
      </c>
    </row>
    <row r="21" spans="1:11" x14ac:dyDescent="0.2">
      <c r="A21" s="94" t="s">
        <v>11</v>
      </c>
      <c r="B21" s="94" t="s">
        <v>166</v>
      </c>
      <c r="C21" s="94" t="s">
        <v>196</v>
      </c>
      <c r="D21" s="94" t="s">
        <v>194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f t="shared" si="0"/>
        <v>0</v>
      </c>
    </row>
    <row r="22" spans="1:11" x14ac:dyDescent="0.2">
      <c r="A22" s="94" t="s">
        <v>11</v>
      </c>
      <c r="B22" s="94" t="s">
        <v>166</v>
      </c>
      <c r="C22" s="94" t="s">
        <v>197</v>
      </c>
      <c r="D22" s="94" t="s">
        <v>194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f t="shared" si="0"/>
        <v>0</v>
      </c>
    </row>
    <row r="23" spans="1:11" x14ac:dyDescent="0.2">
      <c r="A23" s="94" t="s">
        <v>11</v>
      </c>
      <c r="B23" s="94" t="s">
        <v>166</v>
      </c>
      <c r="C23" s="94" t="s">
        <v>198</v>
      </c>
      <c r="D23" s="94" t="s">
        <v>194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f t="shared" si="0"/>
        <v>0</v>
      </c>
    </row>
    <row r="24" spans="1:11" x14ac:dyDescent="0.2">
      <c r="A24" s="94" t="s">
        <v>11</v>
      </c>
      <c r="B24" s="94" t="s">
        <v>166</v>
      </c>
      <c r="C24" s="94" t="s">
        <v>199</v>
      </c>
      <c r="D24" s="94" t="s">
        <v>194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f t="shared" si="0"/>
        <v>0</v>
      </c>
    </row>
    <row r="25" spans="1:11" x14ac:dyDescent="0.2">
      <c r="A25" s="94" t="s">
        <v>11</v>
      </c>
      <c r="B25" s="94" t="s">
        <v>17</v>
      </c>
      <c r="C25" s="94" t="s">
        <v>169</v>
      </c>
      <c r="D25" s="94" t="s">
        <v>170</v>
      </c>
      <c r="E25" s="95">
        <v>8736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f t="shared" si="0"/>
        <v>8736</v>
      </c>
    </row>
    <row r="26" spans="1:11" x14ac:dyDescent="0.2">
      <c r="A26" s="94" t="s">
        <v>11</v>
      </c>
      <c r="B26" s="94" t="s">
        <v>17</v>
      </c>
      <c r="C26" s="94" t="s">
        <v>171</v>
      </c>
      <c r="D26" s="94" t="s">
        <v>172</v>
      </c>
      <c r="E26" s="95">
        <v>51245.7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f t="shared" si="0"/>
        <v>51245.7</v>
      </c>
    </row>
    <row r="27" spans="1:11" x14ac:dyDescent="0.2">
      <c r="A27" s="94" t="s">
        <v>11</v>
      </c>
      <c r="B27" s="94" t="s">
        <v>17</v>
      </c>
      <c r="C27" s="94" t="s">
        <v>18</v>
      </c>
      <c r="D27" s="94" t="s">
        <v>19</v>
      </c>
      <c r="E27" s="95">
        <v>-7.0000000000000007E-2</v>
      </c>
      <c r="F27" s="95">
        <v>-0.01</v>
      </c>
      <c r="G27" s="95">
        <v>0</v>
      </c>
      <c r="H27" s="95">
        <v>0</v>
      </c>
      <c r="I27" s="95">
        <v>0</v>
      </c>
      <c r="J27" s="95">
        <v>0</v>
      </c>
      <c r="K27" s="95">
        <f t="shared" si="0"/>
        <v>-0.08</v>
      </c>
    </row>
    <row r="28" spans="1:11" x14ac:dyDescent="0.2">
      <c r="A28" s="94" t="s">
        <v>11</v>
      </c>
      <c r="B28" s="94" t="s">
        <v>17</v>
      </c>
      <c r="C28" s="94" t="s">
        <v>177</v>
      </c>
      <c r="D28" s="94" t="s">
        <v>178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f t="shared" si="0"/>
        <v>0</v>
      </c>
    </row>
    <row r="29" spans="1:11" x14ac:dyDescent="0.2">
      <c r="A29" s="94" t="s">
        <v>11</v>
      </c>
      <c r="B29" s="94" t="s">
        <v>17</v>
      </c>
      <c r="C29" s="94" t="s">
        <v>179</v>
      </c>
      <c r="D29" s="94" t="s">
        <v>180</v>
      </c>
      <c r="E29" s="95">
        <v>8066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f t="shared" si="0"/>
        <v>8066</v>
      </c>
    </row>
    <row r="30" spans="1:11" x14ac:dyDescent="0.2">
      <c r="A30" s="94" t="s">
        <v>11</v>
      </c>
      <c r="B30" s="94" t="s">
        <v>17</v>
      </c>
      <c r="C30" s="94" t="s">
        <v>181</v>
      </c>
      <c r="D30" s="94" t="s">
        <v>182</v>
      </c>
      <c r="E30" s="95">
        <v>6584.5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f t="shared" si="0"/>
        <v>6584.5</v>
      </c>
    </row>
    <row r="31" spans="1:11" x14ac:dyDescent="0.2">
      <c r="A31" s="94" t="s">
        <v>11</v>
      </c>
      <c r="B31" s="94" t="s">
        <v>17</v>
      </c>
      <c r="C31" s="94" t="s">
        <v>189</v>
      </c>
      <c r="D31" s="94" t="s">
        <v>190</v>
      </c>
      <c r="E31" s="95">
        <v>194720.4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f t="shared" si="0"/>
        <v>194720.4</v>
      </c>
    </row>
    <row r="32" spans="1:11" x14ac:dyDescent="0.2">
      <c r="A32" s="94" t="s">
        <v>11</v>
      </c>
      <c r="B32" s="94" t="s">
        <v>20</v>
      </c>
      <c r="C32" s="94" t="s">
        <v>200</v>
      </c>
      <c r="D32" s="94" t="s">
        <v>168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f t="shared" si="0"/>
        <v>0</v>
      </c>
    </row>
    <row r="33" spans="1:12" x14ac:dyDescent="0.2">
      <c r="A33" s="94" t="s">
        <v>11</v>
      </c>
      <c r="B33" s="94" t="s">
        <v>20</v>
      </c>
      <c r="C33" s="94" t="s">
        <v>41</v>
      </c>
      <c r="D33" s="94" t="s">
        <v>42</v>
      </c>
      <c r="E33" s="95">
        <v>31611.91</v>
      </c>
      <c r="F33" s="95">
        <v>1567.64</v>
      </c>
      <c r="G33" s="95">
        <v>0</v>
      </c>
      <c r="H33" s="95">
        <v>0</v>
      </c>
      <c r="I33" s="95">
        <v>0</v>
      </c>
      <c r="J33" s="95">
        <v>0</v>
      </c>
      <c r="K33" s="95">
        <f t="shared" si="0"/>
        <v>33179.550000000003</v>
      </c>
    </row>
    <row r="34" spans="1:12" x14ac:dyDescent="0.2">
      <c r="A34" s="94" t="s">
        <v>11</v>
      </c>
      <c r="B34" s="94" t="s">
        <v>20</v>
      </c>
      <c r="C34" s="94" t="s">
        <v>249</v>
      </c>
      <c r="D34" s="94" t="s">
        <v>250</v>
      </c>
      <c r="E34" s="95">
        <v>3270.67</v>
      </c>
      <c r="F34" s="95">
        <v>8717.2199999999993</v>
      </c>
      <c r="G34" s="95">
        <v>0</v>
      </c>
      <c r="H34" s="95">
        <v>0</v>
      </c>
      <c r="I34" s="95">
        <v>0</v>
      </c>
      <c r="J34" s="95">
        <v>0</v>
      </c>
      <c r="K34" s="95">
        <f t="shared" si="0"/>
        <v>11987.89</v>
      </c>
      <c r="L34" s="1" t="s">
        <v>313</v>
      </c>
    </row>
    <row r="35" spans="1:12" x14ac:dyDescent="0.2">
      <c r="A35" s="94" t="s">
        <v>11</v>
      </c>
      <c r="B35" s="94" t="s">
        <v>20</v>
      </c>
      <c r="C35" s="94" t="s">
        <v>39</v>
      </c>
      <c r="D35" s="94" t="s">
        <v>40</v>
      </c>
      <c r="E35" s="95">
        <v>3021424</v>
      </c>
      <c r="F35" s="95">
        <v>129505.22</v>
      </c>
      <c r="G35" s="95">
        <v>0</v>
      </c>
      <c r="H35" s="95">
        <v>0</v>
      </c>
      <c r="I35" s="95">
        <v>0</v>
      </c>
      <c r="J35" s="95">
        <v>0</v>
      </c>
      <c r="K35" s="95">
        <f t="shared" ref="K35:K66" si="1">SUM(E35:J35)</f>
        <v>3150929.22</v>
      </c>
    </row>
    <row r="36" spans="1:12" x14ac:dyDescent="0.2">
      <c r="A36" s="94" t="s">
        <v>11</v>
      </c>
      <c r="B36" s="94" t="s">
        <v>20</v>
      </c>
      <c r="C36" s="94" t="s">
        <v>251</v>
      </c>
      <c r="D36" s="94" t="s">
        <v>252</v>
      </c>
      <c r="E36" s="95">
        <v>43308.67</v>
      </c>
      <c r="F36" s="95">
        <v>116631</v>
      </c>
      <c r="G36" s="95">
        <v>0</v>
      </c>
      <c r="H36" s="95">
        <v>0</v>
      </c>
      <c r="I36" s="95">
        <v>0</v>
      </c>
      <c r="J36" s="95">
        <v>0</v>
      </c>
      <c r="K36" s="95">
        <f t="shared" si="1"/>
        <v>159939.66999999998</v>
      </c>
      <c r="L36" s="1" t="s">
        <v>313</v>
      </c>
    </row>
    <row r="37" spans="1:12" x14ac:dyDescent="0.2">
      <c r="A37" s="94" t="s">
        <v>11</v>
      </c>
      <c r="B37" s="94" t="s">
        <v>20</v>
      </c>
      <c r="C37" s="94" t="s">
        <v>37</v>
      </c>
      <c r="D37" s="94" t="s">
        <v>38</v>
      </c>
      <c r="E37" s="95">
        <v>12518324.109999999</v>
      </c>
      <c r="F37" s="95">
        <v>381969.69</v>
      </c>
      <c r="G37" s="95">
        <v>0</v>
      </c>
      <c r="H37" s="95">
        <v>0</v>
      </c>
      <c r="I37" s="95">
        <v>0</v>
      </c>
      <c r="J37" s="95">
        <v>0</v>
      </c>
      <c r="K37" s="95">
        <f t="shared" si="1"/>
        <v>12900293.799999999</v>
      </c>
    </row>
    <row r="38" spans="1:12" x14ac:dyDescent="0.2">
      <c r="A38" s="94" t="s">
        <v>11</v>
      </c>
      <c r="B38" s="94" t="s">
        <v>20</v>
      </c>
      <c r="C38" s="94" t="s">
        <v>35</v>
      </c>
      <c r="D38" s="94" t="s">
        <v>36</v>
      </c>
      <c r="E38" s="95">
        <v>1794709.06</v>
      </c>
      <c r="F38" s="95">
        <v>65772.81</v>
      </c>
      <c r="G38" s="95">
        <v>0</v>
      </c>
      <c r="H38" s="95">
        <v>0</v>
      </c>
      <c r="I38" s="95">
        <v>0</v>
      </c>
      <c r="J38" s="95">
        <v>0</v>
      </c>
      <c r="K38" s="95">
        <f t="shared" si="1"/>
        <v>1860481.87</v>
      </c>
    </row>
    <row r="39" spans="1:12" x14ac:dyDescent="0.2">
      <c r="A39" s="94" t="s">
        <v>11</v>
      </c>
      <c r="B39" s="94" t="s">
        <v>20</v>
      </c>
      <c r="C39" s="94" t="s">
        <v>33</v>
      </c>
      <c r="D39" s="94" t="s">
        <v>34</v>
      </c>
      <c r="E39" s="95">
        <v>2768100.79</v>
      </c>
      <c r="F39" s="95">
        <v>125815.18</v>
      </c>
      <c r="G39" s="95">
        <v>0</v>
      </c>
      <c r="H39" s="95">
        <v>0</v>
      </c>
      <c r="I39" s="95">
        <v>0</v>
      </c>
      <c r="J39" s="95">
        <v>0</v>
      </c>
      <c r="K39" s="95">
        <f t="shared" si="1"/>
        <v>2893915.97</v>
      </c>
    </row>
    <row r="40" spans="1:12" x14ac:dyDescent="0.2">
      <c r="A40" s="94" t="s">
        <v>11</v>
      </c>
      <c r="B40" s="94" t="s">
        <v>20</v>
      </c>
      <c r="C40" s="94" t="s">
        <v>31</v>
      </c>
      <c r="D40" s="94" t="s">
        <v>32</v>
      </c>
      <c r="E40" s="95">
        <v>3634486.94</v>
      </c>
      <c r="F40" s="95">
        <v>101121.98</v>
      </c>
      <c r="G40" s="95">
        <v>0</v>
      </c>
      <c r="H40" s="95">
        <v>0</v>
      </c>
      <c r="I40" s="95">
        <v>0</v>
      </c>
      <c r="J40" s="95">
        <v>0</v>
      </c>
      <c r="K40" s="95">
        <f t="shared" si="1"/>
        <v>3735608.92</v>
      </c>
    </row>
    <row r="41" spans="1:12" x14ac:dyDescent="0.2">
      <c r="A41" s="94" t="s">
        <v>11</v>
      </c>
      <c r="B41" s="94" t="s">
        <v>20</v>
      </c>
      <c r="C41" s="94" t="s">
        <v>253</v>
      </c>
      <c r="D41" s="94" t="s">
        <v>254</v>
      </c>
      <c r="E41" s="95">
        <v>119716.95</v>
      </c>
      <c r="F41" s="95">
        <v>333735.78999999998</v>
      </c>
      <c r="G41" s="95">
        <v>0</v>
      </c>
      <c r="H41" s="95">
        <v>0</v>
      </c>
      <c r="I41" s="95">
        <v>0</v>
      </c>
      <c r="J41" s="95">
        <v>0</v>
      </c>
      <c r="K41" s="95">
        <f t="shared" si="1"/>
        <v>453452.74</v>
      </c>
      <c r="L41" s="1" t="s">
        <v>313</v>
      </c>
    </row>
    <row r="42" spans="1:12" x14ac:dyDescent="0.2">
      <c r="A42" s="94" t="s">
        <v>11</v>
      </c>
      <c r="B42" s="94" t="s">
        <v>20</v>
      </c>
      <c r="C42" s="94" t="s">
        <v>255</v>
      </c>
      <c r="D42" s="94" t="s">
        <v>256</v>
      </c>
      <c r="E42" s="95">
        <v>19126.560000000001</v>
      </c>
      <c r="F42" s="95">
        <v>51133.63</v>
      </c>
      <c r="G42" s="95">
        <v>0</v>
      </c>
      <c r="H42" s="95">
        <v>0</v>
      </c>
      <c r="I42" s="95">
        <v>0</v>
      </c>
      <c r="J42" s="95">
        <v>0</v>
      </c>
      <c r="K42" s="95">
        <f t="shared" si="1"/>
        <v>70260.19</v>
      </c>
      <c r="L42" s="1" t="s">
        <v>313</v>
      </c>
    </row>
    <row r="43" spans="1:12" x14ac:dyDescent="0.2">
      <c r="A43" s="94" t="s">
        <v>11</v>
      </c>
      <c r="B43" s="94" t="s">
        <v>20</v>
      </c>
      <c r="C43" s="94" t="s">
        <v>257</v>
      </c>
      <c r="D43" s="94" t="s">
        <v>258</v>
      </c>
      <c r="E43" s="95">
        <v>19715.07</v>
      </c>
      <c r="F43" s="95">
        <v>52706.96</v>
      </c>
      <c r="G43" s="95">
        <v>0</v>
      </c>
      <c r="H43" s="95">
        <v>0</v>
      </c>
      <c r="I43" s="95">
        <v>0</v>
      </c>
      <c r="J43" s="95">
        <v>0</v>
      </c>
      <c r="K43" s="95">
        <f t="shared" si="1"/>
        <v>72422.03</v>
      </c>
      <c r="L43" s="1" t="s">
        <v>313</v>
      </c>
    </row>
    <row r="44" spans="1:12" x14ac:dyDescent="0.2">
      <c r="A44" s="94" t="s">
        <v>11</v>
      </c>
      <c r="B44" s="94" t="s">
        <v>20</v>
      </c>
      <c r="C44" s="94" t="s">
        <v>259</v>
      </c>
      <c r="D44" s="94" t="s">
        <v>260</v>
      </c>
      <c r="E44" s="95">
        <v>18982.46</v>
      </c>
      <c r="F44" s="95">
        <v>50749.7</v>
      </c>
      <c r="G44" s="95">
        <v>0</v>
      </c>
      <c r="H44" s="95">
        <v>0</v>
      </c>
      <c r="I44" s="95">
        <v>0</v>
      </c>
      <c r="J44" s="95">
        <v>0</v>
      </c>
      <c r="K44" s="95">
        <f t="shared" si="1"/>
        <v>69732.160000000003</v>
      </c>
      <c r="L44" s="1" t="s">
        <v>313</v>
      </c>
    </row>
    <row r="45" spans="1:12" x14ac:dyDescent="0.2">
      <c r="A45" s="94" t="s">
        <v>11</v>
      </c>
      <c r="B45" s="94" t="s">
        <v>20</v>
      </c>
      <c r="C45" s="94" t="s">
        <v>29</v>
      </c>
      <c r="D45" s="94" t="s">
        <v>30</v>
      </c>
      <c r="E45" s="95">
        <v>3427036.5100000002</v>
      </c>
      <c r="F45" s="95">
        <v>165934.93</v>
      </c>
      <c r="G45" s="95">
        <v>0</v>
      </c>
      <c r="H45" s="95">
        <v>0</v>
      </c>
      <c r="I45" s="95">
        <v>0</v>
      </c>
      <c r="J45" s="95">
        <v>0</v>
      </c>
      <c r="K45" s="95">
        <f t="shared" si="1"/>
        <v>3592971.4400000004</v>
      </c>
    </row>
    <row r="46" spans="1:12" x14ac:dyDescent="0.2">
      <c r="A46" s="94" t="s">
        <v>11</v>
      </c>
      <c r="B46" s="94" t="s">
        <v>20</v>
      </c>
      <c r="C46" s="94" t="s">
        <v>261</v>
      </c>
      <c r="D46" s="94" t="s">
        <v>262</v>
      </c>
      <c r="E46" s="95">
        <v>2487.9</v>
      </c>
      <c r="F46" s="95">
        <v>6973.01</v>
      </c>
      <c r="G46" s="95">
        <v>0</v>
      </c>
      <c r="H46" s="95">
        <v>0</v>
      </c>
      <c r="I46" s="95">
        <v>0</v>
      </c>
      <c r="J46" s="95">
        <v>0</v>
      </c>
      <c r="K46" s="95">
        <f t="shared" si="1"/>
        <v>9460.91</v>
      </c>
      <c r="L46" s="1" t="s">
        <v>313</v>
      </c>
    </row>
    <row r="47" spans="1:12" x14ac:dyDescent="0.2">
      <c r="A47" s="94" t="s">
        <v>11</v>
      </c>
      <c r="B47" s="94" t="s">
        <v>20</v>
      </c>
      <c r="C47" s="94" t="s">
        <v>27</v>
      </c>
      <c r="D47" s="94" t="s">
        <v>28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f t="shared" si="1"/>
        <v>0</v>
      </c>
    </row>
    <row r="48" spans="1:12" x14ac:dyDescent="0.2">
      <c r="A48" s="94" t="s">
        <v>11</v>
      </c>
      <c r="B48" s="94" t="s">
        <v>20</v>
      </c>
      <c r="C48" s="94" t="s">
        <v>234</v>
      </c>
      <c r="D48" s="94" t="s">
        <v>235</v>
      </c>
      <c r="E48" s="95">
        <v>3429388.56</v>
      </c>
      <c r="F48" s="95">
        <v>62732.95</v>
      </c>
      <c r="G48" s="95">
        <v>0</v>
      </c>
      <c r="H48" s="95">
        <v>0</v>
      </c>
      <c r="I48" s="95">
        <v>0</v>
      </c>
      <c r="J48" s="95">
        <v>0</v>
      </c>
      <c r="K48" s="95">
        <f t="shared" si="1"/>
        <v>3492121.5100000002</v>
      </c>
    </row>
    <row r="49" spans="1:12" x14ac:dyDescent="0.2">
      <c r="A49" s="94" t="s">
        <v>11</v>
      </c>
      <c r="B49" s="94" t="s">
        <v>20</v>
      </c>
      <c r="C49" s="94" t="s">
        <v>236</v>
      </c>
      <c r="D49" s="94" t="s">
        <v>237</v>
      </c>
      <c r="E49" s="95">
        <v>3511006.43</v>
      </c>
      <c r="F49" s="95">
        <v>61486.46</v>
      </c>
      <c r="G49" s="95">
        <v>0</v>
      </c>
      <c r="H49" s="95">
        <v>0</v>
      </c>
      <c r="I49" s="95">
        <v>0</v>
      </c>
      <c r="J49" s="95">
        <v>0</v>
      </c>
      <c r="K49" s="95">
        <f t="shared" si="1"/>
        <v>3572492.89</v>
      </c>
    </row>
    <row r="50" spans="1:12" x14ac:dyDescent="0.2">
      <c r="A50" s="94" t="s">
        <v>11</v>
      </c>
      <c r="B50" s="94" t="s">
        <v>20</v>
      </c>
      <c r="C50" s="94" t="s">
        <v>238</v>
      </c>
      <c r="D50" s="94" t="s">
        <v>239</v>
      </c>
      <c r="E50" s="95">
        <v>11264323.24</v>
      </c>
      <c r="F50" s="95">
        <v>365283.65</v>
      </c>
      <c r="G50" s="95">
        <v>0</v>
      </c>
      <c r="H50" s="95">
        <v>0</v>
      </c>
      <c r="I50" s="95">
        <v>0</v>
      </c>
      <c r="J50" s="95">
        <v>0</v>
      </c>
      <c r="K50" s="95">
        <f t="shared" si="1"/>
        <v>11629606.890000001</v>
      </c>
    </row>
    <row r="51" spans="1:12" x14ac:dyDescent="0.2">
      <c r="A51" s="94" t="s">
        <v>11</v>
      </c>
      <c r="B51" s="94" t="s">
        <v>20</v>
      </c>
      <c r="C51" s="94" t="s">
        <v>240</v>
      </c>
      <c r="D51" s="94" t="s">
        <v>241</v>
      </c>
      <c r="E51" s="95">
        <v>1689116.78</v>
      </c>
      <c r="F51" s="95">
        <v>86921.96</v>
      </c>
      <c r="G51" s="95">
        <v>0</v>
      </c>
      <c r="H51" s="95">
        <v>0</v>
      </c>
      <c r="I51" s="95">
        <v>0</v>
      </c>
      <c r="J51" s="95">
        <v>463610.33</v>
      </c>
      <c r="K51" s="95">
        <f t="shared" si="1"/>
        <v>2239649.0699999998</v>
      </c>
    </row>
    <row r="52" spans="1:12" x14ac:dyDescent="0.2">
      <c r="A52" s="94" t="s">
        <v>11</v>
      </c>
      <c r="B52" s="94" t="s">
        <v>20</v>
      </c>
      <c r="C52" s="94" t="s">
        <v>242</v>
      </c>
      <c r="D52" s="94" t="s">
        <v>243</v>
      </c>
      <c r="E52" s="95">
        <v>52553.22</v>
      </c>
      <c r="F52" s="95">
        <v>1897.2</v>
      </c>
      <c r="G52" s="95">
        <v>0</v>
      </c>
      <c r="H52" s="95">
        <v>0</v>
      </c>
      <c r="I52" s="95">
        <v>0</v>
      </c>
      <c r="J52" s="95">
        <v>0</v>
      </c>
      <c r="K52" s="95">
        <f t="shared" si="1"/>
        <v>54450.42</v>
      </c>
    </row>
    <row r="53" spans="1:12" x14ac:dyDescent="0.2">
      <c r="A53" s="94" t="s">
        <v>11</v>
      </c>
      <c r="B53" s="94" t="s">
        <v>20</v>
      </c>
      <c r="C53" s="94" t="s">
        <v>263</v>
      </c>
      <c r="D53" s="94" t="s">
        <v>264</v>
      </c>
      <c r="E53" s="95">
        <v>273674.71000000002</v>
      </c>
      <c r="F53" s="95">
        <v>737128.61</v>
      </c>
      <c r="G53" s="95">
        <v>0</v>
      </c>
      <c r="H53" s="95">
        <v>0</v>
      </c>
      <c r="I53" s="95">
        <v>0</v>
      </c>
      <c r="J53" s="95">
        <v>0</v>
      </c>
      <c r="K53" s="95">
        <f t="shared" si="1"/>
        <v>1010803.3200000001</v>
      </c>
      <c r="L53" s="1" t="s">
        <v>313</v>
      </c>
    </row>
    <row r="54" spans="1:12" x14ac:dyDescent="0.2">
      <c r="A54" s="94" t="s">
        <v>11</v>
      </c>
      <c r="B54" s="94" t="s">
        <v>20</v>
      </c>
      <c r="C54" s="94" t="s">
        <v>25</v>
      </c>
      <c r="D54" s="94" t="s">
        <v>26</v>
      </c>
      <c r="E54" s="95">
        <v>4872439.3599999994</v>
      </c>
      <c r="F54" s="95">
        <v>169893.05</v>
      </c>
      <c r="G54" s="95">
        <v>0</v>
      </c>
      <c r="H54" s="95">
        <v>0</v>
      </c>
      <c r="I54" s="95">
        <v>0</v>
      </c>
      <c r="J54" s="95">
        <v>0</v>
      </c>
      <c r="K54" s="95">
        <f t="shared" si="1"/>
        <v>5042332.4099999992</v>
      </c>
    </row>
    <row r="55" spans="1:12" x14ac:dyDescent="0.2">
      <c r="A55" s="94" t="s">
        <v>11</v>
      </c>
      <c r="B55" s="94" t="s">
        <v>20</v>
      </c>
      <c r="C55" s="94" t="s">
        <v>265</v>
      </c>
      <c r="D55" s="94" t="s">
        <v>266</v>
      </c>
      <c r="E55" s="95">
        <v>123990.97</v>
      </c>
      <c r="F55" s="95">
        <v>339893.65</v>
      </c>
      <c r="G55" s="95">
        <v>0</v>
      </c>
      <c r="H55" s="95">
        <v>0</v>
      </c>
      <c r="I55" s="95">
        <v>0</v>
      </c>
      <c r="J55" s="95">
        <v>0</v>
      </c>
      <c r="K55" s="95">
        <f t="shared" si="1"/>
        <v>463884.62</v>
      </c>
      <c r="L55" s="1" t="s">
        <v>313</v>
      </c>
    </row>
    <row r="56" spans="1:12" x14ac:dyDescent="0.2">
      <c r="A56" s="94" t="s">
        <v>11</v>
      </c>
      <c r="B56" s="94" t="s">
        <v>20</v>
      </c>
      <c r="C56" s="94" t="s">
        <v>23</v>
      </c>
      <c r="D56" s="94" t="s">
        <v>24</v>
      </c>
      <c r="E56" s="95">
        <v>243771.72999999998</v>
      </c>
      <c r="F56" s="95">
        <v>4983.0200000000004</v>
      </c>
      <c r="G56" s="95">
        <v>0</v>
      </c>
      <c r="H56" s="95">
        <v>0</v>
      </c>
      <c r="I56" s="95">
        <v>0</v>
      </c>
      <c r="J56" s="95">
        <v>0</v>
      </c>
      <c r="K56" s="95">
        <f t="shared" si="1"/>
        <v>248754.74999999997</v>
      </c>
    </row>
    <row r="57" spans="1:12" x14ac:dyDescent="0.2">
      <c r="A57" s="94" t="s">
        <v>11</v>
      </c>
      <c r="B57" s="94" t="s">
        <v>20</v>
      </c>
      <c r="C57" s="94" t="s">
        <v>21</v>
      </c>
      <c r="D57" s="94" t="s">
        <v>22</v>
      </c>
      <c r="E57" s="95">
        <v>938731.99</v>
      </c>
      <c r="F57" s="95">
        <v>69278.62</v>
      </c>
      <c r="G57" s="95">
        <v>0</v>
      </c>
      <c r="H57" s="95">
        <v>0</v>
      </c>
      <c r="I57" s="95">
        <v>0</v>
      </c>
      <c r="J57" s="95">
        <v>0</v>
      </c>
      <c r="K57" s="95">
        <f t="shared" si="1"/>
        <v>1008010.61</v>
      </c>
    </row>
    <row r="58" spans="1:12" x14ac:dyDescent="0.2">
      <c r="A58" s="94" t="s">
        <v>11</v>
      </c>
      <c r="B58" s="94" t="s">
        <v>43</v>
      </c>
      <c r="C58" s="94" t="s">
        <v>201</v>
      </c>
      <c r="D58" s="94" t="s">
        <v>202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f t="shared" si="1"/>
        <v>0</v>
      </c>
    </row>
    <row r="59" spans="1:12" x14ac:dyDescent="0.2">
      <c r="A59" s="94" t="s">
        <v>11</v>
      </c>
      <c r="B59" s="94" t="s">
        <v>43</v>
      </c>
      <c r="C59" s="94" t="s">
        <v>203</v>
      </c>
      <c r="D59" s="94" t="s">
        <v>204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f t="shared" si="1"/>
        <v>0</v>
      </c>
    </row>
    <row r="60" spans="1:12" x14ac:dyDescent="0.2">
      <c r="A60" s="94" t="s">
        <v>11</v>
      </c>
      <c r="B60" s="94" t="s">
        <v>43</v>
      </c>
      <c r="C60" s="94" t="s">
        <v>205</v>
      </c>
      <c r="D60" s="94" t="s">
        <v>206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f t="shared" si="1"/>
        <v>0</v>
      </c>
    </row>
    <row r="61" spans="1:12" x14ac:dyDescent="0.2">
      <c r="A61" s="94" t="s">
        <v>11</v>
      </c>
      <c r="B61" s="94" t="s">
        <v>43</v>
      </c>
      <c r="C61" s="94" t="s">
        <v>71</v>
      </c>
      <c r="D61" s="94" t="s">
        <v>70</v>
      </c>
      <c r="E61" s="95">
        <v>3062609.1900000004</v>
      </c>
      <c r="F61" s="95">
        <v>404482.68</v>
      </c>
      <c r="G61" s="95">
        <v>0</v>
      </c>
      <c r="H61" s="95">
        <v>0</v>
      </c>
      <c r="I61" s="95">
        <v>0</v>
      </c>
      <c r="J61" s="95">
        <v>0</v>
      </c>
      <c r="K61" s="95">
        <f t="shared" si="1"/>
        <v>3467091.8700000006</v>
      </c>
    </row>
    <row r="62" spans="1:12" x14ac:dyDescent="0.2">
      <c r="A62" s="94" t="s">
        <v>11</v>
      </c>
      <c r="B62" s="94" t="s">
        <v>43</v>
      </c>
      <c r="C62" s="94" t="s">
        <v>69</v>
      </c>
      <c r="D62" s="94" t="s">
        <v>70</v>
      </c>
      <c r="E62" s="95">
        <v>3012668.24</v>
      </c>
      <c r="F62" s="95">
        <v>523789.29</v>
      </c>
      <c r="G62" s="95">
        <v>0</v>
      </c>
      <c r="H62" s="95">
        <v>0</v>
      </c>
      <c r="I62" s="95">
        <v>0</v>
      </c>
      <c r="J62" s="95">
        <v>0</v>
      </c>
      <c r="K62" s="95">
        <f t="shared" si="1"/>
        <v>3536457.5300000003</v>
      </c>
    </row>
    <row r="63" spans="1:12" x14ac:dyDescent="0.2">
      <c r="A63" s="94" t="s">
        <v>11</v>
      </c>
      <c r="B63" s="94" t="s">
        <v>43</v>
      </c>
      <c r="C63" s="94" t="s">
        <v>67</v>
      </c>
      <c r="D63" s="94" t="s">
        <v>68</v>
      </c>
      <c r="E63" s="95">
        <v>12246.64</v>
      </c>
      <c r="F63" s="95">
        <v>473.6</v>
      </c>
      <c r="G63" s="95">
        <v>0</v>
      </c>
      <c r="H63" s="95">
        <v>0</v>
      </c>
      <c r="I63" s="95">
        <v>0</v>
      </c>
      <c r="J63" s="95">
        <v>0</v>
      </c>
      <c r="K63" s="95">
        <f t="shared" si="1"/>
        <v>12720.24</v>
      </c>
    </row>
    <row r="64" spans="1:12" x14ac:dyDescent="0.2">
      <c r="A64" s="94" t="s">
        <v>11</v>
      </c>
      <c r="B64" s="94" t="s">
        <v>43</v>
      </c>
      <c r="C64" s="94" t="s">
        <v>65</v>
      </c>
      <c r="D64" s="94" t="s">
        <v>66</v>
      </c>
      <c r="E64" s="95">
        <v>2540828.3699999996</v>
      </c>
      <c r="F64" s="95">
        <v>117546.42</v>
      </c>
      <c r="G64" s="95">
        <v>0</v>
      </c>
      <c r="H64" s="95">
        <v>0</v>
      </c>
      <c r="I64" s="95">
        <v>0</v>
      </c>
      <c r="J64" s="95">
        <v>0</v>
      </c>
      <c r="K64" s="95">
        <f t="shared" si="1"/>
        <v>2658374.7899999996</v>
      </c>
    </row>
    <row r="65" spans="1:12" x14ac:dyDescent="0.2">
      <c r="A65" s="94" t="s">
        <v>11</v>
      </c>
      <c r="B65" s="94" t="s">
        <v>43</v>
      </c>
      <c r="C65" s="94" t="s">
        <v>63</v>
      </c>
      <c r="D65" s="94" t="s">
        <v>64</v>
      </c>
      <c r="E65" s="95">
        <v>6001947.3899999997</v>
      </c>
      <c r="F65" s="95">
        <v>144028.62</v>
      </c>
      <c r="G65" s="95">
        <v>0</v>
      </c>
      <c r="H65" s="95">
        <v>0</v>
      </c>
      <c r="I65" s="95">
        <v>0</v>
      </c>
      <c r="J65" s="95">
        <v>0</v>
      </c>
      <c r="K65" s="95">
        <f t="shared" si="1"/>
        <v>6145976.0099999998</v>
      </c>
    </row>
    <row r="66" spans="1:12" x14ac:dyDescent="0.2">
      <c r="A66" s="94" t="s">
        <v>11</v>
      </c>
      <c r="B66" s="94" t="s">
        <v>43</v>
      </c>
      <c r="C66" s="94" t="s">
        <v>61</v>
      </c>
      <c r="D66" s="94" t="s">
        <v>62</v>
      </c>
      <c r="E66" s="95">
        <v>1245.5999999999999</v>
      </c>
      <c r="F66" s="95">
        <v>15.98</v>
      </c>
      <c r="G66" s="95">
        <v>0</v>
      </c>
      <c r="H66" s="95">
        <v>0</v>
      </c>
      <c r="I66" s="95">
        <v>0</v>
      </c>
      <c r="J66" s="95">
        <v>0</v>
      </c>
      <c r="K66" s="95">
        <f t="shared" si="1"/>
        <v>1261.58</v>
      </c>
    </row>
    <row r="67" spans="1:12" x14ac:dyDescent="0.2">
      <c r="A67" s="94" t="s">
        <v>11</v>
      </c>
      <c r="B67" s="94" t="s">
        <v>43</v>
      </c>
      <c r="C67" s="94" t="s">
        <v>59</v>
      </c>
      <c r="D67" s="94" t="s">
        <v>60</v>
      </c>
      <c r="E67" s="95">
        <v>2681886.2999999998</v>
      </c>
      <c r="F67" s="95">
        <v>44212.28</v>
      </c>
      <c r="G67" s="95">
        <v>0</v>
      </c>
      <c r="H67" s="95">
        <v>0</v>
      </c>
      <c r="I67" s="95">
        <v>0</v>
      </c>
      <c r="J67" s="95">
        <v>0</v>
      </c>
      <c r="K67" s="95">
        <f t="shared" ref="K67:K98" si="2">SUM(E67:J67)</f>
        <v>2726098.5799999996</v>
      </c>
    </row>
    <row r="68" spans="1:12" x14ac:dyDescent="0.2">
      <c r="A68" s="94" t="s">
        <v>11</v>
      </c>
      <c r="B68" s="94" t="s">
        <v>43</v>
      </c>
      <c r="C68" s="94" t="s">
        <v>57</v>
      </c>
      <c r="D68" s="94" t="s">
        <v>58</v>
      </c>
      <c r="E68" s="95">
        <v>7320517.1399999997</v>
      </c>
      <c r="F68" s="95">
        <v>105458.84</v>
      </c>
      <c r="G68" s="95">
        <v>0</v>
      </c>
      <c r="H68" s="95">
        <v>0</v>
      </c>
      <c r="I68" s="95">
        <v>0</v>
      </c>
      <c r="J68" s="95">
        <v>0</v>
      </c>
      <c r="K68" s="95">
        <f t="shared" si="2"/>
        <v>7425975.9799999995</v>
      </c>
    </row>
    <row r="69" spans="1:12" x14ac:dyDescent="0.2">
      <c r="A69" s="94" t="s">
        <v>11</v>
      </c>
      <c r="B69" s="94" t="s">
        <v>43</v>
      </c>
      <c r="C69" s="94" t="s">
        <v>55</v>
      </c>
      <c r="D69" s="94" t="s">
        <v>56</v>
      </c>
      <c r="E69" s="95">
        <v>2467720.71</v>
      </c>
      <c r="F69" s="95">
        <v>20955.53</v>
      </c>
      <c r="G69" s="95">
        <v>0</v>
      </c>
      <c r="H69" s="95">
        <v>0</v>
      </c>
      <c r="I69" s="95">
        <v>0</v>
      </c>
      <c r="J69" s="95">
        <v>0</v>
      </c>
      <c r="K69" s="95">
        <f t="shared" si="2"/>
        <v>2488676.2399999998</v>
      </c>
    </row>
    <row r="70" spans="1:12" x14ac:dyDescent="0.2">
      <c r="A70" s="94" t="s">
        <v>11</v>
      </c>
      <c r="B70" s="94" t="s">
        <v>43</v>
      </c>
      <c r="C70" s="94" t="s">
        <v>53</v>
      </c>
      <c r="D70" s="94" t="s">
        <v>54</v>
      </c>
      <c r="E70" s="95">
        <v>399434.34</v>
      </c>
      <c r="F70" s="95">
        <v>115556.7</v>
      </c>
      <c r="G70" s="95">
        <v>0</v>
      </c>
      <c r="H70" s="95">
        <v>0</v>
      </c>
      <c r="I70" s="95">
        <v>0</v>
      </c>
      <c r="J70" s="95">
        <v>0</v>
      </c>
      <c r="K70" s="95">
        <f t="shared" si="2"/>
        <v>514991.04000000004</v>
      </c>
    </row>
    <row r="71" spans="1:12" x14ac:dyDescent="0.2">
      <c r="A71" s="94" t="s">
        <v>11</v>
      </c>
      <c r="B71" s="94" t="s">
        <v>43</v>
      </c>
      <c r="C71" s="94" t="s">
        <v>51</v>
      </c>
      <c r="D71" s="94" t="s">
        <v>52</v>
      </c>
      <c r="E71" s="95">
        <v>206896.94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f t="shared" si="2"/>
        <v>206896.94</v>
      </c>
    </row>
    <row r="72" spans="1:12" x14ac:dyDescent="0.2">
      <c r="A72" s="94" t="s">
        <v>11</v>
      </c>
      <c r="B72" s="94" t="s">
        <v>43</v>
      </c>
      <c r="C72" s="94" t="s">
        <v>49</v>
      </c>
      <c r="D72" s="94" t="s">
        <v>50</v>
      </c>
      <c r="E72" s="95">
        <v>1047512.76</v>
      </c>
      <c r="F72" s="95">
        <v>350432.97</v>
      </c>
      <c r="G72" s="95">
        <v>0</v>
      </c>
      <c r="H72" s="95">
        <v>0</v>
      </c>
      <c r="I72" s="95">
        <v>0</v>
      </c>
      <c r="J72" s="95">
        <v>0</v>
      </c>
      <c r="K72" s="95">
        <f t="shared" si="2"/>
        <v>1397945.73</v>
      </c>
    </row>
    <row r="73" spans="1:12" x14ac:dyDescent="0.2">
      <c r="A73" s="94" t="s">
        <v>11</v>
      </c>
      <c r="B73" s="94" t="s">
        <v>43</v>
      </c>
      <c r="C73" s="94" t="s">
        <v>48</v>
      </c>
      <c r="D73" s="94" t="s">
        <v>47</v>
      </c>
      <c r="E73" s="95">
        <v>716461.94</v>
      </c>
      <c r="F73" s="95">
        <v>114852.2</v>
      </c>
      <c r="G73" s="95">
        <v>0</v>
      </c>
      <c r="H73" s="95">
        <v>0</v>
      </c>
      <c r="I73" s="95">
        <v>0</v>
      </c>
      <c r="J73" s="95">
        <v>0</v>
      </c>
      <c r="K73" s="95">
        <f t="shared" si="2"/>
        <v>831314.1399999999</v>
      </c>
    </row>
    <row r="74" spans="1:12" x14ac:dyDescent="0.2">
      <c r="A74" s="94" t="s">
        <v>11</v>
      </c>
      <c r="B74" s="94" t="s">
        <v>43</v>
      </c>
      <c r="C74" s="94" t="s">
        <v>46</v>
      </c>
      <c r="D74" s="94" t="s">
        <v>47</v>
      </c>
      <c r="E74" s="95">
        <v>261800.81</v>
      </c>
      <c r="F74" s="95">
        <v>13726.84</v>
      </c>
      <c r="G74" s="95">
        <v>0</v>
      </c>
      <c r="H74" s="95">
        <v>0</v>
      </c>
      <c r="I74" s="95">
        <v>0</v>
      </c>
      <c r="J74" s="95">
        <v>0</v>
      </c>
      <c r="K74" s="95">
        <f t="shared" si="2"/>
        <v>275527.65000000002</v>
      </c>
    </row>
    <row r="75" spans="1:12" x14ac:dyDescent="0.2">
      <c r="A75" s="94" t="s">
        <v>11</v>
      </c>
      <c r="B75" s="94" t="s">
        <v>43</v>
      </c>
      <c r="C75" s="94" t="s">
        <v>44</v>
      </c>
      <c r="D75" s="94" t="s">
        <v>45</v>
      </c>
      <c r="E75" s="95">
        <v>1491990.81</v>
      </c>
      <c r="F75" s="95">
        <v>79944.13</v>
      </c>
      <c r="G75" s="95">
        <v>0</v>
      </c>
      <c r="H75" s="95">
        <v>0</v>
      </c>
      <c r="I75" s="95">
        <v>0</v>
      </c>
      <c r="J75" s="95">
        <v>0</v>
      </c>
      <c r="K75" s="95">
        <f t="shared" si="2"/>
        <v>1571934.94</v>
      </c>
    </row>
    <row r="76" spans="1:12" x14ac:dyDescent="0.2">
      <c r="A76" s="94" t="s">
        <v>11</v>
      </c>
      <c r="B76" s="94" t="s">
        <v>43</v>
      </c>
      <c r="C76" s="94" t="s">
        <v>207</v>
      </c>
      <c r="D76" s="94" t="s">
        <v>208</v>
      </c>
      <c r="E76" s="95">
        <v>739473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f t="shared" si="2"/>
        <v>739473</v>
      </c>
    </row>
    <row r="77" spans="1:12" x14ac:dyDescent="0.2">
      <c r="A77" s="94" t="s">
        <v>11</v>
      </c>
      <c r="B77" s="94" t="s">
        <v>72</v>
      </c>
      <c r="C77" s="94" t="s">
        <v>209</v>
      </c>
      <c r="D77" s="94" t="s">
        <v>168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f t="shared" si="2"/>
        <v>0</v>
      </c>
    </row>
    <row r="78" spans="1:12" x14ac:dyDescent="0.2">
      <c r="A78" s="94" t="s">
        <v>11</v>
      </c>
      <c r="B78" s="94" t="s">
        <v>72</v>
      </c>
      <c r="C78" s="94" t="s">
        <v>91</v>
      </c>
      <c r="D78" s="94" t="s">
        <v>92</v>
      </c>
      <c r="E78" s="95">
        <v>2199945.86</v>
      </c>
      <c r="F78" s="95">
        <v>98118.68</v>
      </c>
      <c r="G78" s="95">
        <v>0</v>
      </c>
      <c r="H78" s="95">
        <v>0</v>
      </c>
      <c r="I78" s="95">
        <v>0</v>
      </c>
      <c r="J78" s="95">
        <v>0</v>
      </c>
      <c r="K78" s="95">
        <f t="shared" si="2"/>
        <v>2298064.54</v>
      </c>
    </row>
    <row r="79" spans="1:12" x14ac:dyDescent="0.2">
      <c r="A79" s="94" t="s">
        <v>11</v>
      </c>
      <c r="B79" s="94" t="s">
        <v>72</v>
      </c>
      <c r="C79" s="94" t="s">
        <v>267</v>
      </c>
      <c r="D79" s="94" t="s">
        <v>268</v>
      </c>
      <c r="E79" s="95">
        <v>3815.77</v>
      </c>
      <c r="F79" s="95">
        <v>10170.040000000001</v>
      </c>
      <c r="G79" s="95">
        <v>0</v>
      </c>
      <c r="H79" s="95">
        <v>0</v>
      </c>
      <c r="I79" s="95">
        <v>0</v>
      </c>
      <c r="J79" s="95">
        <v>0</v>
      </c>
      <c r="K79" s="95">
        <f t="shared" si="2"/>
        <v>13985.810000000001</v>
      </c>
      <c r="L79" s="1" t="s">
        <v>313</v>
      </c>
    </row>
    <row r="80" spans="1:12" x14ac:dyDescent="0.2">
      <c r="A80" s="94" t="s">
        <v>11</v>
      </c>
      <c r="B80" s="94" t="s">
        <v>72</v>
      </c>
      <c r="C80" s="94" t="s">
        <v>90</v>
      </c>
      <c r="D80" s="94" t="s">
        <v>68</v>
      </c>
      <c r="E80" s="95">
        <v>379049.43</v>
      </c>
      <c r="F80" s="95">
        <v>27056.29</v>
      </c>
      <c r="G80" s="95">
        <v>0</v>
      </c>
      <c r="H80" s="95">
        <v>0</v>
      </c>
      <c r="I80" s="95">
        <v>0</v>
      </c>
      <c r="J80" s="95">
        <v>0</v>
      </c>
      <c r="K80" s="95">
        <f t="shared" si="2"/>
        <v>406105.72</v>
      </c>
    </row>
    <row r="81" spans="1:12" x14ac:dyDescent="0.2">
      <c r="A81" s="94" t="s">
        <v>11</v>
      </c>
      <c r="B81" s="94" t="s">
        <v>72</v>
      </c>
      <c r="C81" s="94" t="s">
        <v>88</v>
      </c>
      <c r="D81" s="94" t="s">
        <v>89</v>
      </c>
      <c r="E81" s="95">
        <v>38979185.379999995</v>
      </c>
      <c r="F81" s="95">
        <v>3370001.64</v>
      </c>
      <c r="G81" s="95">
        <v>0</v>
      </c>
      <c r="H81" s="95">
        <v>0</v>
      </c>
      <c r="I81" s="95">
        <v>0</v>
      </c>
      <c r="J81" s="95">
        <v>0</v>
      </c>
      <c r="K81" s="95">
        <f t="shared" si="2"/>
        <v>42349187.019999996</v>
      </c>
    </row>
    <row r="82" spans="1:12" x14ac:dyDescent="0.2">
      <c r="A82" s="94" t="s">
        <v>11</v>
      </c>
      <c r="B82" s="94" t="s">
        <v>72</v>
      </c>
      <c r="C82" s="94" t="s">
        <v>86</v>
      </c>
      <c r="D82" s="94" t="s">
        <v>87</v>
      </c>
      <c r="E82" s="95">
        <v>1203095.45</v>
      </c>
      <c r="F82" s="95">
        <v>34306.82</v>
      </c>
      <c r="G82" s="95">
        <v>0</v>
      </c>
      <c r="H82" s="95">
        <v>0</v>
      </c>
      <c r="I82" s="95">
        <v>0</v>
      </c>
      <c r="J82" s="95">
        <v>0</v>
      </c>
      <c r="K82" s="95">
        <f t="shared" si="2"/>
        <v>1237402.27</v>
      </c>
    </row>
    <row r="83" spans="1:12" x14ac:dyDescent="0.2">
      <c r="A83" s="94" t="s">
        <v>11</v>
      </c>
      <c r="B83" s="94" t="s">
        <v>72</v>
      </c>
      <c r="C83" s="94" t="s">
        <v>85</v>
      </c>
      <c r="D83" s="94" t="s">
        <v>84</v>
      </c>
      <c r="E83" s="95">
        <v>11193300.48</v>
      </c>
      <c r="F83" s="95">
        <v>237693.31</v>
      </c>
      <c r="G83" s="95">
        <v>0</v>
      </c>
      <c r="H83" s="95">
        <v>0</v>
      </c>
      <c r="I83" s="95">
        <v>0</v>
      </c>
      <c r="J83" s="95">
        <v>0</v>
      </c>
      <c r="K83" s="95">
        <f t="shared" si="2"/>
        <v>11430993.790000001</v>
      </c>
    </row>
    <row r="84" spans="1:12" x14ac:dyDescent="0.2">
      <c r="A84" s="94" t="s">
        <v>11</v>
      </c>
      <c r="B84" s="94" t="s">
        <v>72</v>
      </c>
      <c r="C84" s="94" t="s">
        <v>83</v>
      </c>
      <c r="D84" s="94" t="s">
        <v>84</v>
      </c>
      <c r="E84" s="95">
        <v>15084797.23</v>
      </c>
      <c r="F84" s="95">
        <v>676698.03</v>
      </c>
      <c r="G84" s="95">
        <v>0</v>
      </c>
      <c r="H84" s="95">
        <v>0</v>
      </c>
      <c r="I84" s="95">
        <v>0</v>
      </c>
      <c r="J84" s="95">
        <v>0</v>
      </c>
      <c r="K84" s="95">
        <f t="shared" si="2"/>
        <v>15761495.26</v>
      </c>
    </row>
    <row r="85" spans="1:12" x14ac:dyDescent="0.2">
      <c r="A85" s="94" t="s">
        <v>11</v>
      </c>
      <c r="B85" s="94" t="s">
        <v>72</v>
      </c>
      <c r="C85" s="94" t="s">
        <v>81</v>
      </c>
      <c r="D85" s="94" t="s">
        <v>82</v>
      </c>
      <c r="E85" s="95">
        <v>6411734.4100000001</v>
      </c>
      <c r="F85" s="95">
        <v>338843.92</v>
      </c>
      <c r="G85" s="95">
        <v>0</v>
      </c>
      <c r="H85" s="95">
        <v>0</v>
      </c>
      <c r="I85" s="95">
        <v>0</v>
      </c>
      <c r="J85" s="95">
        <v>0</v>
      </c>
      <c r="K85" s="95">
        <f t="shared" si="2"/>
        <v>6750578.3300000001</v>
      </c>
    </row>
    <row r="86" spans="1:12" x14ac:dyDescent="0.2">
      <c r="A86" s="94" t="s">
        <v>11</v>
      </c>
      <c r="B86" s="94" t="s">
        <v>72</v>
      </c>
      <c r="C86" s="94" t="s">
        <v>79</v>
      </c>
      <c r="D86" s="94" t="s">
        <v>80</v>
      </c>
      <c r="E86" s="95">
        <v>6530557.3300000001</v>
      </c>
      <c r="F86" s="95">
        <v>362966.18</v>
      </c>
      <c r="G86" s="95">
        <v>0</v>
      </c>
      <c r="H86" s="95">
        <v>0</v>
      </c>
      <c r="I86" s="95">
        <v>0</v>
      </c>
      <c r="J86" s="95">
        <v>0</v>
      </c>
      <c r="K86" s="95">
        <f t="shared" si="2"/>
        <v>6893523.5099999998</v>
      </c>
    </row>
    <row r="87" spans="1:12" x14ac:dyDescent="0.2">
      <c r="A87" s="94" t="s">
        <v>11</v>
      </c>
      <c r="B87" s="94" t="s">
        <v>72</v>
      </c>
      <c r="C87" s="94" t="s">
        <v>77</v>
      </c>
      <c r="D87" s="94" t="s">
        <v>78</v>
      </c>
      <c r="E87" s="95">
        <v>24118919.439999998</v>
      </c>
      <c r="F87" s="95">
        <v>1330537.19</v>
      </c>
      <c r="G87" s="95">
        <v>0</v>
      </c>
      <c r="H87" s="95">
        <v>0</v>
      </c>
      <c r="I87" s="95">
        <v>0</v>
      </c>
      <c r="J87" s="95">
        <v>0</v>
      </c>
      <c r="K87" s="95">
        <f t="shared" si="2"/>
        <v>25449456.629999999</v>
      </c>
    </row>
    <row r="88" spans="1:12" x14ac:dyDescent="0.2">
      <c r="A88" s="94" t="s">
        <v>11</v>
      </c>
      <c r="B88" s="94" t="s">
        <v>72</v>
      </c>
      <c r="C88" s="94" t="s">
        <v>269</v>
      </c>
      <c r="D88" s="94" t="s">
        <v>270</v>
      </c>
      <c r="E88" s="95">
        <v>650295.25</v>
      </c>
      <c r="F88" s="95">
        <v>1737856.67</v>
      </c>
      <c r="G88" s="95">
        <v>0</v>
      </c>
      <c r="H88" s="95">
        <v>0</v>
      </c>
      <c r="I88" s="95">
        <v>0</v>
      </c>
      <c r="J88" s="95">
        <v>0</v>
      </c>
      <c r="K88" s="95">
        <f t="shared" si="2"/>
        <v>2388151.92</v>
      </c>
      <c r="L88" s="1" t="s">
        <v>313</v>
      </c>
    </row>
    <row r="89" spans="1:12" x14ac:dyDescent="0.2">
      <c r="A89" s="94" t="s">
        <v>11</v>
      </c>
      <c r="B89" s="94" t="s">
        <v>72</v>
      </c>
      <c r="C89" s="94" t="s">
        <v>75</v>
      </c>
      <c r="D89" s="94" t="s">
        <v>76</v>
      </c>
      <c r="E89" s="95">
        <v>-8.81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f t="shared" si="2"/>
        <v>-8.81</v>
      </c>
    </row>
    <row r="90" spans="1:12" x14ac:dyDescent="0.2">
      <c r="A90" s="94" t="s">
        <v>11</v>
      </c>
      <c r="B90" s="94" t="s">
        <v>72</v>
      </c>
      <c r="C90" s="94" t="s">
        <v>73</v>
      </c>
      <c r="D90" s="94" t="s">
        <v>74</v>
      </c>
      <c r="E90" s="95">
        <v>1717510.9</v>
      </c>
      <c r="F90" s="95">
        <v>84546</v>
      </c>
      <c r="G90" s="95">
        <v>0</v>
      </c>
      <c r="H90" s="95">
        <v>0</v>
      </c>
      <c r="I90" s="95">
        <v>0</v>
      </c>
      <c r="J90" s="95">
        <v>0</v>
      </c>
      <c r="K90" s="95">
        <f t="shared" si="2"/>
        <v>1802056.9</v>
      </c>
    </row>
    <row r="91" spans="1:12" x14ac:dyDescent="0.2">
      <c r="A91" s="94" t="s">
        <v>11</v>
      </c>
      <c r="B91" s="94" t="s">
        <v>72</v>
      </c>
      <c r="C91" s="94" t="s">
        <v>210</v>
      </c>
      <c r="D91" s="94" t="s">
        <v>211</v>
      </c>
      <c r="E91" s="95">
        <v>0</v>
      </c>
      <c r="F91" s="95">
        <v>0</v>
      </c>
      <c r="G91" s="95">
        <v>0</v>
      </c>
      <c r="H91" s="95">
        <v>0</v>
      </c>
      <c r="I91" s="95">
        <v>0</v>
      </c>
      <c r="J91" s="95">
        <v>0</v>
      </c>
      <c r="K91" s="95">
        <f t="shared" si="2"/>
        <v>0</v>
      </c>
    </row>
    <row r="92" spans="1:12" x14ac:dyDescent="0.2">
      <c r="A92" s="94" t="s">
        <v>11</v>
      </c>
      <c r="B92" s="94" t="s">
        <v>93</v>
      </c>
      <c r="C92" s="94" t="s">
        <v>212</v>
      </c>
      <c r="D92" s="94" t="s">
        <v>168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f t="shared" si="2"/>
        <v>0</v>
      </c>
    </row>
    <row r="93" spans="1:12" x14ac:dyDescent="0.2">
      <c r="A93" s="94" t="s">
        <v>11</v>
      </c>
      <c r="B93" s="94" t="s">
        <v>93</v>
      </c>
      <c r="C93" s="94" t="s">
        <v>122</v>
      </c>
      <c r="D93" s="94" t="s">
        <v>92</v>
      </c>
      <c r="E93" s="95">
        <v>1689082.67</v>
      </c>
      <c r="F93" s="95">
        <v>10562.58</v>
      </c>
      <c r="G93" s="95">
        <v>0</v>
      </c>
      <c r="H93" s="95">
        <v>0</v>
      </c>
      <c r="I93" s="95">
        <v>0</v>
      </c>
      <c r="J93" s="95">
        <v>0</v>
      </c>
      <c r="K93" s="95">
        <f t="shared" si="2"/>
        <v>1699645.25</v>
      </c>
    </row>
    <row r="94" spans="1:12" x14ac:dyDescent="0.2">
      <c r="A94" s="94" t="s">
        <v>11</v>
      </c>
      <c r="B94" s="94" t="s">
        <v>93</v>
      </c>
      <c r="C94" s="94" t="s">
        <v>121</v>
      </c>
      <c r="D94" s="94" t="s">
        <v>70</v>
      </c>
      <c r="E94" s="95">
        <v>92248.77</v>
      </c>
      <c r="F94" s="95">
        <v>37508.21</v>
      </c>
      <c r="G94" s="95">
        <v>0</v>
      </c>
      <c r="H94" s="95">
        <v>0</v>
      </c>
      <c r="I94" s="95">
        <v>0</v>
      </c>
      <c r="J94" s="95">
        <v>0</v>
      </c>
      <c r="K94" s="95">
        <f t="shared" si="2"/>
        <v>129756.98000000001</v>
      </c>
    </row>
    <row r="95" spans="1:12" x14ac:dyDescent="0.2">
      <c r="A95" s="94" t="s">
        <v>11</v>
      </c>
      <c r="B95" s="94" t="s">
        <v>93</v>
      </c>
      <c r="C95" s="94" t="s">
        <v>119</v>
      </c>
      <c r="D95" s="94" t="s">
        <v>120</v>
      </c>
      <c r="E95" s="95">
        <v>350472853.19999999</v>
      </c>
      <c r="F95" s="95">
        <v>16345257.77</v>
      </c>
      <c r="G95" s="95">
        <v>-110757.58</v>
      </c>
      <c r="H95" s="95">
        <v>-184466.83</v>
      </c>
      <c r="I95" s="95">
        <v>35111.65</v>
      </c>
      <c r="J95" s="95">
        <v>0</v>
      </c>
      <c r="K95" s="95">
        <f t="shared" si="2"/>
        <v>366557998.20999998</v>
      </c>
    </row>
    <row r="96" spans="1:12" x14ac:dyDescent="0.2">
      <c r="A96" s="94" t="s">
        <v>11</v>
      </c>
      <c r="B96" s="94" t="s">
        <v>93</v>
      </c>
      <c r="C96" s="94" t="s">
        <v>117</v>
      </c>
      <c r="D96" s="94" t="s">
        <v>118</v>
      </c>
      <c r="E96" s="95">
        <v>244891048.78999999</v>
      </c>
      <c r="F96" s="95">
        <v>14421863.359999999</v>
      </c>
      <c r="G96" s="95">
        <v>-139784.24</v>
      </c>
      <c r="H96" s="95">
        <v>-41400.43</v>
      </c>
      <c r="I96" s="95">
        <v>46640.35</v>
      </c>
      <c r="J96" s="95">
        <v>0</v>
      </c>
      <c r="K96" s="95">
        <f t="shared" si="2"/>
        <v>259178367.82999995</v>
      </c>
    </row>
    <row r="97" spans="1:12" x14ac:dyDescent="0.2">
      <c r="A97" s="94" t="s">
        <v>11</v>
      </c>
      <c r="B97" s="94" t="s">
        <v>93</v>
      </c>
      <c r="C97" s="94" t="s">
        <v>271</v>
      </c>
      <c r="D97" s="94" t="s">
        <v>272</v>
      </c>
      <c r="E97" s="95">
        <v>5419.4800000000005</v>
      </c>
      <c r="F97" s="95">
        <v>14451.93</v>
      </c>
      <c r="G97" s="95">
        <v>0</v>
      </c>
      <c r="H97" s="95">
        <v>0</v>
      </c>
      <c r="I97" s="95">
        <v>0</v>
      </c>
      <c r="J97" s="95">
        <v>0</v>
      </c>
      <c r="K97" s="95">
        <f t="shared" si="2"/>
        <v>19871.41</v>
      </c>
      <c r="L97" s="1" t="s">
        <v>313</v>
      </c>
    </row>
    <row r="98" spans="1:12" x14ac:dyDescent="0.2">
      <c r="A98" s="94" t="s">
        <v>11</v>
      </c>
      <c r="B98" s="94" t="s">
        <v>93</v>
      </c>
      <c r="C98" s="94" t="s">
        <v>116</v>
      </c>
      <c r="D98" s="94" t="s">
        <v>28</v>
      </c>
      <c r="E98" s="95">
        <v>675258.07</v>
      </c>
      <c r="F98" s="95">
        <v>10802.6</v>
      </c>
      <c r="G98" s="95">
        <v>0</v>
      </c>
      <c r="H98" s="95">
        <v>0</v>
      </c>
      <c r="I98" s="95">
        <v>0</v>
      </c>
      <c r="J98" s="95">
        <v>0</v>
      </c>
      <c r="K98" s="95">
        <f t="shared" si="2"/>
        <v>686060.66999999993</v>
      </c>
    </row>
    <row r="99" spans="1:12" x14ac:dyDescent="0.2">
      <c r="A99" s="94" t="s">
        <v>11</v>
      </c>
      <c r="B99" s="94" t="s">
        <v>93</v>
      </c>
      <c r="C99" s="94" t="s">
        <v>114</v>
      </c>
      <c r="D99" s="94" t="s">
        <v>115</v>
      </c>
      <c r="E99" s="95">
        <v>13629616.75</v>
      </c>
      <c r="F99" s="95">
        <v>845214.56</v>
      </c>
      <c r="G99" s="95">
        <v>0</v>
      </c>
      <c r="H99" s="95">
        <v>0</v>
      </c>
      <c r="I99" s="95">
        <v>0</v>
      </c>
      <c r="J99" s="95">
        <v>0</v>
      </c>
      <c r="K99" s="95">
        <f t="shared" ref="K99:K130" si="3">SUM(E99:J99)</f>
        <v>14474831.310000001</v>
      </c>
    </row>
    <row r="100" spans="1:12" x14ac:dyDescent="0.2">
      <c r="A100" s="94" t="s">
        <v>11</v>
      </c>
      <c r="B100" s="94" t="s">
        <v>93</v>
      </c>
      <c r="C100" s="94" t="s">
        <v>112</v>
      </c>
      <c r="D100" s="94" t="s">
        <v>113</v>
      </c>
      <c r="E100" s="95">
        <v>3160794.52</v>
      </c>
      <c r="F100" s="95">
        <v>354775.77</v>
      </c>
      <c r="G100" s="95">
        <v>0</v>
      </c>
      <c r="H100" s="95">
        <v>0</v>
      </c>
      <c r="I100" s="95">
        <v>0</v>
      </c>
      <c r="J100" s="95">
        <v>0</v>
      </c>
      <c r="K100" s="95">
        <f t="shared" si="3"/>
        <v>3515570.29</v>
      </c>
    </row>
    <row r="101" spans="1:12" x14ac:dyDescent="0.2">
      <c r="A101" s="94" t="s">
        <v>11</v>
      </c>
      <c r="B101" s="94" t="s">
        <v>93</v>
      </c>
      <c r="C101" s="94" t="s">
        <v>110</v>
      </c>
      <c r="D101" s="94" t="s">
        <v>111</v>
      </c>
      <c r="E101" s="95">
        <v>438395392.07999998</v>
      </c>
      <c r="F101" s="95">
        <v>24272328.670000002</v>
      </c>
      <c r="G101" s="95">
        <v>-409551.54</v>
      </c>
      <c r="H101" s="95">
        <v>-976810.67</v>
      </c>
      <c r="I101" s="95">
        <v>0</v>
      </c>
      <c r="J101" s="95">
        <v>0</v>
      </c>
      <c r="K101" s="95">
        <f t="shared" si="3"/>
        <v>461281358.53999996</v>
      </c>
    </row>
    <row r="102" spans="1:12" x14ac:dyDescent="0.2">
      <c r="A102" s="94" t="s">
        <v>11</v>
      </c>
      <c r="B102" s="94" t="s">
        <v>93</v>
      </c>
      <c r="C102" s="94" t="s">
        <v>108</v>
      </c>
      <c r="D102" s="94" t="s">
        <v>109</v>
      </c>
      <c r="E102" s="95">
        <v>23799675.670000002</v>
      </c>
      <c r="F102" s="95">
        <v>2315194.16</v>
      </c>
      <c r="G102" s="95">
        <v>-3765866.48</v>
      </c>
      <c r="H102" s="95">
        <v>0</v>
      </c>
      <c r="I102" s="95">
        <v>391.66</v>
      </c>
      <c r="J102" s="95">
        <v>0</v>
      </c>
      <c r="K102" s="95">
        <f t="shared" si="3"/>
        <v>22349395.010000002</v>
      </c>
    </row>
    <row r="103" spans="1:12" x14ac:dyDescent="0.2">
      <c r="A103" s="94" t="s">
        <v>11</v>
      </c>
      <c r="B103" s="94" t="s">
        <v>93</v>
      </c>
      <c r="C103" s="94" t="s">
        <v>106</v>
      </c>
      <c r="D103" s="94" t="s">
        <v>107</v>
      </c>
      <c r="E103" s="95">
        <v>1980849.1500000001</v>
      </c>
      <c r="F103" s="95">
        <v>49041.52</v>
      </c>
      <c r="G103" s="95">
        <v>0</v>
      </c>
      <c r="H103" s="95">
        <v>0</v>
      </c>
      <c r="I103" s="95">
        <v>0</v>
      </c>
      <c r="J103" s="95">
        <v>0</v>
      </c>
      <c r="K103" s="95">
        <f t="shared" si="3"/>
        <v>2029890.6700000002</v>
      </c>
    </row>
    <row r="104" spans="1:12" x14ac:dyDescent="0.2">
      <c r="A104" s="94" t="s">
        <v>11</v>
      </c>
      <c r="B104" s="94" t="s">
        <v>93</v>
      </c>
      <c r="C104" s="94" t="s">
        <v>104</v>
      </c>
      <c r="D104" s="94" t="s">
        <v>105</v>
      </c>
      <c r="E104" s="95">
        <v>21556605.23</v>
      </c>
      <c r="F104" s="95">
        <v>2623507.14</v>
      </c>
      <c r="G104" s="95">
        <v>-3720208.31</v>
      </c>
      <c r="H104" s="95">
        <v>0</v>
      </c>
      <c r="I104" s="95">
        <v>0</v>
      </c>
      <c r="J104" s="95">
        <v>0</v>
      </c>
      <c r="K104" s="95">
        <f t="shared" si="3"/>
        <v>20459904.060000002</v>
      </c>
    </row>
    <row r="105" spans="1:12" x14ac:dyDescent="0.2">
      <c r="A105" s="94" t="s">
        <v>11</v>
      </c>
      <c r="B105" s="94" t="s">
        <v>93</v>
      </c>
      <c r="C105" s="94" t="s">
        <v>102</v>
      </c>
      <c r="D105" s="94" t="s">
        <v>103</v>
      </c>
      <c r="E105" s="95">
        <v>6096261.2800000012</v>
      </c>
      <c r="F105" s="95">
        <v>2979427.54</v>
      </c>
      <c r="G105" s="95">
        <v>-5157744.34</v>
      </c>
      <c r="H105" s="95">
        <v>0</v>
      </c>
      <c r="I105" s="95">
        <v>0</v>
      </c>
      <c r="J105" s="95">
        <v>0</v>
      </c>
      <c r="K105" s="95">
        <f t="shared" si="3"/>
        <v>3917944.4800000004</v>
      </c>
    </row>
    <row r="106" spans="1:12" x14ac:dyDescent="0.2">
      <c r="A106" s="94" t="s">
        <v>11</v>
      </c>
      <c r="B106" s="94" t="s">
        <v>93</v>
      </c>
      <c r="C106" s="94" t="s">
        <v>100</v>
      </c>
      <c r="D106" s="94" t="s">
        <v>101</v>
      </c>
      <c r="E106" s="95">
        <v>111053.97</v>
      </c>
      <c r="F106" s="95">
        <v>41415.800000000003</v>
      </c>
      <c r="G106" s="95">
        <v>0</v>
      </c>
      <c r="H106" s="95">
        <v>0</v>
      </c>
      <c r="I106" s="95">
        <v>0</v>
      </c>
      <c r="J106" s="95">
        <v>0</v>
      </c>
      <c r="K106" s="95">
        <f t="shared" si="3"/>
        <v>152469.77000000002</v>
      </c>
    </row>
    <row r="107" spans="1:12" x14ac:dyDescent="0.2">
      <c r="A107" s="94" t="s">
        <v>11</v>
      </c>
      <c r="B107" s="94" t="s">
        <v>93</v>
      </c>
      <c r="C107" s="94" t="s">
        <v>98</v>
      </c>
      <c r="D107" s="94" t="s">
        <v>99</v>
      </c>
      <c r="E107" s="95">
        <v>6023566.8299999991</v>
      </c>
      <c r="F107" s="95">
        <v>347336.53</v>
      </c>
      <c r="G107" s="95">
        <v>-298640.26</v>
      </c>
      <c r="H107" s="95">
        <v>0</v>
      </c>
      <c r="I107" s="95">
        <v>0</v>
      </c>
      <c r="J107" s="95">
        <v>0</v>
      </c>
      <c r="K107" s="95">
        <f t="shared" si="3"/>
        <v>6072263.0999999996</v>
      </c>
    </row>
    <row r="108" spans="1:12" x14ac:dyDescent="0.2">
      <c r="A108" s="94" t="s">
        <v>11</v>
      </c>
      <c r="B108" s="94" t="s">
        <v>93</v>
      </c>
      <c r="C108" s="94" t="s">
        <v>96</v>
      </c>
      <c r="D108" s="94" t="s">
        <v>97</v>
      </c>
      <c r="E108" s="95">
        <v>376774.16</v>
      </c>
      <c r="F108" s="95">
        <v>71635.23</v>
      </c>
      <c r="G108" s="95">
        <v>0</v>
      </c>
      <c r="H108" s="95">
        <v>0</v>
      </c>
      <c r="I108" s="95">
        <v>0</v>
      </c>
      <c r="J108" s="95">
        <v>0</v>
      </c>
      <c r="K108" s="95">
        <f t="shared" si="3"/>
        <v>448409.38999999996</v>
      </c>
    </row>
    <row r="109" spans="1:12" x14ac:dyDescent="0.2">
      <c r="A109" s="94" t="s">
        <v>11</v>
      </c>
      <c r="B109" s="94" t="s">
        <v>93</v>
      </c>
      <c r="C109" s="94" t="s">
        <v>213</v>
      </c>
      <c r="D109" s="94" t="s">
        <v>214</v>
      </c>
      <c r="E109" s="95">
        <v>233822.05</v>
      </c>
      <c r="F109" s="95">
        <v>123363.83</v>
      </c>
      <c r="G109" s="95">
        <v>0</v>
      </c>
      <c r="H109" s="95">
        <v>0</v>
      </c>
      <c r="I109" s="95">
        <v>0</v>
      </c>
      <c r="J109" s="95">
        <v>0</v>
      </c>
      <c r="K109" s="95">
        <f t="shared" si="3"/>
        <v>357185.88</v>
      </c>
    </row>
    <row r="110" spans="1:12" x14ac:dyDescent="0.2">
      <c r="A110" s="94" t="s">
        <v>11</v>
      </c>
      <c r="B110" s="94" t="s">
        <v>93</v>
      </c>
      <c r="C110" s="94" t="s">
        <v>245</v>
      </c>
      <c r="D110" s="94" t="s">
        <v>246</v>
      </c>
      <c r="E110" s="95">
        <v>0</v>
      </c>
      <c r="F110" s="95">
        <v>0</v>
      </c>
      <c r="G110" s="95">
        <v>0</v>
      </c>
      <c r="H110" s="95">
        <v>0</v>
      </c>
      <c r="I110" s="95">
        <v>0</v>
      </c>
      <c r="J110" s="95">
        <v>0</v>
      </c>
      <c r="K110" s="95">
        <f t="shared" si="3"/>
        <v>0</v>
      </c>
    </row>
    <row r="111" spans="1:12" x14ac:dyDescent="0.2">
      <c r="A111" s="94" t="s">
        <v>11</v>
      </c>
      <c r="B111" s="94" t="s">
        <v>93</v>
      </c>
      <c r="C111" s="94" t="s">
        <v>94</v>
      </c>
      <c r="D111" s="94" t="s">
        <v>95</v>
      </c>
      <c r="E111" s="95">
        <v>144491.32</v>
      </c>
      <c r="F111" s="95">
        <v>1425.64</v>
      </c>
      <c r="G111" s="95">
        <v>0</v>
      </c>
      <c r="H111" s="95">
        <v>0</v>
      </c>
      <c r="I111" s="95">
        <v>0</v>
      </c>
      <c r="J111" s="95">
        <v>0</v>
      </c>
      <c r="K111" s="95">
        <f t="shared" si="3"/>
        <v>145916.96000000002</v>
      </c>
    </row>
    <row r="112" spans="1:12" x14ac:dyDescent="0.2">
      <c r="A112" s="94" t="s">
        <v>11</v>
      </c>
      <c r="B112" s="94" t="s">
        <v>93</v>
      </c>
      <c r="C112" s="94" t="s">
        <v>215</v>
      </c>
      <c r="D112" s="94" t="s">
        <v>216</v>
      </c>
      <c r="E112" s="95">
        <v>96424</v>
      </c>
      <c r="F112" s="95"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f t="shared" si="3"/>
        <v>96424</v>
      </c>
    </row>
    <row r="113" spans="1:12" x14ac:dyDescent="0.2">
      <c r="A113" s="94" t="s">
        <v>11</v>
      </c>
      <c r="B113" s="94" t="s">
        <v>93</v>
      </c>
      <c r="C113" s="94" t="s">
        <v>217</v>
      </c>
      <c r="D113" s="94" t="s">
        <v>218</v>
      </c>
      <c r="E113" s="95">
        <v>72671</v>
      </c>
      <c r="F113" s="95"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f t="shared" si="3"/>
        <v>72671</v>
      </c>
    </row>
    <row r="114" spans="1:12" x14ac:dyDescent="0.2">
      <c r="A114" s="94" t="s">
        <v>11</v>
      </c>
      <c r="B114" s="94" t="s">
        <v>123</v>
      </c>
      <c r="C114" s="94" t="s">
        <v>219</v>
      </c>
      <c r="D114" s="94" t="s">
        <v>168</v>
      </c>
      <c r="E114" s="95">
        <v>437351</v>
      </c>
      <c r="F114" s="95">
        <v>0</v>
      </c>
      <c r="G114" s="95">
        <v>0</v>
      </c>
      <c r="H114" s="95">
        <v>0</v>
      </c>
      <c r="I114" s="95">
        <v>0</v>
      </c>
      <c r="J114" s="95">
        <v>0</v>
      </c>
      <c r="K114" s="95">
        <f t="shared" si="3"/>
        <v>437351</v>
      </c>
    </row>
    <row r="115" spans="1:12" x14ac:dyDescent="0.2">
      <c r="A115" s="94" t="s">
        <v>11</v>
      </c>
      <c r="B115" s="94" t="s">
        <v>123</v>
      </c>
      <c r="C115" s="94" t="s">
        <v>156</v>
      </c>
      <c r="D115" s="94" t="s">
        <v>70</v>
      </c>
      <c r="E115" s="95">
        <v>13126977.52</v>
      </c>
      <c r="F115" s="95">
        <v>1706910.88</v>
      </c>
      <c r="G115" s="95">
        <f>-231371+56073.25</f>
        <v>-175297.75</v>
      </c>
      <c r="H115" s="95">
        <v>0</v>
      </c>
      <c r="I115" s="95">
        <v>0</v>
      </c>
      <c r="J115" s="95">
        <v>0</v>
      </c>
      <c r="K115" s="95">
        <f t="shared" si="3"/>
        <v>14658590.649999999</v>
      </c>
    </row>
    <row r="116" spans="1:12" x14ac:dyDescent="0.2">
      <c r="A116" s="94" t="s">
        <v>11</v>
      </c>
      <c r="B116" s="94" t="s">
        <v>123</v>
      </c>
      <c r="C116" s="94" t="s">
        <v>154</v>
      </c>
      <c r="D116" s="94" t="s">
        <v>155</v>
      </c>
      <c r="E116" s="95">
        <v>5500003.5700000003</v>
      </c>
      <c r="F116" s="95">
        <v>436053.21</v>
      </c>
      <c r="G116" s="95">
        <v>0</v>
      </c>
      <c r="H116" s="95">
        <v>0</v>
      </c>
      <c r="I116" s="95">
        <v>0</v>
      </c>
      <c r="J116" s="95">
        <v>0</v>
      </c>
      <c r="K116" s="95">
        <f t="shared" si="3"/>
        <v>5936056.7800000003</v>
      </c>
    </row>
    <row r="117" spans="1:12" x14ac:dyDescent="0.2">
      <c r="A117" s="94" t="s">
        <v>11</v>
      </c>
      <c r="B117" s="94" t="s">
        <v>123</v>
      </c>
      <c r="C117" s="94" t="s">
        <v>152</v>
      </c>
      <c r="D117" s="94" t="s">
        <v>153</v>
      </c>
      <c r="E117" s="95">
        <v>5512878.1300000008</v>
      </c>
      <c r="F117" s="95">
        <v>498170.7</v>
      </c>
      <c r="G117" s="95">
        <v>-70549.63</v>
      </c>
      <c r="H117" s="95">
        <v>0</v>
      </c>
      <c r="I117" s="95">
        <v>0</v>
      </c>
      <c r="J117" s="95">
        <v>0</v>
      </c>
      <c r="K117" s="95">
        <f t="shared" si="3"/>
        <v>5940499.2000000011</v>
      </c>
    </row>
    <row r="118" spans="1:12" x14ac:dyDescent="0.2">
      <c r="A118" s="94" t="s">
        <v>11</v>
      </c>
      <c r="B118" s="94" t="s">
        <v>123</v>
      </c>
      <c r="C118" s="94" t="s">
        <v>150</v>
      </c>
      <c r="D118" s="94" t="s">
        <v>151</v>
      </c>
      <c r="E118" s="95">
        <v>18413043.41</v>
      </c>
      <c r="F118" s="95">
        <v>7551443.3099999996</v>
      </c>
      <c r="G118" s="95">
        <v>-2853152.8</v>
      </c>
      <c r="H118" s="95">
        <v>0</v>
      </c>
      <c r="I118" s="95">
        <v>0</v>
      </c>
      <c r="J118" s="95">
        <v>0</v>
      </c>
      <c r="K118" s="95">
        <f t="shared" si="3"/>
        <v>23111333.919999998</v>
      </c>
    </row>
    <row r="119" spans="1:12" x14ac:dyDescent="0.2">
      <c r="A119" s="94" t="s">
        <v>11</v>
      </c>
      <c r="B119" s="94" t="s">
        <v>123</v>
      </c>
      <c r="C119" s="94" t="s">
        <v>148</v>
      </c>
      <c r="D119" s="94" t="s">
        <v>149</v>
      </c>
      <c r="E119" s="95">
        <v>0</v>
      </c>
      <c r="F119" s="95">
        <v>0</v>
      </c>
      <c r="G119" s="95">
        <v>0</v>
      </c>
      <c r="H119" s="95">
        <v>0</v>
      </c>
      <c r="I119" s="95">
        <v>0</v>
      </c>
      <c r="J119" s="95">
        <v>0</v>
      </c>
      <c r="K119" s="95">
        <f t="shared" si="3"/>
        <v>0</v>
      </c>
    </row>
    <row r="120" spans="1:12" x14ac:dyDescent="0.2">
      <c r="A120" s="94" t="s">
        <v>11</v>
      </c>
      <c r="B120" s="94" t="s">
        <v>123</v>
      </c>
      <c r="C120" s="94" t="s">
        <v>146</v>
      </c>
      <c r="D120" s="94" t="s">
        <v>147</v>
      </c>
      <c r="E120" s="95">
        <v>0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f t="shared" si="3"/>
        <v>0</v>
      </c>
    </row>
    <row r="121" spans="1:12" x14ac:dyDescent="0.2">
      <c r="A121" s="94" t="s">
        <v>11</v>
      </c>
      <c r="B121" s="94" t="s">
        <v>123</v>
      </c>
      <c r="C121" s="94" t="s">
        <v>273</v>
      </c>
      <c r="D121" s="94" t="s">
        <v>274</v>
      </c>
      <c r="E121" s="95">
        <v>113539.29999999999</v>
      </c>
      <c r="F121" s="95">
        <v>307631.96000000002</v>
      </c>
      <c r="G121" s="95">
        <v>0</v>
      </c>
      <c r="H121" s="95">
        <v>0</v>
      </c>
      <c r="I121" s="95">
        <v>0</v>
      </c>
      <c r="J121" s="95">
        <v>0</v>
      </c>
      <c r="K121" s="95">
        <f t="shared" si="3"/>
        <v>421171.26</v>
      </c>
      <c r="L121" s="1" t="s">
        <v>313</v>
      </c>
    </row>
    <row r="122" spans="1:12" x14ac:dyDescent="0.2">
      <c r="A122" s="94" t="s">
        <v>11</v>
      </c>
      <c r="B122" s="94" t="s">
        <v>123</v>
      </c>
      <c r="C122" s="94" t="s">
        <v>144</v>
      </c>
      <c r="D122" s="94" t="s">
        <v>145</v>
      </c>
      <c r="E122" s="95">
        <v>11704066.540000001</v>
      </c>
      <c r="F122" s="95">
        <v>3508973.46</v>
      </c>
      <c r="G122" s="95">
        <v>-1726027.74</v>
      </c>
      <c r="H122" s="95">
        <v>0</v>
      </c>
      <c r="I122" s="95">
        <v>500879</v>
      </c>
      <c r="J122" s="95">
        <v>0</v>
      </c>
      <c r="K122" s="95">
        <f t="shared" si="3"/>
        <v>13987891.26</v>
      </c>
    </row>
    <row r="123" spans="1:12" x14ac:dyDescent="0.2">
      <c r="A123" s="94" t="s">
        <v>11</v>
      </c>
      <c r="B123" s="94" t="s">
        <v>123</v>
      </c>
      <c r="C123" s="94" t="s">
        <v>220</v>
      </c>
      <c r="D123" s="94" t="s">
        <v>221</v>
      </c>
      <c r="E123" s="95">
        <v>119406</v>
      </c>
      <c r="F123" s="95"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f t="shared" si="3"/>
        <v>119406</v>
      </c>
    </row>
    <row r="124" spans="1:12" x14ac:dyDescent="0.2">
      <c r="A124" s="94" t="s">
        <v>11</v>
      </c>
      <c r="B124" s="94" t="s">
        <v>123</v>
      </c>
      <c r="C124" s="94" t="s">
        <v>142</v>
      </c>
      <c r="D124" s="94" t="s">
        <v>143</v>
      </c>
      <c r="E124" s="95">
        <v>5350007.6099999994</v>
      </c>
      <c r="F124" s="95">
        <v>484005.19</v>
      </c>
      <c r="G124" s="95">
        <v>0</v>
      </c>
      <c r="H124" s="95">
        <v>0</v>
      </c>
      <c r="I124" s="95">
        <v>35573.71</v>
      </c>
      <c r="J124" s="95">
        <v>0</v>
      </c>
      <c r="K124" s="95">
        <f t="shared" si="3"/>
        <v>5869586.5099999998</v>
      </c>
    </row>
    <row r="125" spans="1:12" x14ac:dyDescent="0.2">
      <c r="A125" s="94" t="s">
        <v>11</v>
      </c>
      <c r="B125" s="94" t="s">
        <v>123</v>
      </c>
      <c r="C125" s="94" t="s">
        <v>222</v>
      </c>
      <c r="D125" s="94" t="s">
        <v>223</v>
      </c>
      <c r="E125" s="95">
        <v>267.87</v>
      </c>
      <c r="F125" s="95">
        <v>-9.9600000000000009</v>
      </c>
      <c r="G125" s="95">
        <v>-277</v>
      </c>
      <c r="H125" s="95">
        <v>0</v>
      </c>
      <c r="I125" s="95">
        <v>0</v>
      </c>
      <c r="J125" s="95">
        <v>0</v>
      </c>
      <c r="K125" s="95">
        <f t="shared" si="3"/>
        <v>-19.089999999999975</v>
      </c>
    </row>
    <row r="126" spans="1:12" x14ac:dyDescent="0.2">
      <c r="A126" s="94" t="s">
        <v>11</v>
      </c>
      <c r="B126" s="94" t="s">
        <v>123</v>
      </c>
      <c r="C126" s="94" t="s">
        <v>140</v>
      </c>
      <c r="D126" s="94" t="s">
        <v>141</v>
      </c>
      <c r="E126" s="95">
        <v>2399535.7300000004</v>
      </c>
      <c r="F126" s="95">
        <v>455433.78</v>
      </c>
      <c r="G126" s="95">
        <v>-9990.4699999999993</v>
      </c>
      <c r="H126" s="95">
        <v>0</v>
      </c>
      <c r="I126" s="95">
        <v>176610</v>
      </c>
      <c r="J126" s="95">
        <v>0</v>
      </c>
      <c r="K126" s="95">
        <f t="shared" si="3"/>
        <v>3021589.0400000005</v>
      </c>
    </row>
    <row r="127" spans="1:12" x14ac:dyDescent="0.2">
      <c r="A127" s="94" t="s">
        <v>11</v>
      </c>
      <c r="B127" s="94" t="s">
        <v>123</v>
      </c>
      <c r="C127" s="94" t="s">
        <v>138</v>
      </c>
      <c r="D127" s="94" t="s">
        <v>139</v>
      </c>
      <c r="E127" s="95">
        <v>53197.22</v>
      </c>
      <c r="F127" s="95">
        <v>7009.09</v>
      </c>
      <c r="G127" s="95">
        <v>-20921.45</v>
      </c>
      <c r="H127" s="95">
        <v>0</v>
      </c>
      <c r="I127" s="95">
        <v>0</v>
      </c>
      <c r="J127" s="95">
        <v>0</v>
      </c>
      <c r="K127" s="95">
        <f t="shared" si="3"/>
        <v>39284.86</v>
      </c>
    </row>
    <row r="128" spans="1:12" x14ac:dyDescent="0.2">
      <c r="A128" s="94" t="s">
        <v>11</v>
      </c>
      <c r="B128" s="94" t="s">
        <v>123</v>
      </c>
      <c r="C128" s="94" t="s">
        <v>136</v>
      </c>
      <c r="D128" s="94" t="s">
        <v>137</v>
      </c>
      <c r="E128" s="95">
        <v>118585.64</v>
      </c>
      <c r="F128" s="95">
        <v>389053.14</v>
      </c>
      <c r="G128" s="95">
        <v>0</v>
      </c>
      <c r="H128" s="95">
        <v>0</v>
      </c>
      <c r="I128" s="95">
        <v>0</v>
      </c>
      <c r="J128" s="95">
        <v>0</v>
      </c>
      <c r="K128" s="95">
        <f t="shared" si="3"/>
        <v>507638.78</v>
      </c>
    </row>
    <row r="129" spans="1:11" x14ac:dyDescent="0.2">
      <c r="A129" s="94" t="s">
        <v>11</v>
      </c>
      <c r="B129" s="94" t="s">
        <v>123</v>
      </c>
      <c r="C129" s="94" t="s">
        <v>134</v>
      </c>
      <c r="D129" s="94" t="s">
        <v>135</v>
      </c>
      <c r="E129" s="95">
        <v>-6055.6</v>
      </c>
      <c r="F129" s="95">
        <v>-17469</v>
      </c>
      <c r="G129" s="95">
        <v>0</v>
      </c>
      <c r="H129" s="95">
        <v>0</v>
      </c>
      <c r="I129" s="95">
        <v>0</v>
      </c>
      <c r="J129" s="95">
        <v>0</v>
      </c>
      <c r="K129" s="95">
        <f t="shared" si="3"/>
        <v>-23524.6</v>
      </c>
    </row>
    <row r="130" spans="1:11" x14ac:dyDescent="0.2">
      <c r="A130" s="94" t="s">
        <v>11</v>
      </c>
      <c r="B130" s="94" t="s">
        <v>123</v>
      </c>
      <c r="C130" s="94" t="s">
        <v>132</v>
      </c>
      <c r="D130" s="94" t="s">
        <v>133</v>
      </c>
      <c r="E130" s="95">
        <v>385537.15</v>
      </c>
      <c r="F130" s="95">
        <v>339488.98</v>
      </c>
      <c r="G130" s="95">
        <v>-1730.6</v>
      </c>
      <c r="H130" s="95">
        <v>0</v>
      </c>
      <c r="I130" s="95">
        <v>0</v>
      </c>
      <c r="J130" s="95">
        <v>0</v>
      </c>
      <c r="K130" s="95">
        <f t="shared" si="3"/>
        <v>723295.53</v>
      </c>
    </row>
    <row r="131" spans="1:11" x14ac:dyDescent="0.2">
      <c r="A131" s="94" t="s">
        <v>11</v>
      </c>
      <c r="B131" s="94" t="s">
        <v>123</v>
      </c>
      <c r="C131" s="94" t="s">
        <v>130</v>
      </c>
      <c r="D131" s="94" t="s">
        <v>131</v>
      </c>
      <c r="E131" s="95">
        <v>639007.99</v>
      </c>
      <c r="F131" s="95">
        <v>296735.09999999998</v>
      </c>
      <c r="G131" s="95">
        <v>0</v>
      </c>
      <c r="H131" s="95">
        <v>0</v>
      </c>
      <c r="I131" s="95">
        <v>0</v>
      </c>
      <c r="J131" s="95">
        <v>0</v>
      </c>
      <c r="K131" s="95">
        <f t="shared" ref="K131:K138" si="4">SUM(E131:J131)</f>
        <v>935743.09</v>
      </c>
    </row>
    <row r="132" spans="1:11" x14ac:dyDescent="0.2">
      <c r="A132" s="94" t="s">
        <v>11</v>
      </c>
      <c r="B132" s="94" t="s">
        <v>123</v>
      </c>
      <c r="C132" s="94" t="s">
        <v>128</v>
      </c>
      <c r="D132" s="94" t="s">
        <v>129</v>
      </c>
      <c r="E132" s="95">
        <v>429148.24</v>
      </c>
      <c r="F132" s="95">
        <v>33485.64</v>
      </c>
      <c r="G132" s="95">
        <v>0</v>
      </c>
      <c r="H132" s="95">
        <v>0</v>
      </c>
      <c r="I132" s="95">
        <v>0</v>
      </c>
      <c r="J132" s="95">
        <v>0</v>
      </c>
      <c r="K132" s="95">
        <f t="shared" si="4"/>
        <v>462633.88</v>
      </c>
    </row>
    <row r="133" spans="1:11" x14ac:dyDescent="0.2">
      <c r="A133" s="94" t="s">
        <v>11</v>
      </c>
      <c r="B133" s="94" t="s">
        <v>123</v>
      </c>
      <c r="C133" s="94" t="s">
        <v>224</v>
      </c>
      <c r="D133" s="94" t="s">
        <v>225</v>
      </c>
      <c r="E133" s="95">
        <v>0</v>
      </c>
      <c r="F133" s="95">
        <v>0</v>
      </c>
      <c r="G133" s="95">
        <v>0</v>
      </c>
      <c r="H133" s="95">
        <v>0</v>
      </c>
      <c r="I133" s="95">
        <v>0</v>
      </c>
      <c r="J133" s="95">
        <v>0</v>
      </c>
      <c r="K133" s="95">
        <f t="shared" si="4"/>
        <v>0</v>
      </c>
    </row>
    <row r="134" spans="1:11" x14ac:dyDescent="0.2">
      <c r="A134" s="94" t="s">
        <v>11</v>
      </c>
      <c r="B134" s="94" t="s">
        <v>123</v>
      </c>
      <c r="C134" s="94" t="s">
        <v>226</v>
      </c>
      <c r="D134" s="94" t="s">
        <v>227</v>
      </c>
      <c r="E134" s="95">
        <v>3906.44</v>
      </c>
      <c r="F134" s="95">
        <v>-494.04</v>
      </c>
      <c r="G134" s="95">
        <v>0</v>
      </c>
      <c r="H134" s="95">
        <v>0</v>
      </c>
      <c r="I134" s="95">
        <v>0</v>
      </c>
      <c r="J134" s="95">
        <v>0</v>
      </c>
      <c r="K134" s="95">
        <f t="shared" si="4"/>
        <v>3412.4</v>
      </c>
    </row>
    <row r="135" spans="1:11" x14ac:dyDescent="0.2">
      <c r="A135" s="94" t="s">
        <v>11</v>
      </c>
      <c r="B135" s="94" t="s">
        <v>123</v>
      </c>
      <c r="C135" s="94" t="s">
        <v>126</v>
      </c>
      <c r="D135" s="94" t="s">
        <v>127</v>
      </c>
      <c r="E135" s="95">
        <v>5654.07</v>
      </c>
      <c r="F135" s="95">
        <v>1541.97</v>
      </c>
      <c r="G135" s="95">
        <v>0</v>
      </c>
      <c r="H135" s="95">
        <v>0</v>
      </c>
      <c r="I135" s="95">
        <v>0</v>
      </c>
      <c r="J135" s="95">
        <v>0</v>
      </c>
      <c r="K135" s="95">
        <f t="shared" si="4"/>
        <v>7196.04</v>
      </c>
    </row>
    <row r="136" spans="1:11" x14ac:dyDescent="0.2">
      <c r="A136" s="94" t="s">
        <v>11</v>
      </c>
      <c r="B136" s="94" t="s">
        <v>123</v>
      </c>
      <c r="C136" s="94" t="s">
        <v>124</v>
      </c>
      <c r="D136" s="94" t="s">
        <v>125</v>
      </c>
      <c r="E136" s="95">
        <v>14873</v>
      </c>
      <c r="F136" s="95">
        <v>0</v>
      </c>
      <c r="G136" s="95">
        <v>0</v>
      </c>
      <c r="H136" s="95">
        <v>0</v>
      </c>
      <c r="I136" s="95">
        <v>0</v>
      </c>
      <c r="J136" s="95">
        <v>0</v>
      </c>
      <c r="K136" s="95">
        <f t="shared" si="4"/>
        <v>14873</v>
      </c>
    </row>
    <row r="137" spans="1:11" x14ac:dyDescent="0.2">
      <c r="A137" s="94" t="s">
        <v>11</v>
      </c>
      <c r="B137" s="94" t="s">
        <v>123</v>
      </c>
      <c r="C137" s="94" t="s">
        <v>228</v>
      </c>
      <c r="D137" s="94" t="s">
        <v>229</v>
      </c>
      <c r="E137" s="95">
        <v>10120</v>
      </c>
      <c r="F137" s="95">
        <v>0</v>
      </c>
      <c r="G137" s="95">
        <v>0</v>
      </c>
      <c r="H137" s="95">
        <v>0</v>
      </c>
      <c r="I137" s="95">
        <v>0</v>
      </c>
      <c r="J137" s="95">
        <v>0</v>
      </c>
      <c r="K137" s="95">
        <f t="shared" si="4"/>
        <v>10120</v>
      </c>
    </row>
    <row r="138" spans="1:11" x14ac:dyDescent="0.2">
      <c r="A138" s="94" t="s">
        <v>11</v>
      </c>
      <c r="B138" s="94" t="s">
        <v>123</v>
      </c>
      <c r="C138" s="94" t="s">
        <v>230</v>
      </c>
      <c r="D138" s="94" t="s">
        <v>231</v>
      </c>
      <c r="E138" s="95">
        <v>66739</v>
      </c>
      <c r="F138" s="95">
        <v>0</v>
      </c>
      <c r="G138" s="95">
        <v>0</v>
      </c>
      <c r="H138" s="95">
        <v>0</v>
      </c>
      <c r="I138" s="95">
        <v>0</v>
      </c>
      <c r="J138" s="95">
        <v>0</v>
      </c>
      <c r="K138" s="95">
        <f t="shared" si="4"/>
        <v>66739</v>
      </c>
    </row>
    <row r="139" spans="1:11" x14ac:dyDescent="0.2">
      <c r="A139" s="138" t="s">
        <v>244</v>
      </c>
      <c r="B139" s="138" t="s">
        <v>244</v>
      </c>
      <c r="C139" s="138" t="s">
        <v>244</v>
      </c>
      <c r="D139" s="138" t="s">
        <v>244</v>
      </c>
      <c r="E139" s="140">
        <f>SUM(E3:E138)</f>
        <v>1443702368.3000002</v>
      </c>
      <c r="F139" s="140">
        <f>SUM(F3:F138)</f>
        <v>101433302.73999998</v>
      </c>
      <c r="G139" s="140">
        <f t="shared" ref="G139:K139" si="5">SUM(G3:G138)</f>
        <v>-19143392.739999998</v>
      </c>
      <c r="H139" s="140">
        <f t="shared" si="5"/>
        <v>-1202677.93</v>
      </c>
      <c r="I139" s="140">
        <f t="shared" si="5"/>
        <v>795206.37</v>
      </c>
      <c r="J139" s="140">
        <f t="shared" si="5"/>
        <v>463610.33</v>
      </c>
      <c r="K139" s="140">
        <f t="shared" si="5"/>
        <v>1526048417.0700002</v>
      </c>
    </row>
    <row r="141" spans="1:11" x14ac:dyDescent="0.2">
      <c r="D141" s="14" t="s">
        <v>314</v>
      </c>
      <c r="E141" s="69">
        <v>1430766.51</v>
      </c>
      <c r="F141" s="69">
        <v>3858150.93</v>
      </c>
      <c r="G141" s="69"/>
      <c r="H141" s="69"/>
      <c r="I141" s="69"/>
      <c r="J141" s="69"/>
      <c r="K141" s="69">
        <v>5288917.4399999995</v>
      </c>
    </row>
    <row r="142" spans="1:11" x14ac:dyDescent="0.2">
      <c r="D142" s="14" t="str">
        <f>D122</f>
        <v>TRANSPORTATION EQUIPMENT</v>
      </c>
      <c r="E142" s="69">
        <f>E122</f>
        <v>11704066.540000001</v>
      </c>
      <c r="F142" s="69">
        <f t="shared" ref="F142:K142" si="6">F122</f>
        <v>3508973.46</v>
      </c>
      <c r="G142" s="69">
        <f t="shared" si="6"/>
        <v>-1726027.74</v>
      </c>
      <c r="H142" s="69">
        <f t="shared" si="6"/>
        <v>0</v>
      </c>
      <c r="I142" s="69">
        <f t="shared" si="6"/>
        <v>500879</v>
      </c>
      <c r="J142" s="69">
        <f t="shared" si="6"/>
        <v>0</v>
      </c>
      <c r="K142" s="69">
        <f t="shared" si="6"/>
        <v>13987891.26</v>
      </c>
    </row>
    <row r="143" spans="1:11" x14ac:dyDescent="0.2">
      <c r="D143" s="14" t="str">
        <f>D124</f>
        <v>TOOLS - SHOP &amp; GARAGE EQUIPUI</v>
      </c>
      <c r="E143" s="69">
        <f>E124</f>
        <v>5350007.6099999994</v>
      </c>
      <c r="F143" s="69">
        <f t="shared" ref="F143:K143" si="7">F124</f>
        <v>484005.19</v>
      </c>
      <c r="G143" s="69">
        <f t="shared" si="7"/>
        <v>0</v>
      </c>
      <c r="H143" s="69">
        <f t="shared" si="7"/>
        <v>0</v>
      </c>
      <c r="I143" s="69">
        <f t="shared" si="7"/>
        <v>35573.71</v>
      </c>
      <c r="J143" s="69">
        <f t="shared" si="7"/>
        <v>0</v>
      </c>
      <c r="K143" s="69">
        <f t="shared" si="7"/>
        <v>5869586.5099999998</v>
      </c>
    </row>
    <row r="145" spans="5:11" x14ac:dyDescent="0.2">
      <c r="E145" s="137">
        <f>E139-E141-E142-E143</f>
        <v>1425217527.6400003</v>
      </c>
      <c r="F145" s="137">
        <f t="shared" ref="F145:K145" si="8">F139-F141-F142-F143</f>
        <v>93582173.159999982</v>
      </c>
      <c r="G145" s="137">
        <f t="shared" si="8"/>
        <v>-17417365</v>
      </c>
      <c r="H145" s="137">
        <f t="shared" si="8"/>
        <v>-1202677.93</v>
      </c>
      <c r="I145" s="137">
        <f t="shared" si="8"/>
        <v>258753.66</v>
      </c>
      <c r="J145" s="137">
        <f t="shared" si="8"/>
        <v>463610.33</v>
      </c>
      <c r="K145" s="137">
        <f t="shared" si="8"/>
        <v>1500902021.8600001</v>
      </c>
    </row>
    <row r="147" spans="5:11" x14ac:dyDescent="0.2">
      <c r="E147" s="61"/>
      <c r="F147" s="61"/>
      <c r="G147" s="61"/>
      <c r="H147" s="61"/>
      <c r="I147" s="61"/>
      <c r="J147" s="61"/>
      <c r="K147" s="61"/>
    </row>
  </sheetData>
  <autoFilter ref="A2:K139" xr:uid="{C9A12F71-AB03-4AF4-A154-CE9DC1A73537}"/>
  <sortState ref="A3:K138">
    <sortCondition ref="B3:B138"/>
    <sortCondition ref="C3:C138"/>
  </sortState>
  <pageMargins left="0.75" right="0.75" top="1" bottom="1" header="0.5" footer="0.5"/>
  <pageSetup paperSize="9" orientation="portrait" verticalDpi="0" r:id="rId1"/>
  <headerFooter>
    <oddHeader>&amp;RExh. KTW-5 Walker WP7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CC3B-6CD9-437E-849A-C06356840E49}">
  <dimension ref="A1:L145"/>
  <sheetViews>
    <sheetView showGridLines="0" zoomScale="85" zoomScaleNormal="85" workbookViewId="0">
      <selection activeCell="A3" sqref="A3"/>
    </sheetView>
  </sheetViews>
  <sheetFormatPr defaultColWidth="8" defaultRowHeight="12.75" x14ac:dyDescent="0.2"/>
  <cols>
    <col min="1" max="1" width="8.28515625" style="2" bestFit="1" customWidth="1"/>
    <col min="2" max="2" width="8.42578125" style="2" bestFit="1" customWidth="1"/>
    <col min="3" max="3" width="6.5703125" style="2" bestFit="1" customWidth="1"/>
    <col min="4" max="4" width="41.28515625" style="2" bestFit="1" customWidth="1"/>
    <col min="5" max="5" width="16.42578125" style="2" bestFit="1" customWidth="1"/>
    <col min="6" max="6" width="14" style="2" bestFit="1" customWidth="1"/>
    <col min="7" max="7" width="14.42578125" style="2" bestFit="1" customWidth="1"/>
    <col min="8" max="8" width="13.42578125" style="2" bestFit="1" customWidth="1"/>
    <col min="9" max="10" width="11.28515625" style="2" bestFit="1" customWidth="1"/>
    <col min="11" max="11" width="16.42578125" style="2" bestFit="1" customWidth="1"/>
    <col min="12" max="16384" width="8" style="2"/>
  </cols>
  <sheetData>
    <row r="1" spans="1:11" x14ac:dyDescent="0.2">
      <c r="E1" s="64" t="s">
        <v>277</v>
      </c>
      <c r="F1" s="1"/>
      <c r="G1" s="1"/>
      <c r="H1" s="1"/>
      <c r="I1" s="1"/>
      <c r="J1" s="1"/>
      <c r="K1" s="64" t="s">
        <v>278</v>
      </c>
    </row>
    <row r="2" spans="1:11" x14ac:dyDescent="0.2">
      <c r="A2" s="143" t="s">
        <v>0</v>
      </c>
      <c r="B2" s="143" t="s">
        <v>1</v>
      </c>
      <c r="C2" s="143" t="s">
        <v>2</v>
      </c>
      <c r="D2" s="143" t="s">
        <v>3</v>
      </c>
      <c r="E2" s="143" t="s">
        <v>4</v>
      </c>
      <c r="F2" s="143" t="s">
        <v>5</v>
      </c>
      <c r="G2" s="143" t="s">
        <v>6</v>
      </c>
      <c r="H2" s="143" t="s">
        <v>7</v>
      </c>
      <c r="I2" s="143" t="s">
        <v>8</v>
      </c>
      <c r="J2" s="143" t="s">
        <v>9</v>
      </c>
      <c r="K2" s="143" t="s">
        <v>10</v>
      </c>
    </row>
    <row r="3" spans="1:11" x14ac:dyDescent="0.2">
      <c r="A3" s="144" t="s">
        <v>11</v>
      </c>
      <c r="B3" s="144" t="s">
        <v>12</v>
      </c>
      <c r="C3" s="144" t="s">
        <v>157</v>
      </c>
      <c r="D3" s="144" t="s">
        <v>158</v>
      </c>
      <c r="E3" s="96">
        <v>0</v>
      </c>
      <c r="F3" s="96">
        <v>0</v>
      </c>
      <c r="G3" s="96">
        <v>0</v>
      </c>
      <c r="H3" s="96">
        <v>0</v>
      </c>
      <c r="I3" s="96">
        <v>0</v>
      </c>
      <c r="J3" s="96">
        <v>0</v>
      </c>
      <c r="K3" s="96">
        <f t="shared" ref="K3:K34" si="0">SUM(E3:J3)</f>
        <v>0</v>
      </c>
    </row>
    <row r="4" spans="1:11" x14ac:dyDescent="0.2">
      <c r="A4" s="144" t="s">
        <v>11</v>
      </c>
      <c r="B4" s="144" t="s">
        <v>12</v>
      </c>
      <c r="C4" s="144" t="s">
        <v>159</v>
      </c>
      <c r="D4" s="144" t="s">
        <v>160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f t="shared" si="0"/>
        <v>0</v>
      </c>
    </row>
    <row r="5" spans="1:11" x14ac:dyDescent="0.2">
      <c r="A5" s="144" t="s">
        <v>11</v>
      </c>
      <c r="B5" s="144" t="s">
        <v>12</v>
      </c>
      <c r="C5" s="144" t="s">
        <v>15</v>
      </c>
      <c r="D5" s="144" t="s">
        <v>16</v>
      </c>
      <c r="E5" s="96">
        <v>33634809.030000001</v>
      </c>
      <c r="F5" s="96">
        <v>6419734.6500000004</v>
      </c>
      <c r="G5" s="96">
        <v>0</v>
      </c>
      <c r="H5" s="96">
        <v>0</v>
      </c>
      <c r="I5" s="96">
        <v>0</v>
      </c>
      <c r="J5" s="96">
        <v>0</v>
      </c>
      <c r="K5" s="96">
        <f t="shared" si="0"/>
        <v>40054543.68</v>
      </c>
    </row>
    <row r="6" spans="1:11" x14ac:dyDescent="0.2">
      <c r="A6" s="144" t="s">
        <v>11</v>
      </c>
      <c r="B6" s="144" t="s">
        <v>12</v>
      </c>
      <c r="C6" s="144" t="s">
        <v>161</v>
      </c>
      <c r="D6" s="144" t="s">
        <v>147</v>
      </c>
      <c r="E6" s="96">
        <v>30485095.07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f t="shared" si="0"/>
        <v>30485095.07</v>
      </c>
    </row>
    <row r="7" spans="1:11" x14ac:dyDescent="0.2">
      <c r="A7" s="144" t="s">
        <v>11</v>
      </c>
      <c r="B7" s="144" t="s">
        <v>12</v>
      </c>
      <c r="C7" s="144" t="s">
        <v>162</v>
      </c>
      <c r="D7" s="144" t="s">
        <v>163</v>
      </c>
      <c r="E7" s="96">
        <v>4146951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f t="shared" si="0"/>
        <v>4146951</v>
      </c>
    </row>
    <row r="8" spans="1:11" x14ac:dyDescent="0.2">
      <c r="A8" s="144" t="s">
        <v>11</v>
      </c>
      <c r="B8" s="144" t="s">
        <v>12</v>
      </c>
      <c r="C8" s="144" t="s">
        <v>13</v>
      </c>
      <c r="D8" s="144" t="s">
        <v>14</v>
      </c>
      <c r="E8" s="96">
        <v>682892.52</v>
      </c>
      <c r="F8" s="96">
        <v>0</v>
      </c>
      <c r="G8" s="96">
        <v>-682892.55</v>
      </c>
      <c r="H8" s="96">
        <v>0</v>
      </c>
      <c r="I8" s="96">
        <v>0</v>
      </c>
      <c r="J8" s="96">
        <v>0</v>
      </c>
      <c r="K8" s="96">
        <f t="shared" si="0"/>
        <v>-3.0000000027939677E-2</v>
      </c>
    </row>
    <row r="9" spans="1:11" x14ac:dyDescent="0.2">
      <c r="A9" s="144" t="s">
        <v>11</v>
      </c>
      <c r="B9" s="144" t="s">
        <v>12</v>
      </c>
      <c r="C9" s="144" t="s">
        <v>164</v>
      </c>
      <c r="D9" s="144" t="s">
        <v>165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f t="shared" si="0"/>
        <v>0</v>
      </c>
    </row>
    <row r="10" spans="1:11" x14ac:dyDescent="0.2">
      <c r="A10" s="144" t="s">
        <v>11</v>
      </c>
      <c r="B10" s="144" t="s">
        <v>12</v>
      </c>
      <c r="C10" s="144" t="s">
        <v>247</v>
      </c>
      <c r="D10" s="144" t="s">
        <v>248</v>
      </c>
      <c r="E10" s="96">
        <v>33422.75</v>
      </c>
      <c r="F10" s="96">
        <v>90370.76</v>
      </c>
      <c r="G10" s="96">
        <v>0</v>
      </c>
      <c r="H10" s="96">
        <v>0</v>
      </c>
      <c r="I10" s="96">
        <v>0</v>
      </c>
      <c r="J10" s="96">
        <v>0</v>
      </c>
      <c r="K10" s="96">
        <f t="shared" si="0"/>
        <v>123793.51</v>
      </c>
    </row>
    <row r="11" spans="1:11" x14ac:dyDescent="0.2">
      <c r="A11" s="144" t="s">
        <v>11</v>
      </c>
      <c r="B11" s="144" t="s">
        <v>12</v>
      </c>
      <c r="C11" s="144" t="s">
        <v>275</v>
      </c>
      <c r="D11" s="144" t="s">
        <v>276</v>
      </c>
      <c r="E11" s="96">
        <v>0</v>
      </c>
      <c r="F11" s="96">
        <v>218835.53</v>
      </c>
      <c r="G11" s="96">
        <v>0</v>
      </c>
      <c r="H11" s="96">
        <v>0</v>
      </c>
      <c r="I11" s="96">
        <v>0</v>
      </c>
      <c r="J11" s="96">
        <v>0</v>
      </c>
      <c r="K11" s="96">
        <f t="shared" si="0"/>
        <v>218835.53</v>
      </c>
    </row>
    <row r="12" spans="1:11" x14ac:dyDescent="0.2">
      <c r="A12" s="144" t="s">
        <v>11</v>
      </c>
      <c r="B12" s="144" t="s">
        <v>166</v>
      </c>
      <c r="C12" s="144" t="s">
        <v>167</v>
      </c>
      <c r="D12" s="144" t="s">
        <v>168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f t="shared" si="0"/>
        <v>0</v>
      </c>
    </row>
    <row r="13" spans="1:11" x14ac:dyDescent="0.2">
      <c r="A13" s="144" t="s">
        <v>11</v>
      </c>
      <c r="B13" s="144" t="s">
        <v>166</v>
      </c>
      <c r="C13" s="144" t="s">
        <v>173</v>
      </c>
      <c r="D13" s="144" t="s">
        <v>174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f t="shared" si="0"/>
        <v>0</v>
      </c>
    </row>
    <row r="14" spans="1:11" x14ac:dyDescent="0.2">
      <c r="A14" s="144" t="s">
        <v>11</v>
      </c>
      <c r="B14" s="144" t="s">
        <v>166</v>
      </c>
      <c r="C14" s="144" t="s">
        <v>175</v>
      </c>
      <c r="D14" s="144" t="s">
        <v>176</v>
      </c>
      <c r="E14" s="96">
        <v>13813.8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f t="shared" si="0"/>
        <v>13813.8</v>
      </c>
    </row>
    <row r="15" spans="1:11" x14ac:dyDescent="0.2">
      <c r="A15" s="144" t="s">
        <v>11</v>
      </c>
      <c r="B15" s="144" t="s">
        <v>166</v>
      </c>
      <c r="C15" s="144" t="s">
        <v>183</v>
      </c>
      <c r="D15" s="144" t="s">
        <v>184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f t="shared" si="0"/>
        <v>0</v>
      </c>
    </row>
    <row r="16" spans="1:11" x14ac:dyDescent="0.2">
      <c r="A16" s="144" t="s">
        <v>11</v>
      </c>
      <c r="B16" s="144" t="s">
        <v>166</v>
      </c>
      <c r="C16" s="144" t="s">
        <v>185</v>
      </c>
      <c r="D16" s="144" t="s">
        <v>186</v>
      </c>
      <c r="E16" s="96">
        <v>152140.79999999999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f t="shared" si="0"/>
        <v>152140.79999999999</v>
      </c>
    </row>
    <row r="17" spans="1:11" x14ac:dyDescent="0.2">
      <c r="A17" s="144" t="s">
        <v>11</v>
      </c>
      <c r="B17" s="144" t="s">
        <v>166</v>
      </c>
      <c r="C17" s="144" t="s">
        <v>187</v>
      </c>
      <c r="D17" s="144" t="s">
        <v>188</v>
      </c>
      <c r="E17" s="96">
        <v>255728.55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f t="shared" si="0"/>
        <v>255728.55</v>
      </c>
    </row>
    <row r="18" spans="1:11" x14ac:dyDescent="0.2">
      <c r="A18" s="144" t="s">
        <v>11</v>
      </c>
      <c r="B18" s="144" t="s">
        <v>166</v>
      </c>
      <c r="C18" s="144" t="s">
        <v>191</v>
      </c>
      <c r="D18" s="144" t="s">
        <v>192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f t="shared" si="0"/>
        <v>0</v>
      </c>
    </row>
    <row r="19" spans="1:11" x14ac:dyDescent="0.2">
      <c r="A19" s="144" t="s">
        <v>11</v>
      </c>
      <c r="B19" s="144" t="s">
        <v>166</v>
      </c>
      <c r="C19" s="144" t="s">
        <v>193</v>
      </c>
      <c r="D19" s="144" t="s">
        <v>194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f t="shared" si="0"/>
        <v>0</v>
      </c>
    </row>
    <row r="20" spans="1:11" x14ac:dyDescent="0.2">
      <c r="A20" s="144" t="s">
        <v>11</v>
      </c>
      <c r="B20" s="144" t="s">
        <v>166</v>
      </c>
      <c r="C20" s="144" t="s">
        <v>195</v>
      </c>
      <c r="D20" s="144" t="s">
        <v>192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f t="shared" si="0"/>
        <v>0</v>
      </c>
    </row>
    <row r="21" spans="1:11" x14ac:dyDescent="0.2">
      <c r="A21" s="144" t="s">
        <v>11</v>
      </c>
      <c r="B21" s="144" t="s">
        <v>166</v>
      </c>
      <c r="C21" s="144" t="s">
        <v>196</v>
      </c>
      <c r="D21" s="144" t="s">
        <v>194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f t="shared" si="0"/>
        <v>0</v>
      </c>
    </row>
    <row r="22" spans="1:11" x14ac:dyDescent="0.2">
      <c r="A22" s="144" t="s">
        <v>11</v>
      </c>
      <c r="B22" s="144" t="s">
        <v>166</v>
      </c>
      <c r="C22" s="144" t="s">
        <v>197</v>
      </c>
      <c r="D22" s="144" t="s">
        <v>194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f t="shared" si="0"/>
        <v>0</v>
      </c>
    </row>
    <row r="23" spans="1:11" x14ac:dyDescent="0.2">
      <c r="A23" s="144" t="s">
        <v>11</v>
      </c>
      <c r="B23" s="144" t="s">
        <v>166</v>
      </c>
      <c r="C23" s="144" t="s">
        <v>198</v>
      </c>
      <c r="D23" s="144" t="s">
        <v>194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f t="shared" si="0"/>
        <v>0</v>
      </c>
    </row>
    <row r="24" spans="1:11" x14ac:dyDescent="0.2">
      <c r="A24" s="144" t="s">
        <v>11</v>
      </c>
      <c r="B24" s="144" t="s">
        <v>166</v>
      </c>
      <c r="C24" s="144" t="s">
        <v>199</v>
      </c>
      <c r="D24" s="144" t="s">
        <v>194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f t="shared" si="0"/>
        <v>0</v>
      </c>
    </row>
    <row r="25" spans="1:11" x14ac:dyDescent="0.2">
      <c r="A25" s="144" t="s">
        <v>11</v>
      </c>
      <c r="B25" s="144" t="s">
        <v>17</v>
      </c>
      <c r="C25" s="144" t="s">
        <v>169</v>
      </c>
      <c r="D25" s="144" t="s">
        <v>170</v>
      </c>
      <c r="E25" s="96">
        <v>8736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f t="shared" si="0"/>
        <v>8736</v>
      </c>
    </row>
    <row r="26" spans="1:11" x14ac:dyDescent="0.2">
      <c r="A26" s="144" t="s">
        <v>11</v>
      </c>
      <c r="B26" s="144" t="s">
        <v>17</v>
      </c>
      <c r="C26" s="144" t="s">
        <v>171</v>
      </c>
      <c r="D26" s="144" t="s">
        <v>172</v>
      </c>
      <c r="E26" s="96">
        <v>51245.7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f t="shared" si="0"/>
        <v>51245.7</v>
      </c>
    </row>
    <row r="27" spans="1:11" x14ac:dyDescent="0.2">
      <c r="A27" s="144" t="s">
        <v>11</v>
      </c>
      <c r="B27" s="144" t="s">
        <v>17</v>
      </c>
      <c r="C27" s="144" t="s">
        <v>18</v>
      </c>
      <c r="D27" s="144" t="s">
        <v>19</v>
      </c>
      <c r="E27" s="96">
        <v>-7.0000000000000007E-2</v>
      </c>
      <c r="F27" s="96">
        <v>-0.01</v>
      </c>
      <c r="G27" s="96">
        <v>0</v>
      </c>
      <c r="H27" s="96">
        <v>0</v>
      </c>
      <c r="I27" s="96">
        <v>0</v>
      </c>
      <c r="J27" s="96">
        <v>0</v>
      </c>
      <c r="K27" s="96">
        <f t="shared" si="0"/>
        <v>-0.08</v>
      </c>
    </row>
    <row r="28" spans="1:11" x14ac:dyDescent="0.2">
      <c r="A28" s="144" t="s">
        <v>11</v>
      </c>
      <c r="B28" s="144" t="s">
        <v>17</v>
      </c>
      <c r="C28" s="144" t="s">
        <v>177</v>
      </c>
      <c r="D28" s="144" t="s">
        <v>178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f t="shared" si="0"/>
        <v>0</v>
      </c>
    </row>
    <row r="29" spans="1:11" x14ac:dyDescent="0.2">
      <c r="A29" s="144" t="s">
        <v>11</v>
      </c>
      <c r="B29" s="144" t="s">
        <v>17</v>
      </c>
      <c r="C29" s="144" t="s">
        <v>179</v>
      </c>
      <c r="D29" s="144" t="s">
        <v>180</v>
      </c>
      <c r="E29" s="96">
        <v>8066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f t="shared" si="0"/>
        <v>8066</v>
      </c>
    </row>
    <row r="30" spans="1:11" x14ac:dyDescent="0.2">
      <c r="A30" s="144" t="s">
        <v>11</v>
      </c>
      <c r="B30" s="144" t="s">
        <v>17</v>
      </c>
      <c r="C30" s="144" t="s">
        <v>181</v>
      </c>
      <c r="D30" s="144" t="s">
        <v>182</v>
      </c>
      <c r="E30" s="96">
        <v>6584.5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f t="shared" si="0"/>
        <v>6584.5</v>
      </c>
    </row>
    <row r="31" spans="1:11" x14ac:dyDescent="0.2">
      <c r="A31" s="144" t="s">
        <v>11</v>
      </c>
      <c r="B31" s="144" t="s">
        <v>17</v>
      </c>
      <c r="C31" s="144" t="s">
        <v>189</v>
      </c>
      <c r="D31" s="144" t="s">
        <v>190</v>
      </c>
      <c r="E31" s="96">
        <v>194720.4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f t="shared" si="0"/>
        <v>194720.4</v>
      </c>
    </row>
    <row r="32" spans="1:11" x14ac:dyDescent="0.2">
      <c r="A32" s="144" t="s">
        <v>11</v>
      </c>
      <c r="B32" s="144" t="s">
        <v>20</v>
      </c>
      <c r="C32" s="144" t="s">
        <v>200</v>
      </c>
      <c r="D32" s="144" t="s">
        <v>168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f t="shared" si="0"/>
        <v>0</v>
      </c>
    </row>
    <row r="33" spans="1:11" x14ac:dyDescent="0.2">
      <c r="A33" s="144" t="s">
        <v>11</v>
      </c>
      <c r="B33" s="144" t="s">
        <v>20</v>
      </c>
      <c r="C33" s="144" t="s">
        <v>41</v>
      </c>
      <c r="D33" s="144" t="s">
        <v>42</v>
      </c>
      <c r="E33" s="96">
        <v>31611.91</v>
      </c>
      <c r="F33" s="96">
        <v>1567.64</v>
      </c>
      <c r="G33" s="96">
        <v>0</v>
      </c>
      <c r="H33" s="96">
        <v>0</v>
      </c>
      <c r="I33" s="96">
        <v>0</v>
      </c>
      <c r="J33" s="96">
        <v>0</v>
      </c>
      <c r="K33" s="96">
        <f t="shared" si="0"/>
        <v>33179.550000000003</v>
      </c>
    </row>
    <row r="34" spans="1:11" x14ac:dyDescent="0.2">
      <c r="A34" s="144" t="s">
        <v>11</v>
      </c>
      <c r="B34" s="144" t="s">
        <v>20</v>
      </c>
      <c r="C34" s="144" t="s">
        <v>249</v>
      </c>
      <c r="D34" s="144" t="s">
        <v>250</v>
      </c>
      <c r="E34" s="96">
        <v>3270.67</v>
      </c>
      <c r="F34" s="96">
        <v>8717.2199999999993</v>
      </c>
      <c r="G34" s="96">
        <v>0</v>
      </c>
      <c r="H34" s="96">
        <v>0</v>
      </c>
      <c r="I34" s="96">
        <v>0</v>
      </c>
      <c r="J34" s="96">
        <v>0</v>
      </c>
      <c r="K34" s="96">
        <f t="shared" si="0"/>
        <v>11987.89</v>
      </c>
    </row>
    <row r="35" spans="1:11" x14ac:dyDescent="0.2">
      <c r="A35" s="144" t="s">
        <v>11</v>
      </c>
      <c r="B35" s="144" t="s">
        <v>20</v>
      </c>
      <c r="C35" s="144" t="s">
        <v>39</v>
      </c>
      <c r="D35" s="144" t="s">
        <v>40</v>
      </c>
      <c r="E35" s="96">
        <v>3021424</v>
      </c>
      <c r="F35" s="96">
        <v>129505.22</v>
      </c>
      <c r="G35" s="96">
        <v>0</v>
      </c>
      <c r="H35" s="96">
        <v>0</v>
      </c>
      <c r="I35" s="96">
        <v>0</v>
      </c>
      <c r="J35" s="96">
        <v>0</v>
      </c>
      <c r="K35" s="96">
        <f t="shared" ref="K35:K66" si="1">SUM(E35:J35)</f>
        <v>3150929.22</v>
      </c>
    </row>
    <row r="36" spans="1:11" x14ac:dyDescent="0.2">
      <c r="A36" s="144" t="s">
        <v>11</v>
      </c>
      <c r="B36" s="144" t="s">
        <v>20</v>
      </c>
      <c r="C36" s="144" t="s">
        <v>251</v>
      </c>
      <c r="D36" s="144" t="s">
        <v>252</v>
      </c>
      <c r="E36" s="96">
        <v>43308.67</v>
      </c>
      <c r="F36" s="96">
        <v>116631</v>
      </c>
      <c r="G36" s="96">
        <v>0</v>
      </c>
      <c r="H36" s="96">
        <v>0</v>
      </c>
      <c r="I36" s="96">
        <v>0</v>
      </c>
      <c r="J36" s="96">
        <v>0</v>
      </c>
      <c r="K36" s="96">
        <f t="shared" si="1"/>
        <v>159939.66999999998</v>
      </c>
    </row>
    <row r="37" spans="1:11" x14ac:dyDescent="0.2">
      <c r="A37" s="144" t="s">
        <v>11</v>
      </c>
      <c r="B37" s="144" t="s">
        <v>20</v>
      </c>
      <c r="C37" s="144" t="s">
        <v>37</v>
      </c>
      <c r="D37" s="144" t="s">
        <v>38</v>
      </c>
      <c r="E37" s="96">
        <v>12518324.109999999</v>
      </c>
      <c r="F37" s="96">
        <v>381969.69</v>
      </c>
      <c r="G37" s="96">
        <v>0</v>
      </c>
      <c r="H37" s="96">
        <v>0</v>
      </c>
      <c r="I37" s="96">
        <v>0</v>
      </c>
      <c r="J37" s="96">
        <v>0</v>
      </c>
      <c r="K37" s="96">
        <f t="shared" si="1"/>
        <v>12900293.799999999</v>
      </c>
    </row>
    <row r="38" spans="1:11" x14ac:dyDescent="0.2">
      <c r="A38" s="144" t="s">
        <v>11</v>
      </c>
      <c r="B38" s="144" t="s">
        <v>20</v>
      </c>
      <c r="C38" s="144" t="s">
        <v>35</v>
      </c>
      <c r="D38" s="144" t="s">
        <v>36</v>
      </c>
      <c r="E38" s="96">
        <v>1794709.06</v>
      </c>
      <c r="F38" s="96">
        <v>65772.81</v>
      </c>
      <c r="G38" s="96">
        <v>0</v>
      </c>
      <c r="H38" s="96">
        <v>0</v>
      </c>
      <c r="I38" s="96">
        <v>0</v>
      </c>
      <c r="J38" s="96">
        <v>0</v>
      </c>
      <c r="K38" s="96">
        <f t="shared" si="1"/>
        <v>1860481.87</v>
      </c>
    </row>
    <row r="39" spans="1:11" x14ac:dyDescent="0.2">
      <c r="A39" s="144" t="s">
        <v>11</v>
      </c>
      <c r="B39" s="144" t="s">
        <v>20</v>
      </c>
      <c r="C39" s="144" t="s">
        <v>33</v>
      </c>
      <c r="D39" s="144" t="s">
        <v>34</v>
      </c>
      <c r="E39" s="96">
        <v>2768100.79</v>
      </c>
      <c r="F39" s="96">
        <v>125815.18</v>
      </c>
      <c r="G39" s="96">
        <v>0</v>
      </c>
      <c r="H39" s="96">
        <v>0</v>
      </c>
      <c r="I39" s="96">
        <v>0</v>
      </c>
      <c r="J39" s="96">
        <v>0</v>
      </c>
      <c r="K39" s="96">
        <f t="shared" si="1"/>
        <v>2893915.97</v>
      </c>
    </row>
    <row r="40" spans="1:11" x14ac:dyDescent="0.2">
      <c r="A40" s="144" t="s">
        <v>11</v>
      </c>
      <c r="B40" s="144" t="s">
        <v>20</v>
      </c>
      <c r="C40" s="144" t="s">
        <v>31</v>
      </c>
      <c r="D40" s="144" t="s">
        <v>32</v>
      </c>
      <c r="E40" s="96">
        <v>3634486.94</v>
      </c>
      <c r="F40" s="96">
        <v>101121.98</v>
      </c>
      <c r="G40" s="96">
        <v>0</v>
      </c>
      <c r="H40" s="96">
        <v>0</v>
      </c>
      <c r="I40" s="96">
        <v>0</v>
      </c>
      <c r="J40" s="96">
        <v>0</v>
      </c>
      <c r="K40" s="96">
        <f t="shared" si="1"/>
        <v>3735608.92</v>
      </c>
    </row>
    <row r="41" spans="1:11" x14ac:dyDescent="0.2">
      <c r="A41" s="144" t="s">
        <v>11</v>
      </c>
      <c r="B41" s="144" t="s">
        <v>20</v>
      </c>
      <c r="C41" s="144" t="s">
        <v>253</v>
      </c>
      <c r="D41" s="144" t="s">
        <v>254</v>
      </c>
      <c r="E41" s="96">
        <v>119716.95</v>
      </c>
      <c r="F41" s="96">
        <v>333735.78999999998</v>
      </c>
      <c r="G41" s="96">
        <v>0</v>
      </c>
      <c r="H41" s="96">
        <v>0</v>
      </c>
      <c r="I41" s="96">
        <v>0</v>
      </c>
      <c r="J41" s="96">
        <v>0</v>
      </c>
      <c r="K41" s="96">
        <f t="shared" si="1"/>
        <v>453452.74</v>
      </c>
    </row>
    <row r="42" spans="1:11" x14ac:dyDescent="0.2">
      <c r="A42" s="144" t="s">
        <v>11</v>
      </c>
      <c r="B42" s="144" t="s">
        <v>20</v>
      </c>
      <c r="C42" s="144" t="s">
        <v>255</v>
      </c>
      <c r="D42" s="144" t="s">
        <v>256</v>
      </c>
      <c r="E42" s="96">
        <v>19126.560000000001</v>
      </c>
      <c r="F42" s="96">
        <v>51133.63</v>
      </c>
      <c r="G42" s="96">
        <v>0</v>
      </c>
      <c r="H42" s="96">
        <v>0</v>
      </c>
      <c r="I42" s="96">
        <v>0</v>
      </c>
      <c r="J42" s="96">
        <v>0</v>
      </c>
      <c r="K42" s="96">
        <f t="shared" si="1"/>
        <v>70260.19</v>
      </c>
    </row>
    <row r="43" spans="1:11" x14ac:dyDescent="0.2">
      <c r="A43" s="144" t="s">
        <v>11</v>
      </c>
      <c r="B43" s="144" t="s">
        <v>20</v>
      </c>
      <c r="C43" s="144" t="s">
        <v>257</v>
      </c>
      <c r="D43" s="144" t="s">
        <v>258</v>
      </c>
      <c r="E43" s="96">
        <v>19715.07</v>
      </c>
      <c r="F43" s="96">
        <v>52706.96</v>
      </c>
      <c r="G43" s="96">
        <v>0</v>
      </c>
      <c r="H43" s="96">
        <v>0</v>
      </c>
      <c r="I43" s="96">
        <v>0</v>
      </c>
      <c r="J43" s="96">
        <v>0</v>
      </c>
      <c r="K43" s="96">
        <f t="shared" si="1"/>
        <v>72422.03</v>
      </c>
    </row>
    <row r="44" spans="1:11" x14ac:dyDescent="0.2">
      <c r="A44" s="144" t="s">
        <v>11</v>
      </c>
      <c r="B44" s="144" t="s">
        <v>20</v>
      </c>
      <c r="C44" s="144" t="s">
        <v>259</v>
      </c>
      <c r="D44" s="144" t="s">
        <v>260</v>
      </c>
      <c r="E44" s="96">
        <v>18982.46</v>
      </c>
      <c r="F44" s="96">
        <v>50749.7</v>
      </c>
      <c r="G44" s="96">
        <v>0</v>
      </c>
      <c r="H44" s="96">
        <v>0</v>
      </c>
      <c r="I44" s="96">
        <v>0</v>
      </c>
      <c r="J44" s="96">
        <v>0</v>
      </c>
      <c r="K44" s="96">
        <f t="shared" si="1"/>
        <v>69732.160000000003</v>
      </c>
    </row>
    <row r="45" spans="1:11" x14ac:dyDescent="0.2">
      <c r="A45" s="144" t="s">
        <v>11</v>
      </c>
      <c r="B45" s="144" t="s">
        <v>20</v>
      </c>
      <c r="C45" s="144" t="s">
        <v>29</v>
      </c>
      <c r="D45" s="144" t="s">
        <v>30</v>
      </c>
      <c r="E45" s="96">
        <v>3427036.5100000002</v>
      </c>
      <c r="F45" s="96">
        <v>165934.93</v>
      </c>
      <c r="G45" s="96">
        <v>0</v>
      </c>
      <c r="H45" s="96">
        <v>0</v>
      </c>
      <c r="I45" s="96">
        <v>0</v>
      </c>
      <c r="J45" s="96">
        <v>0</v>
      </c>
      <c r="K45" s="96">
        <f t="shared" si="1"/>
        <v>3592971.4400000004</v>
      </c>
    </row>
    <row r="46" spans="1:11" x14ac:dyDescent="0.2">
      <c r="A46" s="144" t="s">
        <v>11</v>
      </c>
      <c r="B46" s="144" t="s">
        <v>20</v>
      </c>
      <c r="C46" s="144" t="s">
        <v>261</v>
      </c>
      <c r="D46" s="144" t="s">
        <v>262</v>
      </c>
      <c r="E46" s="96">
        <v>2487.9</v>
      </c>
      <c r="F46" s="96">
        <v>6973.01</v>
      </c>
      <c r="G46" s="96">
        <v>0</v>
      </c>
      <c r="H46" s="96">
        <v>0</v>
      </c>
      <c r="I46" s="96">
        <v>0</v>
      </c>
      <c r="J46" s="96">
        <v>0</v>
      </c>
      <c r="K46" s="96">
        <f t="shared" si="1"/>
        <v>9460.91</v>
      </c>
    </row>
    <row r="47" spans="1:11" x14ac:dyDescent="0.2">
      <c r="A47" s="144" t="s">
        <v>11</v>
      </c>
      <c r="B47" s="144" t="s">
        <v>20</v>
      </c>
      <c r="C47" s="144" t="s">
        <v>27</v>
      </c>
      <c r="D47" s="144" t="s">
        <v>28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f t="shared" si="1"/>
        <v>0</v>
      </c>
    </row>
    <row r="48" spans="1:11" x14ac:dyDescent="0.2">
      <c r="A48" s="144" t="s">
        <v>11</v>
      </c>
      <c r="B48" s="144" t="s">
        <v>20</v>
      </c>
      <c r="C48" s="144" t="s">
        <v>234</v>
      </c>
      <c r="D48" s="144" t="s">
        <v>235</v>
      </c>
      <c r="E48" s="96">
        <v>3429388.56</v>
      </c>
      <c r="F48" s="96">
        <v>62732.95</v>
      </c>
      <c r="G48" s="96">
        <v>0</v>
      </c>
      <c r="H48" s="96">
        <v>0</v>
      </c>
      <c r="I48" s="96">
        <v>0</v>
      </c>
      <c r="J48" s="96">
        <v>0</v>
      </c>
      <c r="K48" s="96">
        <f t="shared" si="1"/>
        <v>3492121.5100000002</v>
      </c>
    </row>
    <row r="49" spans="1:11" x14ac:dyDescent="0.2">
      <c r="A49" s="144" t="s">
        <v>11</v>
      </c>
      <c r="B49" s="144" t="s">
        <v>20</v>
      </c>
      <c r="C49" s="144" t="s">
        <v>236</v>
      </c>
      <c r="D49" s="144" t="s">
        <v>237</v>
      </c>
      <c r="E49" s="96">
        <v>3511006.43</v>
      </c>
      <c r="F49" s="96">
        <v>61486.46</v>
      </c>
      <c r="G49" s="96">
        <v>0</v>
      </c>
      <c r="H49" s="96">
        <v>0</v>
      </c>
      <c r="I49" s="96">
        <v>0</v>
      </c>
      <c r="J49" s="96">
        <v>0</v>
      </c>
      <c r="K49" s="96">
        <f t="shared" si="1"/>
        <v>3572492.89</v>
      </c>
    </row>
    <row r="50" spans="1:11" x14ac:dyDescent="0.2">
      <c r="A50" s="144" t="s">
        <v>11</v>
      </c>
      <c r="B50" s="144" t="s">
        <v>20</v>
      </c>
      <c r="C50" s="144" t="s">
        <v>238</v>
      </c>
      <c r="D50" s="144" t="s">
        <v>239</v>
      </c>
      <c r="E50" s="96">
        <v>11264323.24</v>
      </c>
      <c r="F50" s="96">
        <v>365283.65</v>
      </c>
      <c r="G50" s="96">
        <v>0</v>
      </c>
      <c r="H50" s="96">
        <v>0</v>
      </c>
      <c r="I50" s="96">
        <v>0</v>
      </c>
      <c r="J50" s="96">
        <v>0</v>
      </c>
      <c r="K50" s="96">
        <f t="shared" si="1"/>
        <v>11629606.890000001</v>
      </c>
    </row>
    <row r="51" spans="1:11" x14ac:dyDescent="0.2">
      <c r="A51" s="144" t="s">
        <v>11</v>
      </c>
      <c r="B51" s="144" t="s">
        <v>20</v>
      </c>
      <c r="C51" s="144" t="s">
        <v>240</v>
      </c>
      <c r="D51" s="144" t="s">
        <v>241</v>
      </c>
      <c r="E51" s="96">
        <v>1689116.78</v>
      </c>
      <c r="F51" s="96">
        <v>86921.96</v>
      </c>
      <c r="G51" s="96">
        <v>0</v>
      </c>
      <c r="H51" s="96">
        <v>0</v>
      </c>
      <c r="I51" s="96">
        <v>0</v>
      </c>
      <c r="J51" s="96">
        <v>463610.33</v>
      </c>
      <c r="K51" s="96">
        <f t="shared" si="1"/>
        <v>2239649.0699999998</v>
      </c>
    </row>
    <row r="52" spans="1:11" x14ac:dyDescent="0.2">
      <c r="A52" s="144" t="s">
        <v>11</v>
      </c>
      <c r="B52" s="144" t="s">
        <v>20</v>
      </c>
      <c r="C52" s="144" t="s">
        <v>242</v>
      </c>
      <c r="D52" s="144" t="s">
        <v>243</v>
      </c>
      <c r="E52" s="96">
        <v>52553.22</v>
      </c>
      <c r="F52" s="96">
        <v>1897.2</v>
      </c>
      <c r="G52" s="96">
        <v>0</v>
      </c>
      <c r="H52" s="96">
        <v>0</v>
      </c>
      <c r="I52" s="96">
        <v>0</v>
      </c>
      <c r="J52" s="96">
        <v>0</v>
      </c>
      <c r="K52" s="96">
        <f t="shared" si="1"/>
        <v>54450.42</v>
      </c>
    </row>
    <row r="53" spans="1:11" x14ac:dyDescent="0.2">
      <c r="A53" s="144" t="s">
        <v>11</v>
      </c>
      <c r="B53" s="144" t="s">
        <v>20</v>
      </c>
      <c r="C53" s="144" t="s">
        <v>263</v>
      </c>
      <c r="D53" s="144" t="s">
        <v>264</v>
      </c>
      <c r="E53" s="96">
        <v>273674.71000000002</v>
      </c>
      <c r="F53" s="96">
        <v>737128.61</v>
      </c>
      <c r="G53" s="96">
        <v>0</v>
      </c>
      <c r="H53" s="96">
        <v>0</v>
      </c>
      <c r="I53" s="96">
        <v>0</v>
      </c>
      <c r="J53" s="96">
        <v>0</v>
      </c>
      <c r="K53" s="96">
        <f t="shared" si="1"/>
        <v>1010803.3200000001</v>
      </c>
    </row>
    <row r="54" spans="1:11" x14ac:dyDescent="0.2">
      <c r="A54" s="144" t="s">
        <v>11</v>
      </c>
      <c r="B54" s="144" t="s">
        <v>20</v>
      </c>
      <c r="C54" s="144" t="s">
        <v>25</v>
      </c>
      <c r="D54" s="144" t="s">
        <v>26</v>
      </c>
      <c r="E54" s="96">
        <v>4872439.3599999994</v>
      </c>
      <c r="F54" s="96">
        <v>169893.05</v>
      </c>
      <c r="G54" s="96">
        <v>0</v>
      </c>
      <c r="H54" s="96">
        <v>0</v>
      </c>
      <c r="I54" s="96">
        <v>0</v>
      </c>
      <c r="J54" s="96">
        <v>0</v>
      </c>
      <c r="K54" s="96">
        <f t="shared" si="1"/>
        <v>5042332.4099999992</v>
      </c>
    </row>
    <row r="55" spans="1:11" x14ac:dyDescent="0.2">
      <c r="A55" s="144" t="s">
        <v>11</v>
      </c>
      <c r="B55" s="144" t="s">
        <v>20</v>
      </c>
      <c r="C55" s="144" t="s">
        <v>265</v>
      </c>
      <c r="D55" s="144" t="s">
        <v>266</v>
      </c>
      <c r="E55" s="96">
        <v>123990.97</v>
      </c>
      <c r="F55" s="96">
        <v>339893.65</v>
      </c>
      <c r="G55" s="96">
        <v>0</v>
      </c>
      <c r="H55" s="96">
        <v>0</v>
      </c>
      <c r="I55" s="96">
        <v>0</v>
      </c>
      <c r="J55" s="96">
        <v>0</v>
      </c>
      <c r="K55" s="96">
        <f t="shared" si="1"/>
        <v>463884.62</v>
      </c>
    </row>
    <row r="56" spans="1:11" x14ac:dyDescent="0.2">
      <c r="A56" s="144" t="s">
        <v>11</v>
      </c>
      <c r="B56" s="144" t="s">
        <v>20</v>
      </c>
      <c r="C56" s="144" t="s">
        <v>23</v>
      </c>
      <c r="D56" s="144" t="s">
        <v>24</v>
      </c>
      <c r="E56" s="96">
        <v>243771.72999999998</v>
      </c>
      <c r="F56" s="96">
        <v>4983.0200000000004</v>
      </c>
      <c r="G56" s="96">
        <v>0</v>
      </c>
      <c r="H56" s="96">
        <v>0</v>
      </c>
      <c r="I56" s="96">
        <v>0</v>
      </c>
      <c r="J56" s="96">
        <v>0</v>
      </c>
      <c r="K56" s="96">
        <f t="shared" si="1"/>
        <v>248754.74999999997</v>
      </c>
    </row>
    <row r="57" spans="1:11" x14ac:dyDescent="0.2">
      <c r="A57" s="144" t="s">
        <v>11</v>
      </c>
      <c r="B57" s="144" t="s">
        <v>20</v>
      </c>
      <c r="C57" s="144" t="s">
        <v>21</v>
      </c>
      <c r="D57" s="144" t="s">
        <v>22</v>
      </c>
      <c r="E57" s="96">
        <v>938731.99</v>
      </c>
      <c r="F57" s="96">
        <v>69278.62</v>
      </c>
      <c r="G57" s="96">
        <v>0</v>
      </c>
      <c r="H57" s="96">
        <v>0</v>
      </c>
      <c r="I57" s="96">
        <v>0</v>
      </c>
      <c r="J57" s="96">
        <v>0</v>
      </c>
      <c r="K57" s="96">
        <f t="shared" si="1"/>
        <v>1008010.61</v>
      </c>
    </row>
    <row r="58" spans="1:11" x14ac:dyDescent="0.2">
      <c r="A58" s="144" t="s">
        <v>11</v>
      </c>
      <c r="B58" s="144" t="s">
        <v>43</v>
      </c>
      <c r="C58" s="144" t="s">
        <v>201</v>
      </c>
      <c r="D58" s="144" t="s">
        <v>202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f t="shared" si="1"/>
        <v>0</v>
      </c>
    </row>
    <row r="59" spans="1:11" x14ac:dyDescent="0.2">
      <c r="A59" s="144" t="s">
        <v>11</v>
      </c>
      <c r="B59" s="144" t="s">
        <v>43</v>
      </c>
      <c r="C59" s="144" t="s">
        <v>203</v>
      </c>
      <c r="D59" s="144" t="s">
        <v>204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f t="shared" si="1"/>
        <v>0</v>
      </c>
    </row>
    <row r="60" spans="1:11" x14ac:dyDescent="0.2">
      <c r="A60" s="144" t="s">
        <v>11</v>
      </c>
      <c r="B60" s="144" t="s">
        <v>43</v>
      </c>
      <c r="C60" s="144" t="s">
        <v>205</v>
      </c>
      <c r="D60" s="144" t="s">
        <v>206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f t="shared" si="1"/>
        <v>0</v>
      </c>
    </row>
    <row r="61" spans="1:11" x14ac:dyDescent="0.2">
      <c r="A61" s="144" t="s">
        <v>11</v>
      </c>
      <c r="B61" s="144" t="s">
        <v>43</v>
      </c>
      <c r="C61" s="144" t="s">
        <v>71</v>
      </c>
      <c r="D61" s="144" t="s">
        <v>70</v>
      </c>
      <c r="E61" s="96">
        <v>3062609.1900000004</v>
      </c>
      <c r="F61" s="96">
        <v>404482.68</v>
      </c>
      <c r="G61" s="96">
        <v>0</v>
      </c>
      <c r="H61" s="96">
        <v>0</v>
      </c>
      <c r="I61" s="96">
        <v>0</v>
      </c>
      <c r="J61" s="96">
        <v>0</v>
      </c>
      <c r="K61" s="96">
        <f t="shared" si="1"/>
        <v>3467091.8700000006</v>
      </c>
    </row>
    <row r="62" spans="1:11" x14ac:dyDescent="0.2">
      <c r="A62" s="144" t="s">
        <v>11</v>
      </c>
      <c r="B62" s="144" t="s">
        <v>43</v>
      </c>
      <c r="C62" s="144" t="s">
        <v>69</v>
      </c>
      <c r="D62" s="144" t="s">
        <v>70</v>
      </c>
      <c r="E62" s="96">
        <v>3012668.24</v>
      </c>
      <c r="F62" s="96">
        <v>523789.29</v>
      </c>
      <c r="G62" s="96">
        <v>0</v>
      </c>
      <c r="H62" s="96">
        <v>0</v>
      </c>
      <c r="I62" s="96">
        <v>0</v>
      </c>
      <c r="J62" s="96">
        <v>0</v>
      </c>
      <c r="K62" s="96">
        <f t="shared" si="1"/>
        <v>3536457.5300000003</v>
      </c>
    </row>
    <row r="63" spans="1:11" x14ac:dyDescent="0.2">
      <c r="A63" s="144" t="s">
        <v>11</v>
      </c>
      <c r="B63" s="144" t="s">
        <v>43</v>
      </c>
      <c r="C63" s="144" t="s">
        <v>67</v>
      </c>
      <c r="D63" s="144" t="s">
        <v>68</v>
      </c>
      <c r="E63" s="96">
        <v>12246.64</v>
      </c>
      <c r="F63" s="96">
        <v>473.6</v>
      </c>
      <c r="G63" s="96">
        <v>0</v>
      </c>
      <c r="H63" s="96">
        <v>0</v>
      </c>
      <c r="I63" s="96">
        <v>0</v>
      </c>
      <c r="J63" s="96">
        <v>0</v>
      </c>
      <c r="K63" s="96">
        <f t="shared" si="1"/>
        <v>12720.24</v>
      </c>
    </row>
    <row r="64" spans="1:11" x14ac:dyDescent="0.2">
      <c r="A64" s="144" t="s">
        <v>11</v>
      </c>
      <c r="B64" s="144" t="s">
        <v>43</v>
      </c>
      <c r="C64" s="144" t="s">
        <v>65</v>
      </c>
      <c r="D64" s="144" t="s">
        <v>66</v>
      </c>
      <c r="E64" s="96">
        <v>2540828.3699999996</v>
      </c>
      <c r="F64" s="96">
        <v>117546.42</v>
      </c>
      <c r="G64" s="96">
        <v>0</v>
      </c>
      <c r="H64" s="96">
        <v>0</v>
      </c>
      <c r="I64" s="96">
        <v>0</v>
      </c>
      <c r="J64" s="96">
        <v>0</v>
      </c>
      <c r="K64" s="96">
        <f t="shared" si="1"/>
        <v>2658374.7899999996</v>
      </c>
    </row>
    <row r="65" spans="1:11" x14ac:dyDescent="0.2">
      <c r="A65" s="144" t="s">
        <v>11</v>
      </c>
      <c r="B65" s="144" t="s">
        <v>43</v>
      </c>
      <c r="C65" s="144" t="s">
        <v>63</v>
      </c>
      <c r="D65" s="144" t="s">
        <v>64</v>
      </c>
      <c r="E65" s="96">
        <v>6001947.3899999997</v>
      </c>
      <c r="F65" s="96">
        <v>144028.62</v>
      </c>
      <c r="G65" s="96">
        <v>0</v>
      </c>
      <c r="H65" s="96">
        <v>0</v>
      </c>
      <c r="I65" s="96">
        <v>0</v>
      </c>
      <c r="J65" s="96">
        <v>0</v>
      </c>
      <c r="K65" s="96">
        <f t="shared" si="1"/>
        <v>6145976.0099999998</v>
      </c>
    </row>
    <row r="66" spans="1:11" x14ac:dyDescent="0.2">
      <c r="A66" s="144" t="s">
        <v>11</v>
      </c>
      <c r="B66" s="144" t="s">
        <v>43</v>
      </c>
      <c r="C66" s="144" t="s">
        <v>61</v>
      </c>
      <c r="D66" s="144" t="s">
        <v>62</v>
      </c>
      <c r="E66" s="96">
        <v>1245.5999999999999</v>
      </c>
      <c r="F66" s="96">
        <v>15.98</v>
      </c>
      <c r="G66" s="96">
        <v>0</v>
      </c>
      <c r="H66" s="96">
        <v>0</v>
      </c>
      <c r="I66" s="96">
        <v>0</v>
      </c>
      <c r="J66" s="96">
        <v>0</v>
      </c>
      <c r="K66" s="96">
        <f t="shared" si="1"/>
        <v>1261.58</v>
      </c>
    </row>
    <row r="67" spans="1:11" x14ac:dyDescent="0.2">
      <c r="A67" s="144" t="s">
        <v>11</v>
      </c>
      <c r="B67" s="144" t="s">
        <v>43</v>
      </c>
      <c r="C67" s="144" t="s">
        <v>59</v>
      </c>
      <c r="D67" s="144" t="s">
        <v>60</v>
      </c>
      <c r="E67" s="96">
        <v>2681886.2999999998</v>
      </c>
      <c r="F67" s="96">
        <v>44212.28</v>
      </c>
      <c r="G67" s="96">
        <v>0</v>
      </c>
      <c r="H67" s="96">
        <v>0</v>
      </c>
      <c r="I67" s="96">
        <v>0</v>
      </c>
      <c r="J67" s="96">
        <v>0</v>
      </c>
      <c r="K67" s="96">
        <f t="shared" ref="K67:K98" si="2">SUM(E67:J67)</f>
        <v>2726098.5799999996</v>
      </c>
    </row>
    <row r="68" spans="1:11" x14ac:dyDescent="0.2">
      <c r="A68" s="144" t="s">
        <v>11</v>
      </c>
      <c r="B68" s="144" t="s">
        <v>43</v>
      </c>
      <c r="C68" s="144" t="s">
        <v>57</v>
      </c>
      <c r="D68" s="144" t="s">
        <v>58</v>
      </c>
      <c r="E68" s="96">
        <v>7320517.1399999997</v>
      </c>
      <c r="F68" s="96">
        <v>105458.84</v>
      </c>
      <c r="G68" s="96">
        <v>0</v>
      </c>
      <c r="H68" s="96">
        <v>0</v>
      </c>
      <c r="I68" s="96">
        <v>0</v>
      </c>
      <c r="J68" s="96">
        <v>0</v>
      </c>
      <c r="K68" s="96">
        <f t="shared" si="2"/>
        <v>7425975.9799999995</v>
      </c>
    </row>
    <row r="69" spans="1:11" x14ac:dyDescent="0.2">
      <c r="A69" s="144" t="s">
        <v>11</v>
      </c>
      <c r="B69" s="144" t="s">
        <v>43</v>
      </c>
      <c r="C69" s="144" t="s">
        <v>55</v>
      </c>
      <c r="D69" s="144" t="s">
        <v>56</v>
      </c>
      <c r="E69" s="96">
        <v>2467720.71</v>
      </c>
      <c r="F69" s="96">
        <v>20955.53</v>
      </c>
      <c r="G69" s="96">
        <v>0</v>
      </c>
      <c r="H69" s="96">
        <v>0</v>
      </c>
      <c r="I69" s="96">
        <v>0</v>
      </c>
      <c r="J69" s="96">
        <v>0</v>
      </c>
      <c r="K69" s="96">
        <f t="shared" si="2"/>
        <v>2488676.2399999998</v>
      </c>
    </row>
    <row r="70" spans="1:11" x14ac:dyDescent="0.2">
      <c r="A70" s="144" t="s">
        <v>11</v>
      </c>
      <c r="B70" s="144" t="s">
        <v>43</v>
      </c>
      <c r="C70" s="144" t="s">
        <v>53</v>
      </c>
      <c r="D70" s="144" t="s">
        <v>54</v>
      </c>
      <c r="E70" s="96">
        <v>399434.34</v>
      </c>
      <c r="F70" s="96">
        <v>115556.7</v>
      </c>
      <c r="G70" s="96">
        <v>0</v>
      </c>
      <c r="H70" s="96">
        <v>0</v>
      </c>
      <c r="I70" s="96">
        <v>0</v>
      </c>
      <c r="J70" s="96">
        <v>0</v>
      </c>
      <c r="K70" s="96">
        <f t="shared" si="2"/>
        <v>514991.04000000004</v>
      </c>
    </row>
    <row r="71" spans="1:11" x14ac:dyDescent="0.2">
      <c r="A71" s="144" t="s">
        <v>11</v>
      </c>
      <c r="B71" s="144" t="s">
        <v>43</v>
      </c>
      <c r="C71" s="144" t="s">
        <v>51</v>
      </c>
      <c r="D71" s="144" t="s">
        <v>52</v>
      </c>
      <c r="E71" s="96">
        <v>206896.94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f t="shared" si="2"/>
        <v>206896.94</v>
      </c>
    </row>
    <row r="72" spans="1:11" x14ac:dyDescent="0.2">
      <c r="A72" s="144" t="s">
        <v>11</v>
      </c>
      <c r="B72" s="144" t="s">
        <v>43</v>
      </c>
      <c r="C72" s="144" t="s">
        <v>49</v>
      </c>
      <c r="D72" s="144" t="s">
        <v>50</v>
      </c>
      <c r="E72" s="96">
        <v>1047512.76</v>
      </c>
      <c r="F72" s="96">
        <v>350432.97</v>
      </c>
      <c r="G72" s="96">
        <v>0</v>
      </c>
      <c r="H72" s="96">
        <v>0</v>
      </c>
      <c r="I72" s="96">
        <v>0</v>
      </c>
      <c r="J72" s="96">
        <v>0</v>
      </c>
      <c r="K72" s="96">
        <f t="shared" si="2"/>
        <v>1397945.73</v>
      </c>
    </row>
    <row r="73" spans="1:11" x14ac:dyDescent="0.2">
      <c r="A73" s="144" t="s">
        <v>11</v>
      </c>
      <c r="B73" s="144" t="s">
        <v>43</v>
      </c>
      <c r="C73" s="144" t="s">
        <v>48</v>
      </c>
      <c r="D73" s="144" t="s">
        <v>47</v>
      </c>
      <c r="E73" s="96">
        <v>716461.94</v>
      </c>
      <c r="F73" s="96">
        <v>114852.2</v>
      </c>
      <c r="G73" s="96">
        <v>0</v>
      </c>
      <c r="H73" s="96">
        <v>0</v>
      </c>
      <c r="I73" s="96">
        <v>0</v>
      </c>
      <c r="J73" s="96">
        <v>0</v>
      </c>
      <c r="K73" s="96">
        <f t="shared" si="2"/>
        <v>831314.1399999999</v>
      </c>
    </row>
    <row r="74" spans="1:11" x14ac:dyDescent="0.2">
      <c r="A74" s="144" t="s">
        <v>11</v>
      </c>
      <c r="B74" s="144" t="s">
        <v>43</v>
      </c>
      <c r="C74" s="144" t="s">
        <v>46</v>
      </c>
      <c r="D74" s="144" t="s">
        <v>47</v>
      </c>
      <c r="E74" s="96">
        <v>261800.81</v>
      </c>
      <c r="F74" s="96">
        <v>13726.84</v>
      </c>
      <c r="G74" s="96">
        <v>0</v>
      </c>
      <c r="H74" s="96">
        <v>0</v>
      </c>
      <c r="I74" s="96">
        <v>0</v>
      </c>
      <c r="J74" s="96">
        <v>0</v>
      </c>
      <c r="K74" s="96">
        <f t="shared" si="2"/>
        <v>275527.65000000002</v>
      </c>
    </row>
    <row r="75" spans="1:11" x14ac:dyDescent="0.2">
      <c r="A75" s="144" t="s">
        <v>11</v>
      </c>
      <c r="B75" s="144" t="s">
        <v>43</v>
      </c>
      <c r="C75" s="144" t="s">
        <v>44</v>
      </c>
      <c r="D75" s="144" t="s">
        <v>45</v>
      </c>
      <c r="E75" s="96">
        <v>1491990.81</v>
      </c>
      <c r="F75" s="96">
        <v>79944.13</v>
      </c>
      <c r="G75" s="96">
        <v>0</v>
      </c>
      <c r="H75" s="96">
        <v>0</v>
      </c>
      <c r="I75" s="96">
        <v>0</v>
      </c>
      <c r="J75" s="96">
        <v>0</v>
      </c>
      <c r="K75" s="96">
        <f t="shared" si="2"/>
        <v>1571934.94</v>
      </c>
    </row>
    <row r="76" spans="1:11" x14ac:dyDescent="0.2">
      <c r="A76" s="144" t="s">
        <v>11</v>
      </c>
      <c r="B76" s="144" t="s">
        <v>43</v>
      </c>
      <c r="C76" s="144" t="s">
        <v>207</v>
      </c>
      <c r="D76" s="144" t="s">
        <v>208</v>
      </c>
      <c r="E76" s="96">
        <v>739473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f t="shared" si="2"/>
        <v>739473</v>
      </c>
    </row>
    <row r="77" spans="1:11" x14ac:dyDescent="0.2">
      <c r="A77" s="144" t="s">
        <v>11</v>
      </c>
      <c r="B77" s="144" t="s">
        <v>72</v>
      </c>
      <c r="C77" s="144" t="s">
        <v>209</v>
      </c>
      <c r="D77" s="144" t="s">
        <v>168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f t="shared" si="2"/>
        <v>0</v>
      </c>
    </row>
    <row r="78" spans="1:11" x14ac:dyDescent="0.2">
      <c r="A78" s="144" t="s">
        <v>11</v>
      </c>
      <c r="B78" s="144" t="s">
        <v>72</v>
      </c>
      <c r="C78" s="144" t="s">
        <v>91</v>
      </c>
      <c r="D78" s="144" t="s">
        <v>92</v>
      </c>
      <c r="E78" s="96">
        <v>2199945.86</v>
      </c>
      <c r="F78" s="96">
        <v>98118.68</v>
      </c>
      <c r="G78" s="96">
        <v>0</v>
      </c>
      <c r="H78" s="96">
        <v>0</v>
      </c>
      <c r="I78" s="96">
        <v>0</v>
      </c>
      <c r="J78" s="96">
        <v>0</v>
      </c>
      <c r="K78" s="96">
        <f t="shared" si="2"/>
        <v>2298064.54</v>
      </c>
    </row>
    <row r="79" spans="1:11" x14ac:dyDescent="0.2">
      <c r="A79" s="144" t="s">
        <v>11</v>
      </c>
      <c r="B79" s="144" t="s">
        <v>72</v>
      </c>
      <c r="C79" s="144" t="s">
        <v>267</v>
      </c>
      <c r="D79" s="144" t="s">
        <v>268</v>
      </c>
      <c r="E79" s="96">
        <v>3815.77</v>
      </c>
      <c r="F79" s="96">
        <v>10170.040000000001</v>
      </c>
      <c r="G79" s="96">
        <v>0</v>
      </c>
      <c r="H79" s="96">
        <v>0</v>
      </c>
      <c r="I79" s="96">
        <v>0</v>
      </c>
      <c r="J79" s="96">
        <v>0</v>
      </c>
      <c r="K79" s="96">
        <f t="shared" si="2"/>
        <v>13985.810000000001</v>
      </c>
    </row>
    <row r="80" spans="1:11" x14ac:dyDescent="0.2">
      <c r="A80" s="144" t="s">
        <v>11</v>
      </c>
      <c r="B80" s="144" t="s">
        <v>72</v>
      </c>
      <c r="C80" s="144" t="s">
        <v>90</v>
      </c>
      <c r="D80" s="144" t="s">
        <v>68</v>
      </c>
      <c r="E80" s="96">
        <v>379049.43</v>
      </c>
      <c r="F80" s="96">
        <v>27056.29</v>
      </c>
      <c r="G80" s="96">
        <v>0</v>
      </c>
      <c r="H80" s="96">
        <v>0</v>
      </c>
      <c r="I80" s="96">
        <v>0</v>
      </c>
      <c r="J80" s="96">
        <v>0</v>
      </c>
      <c r="K80" s="96">
        <f t="shared" si="2"/>
        <v>406105.72</v>
      </c>
    </row>
    <row r="81" spans="1:11" x14ac:dyDescent="0.2">
      <c r="A81" s="144" t="s">
        <v>11</v>
      </c>
      <c r="B81" s="144" t="s">
        <v>72</v>
      </c>
      <c r="C81" s="144" t="s">
        <v>88</v>
      </c>
      <c r="D81" s="144" t="s">
        <v>89</v>
      </c>
      <c r="E81" s="96">
        <v>38792866.609999999</v>
      </c>
      <c r="F81" s="96">
        <v>3349034.23</v>
      </c>
      <c r="G81" s="96">
        <v>0</v>
      </c>
      <c r="H81" s="96">
        <v>0</v>
      </c>
      <c r="I81" s="96">
        <v>0</v>
      </c>
      <c r="J81" s="96">
        <v>0</v>
      </c>
      <c r="K81" s="96">
        <f t="shared" si="2"/>
        <v>42141900.839999996</v>
      </c>
    </row>
    <row r="82" spans="1:11" x14ac:dyDescent="0.2">
      <c r="A82" s="144" t="s">
        <v>11</v>
      </c>
      <c r="B82" s="144" t="s">
        <v>72</v>
      </c>
      <c r="C82" s="144" t="s">
        <v>86</v>
      </c>
      <c r="D82" s="144" t="s">
        <v>87</v>
      </c>
      <c r="E82" s="96">
        <v>1203095.45</v>
      </c>
      <c r="F82" s="96">
        <v>34306.82</v>
      </c>
      <c r="G82" s="96">
        <v>0</v>
      </c>
      <c r="H82" s="96">
        <v>0</v>
      </c>
      <c r="I82" s="96">
        <v>0</v>
      </c>
      <c r="J82" s="96">
        <v>0</v>
      </c>
      <c r="K82" s="96">
        <f t="shared" si="2"/>
        <v>1237402.27</v>
      </c>
    </row>
    <row r="83" spans="1:11" x14ac:dyDescent="0.2">
      <c r="A83" s="144" t="s">
        <v>11</v>
      </c>
      <c r="B83" s="144" t="s">
        <v>72</v>
      </c>
      <c r="C83" s="144" t="s">
        <v>85</v>
      </c>
      <c r="D83" s="144" t="s">
        <v>84</v>
      </c>
      <c r="E83" s="96">
        <v>11193300.48</v>
      </c>
      <c r="F83" s="96">
        <v>237693.31</v>
      </c>
      <c r="G83" s="96">
        <v>0</v>
      </c>
      <c r="H83" s="96">
        <v>0</v>
      </c>
      <c r="I83" s="96">
        <v>0</v>
      </c>
      <c r="J83" s="96">
        <v>0</v>
      </c>
      <c r="K83" s="96">
        <f t="shared" si="2"/>
        <v>11430993.790000001</v>
      </c>
    </row>
    <row r="84" spans="1:11" x14ac:dyDescent="0.2">
      <c r="A84" s="144" t="s">
        <v>11</v>
      </c>
      <c r="B84" s="144" t="s">
        <v>72</v>
      </c>
      <c r="C84" s="144" t="s">
        <v>83</v>
      </c>
      <c r="D84" s="144" t="s">
        <v>84</v>
      </c>
      <c r="E84" s="96">
        <v>15084797.23</v>
      </c>
      <c r="F84" s="96">
        <v>676698.03</v>
      </c>
      <c r="G84" s="96">
        <v>0</v>
      </c>
      <c r="H84" s="96">
        <v>0</v>
      </c>
      <c r="I84" s="96">
        <v>0</v>
      </c>
      <c r="J84" s="96">
        <v>0</v>
      </c>
      <c r="K84" s="96">
        <f t="shared" si="2"/>
        <v>15761495.26</v>
      </c>
    </row>
    <row r="85" spans="1:11" x14ac:dyDescent="0.2">
      <c r="A85" s="144" t="s">
        <v>11</v>
      </c>
      <c r="B85" s="144" t="s">
        <v>72</v>
      </c>
      <c r="C85" s="144" t="s">
        <v>81</v>
      </c>
      <c r="D85" s="144" t="s">
        <v>82</v>
      </c>
      <c r="E85" s="96">
        <v>6411734.4100000001</v>
      </c>
      <c r="F85" s="96">
        <v>338843.92</v>
      </c>
      <c r="G85" s="96">
        <v>0</v>
      </c>
      <c r="H85" s="96">
        <v>0</v>
      </c>
      <c r="I85" s="96">
        <v>0</v>
      </c>
      <c r="J85" s="96">
        <v>0</v>
      </c>
      <c r="K85" s="96">
        <f t="shared" si="2"/>
        <v>6750578.3300000001</v>
      </c>
    </row>
    <row r="86" spans="1:11" x14ac:dyDescent="0.2">
      <c r="A86" s="144" t="s">
        <v>11</v>
      </c>
      <c r="B86" s="144" t="s">
        <v>72</v>
      </c>
      <c r="C86" s="144" t="s">
        <v>79</v>
      </c>
      <c r="D86" s="144" t="s">
        <v>80</v>
      </c>
      <c r="E86" s="96">
        <v>6530557.3300000001</v>
      </c>
      <c r="F86" s="96">
        <v>362966.18</v>
      </c>
      <c r="G86" s="96">
        <v>0</v>
      </c>
      <c r="H86" s="96">
        <v>0</v>
      </c>
      <c r="I86" s="96">
        <v>0</v>
      </c>
      <c r="J86" s="96">
        <v>0</v>
      </c>
      <c r="K86" s="96">
        <f t="shared" si="2"/>
        <v>6893523.5099999998</v>
      </c>
    </row>
    <row r="87" spans="1:11" x14ac:dyDescent="0.2">
      <c r="A87" s="144" t="s">
        <v>11</v>
      </c>
      <c r="B87" s="144" t="s">
        <v>72</v>
      </c>
      <c r="C87" s="144" t="s">
        <v>77</v>
      </c>
      <c r="D87" s="144" t="s">
        <v>78</v>
      </c>
      <c r="E87" s="96">
        <v>24118919.439999998</v>
      </c>
      <c r="F87" s="96">
        <v>1330537.19</v>
      </c>
      <c r="G87" s="96">
        <v>0</v>
      </c>
      <c r="H87" s="96">
        <v>0</v>
      </c>
      <c r="I87" s="96">
        <v>0</v>
      </c>
      <c r="J87" s="96">
        <v>0</v>
      </c>
      <c r="K87" s="96">
        <f t="shared" si="2"/>
        <v>25449456.629999999</v>
      </c>
    </row>
    <row r="88" spans="1:11" x14ac:dyDescent="0.2">
      <c r="A88" s="144" t="s">
        <v>11</v>
      </c>
      <c r="B88" s="144" t="s">
        <v>72</v>
      </c>
      <c r="C88" s="144" t="s">
        <v>269</v>
      </c>
      <c r="D88" s="144" t="s">
        <v>270</v>
      </c>
      <c r="E88" s="96">
        <v>650295.25</v>
      </c>
      <c r="F88" s="96">
        <v>1737856.67</v>
      </c>
      <c r="G88" s="96">
        <v>0</v>
      </c>
      <c r="H88" s="96">
        <v>0</v>
      </c>
      <c r="I88" s="96">
        <v>0</v>
      </c>
      <c r="J88" s="96">
        <v>0</v>
      </c>
      <c r="K88" s="96">
        <f t="shared" si="2"/>
        <v>2388151.92</v>
      </c>
    </row>
    <row r="89" spans="1:11" x14ac:dyDescent="0.2">
      <c r="A89" s="144" t="s">
        <v>11</v>
      </c>
      <c r="B89" s="144" t="s">
        <v>72</v>
      </c>
      <c r="C89" s="144" t="s">
        <v>75</v>
      </c>
      <c r="D89" s="144" t="s">
        <v>76</v>
      </c>
      <c r="E89" s="96">
        <v>-8.81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f t="shared" si="2"/>
        <v>-8.81</v>
      </c>
    </row>
    <row r="90" spans="1:11" x14ac:dyDescent="0.2">
      <c r="A90" s="144" t="s">
        <v>11</v>
      </c>
      <c r="B90" s="144" t="s">
        <v>72</v>
      </c>
      <c r="C90" s="144" t="s">
        <v>73</v>
      </c>
      <c r="D90" s="144" t="s">
        <v>74</v>
      </c>
      <c r="E90" s="96">
        <v>1717510.9</v>
      </c>
      <c r="F90" s="96">
        <v>84546</v>
      </c>
      <c r="G90" s="96">
        <v>0</v>
      </c>
      <c r="H90" s="96">
        <v>0</v>
      </c>
      <c r="I90" s="96">
        <v>0</v>
      </c>
      <c r="J90" s="96">
        <v>0</v>
      </c>
      <c r="K90" s="96">
        <f t="shared" si="2"/>
        <v>1802056.9</v>
      </c>
    </row>
    <row r="91" spans="1:11" x14ac:dyDescent="0.2">
      <c r="A91" s="144" t="s">
        <v>11</v>
      </c>
      <c r="B91" s="144" t="s">
        <v>72</v>
      </c>
      <c r="C91" s="144" t="s">
        <v>210</v>
      </c>
      <c r="D91" s="144" t="s">
        <v>211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96">
        <v>0</v>
      </c>
      <c r="K91" s="96">
        <f t="shared" si="2"/>
        <v>0</v>
      </c>
    </row>
    <row r="92" spans="1:11" x14ac:dyDescent="0.2">
      <c r="A92" s="144" t="s">
        <v>11</v>
      </c>
      <c r="B92" s="144" t="s">
        <v>93</v>
      </c>
      <c r="C92" s="144" t="s">
        <v>212</v>
      </c>
      <c r="D92" s="144" t="s">
        <v>168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f t="shared" si="2"/>
        <v>0</v>
      </c>
    </row>
    <row r="93" spans="1:11" x14ac:dyDescent="0.2">
      <c r="A93" s="144" t="s">
        <v>11</v>
      </c>
      <c r="B93" s="144" t="s">
        <v>93</v>
      </c>
      <c r="C93" s="144" t="s">
        <v>122</v>
      </c>
      <c r="D93" s="144" t="s">
        <v>92</v>
      </c>
      <c r="E93" s="96">
        <v>1664651.31</v>
      </c>
      <c r="F93" s="96">
        <v>10407.58</v>
      </c>
      <c r="G93" s="96">
        <v>0</v>
      </c>
      <c r="H93" s="96">
        <v>0</v>
      </c>
      <c r="I93" s="96">
        <v>0</v>
      </c>
      <c r="J93" s="96">
        <v>0</v>
      </c>
      <c r="K93" s="96">
        <f t="shared" si="2"/>
        <v>1675058.8900000001</v>
      </c>
    </row>
    <row r="94" spans="1:11" x14ac:dyDescent="0.2">
      <c r="A94" s="144" t="s">
        <v>11</v>
      </c>
      <c r="B94" s="144" t="s">
        <v>93</v>
      </c>
      <c r="C94" s="144" t="s">
        <v>121</v>
      </c>
      <c r="D94" s="144" t="s">
        <v>70</v>
      </c>
      <c r="E94" s="96">
        <v>50410.94</v>
      </c>
      <c r="F94" s="96">
        <v>1908.93</v>
      </c>
      <c r="G94" s="96">
        <v>0</v>
      </c>
      <c r="H94" s="96">
        <v>0</v>
      </c>
      <c r="I94" s="96">
        <v>0</v>
      </c>
      <c r="J94" s="96">
        <v>0</v>
      </c>
      <c r="K94" s="96">
        <f t="shared" si="2"/>
        <v>52319.87</v>
      </c>
    </row>
    <row r="95" spans="1:11" x14ac:dyDescent="0.2">
      <c r="A95" s="144" t="s">
        <v>11</v>
      </c>
      <c r="B95" s="144" t="s">
        <v>93</v>
      </c>
      <c r="C95" s="144" t="s">
        <v>119</v>
      </c>
      <c r="D95" s="144" t="s">
        <v>120</v>
      </c>
      <c r="E95" s="96">
        <v>309063140.88</v>
      </c>
      <c r="F95" s="96">
        <v>14038988.779999999</v>
      </c>
      <c r="G95" s="96">
        <v>-110655.38</v>
      </c>
      <c r="H95" s="96">
        <v>-183241.79</v>
      </c>
      <c r="I95" s="96">
        <v>35111.65</v>
      </c>
      <c r="J95" s="96">
        <v>0</v>
      </c>
      <c r="K95" s="96">
        <f t="shared" si="2"/>
        <v>322843344.13999993</v>
      </c>
    </row>
    <row r="96" spans="1:11" x14ac:dyDescent="0.2">
      <c r="A96" s="144" t="s">
        <v>11</v>
      </c>
      <c r="B96" s="144" t="s">
        <v>93</v>
      </c>
      <c r="C96" s="144" t="s">
        <v>117</v>
      </c>
      <c r="D96" s="144" t="s">
        <v>118</v>
      </c>
      <c r="E96" s="96">
        <v>213937796.63999999</v>
      </c>
      <c r="F96" s="96">
        <v>12018538.75</v>
      </c>
      <c r="G96" s="96">
        <v>-139784.24</v>
      </c>
      <c r="H96" s="96">
        <v>-41400.43</v>
      </c>
      <c r="I96" s="96">
        <v>46640.35</v>
      </c>
      <c r="J96" s="96">
        <v>0</v>
      </c>
      <c r="K96" s="96">
        <f t="shared" si="2"/>
        <v>225821791.06999996</v>
      </c>
    </row>
    <row r="97" spans="1:11" x14ac:dyDescent="0.2">
      <c r="A97" s="144" t="s">
        <v>11</v>
      </c>
      <c r="B97" s="144" t="s">
        <v>93</v>
      </c>
      <c r="C97" s="144" t="s">
        <v>271</v>
      </c>
      <c r="D97" s="144" t="s">
        <v>272</v>
      </c>
      <c r="E97" s="96">
        <v>5419.4800000000005</v>
      </c>
      <c r="F97" s="96">
        <v>14451.93</v>
      </c>
      <c r="G97" s="96">
        <v>0</v>
      </c>
      <c r="H97" s="96">
        <v>0</v>
      </c>
      <c r="I97" s="96">
        <v>0</v>
      </c>
      <c r="J97" s="96">
        <v>0</v>
      </c>
      <c r="K97" s="96">
        <f t="shared" si="2"/>
        <v>19871.41</v>
      </c>
    </row>
    <row r="98" spans="1:11" x14ac:dyDescent="0.2">
      <c r="A98" s="144" t="s">
        <v>11</v>
      </c>
      <c r="B98" s="144" t="s">
        <v>93</v>
      </c>
      <c r="C98" s="144" t="s">
        <v>116</v>
      </c>
      <c r="D98" s="144" t="s">
        <v>28</v>
      </c>
      <c r="E98" s="96">
        <v>675258.07</v>
      </c>
      <c r="F98" s="96">
        <v>10802.6</v>
      </c>
      <c r="G98" s="96">
        <v>0</v>
      </c>
      <c r="H98" s="96">
        <v>0</v>
      </c>
      <c r="I98" s="96">
        <v>0</v>
      </c>
      <c r="J98" s="96">
        <v>0</v>
      </c>
      <c r="K98" s="96">
        <f t="shared" si="2"/>
        <v>686060.66999999993</v>
      </c>
    </row>
    <row r="99" spans="1:11" x14ac:dyDescent="0.2">
      <c r="A99" s="144" t="s">
        <v>11</v>
      </c>
      <c r="B99" s="144" t="s">
        <v>93</v>
      </c>
      <c r="C99" s="144" t="s">
        <v>114</v>
      </c>
      <c r="D99" s="144" t="s">
        <v>115</v>
      </c>
      <c r="E99" s="96">
        <v>12625588.060000001</v>
      </c>
      <c r="F99" s="96">
        <v>766826.47</v>
      </c>
      <c r="G99" s="96">
        <v>0</v>
      </c>
      <c r="H99" s="96">
        <v>0</v>
      </c>
      <c r="I99" s="96">
        <v>0</v>
      </c>
      <c r="J99" s="96">
        <v>0</v>
      </c>
      <c r="K99" s="96">
        <f t="shared" ref="K99:K130" si="3">SUM(E99:J99)</f>
        <v>13392414.530000001</v>
      </c>
    </row>
    <row r="100" spans="1:11" x14ac:dyDescent="0.2">
      <c r="A100" s="144" t="s">
        <v>11</v>
      </c>
      <c r="B100" s="144" t="s">
        <v>93</v>
      </c>
      <c r="C100" s="144" t="s">
        <v>112</v>
      </c>
      <c r="D100" s="144" t="s">
        <v>113</v>
      </c>
      <c r="E100" s="96">
        <v>2336864.36</v>
      </c>
      <c r="F100" s="96">
        <v>304803.38</v>
      </c>
      <c r="G100" s="96">
        <v>0</v>
      </c>
      <c r="H100" s="96">
        <v>0</v>
      </c>
      <c r="I100" s="96">
        <v>0</v>
      </c>
      <c r="J100" s="96">
        <v>0</v>
      </c>
      <c r="K100" s="96">
        <f t="shared" si="3"/>
        <v>2641667.7399999998</v>
      </c>
    </row>
    <row r="101" spans="1:11" x14ac:dyDescent="0.2">
      <c r="A101" s="144" t="s">
        <v>11</v>
      </c>
      <c r="B101" s="144" t="s">
        <v>93</v>
      </c>
      <c r="C101" s="144" t="s">
        <v>110</v>
      </c>
      <c r="D101" s="144" t="s">
        <v>111</v>
      </c>
      <c r="E101" s="96">
        <v>401714751.78999996</v>
      </c>
      <c r="F101" s="96">
        <v>21938012.100000001</v>
      </c>
      <c r="G101" s="96">
        <v>-398098.88</v>
      </c>
      <c r="H101" s="96">
        <v>-944285.39</v>
      </c>
      <c r="I101" s="96">
        <v>0</v>
      </c>
      <c r="J101" s="96">
        <v>0</v>
      </c>
      <c r="K101" s="96">
        <f t="shared" si="3"/>
        <v>422310379.62</v>
      </c>
    </row>
    <row r="102" spans="1:11" x14ac:dyDescent="0.2">
      <c r="A102" s="144" t="s">
        <v>11</v>
      </c>
      <c r="B102" s="144" t="s">
        <v>93</v>
      </c>
      <c r="C102" s="144" t="s">
        <v>108</v>
      </c>
      <c r="D102" s="144" t="s">
        <v>109</v>
      </c>
      <c r="E102" s="96">
        <v>20847120.079999998</v>
      </c>
      <c r="F102" s="96">
        <v>2038906.04</v>
      </c>
      <c r="G102" s="96">
        <v>-3413188.23</v>
      </c>
      <c r="H102" s="96">
        <v>0</v>
      </c>
      <c r="I102" s="96">
        <v>391.66</v>
      </c>
      <c r="J102" s="96">
        <v>0</v>
      </c>
      <c r="K102" s="96">
        <f t="shared" si="3"/>
        <v>19473229.549999997</v>
      </c>
    </row>
    <row r="103" spans="1:11" x14ac:dyDescent="0.2">
      <c r="A103" s="144" t="s">
        <v>11</v>
      </c>
      <c r="B103" s="144" t="s">
        <v>93</v>
      </c>
      <c r="C103" s="144" t="s">
        <v>106</v>
      </c>
      <c r="D103" s="144" t="s">
        <v>107</v>
      </c>
      <c r="E103" s="96">
        <v>1980849.1500000001</v>
      </c>
      <c r="F103" s="96">
        <v>49041.52</v>
      </c>
      <c r="G103" s="96">
        <v>0</v>
      </c>
      <c r="H103" s="96">
        <v>0</v>
      </c>
      <c r="I103" s="96">
        <v>0</v>
      </c>
      <c r="J103" s="96">
        <v>0</v>
      </c>
      <c r="K103" s="96">
        <f t="shared" si="3"/>
        <v>2029890.6700000002</v>
      </c>
    </row>
    <row r="104" spans="1:11" x14ac:dyDescent="0.2">
      <c r="A104" s="144" t="s">
        <v>11</v>
      </c>
      <c r="B104" s="144" t="s">
        <v>93</v>
      </c>
      <c r="C104" s="144" t="s">
        <v>104</v>
      </c>
      <c r="D104" s="144" t="s">
        <v>105</v>
      </c>
      <c r="E104" s="96">
        <v>16815964.329999998</v>
      </c>
      <c r="F104" s="96">
        <v>2206156.9700000002</v>
      </c>
      <c r="G104" s="96">
        <v>-3307371.93</v>
      </c>
      <c r="H104" s="96">
        <v>0</v>
      </c>
      <c r="I104" s="96">
        <v>0</v>
      </c>
      <c r="J104" s="96">
        <v>0</v>
      </c>
      <c r="K104" s="96">
        <f t="shared" si="3"/>
        <v>15714749.369999997</v>
      </c>
    </row>
    <row r="105" spans="1:11" x14ac:dyDescent="0.2">
      <c r="A105" s="144" t="s">
        <v>11</v>
      </c>
      <c r="B105" s="144" t="s">
        <v>93</v>
      </c>
      <c r="C105" s="144" t="s">
        <v>102</v>
      </c>
      <c r="D105" s="144" t="s">
        <v>103</v>
      </c>
      <c r="E105" s="96">
        <v>4735526.66</v>
      </c>
      <c r="F105" s="96">
        <v>2669485.8199999998</v>
      </c>
      <c r="G105" s="96">
        <v>-4512264.5999999996</v>
      </c>
      <c r="H105" s="96">
        <v>0</v>
      </c>
      <c r="I105" s="96">
        <v>0</v>
      </c>
      <c r="J105" s="96">
        <v>0</v>
      </c>
      <c r="K105" s="96">
        <f t="shared" si="3"/>
        <v>2892747.8800000008</v>
      </c>
    </row>
    <row r="106" spans="1:11" x14ac:dyDescent="0.2">
      <c r="A106" s="144" t="s">
        <v>11</v>
      </c>
      <c r="B106" s="144" t="s">
        <v>93</v>
      </c>
      <c r="C106" s="144" t="s">
        <v>100</v>
      </c>
      <c r="D106" s="144" t="s">
        <v>101</v>
      </c>
      <c r="E106" s="96">
        <v>111053.97</v>
      </c>
      <c r="F106" s="96">
        <v>41415.800000000003</v>
      </c>
      <c r="G106" s="96">
        <v>0</v>
      </c>
      <c r="H106" s="96">
        <v>0</v>
      </c>
      <c r="I106" s="96">
        <v>0</v>
      </c>
      <c r="J106" s="96">
        <v>0</v>
      </c>
      <c r="K106" s="96">
        <f t="shared" si="3"/>
        <v>152469.77000000002</v>
      </c>
    </row>
    <row r="107" spans="1:11" x14ac:dyDescent="0.2">
      <c r="A107" s="144" t="s">
        <v>11</v>
      </c>
      <c r="B107" s="144" t="s">
        <v>93</v>
      </c>
      <c r="C107" s="144" t="s">
        <v>98</v>
      </c>
      <c r="D107" s="144" t="s">
        <v>99</v>
      </c>
      <c r="E107" s="96">
        <v>5286951.3000000007</v>
      </c>
      <c r="F107" s="96">
        <v>311713.18</v>
      </c>
      <c r="G107" s="96">
        <v>-280971.2</v>
      </c>
      <c r="H107" s="96">
        <v>0</v>
      </c>
      <c r="I107" s="96">
        <v>0</v>
      </c>
      <c r="J107" s="96">
        <v>0</v>
      </c>
      <c r="K107" s="96">
        <f t="shared" si="3"/>
        <v>5317693.28</v>
      </c>
    </row>
    <row r="108" spans="1:11" x14ac:dyDescent="0.2">
      <c r="A108" s="144" t="s">
        <v>11</v>
      </c>
      <c r="B108" s="144" t="s">
        <v>93</v>
      </c>
      <c r="C108" s="144" t="s">
        <v>96</v>
      </c>
      <c r="D108" s="144" t="s">
        <v>97</v>
      </c>
      <c r="E108" s="96">
        <v>360501.76999999996</v>
      </c>
      <c r="F108" s="96">
        <v>67265.070000000007</v>
      </c>
      <c r="G108" s="96">
        <v>0</v>
      </c>
      <c r="H108" s="96">
        <v>0</v>
      </c>
      <c r="I108" s="96">
        <v>0</v>
      </c>
      <c r="J108" s="96">
        <v>0</v>
      </c>
      <c r="K108" s="96">
        <f t="shared" si="3"/>
        <v>427766.83999999997</v>
      </c>
    </row>
    <row r="109" spans="1:11" x14ac:dyDescent="0.2">
      <c r="A109" s="144" t="s">
        <v>11</v>
      </c>
      <c r="B109" s="144" t="s">
        <v>93</v>
      </c>
      <c r="C109" s="144" t="s">
        <v>213</v>
      </c>
      <c r="D109" s="144" t="s">
        <v>214</v>
      </c>
      <c r="E109" s="96">
        <v>233822.05</v>
      </c>
      <c r="F109" s="96">
        <v>123363.83</v>
      </c>
      <c r="G109" s="96">
        <v>0</v>
      </c>
      <c r="H109" s="96">
        <v>0</v>
      </c>
      <c r="I109" s="96">
        <v>0</v>
      </c>
      <c r="J109" s="96">
        <v>0</v>
      </c>
      <c r="K109" s="96">
        <f t="shared" si="3"/>
        <v>357185.88</v>
      </c>
    </row>
    <row r="110" spans="1:11" x14ac:dyDescent="0.2">
      <c r="A110" s="144" t="s">
        <v>11</v>
      </c>
      <c r="B110" s="144" t="s">
        <v>93</v>
      </c>
      <c r="C110" s="144" t="s">
        <v>245</v>
      </c>
      <c r="D110" s="144" t="s">
        <v>246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f t="shared" si="3"/>
        <v>0</v>
      </c>
    </row>
    <row r="111" spans="1:11" x14ac:dyDescent="0.2">
      <c r="A111" s="144" t="s">
        <v>11</v>
      </c>
      <c r="B111" s="144" t="s">
        <v>93</v>
      </c>
      <c r="C111" s="144" t="s">
        <v>94</v>
      </c>
      <c r="D111" s="144" t="s">
        <v>95</v>
      </c>
      <c r="E111" s="96">
        <v>144491.32</v>
      </c>
      <c r="F111" s="96">
        <v>1425.64</v>
      </c>
      <c r="G111" s="96">
        <v>0</v>
      </c>
      <c r="H111" s="96">
        <v>0</v>
      </c>
      <c r="I111" s="96">
        <v>0</v>
      </c>
      <c r="J111" s="96">
        <v>0</v>
      </c>
      <c r="K111" s="96">
        <f t="shared" si="3"/>
        <v>145916.96000000002</v>
      </c>
    </row>
    <row r="112" spans="1:11" x14ac:dyDescent="0.2">
      <c r="A112" s="144" t="s">
        <v>11</v>
      </c>
      <c r="B112" s="144" t="s">
        <v>93</v>
      </c>
      <c r="C112" s="144" t="s">
        <v>215</v>
      </c>
      <c r="D112" s="144" t="s">
        <v>216</v>
      </c>
      <c r="E112" s="96">
        <v>69794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f t="shared" si="3"/>
        <v>69794</v>
      </c>
    </row>
    <row r="113" spans="1:12" x14ac:dyDescent="0.2">
      <c r="A113" s="144" t="s">
        <v>11</v>
      </c>
      <c r="B113" s="144" t="s">
        <v>93</v>
      </c>
      <c r="C113" s="144" t="s">
        <v>217</v>
      </c>
      <c r="D113" s="144" t="s">
        <v>218</v>
      </c>
      <c r="E113" s="96">
        <v>72671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f t="shared" si="3"/>
        <v>72671</v>
      </c>
    </row>
    <row r="114" spans="1:12" x14ac:dyDescent="0.2">
      <c r="A114" s="144" t="s">
        <v>11</v>
      </c>
      <c r="B114" s="144" t="s">
        <v>123</v>
      </c>
      <c r="C114" s="144" t="s">
        <v>219</v>
      </c>
      <c r="D114" s="144" t="s">
        <v>168</v>
      </c>
      <c r="E114" s="96">
        <v>437351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f t="shared" si="3"/>
        <v>437351</v>
      </c>
    </row>
    <row r="115" spans="1:12" x14ac:dyDescent="0.2">
      <c r="A115" s="144" t="s">
        <v>11</v>
      </c>
      <c r="B115" s="144" t="s">
        <v>123</v>
      </c>
      <c r="C115" s="144" t="s">
        <v>156</v>
      </c>
      <c r="D115" s="144" t="s">
        <v>70</v>
      </c>
      <c r="E115" s="96">
        <v>13006109.189999999</v>
      </c>
      <c r="F115" s="96">
        <v>1670711.14</v>
      </c>
      <c r="G115" s="96">
        <v>-175297.75</v>
      </c>
      <c r="H115" s="96">
        <v>0</v>
      </c>
      <c r="I115" s="96">
        <v>0</v>
      </c>
      <c r="J115" s="96">
        <v>0</v>
      </c>
      <c r="K115" s="96">
        <f t="shared" si="3"/>
        <v>14501522.58</v>
      </c>
    </row>
    <row r="116" spans="1:12" x14ac:dyDescent="0.2">
      <c r="A116" s="144" t="s">
        <v>11</v>
      </c>
      <c r="B116" s="144" t="s">
        <v>123</v>
      </c>
      <c r="C116" s="144" t="s">
        <v>154</v>
      </c>
      <c r="D116" s="144" t="s">
        <v>155</v>
      </c>
      <c r="E116" s="96">
        <v>5325237.08</v>
      </c>
      <c r="F116" s="96">
        <v>420504.11</v>
      </c>
      <c r="G116" s="96">
        <v>0</v>
      </c>
      <c r="H116" s="96">
        <v>0</v>
      </c>
      <c r="I116" s="96">
        <v>0</v>
      </c>
      <c r="J116" s="96">
        <v>0</v>
      </c>
      <c r="K116" s="96">
        <f t="shared" si="3"/>
        <v>5745741.1900000004</v>
      </c>
    </row>
    <row r="117" spans="1:12" x14ac:dyDescent="0.2">
      <c r="A117" s="144" t="s">
        <v>11</v>
      </c>
      <c r="B117" s="144" t="s">
        <v>123</v>
      </c>
      <c r="C117" s="144" t="s">
        <v>152</v>
      </c>
      <c r="D117" s="144" t="s">
        <v>153</v>
      </c>
      <c r="E117" s="96">
        <v>5489115.1500000004</v>
      </c>
      <c r="F117" s="96">
        <v>497344.61</v>
      </c>
      <c r="G117" s="96">
        <v>-70549.63</v>
      </c>
      <c r="H117" s="96">
        <v>0</v>
      </c>
      <c r="I117" s="96">
        <v>0</v>
      </c>
      <c r="J117" s="96">
        <v>0</v>
      </c>
      <c r="K117" s="96">
        <f t="shared" si="3"/>
        <v>5915910.1300000008</v>
      </c>
    </row>
    <row r="118" spans="1:12" x14ac:dyDescent="0.2">
      <c r="A118" s="144" t="s">
        <v>11</v>
      </c>
      <c r="B118" s="144" t="s">
        <v>123</v>
      </c>
      <c r="C118" s="144" t="s">
        <v>150</v>
      </c>
      <c r="D118" s="144" t="s">
        <v>151</v>
      </c>
      <c r="E118" s="96">
        <v>18413043.41</v>
      </c>
      <c r="F118" s="96">
        <v>7551443.3099999996</v>
      </c>
      <c r="G118" s="96">
        <v>-2853152.8</v>
      </c>
      <c r="H118" s="96">
        <v>0</v>
      </c>
      <c r="I118" s="96">
        <v>0</v>
      </c>
      <c r="J118" s="96">
        <v>0</v>
      </c>
      <c r="K118" s="96">
        <f t="shared" si="3"/>
        <v>23111333.919999998</v>
      </c>
    </row>
    <row r="119" spans="1:12" x14ac:dyDescent="0.2">
      <c r="A119" s="144" t="s">
        <v>11</v>
      </c>
      <c r="B119" s="144" t="s">
        <v>123</v>
      </c>
      <c r="C119" s="144" t="s">
        <v>148</v>
      </c>
      <c r="D119" s="144" t="s">
        <v>149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f t="shared" si="3"/>
        <v>0</v>
      </c>
    </row>
    <row r="120" spans="1:12" x14ac:dyDescent="0.2">
      <c r="A120" s="144" t="s">
        <v>11</v>
      </c>
      <c r="B120" s="144" t="s">
        <v>123</v>
      </c>
      <c r="C120" s="144" t="s">
        <v>146</v>
      </c>
      <c r="D120" s="144" t="s">
        <v>147</v>
      </c>
      <c r="E120" s="96">
        <v>0</v>
      </c>
      <c r="F120" s="96">
        <v>0</v>
      </c>
      <c r="G120" s="96">
        <v>0</v>
      </c>
      <c r="H120" s="96">
        <v>0</v>
      </c>
      <c r="I120" s="96">
        <v>0</v>
      </c>
      <c r="J120" s="96">
        <v>0</v>
      </c>
      <c r="K120" s="96">
        <f t="shared" si="3"/>
        <v>0</v>
      </c>
    </row>
    <row r="121" spans="1:12" x14ac:dyDescent="0.2">
      <c r="A121" s="144" t="s">
        <v>11</v>
      </c>
      <c r="B121" s="144" t="s">
        <v>123</v>
      </c>
      <c r="C121" s="144" t="s">
        <v>273</v>
      </c>
      <c r="D121" s="144" t="s">
        <v>274</v>
      </c>
      <c r="E121" s="96">
        <v>113539.29999999999</v>
      </c>
      <c r="F121" s="96">
        <v>307631.96000000002</v>
      </c>
      <c r="G121" s="96">
        <v>0</v>
      </c>
      <c r="H121" s="96">
        <v>0</v>
      </c>
      <c r="I121" s="96">
        <v>0</v>
      </c>
      <c r="J121" s="96">
        <v>0</v>
      </c>
      <c r="K121" s="96">
        <f t="shared" si="3"/>
        <v>421171.26</v>
      </c>
    </row>
    <row r="122" spans="1:12" x14ac:dyDescent="0.2">
      <c r="A122" s="144" t="s">
        <v>11</v>
      </c>
      <c r="B122" s="144" t="s">
        <v>123</v>
      </c>
      <c r="C122" s="144" t="s">
        <v>144</v>
      </c>
      <c r="D122" s="144" t="s">
        <v>145</v>
      </c>
      <c r="E122" s="96">
        <v>11372150.51</v>
      </c>
      <c r="F122" s="96">
        <v>3474165.56</v>
      </c>
      <c r="G122" s="96">
        <v>-1726027.74</v>
      </c>
      <c r="H122" s="96">
        <v>0</v>
      </c>
      <c r="I122" s="96">
        <v>500879</v>
      </c>
      <c r="J122" s="96">
        <v>0</v>
      </c>
      <c r="K122" s="96">
        <f t="shared" si="3"/>
        <v>13621167.33</v>
      </c>
      <c r="L122" s="2" t="s">
        <v>316</v>
      </c>
    </row>
    <row r="123" spans="1:12" x14ac:dyDescent="0.2">
      <c r="A123" s="144" t="s">
        <v>11</v>
      </c>
      <c r="B123" s="144" t="s">
        <v>123</v>
      </c>
      <c r="C123" s="144" t="s">
        <v>220</v>
      </c>
      <c r="D123" s="144" t="s">
        <v>221</v>
      </c>
      <c r="E123" s="96">
        <v>119406</v>
      </c>
      <c r="F123" s="96">
        <v>0</v>
      </c>
      <c r="G123" s="96">
        <v>0</v>
      </c>
      <c r="H123" s="96">
        <v>0</v>
      </c>
      <c r="I123" s="96">
        <v>0</v>
      </c>
      <c r="J123" s="96">
        <v>0</v>
      </c>
      <c r="K123" s="96">
        <f t="shared" si="3"/>
        <v>119406</v>
      </c>
    </row>
    <row r="124" spans="1:12" x14ac:dyDescent="0.2">
      <c r="A124" s="144" t="s">
        <v>11</v>
      </c>
      <c r="B124" s="144" t="s">
        <v>123</v>
      </c>
      <c r="C124" s="144" t="s">
        <v>142</v>
      </c>
      <c r="D124" s="144" t="s">
        <v>143</v>
      </c>
      <c r="E124" s="96">
        <v>5303998.5699999994</v>
      </c>
      <c r="F124" s="96">
        <v>474608.16</v>
      </c>
      <c r="G124" s="96">
        <v>0</v>
      </c>
      <c r="H124" s="96">
        <v>0</v>
      </c>
      <c r="I124" s="96">
        <v>35573.71</v>
      </c>
      <c r="J124" s="96">
        <v>0</v>
      </c>
      <c r="K124" s="96">
        <f t="shared" si="3"/>
        <v>5814180.4399999995</v>
      </c>
      <c r="L124" s="2" t="s">
        <v>316</v>
      </c>
    </row>
    <row r="125" spans="1:12" x14ac:dyDescent="0.2">
      <c r="A125" s="144" t="s">
        <v>11</v>
      </c>
      <c r="B125" s="144" t="s">
        <v>123</v>
      </c>
      <c r="C125" s="144" t="s">
        <v>222</v>
      </c>
      <c r="D125" s="144" t="s">
        <v>223</v>
      </c>
      <c r="E125" s="96">
        <v>267.87</v>
      </c>
      <c r="F125" s="96">
        <v>-9.9600000000000009</v>
      </c>
      <c r="G125" s="96">
        <v>-277</v>
      </c>
      <c r="H125" s="96">
        <v>0</v>
      </c>
      <c r="I125" s="96">
        <v>0</v>
      </c>
      <c r="J125" s="96">
        <v>0</v>
      </c>
      <c r="K125" s="96">
        <f t="shared" si="3"/>
        <v>-19.089999999999975</v>
      </c>
    </row>
    <row r="126" spans="1:12" x14ac:dyDescent="0.2">
      <c r="A126" s="144" t="s">
        <v>11</v>
      </c>
      <c r="B126" s="144" t="s">
        <v>123</v>
      </c>
      <c r="C126" s="144" t="s">
        <v>140</v>
      </c>
      <c r="D126" s="144" t="s">
        <v>141</v>
      </c>
      <c r="E126" s="96">
        <v>2312144.9400000004</v>
      </c>
      <c r="F126" s="96">
        <v>447524.96</v>
      </c>
      <c r="G126" s="96">
        <v>-9990.4699999999993</v>
      </c>
      <c r="H126" s="96">
        <v>0</v>
      </c>
      <c r="I126" s="96">
        <v>176610</v>
      </c>
      <c r="J126" s="96">
        <v>0</v>
      </c>
      <c r="K126" s="96">
        <f t="shared" si="3"/>
        <v>2926289.43</v>
      </c>
    </row>
    <row r="127" spans="1:12" x14ac:dyDescent="0.2">
      <c r="A127" s="144" t="s">
        <v>11</v>
      </c>
      <c r="B127" s="144" t="s">
        <v>123</v>
      </c>
      <c r="C127" s="144" t="s">
        <v>138</v>
      </c>
      <c r="D127" s="144" t="s">
        <v>139</v>
      </c>
      <c r="E127" s="96">
        <v>53197.22</v>
      </c>
      <c r="F127" s="96">
        <v>7009.09</v>
      </c>
      <c r="G127" s="96">
        <v>-20921.45</v>
      </c>
      <c r="H127" s="96">
        <v>0</v>
      </c>
      <c r="I127" s="96">
        <v>0</v>
      </c>
      <c r="J127" s="96">
        <v>0</v>
      </c>
      <c r="K127" s="96">
        <f t="shared" si="3"/>
        <v>39284.86</v>
      </c>
    </row>
    <row r="128" spans="1:12" x14ac:dyDescent="0.2">
      <c r="A128" s="144" t="s">
        <v>11</v>
      </c>
      <c r="B128" s="144" t="s">
        <v>123</v>
      </c>
      <c r="C128" s="144" t="s">
        <v>136</v>
      </c>
      <c r="D128" s="144" t="s">
        <v>137</v>
      </c>
      <c r="E128" s="96">
        <v>117313.36</v>
      </c>
      <c r="F128" s="96">
        <v>386216.08</v>
      </c>
      <c r="G128" s="96">
        <v>0</v>
      </c>
      <c r="H128" s="96">
        <v>0</v>
      </c>
      <c r="I128" s="96">
        <v>0</v>
      </c>
      <c r="J128" s="96">
        <v>0</v>
      </c>
      <c r="K128" s="96">
        <f t="shared" si="3"/>
        <v>503529.44</v>
      </c>
    </row>
    <row r="129" spans="1:11" x14ac:dyDescent="0.2">
      <c r="A129" s="144" t="s">
        <v>11</v>
      </c>
      <c r="B129" s="144" t="s">
        <v>123</v>
      </c>
      <c r="C129" s="144" t="s">
        <v>134</v>
      </c>
      <c r="D129" s="144" t="s">
        <v>135</v>
      </c>
      <c r="E129" s="96">
        <v>-6055.6</v>
      </c>
      <c r="F129" s="96">
        <v>-17469</v>
      </c>
      <c r="G129" s="96">
        <v>0</v>
      </c>
      <c r="H129" s="96">
        <v>0</v>
      </c>
      <c r="I129" s="96">
        <v>0</v>
      </c>
      <c r="J129" s="96">
        <v>0</v>
      </c>
      <c r="K129" s="96">
        <f t="shared" si="3"/>
        <v>-23524.6</v>
      </c>
    </row>
    <row r="130" spans="1:11" x14ac:dyDescent="0.2">
      <c r="A130" s="144" t="s">
        <v>11</v>
      </c>
      <c r="B130" s="144" t="s">
        <v>123</v>
      </c>
      <c r="C130" s="144" t="s">
        <v>132</v>
      </c>
      <c r="D130" s="144" t="s">
        <v>133</v>
      </c>
      <c r="E130" s="96">
        <v>374936.26999999996</v>
      </c>
      <c r="F130" s="96">
        <v>327576.34000000003</v>
      </c>
      <c r="G130" s="96">
        <v>-1730.6</v>
      </c>
      <c r="H130" s="96">
        <v>0</v>
      </c>
      <c r="I130" s="96">
        <v>0</v>
      </c>
      <c r="J130" s="96">
        <v>0</v>
      </c>
      <c r="K130" s="96">
        <f t="shared" si="3"/>
        <v>700782.01</v>
      </c>
    </row>
    <row r="131" spans="1:11" x14ac:dyDescent="0.2">
      <c r="A131" s="144" t="s">
        <v>11</v>
      </c>
      <c r="B131" s="144" t="s">
        <v>123</v>
      </c>
      <c r="C131" s="144" t="s">
        <v>130</v>
      </c>
      <c r="D131" s="144" t="s">
        <v>131</v>
      </c>
      <c r="E131" s="96">
        <v>639007.99</v>
      </c>
      <c r="F131" s="96">
        <v>296735.09999999998</v>
      </c>
      <c r="G131" s="96">
        <v>0</v>
      </c>
      <c r="H131" s="96">
        <v>0</v>
      </c>
      <c r="I131" s="96">
        <v>0</v>
      </c>
      <c r="J131" s="96">
        <v>0</v>
      </c>
      <c r="K131" s="96">
        <f t="shared" ref="K131:K138" si="4">SUM(E131:J131)</f>
        <v>935743.09</v>
      </c>
    </row>
    <row r="132" spans="1:11" x14ac:dyDescent="0.2">
      <c r="A132" s="144" t="s">
        <v>11</v>
      </c>
      <c r="B132" s="144" t="s">
        <v>123</v>
      </c>
      <c r="C132" s="144" t="s">
        <v>128</v>
      </c>
      <c r="D132" s="144" t="s">
        <v>129</v>
      </c>
      <c r="E132" s="96">
        <v>429148.24</v>
      </c>
      <c r="F132" s="96">
        <v>33485.64</v>
      </c>
      <c r="G132" s="96">
        <v>0</v>
      </c>
      <c r="H132" s="96">
        <v>0</v>
      </c>
      <c r="I132" s="96">
        <v>0</v>
      </c>
      <c r="J132" s="96">
        <v>0</v>
      </c>
      <c r="K132" s="96">
        <f t="shared" si="4"/>
        <v>462633.88</v>
      </c>
    </row>
    <row r="133" spans="1:11" x14ac:dyDescent="0.2">
      <c r="A133" s="144" t="s">
        <v>11</v>
      </c>
      <c r="B133" s="144" t="s">
        <v>123</v>
      </c>
      <c r="C133" s="144" t="s">
        <v>224</v>
      </c>
      <c r="D133" s="144" t="s">
        <v>225</v>
      </c>
      <c r="E133" s="96">
        <v>0</v>
      </c>
      <c r="F133" s="96">
        <v>0</v>
      </c>
      <c r="G133" s="96">
        <v>0</v>
      </c>
      <c r="H133" s="96">
        <v>0</v>
      </c>
      <c r="I133" s="96">
        <v>0</v>
      </c>
      <c r="J133" s="96">
        <v>0</v>
      </c>
      <c r="K133" s="96">
        <f t="shared" si="4"/>
        <v>0</v>
      </c>
    </row>
    <row r="134" spans="1:11" x14ac:dyDescent="0.2">
      <c r="A134" s="144" t="s">
        <v>11</v>
      </c>
      <c r="B134" s="144" t="s">
        <v>123</v>
      </c>
      <c r="C134" s="144" t="s">
        <v>226</v>
      </c>
      <c r="D134" s="144" t="s">
        <v>227</v>
      </c>
      <c r="E134" s="96">
        <v>3906.44</v>
      </c>
      <c r="F134" s="96">
        <v>-494.04</v>
      </c>
      <c r="G134" s="96">
        <v>0</v>
      </c>
      <c r="H134" s="96">
        <v>0</v>
      </c>
      <c r="I134" s="96">
        <v>0</v>
      </c>
      <c r="J134" s="96">
        <v>0</v>
      </c>
      <c r="K134" s="96">
        <f t="shared" si="4"/>
        <v>3412.4</v>
      </c>
    </row>
    <row r="135" spans="1:11" x14ac:dyDescent="0.2">
      <c r="A135" s="144" t="s">
        <v>11</v>
      </c>
      <c r="B135" s="144" t="s">
        <v>123</v>
      </c>
      <c r="C135" s="144" t="s">
        <v>126</v>
      </c>
      <c r="D135" s="144" t="s">
        <v>127</v>
      </c>
      <c r="E135" s="96">
        <v>5654.07</v>
      </c>
      <c r="F135" s="96">
        <v>1541.97</v>
      </c>
      <c r="G135" s="96">
        <v>0</v>
      </c>
      <c r="H135" s="96">
        <v>0</v>
      </c>
      <c r="I135" s="96">
        <v>0</v>
      </c>
      <c r="J135" s="96">
        <v>0</v>
      </c>
      <c r="K135" s="96">
        <f t="shared" si="4"/>
        <v>7196.04</v>
      </c>
    </row>
    <row r="136" spans="1:11" x14ac:dyDescent="0.2">
      <c r="A136" s="144" t="s">
        <v>11</v>
      </c>
      <c r="B136" s="144" t="s">
        <v>123</v>
      </c>
      <c r="C136" s="144" t="s">
        <v>124</v>
      </c>
      <c r="D136" s="144" t="s">
        <v>125</v>
      </c>
      <c r="E136" s="96">
        <v>14873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f t="shared" si="4"/>
        <v>14873</v>
      </c>
    </row>
    <row r="137" spans="1:11" x14ac:dyDescent="0.2">
      <c r="A137" s="144" t="s">
        <v>11</v>
      </c>
      <c r="B137" s="144" t="s">
        <v>123</v>
      </c>
      <c r="C137" s="144" t="s">
        <v>228</v>
      </c>
      <c r="D137" s="144" t="s">
        <v>229</v>
      </c>
      <c r="E137" s="96">
        <v>5393</v>
      </c>
      <c r="F137" s="96">
        <v>0</v>
      </c>
      <c r="G137" s="96">
        <v>0</v>
      </c>
      <c r="H137" s="96">
        <v>0</v>
      </c>
      <c r="I137" s="96">
        <v>0</v>
      </c>
      <c r="J137" s="96">
        <v>0</v>
      </c>
      <c r="K137" s="96">
        <f t="shared" si="4"/>
        <v>5393</v>
      </c>
    </row>
    <row r="138" spans="1:11" x14ac:dyDescent="0.2">
      <c r="A138" s="144" t="s">
        <v>11</v>
      </c>
      <c r="B138" s="144" t="s">
        <v>123</v>
      </c>
      <c r="C138" s="144" t="s">
        <v>230</v>
      </c>
      <c r="D138" s="144" t="s">
        <v>231</v>
      </c>
      <c r="E138" s="96">
        <v>66739</v>
      </c>
      <c r="F138" s="96">
        <v>0</v>
      </c>
      <c r="G138" s="96">
        <v>0</v>
      </c>
      <c r="H138" s="96">
        <v>0</v>
      </c>
      <c r="I138" s="96">
        <v>0</v>
      </c>
      <c r="J138" s="96">
        <v>0</v>
      </c>
      <c r="K138" s="96">
        <f t="shared" si="4"/>
        <v>66739</v>
      </c>
    </row>
    <row r="139" spans="1:11" x14ac:dyDescent="0.2">
      <c r="A139" s="143" t="s">
        <v>244</v>
      </c>
      <c r="B139" s="143" t="s">
        <v>244</v>
      </c>
      <c r="C139" s="143" t="s">
        <v>244</v>
      </c>
      <c r="D139" s="143" t="s">
        <v>244</v>
      </c>
      <c r="E139" s="145">
        <f t="shared" ref="E139:K139" si="5">SUM(E3:E138)</f>
        <v>1320075727.3399997</v>
      </c>
      <c r="F139" s="145">
        <f t="shared" si="5"/>
        <v>93036117.719999969</v>
      </c>
      <c r="G139" s="145">
        <f t="shared" si="5"/>
        <v>-17703174.449999999</v>
      </c>
      <c r="H139" s="145">
        <f t="shared" si="5"/>
        <v>-1168927.6100000001</v>
      </c>
      <c r="I139" s="145">
        <f t="shared" si="5"/>
        <v>795206.37</v>
      </c>
      <c r="J139" s="145">
        <f t="shared" si="5"/>
        <v>463610.33</v>
      </c>
      <c r="K139" s="145">
        <f t="shared" si="5"/>
        <v>1395498559.7</v>
      </c>
    </row>
    <row r="141" spans="1:11" x14ac:dyDescent="0.2">
      <c r="D141" s="141" t="s">
        <v>314</v>
      </c>
      <c r="E141" s="69">
        <v>1430766.51</v>
      </c>
      <c r="F141" s="69">
        <v>3858150.93</v>
      </c>
      <c r="G141" s="69">
        <v>0</v>
      </c>
      <c r="H141" s="69">
        <v>0</v>
      </c>
      <c r="I141" s="69">
        <v>0</v>
      </c>
      <c r="J141" s="69">
        <v>0</v>
      </c>
      <c r="K141" s="69">
        <v>5288917.4399999995</v>
      </c>
    </row>
    <row r="142" spans="1:11" x14ac:dyDescent="0.2">
      <c r="D142" s="141" t="str">
        <f>D122</f>
        <v>TRANSPORTATION EQUIPMENT</v>
      </c>
      <c r="E142" s="69">
        <f>E122</f>
        <v>11372150.51</v>
      </c>
      <c r="F142" s="69">
        <f t="shared" ref="F142:K142" si="6">F122</f>
        <v>3474165.56</v>
      </c>
      <c r="G142" s="69">
        <f t="shared" si="6"/>
        <v>-1726027.74</v>
      </c>
      <c r="H142" s="69">
        <f t="shared" si="6"/>
        <v>0</v>
      </c>
      <c r="I142" s="69">
        <f t="shared" si="6"/>
        <v>500879</v>
      </c>
      <c r="J142" s="69">
        <f t="shared" si="6"/>
        <v>0</v>
      </c>
      <c r="K142" s="69">
        <f t="shared" si="6"/>
        <v>13621167.33</v>
      </c>
    </row>
    <row r="143" spans="1:11" x14ac:dyDescent="0.2">
      <c r="D143" s="141" t="str">
        <f>D124</f>
        <v>TOOLS - SHOP &amp; GARAGE EQUIPUI</v>
      </c>
      <c r="E143" s="69">
        <f>E124</f>
        <v>5303998.5699999994</v>
      </c>
      <c r="F143" s="69">
        <f t="shared" ref="F143:K143" si="7">F124</f>
        <v>474608.16</v>
      </c>
      <c r="G143" s="69">
        <f t="shared" si="7"/>
        <v>0</v>
      </c>
      <c r="H143" s="69">
        <f t="shared" si="7"/>
        <v>0</v>
      </c>
      <c r="I143" s="69">
        <f t="shared" si="7"/>
        <v>35573.71</v>
      </c>
      <c r="J143" s="69">
        <f t="shared" si="7"/>
        <v>0</v>
      </c>
      <c r="K143" s="69">
        <f t="shared" si="7"/>
        <v>5814180.4399999995</v>
      </c>
    </row>
    <row r="144" spans="1:11" x14ac:dyDescent="0.2">
      <c r="E144" s="69"/>
      <c r="F144" s="69"/>
      <c r="G144" s="69"/>
      <c r="H144" s="69"/>
      <c r="I144" s="69"/>
      <c r="J144" s="69"/>
      <c r="K144" s="69"/>
    </row>
    <row r="145" spans="5:11" x14ac:dyDescent="0.2">
      <c r="E145" s="142">
        <f>E139-E141-E142-E143</f>
        <v>1301968811.7499998</v>
      </c>
      <c r="F145" s="142">
        <f t="shared" ref="F145:K145" si="8">F139-F141-F142-F143</f>
        <v>85229193.069999963</v>
      </c>
      <c r="G145" s="142">
        <f t="shared" si="8"/>
        <v>-15977146.709999999</v>
      </c>
      <c r="H145" s="142">
        <f t="shared" si="8"/>
        <v>-1168927.6100000001</v>
      </c>
      <c r="I145" s="142">
        <f t="shared" si="8"/>
        <v>258753.66</v>
      </c>
      <c r="J145" s="142">
        <f t="shared" si="8"/>
        <v>463610.33</v>
      </c>
      <c r="K145" s="142">
        <f t="shared" si="8"/>
        <v>1370774294.49</v>
      </c>
    </row>
  </sheetData>
  <autoFilter ref="A2:K139" xr:uid="{16CB9406-D219-4ABD-A963-13A11A8CEE5D}"/>
  <pageMargins left="0.75" right="0.75" top="1" bottom="1" header="0.5" footer="0.5"/>
  <pageSetup paperSize="9" orientation="portrait" verticalDpi="0" r:id="rId1"/>
  <headerFooter>
    <oddHeader>&amp;RExh. KTW-5 Walker WP7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3E23-F46E-466F-90D5-5046E417A3EA}">
  <dimension ref="A1:L123"/>
  <sheetViews>
    <sheetView showGridLines="0" zoomScale="85" zoomScaleNormal="85" workbookViewId="0">
      <selection activeCell="C7" sqref="C7"/>
    </sheetView>
  </sheetViews>
  <sheetFormatPr defaultColWidth="11.42578125" defaultRowHeight="12.75" x14ac:dyDescent="0.2"/>
  <cols>
    <col min="1" max="1" width="8.28515625" style="2" bestFit="1" customWidth="1"/>
    <col min="2" max="2" width="8.42578125" style="2" bestFit="1" customWidth="1"/>
    <col min="3" max="3" width="6.5703125" style="2" bestFit="1" customWidth="1"/>
    <col min="4" max="4" width="34.28515625" style="2" bestFit="1" customWidth="1"/>
    <col min="5" max="5" width="15" style="2" bestFit="1" customWidth="1"/>
    <col min="6" max="6" width="12.7109375" style="2" bestFit="1" customWidth="1"/>
    <col min="7" max="7" width="13.42578125" style="2" bestFit="1" customWidth="1"/>
    <col min="8" max="8" width="10.85546875" style="2" bestFit="1" customWidth="1"/>
    <col min="9" max="9" width="7.42578125" style="2" bestFit="1" customWidth="1"/>
    <col min="10" max="10" width="8.7109375" style="2" bestFit="1" customWidth="1"/>
    <col min="11" max="11" width="15" style="2" bestFit="1" customWidth="1"/>
    <col min="12" max="16384" width="11.42578125" style="2"/>
  </cols>
  <sheetData>
    <row r="1" spans="1:11" x14ac:dyDescent="0.2">
      <c r="E1" s="64" t="s">
        <v>277</v>
      </c>
      <c r="F1" s="1"/>
      <c r="G1" s="1"/>
      <c r="H1" s="1"/>
      <c r="I1" s="1"/>
      <c r="J1" s="1"/>
      <c r="K1" s="64" t="s">
        <v>278</v>
      </c>
    </row>
    <row r="2" spans="1:11" x14ac:dyDescent="0.2">
      <c r="A2" s="143" t="s">
        <v>0</v>
      </c>
      <c r="B2" s="143" t="s">
        <v>1</v>
      </c>
      <c r="C2" s="143" t="s">
        <v>2</v>
      </c>
      <c r="D2" s="143" t="s">
        <v>3</v>
      </c>
      <c r="E2" s="143" t="s">
        <v>4</v>
      </c>
      <c r="F2" s="143" t="s">
        <v>5</v>
      </c>
      <c r="G2" s="143" t="s">
        <v>6</v>
      </c>
      <c r="H2" s="143" t="s">
        <v>7</v>
      </c>
      <c r="I2" s="143" t="s">
        <v>8</v>
      </c>
      <c r="J2" s="143" t="s">
        <v>9</v>
      </c>
      <c r="K2" s="143" t="s">
        <v>10</v>
      </c>
    </row>
    <row r="3" spans="1:11" x14ac:dyDescent="0.2">
      <c r="A3" s="144" t="s">
        <v>11</v>
      </c>
      <c r="B3" s="144" t="s">
        <v>12</v>
      </c>
      <c r="C3" s="144" t="s">
        <v>157</v>
      </c>
      <c r="D3" s="144" t="s">
        <v>158</v>
      </c>
      <c r="E3" s="96">
        <v>0</v>
      </c>
      <c r="F3" s="96">
        <v>0</v>
      </c>
      <c r="G3" s="96">
        <v>0</v>
      </c>
      <c r="H3" s="96">
        <v>0</v>
      </c>
      <c r="I3" s="96">
        <v>0</v>
      </c>
      <c r="J3" s="96">
        <v>0</v>
      </c>
      <c r="K3" s="96">
        <f t="shared" ref="K3:K34" si="0">SUM(E3:J3)</f>
        <v>0</v>
      </c>
    </row>
    <row r="4" spans="1:11" x14ac:dyDescent="0.2">
      <c r="A4" s="144" t="s">
        <v>11</v>
      </c>
      <c r="B4" s="144" t="s">
        <v>12</v>
      </c>
      <c r="C4" s="144" t="s">
        <v>159</v>
      </c>
      <c r="D4" s="144" t="s">
        <v>160</v>
      </c>
      <c r="E4" s="96">
        <v>0</v>
      </c>
      <c r="F4" s="96">
        <v>0</v>
      </c>
      <c r="G4" s="96">
        <v>0</v>
      </c>
      <c r="H4" s="96">
        <v>0</v>
      </c>
      <c r="I4" s="96">
        <v>0</v>
      </c>
      <c r="J4" s="96">
        <v>0</v>
      </c>
      <c r="K4" s="96">
        <f t="shared" si="0"/>
        <v>0</v>
      </c>
    </row>
    <row r="5" spans="1:11" x14ac:dyDescent="0.2">
      <c r="A5" s="144" t="s">
        <v>11</v>
      </c>
      <c r="B5" s="144" t="s">
        <v>12</v>
      </c>
      <c r="C5" s="144" t="s">
        <v>15</v>
      </c>
      <c r="D5" s="144" t="s">
        <v>16</v>
      </c>
      <c r="E5" s="96">
        <v>4653.88</v>
      </c>
      <c r="F5" s="96">
        <v>5180.78</v>
      </c>
      <c r="G5" s="96">
        <v>0</v>
      </c>
      <c r="H5" s="96">
        <v>0</v>
      </c>
      <c r="I5" s="96">
        <v>0</v>
      </c>
      <c r="J5" s="96">
        <v>0</v>
      </c>
      <c r="K5" s="96">
        <f t="shared" si="0"/>
        <v>9834.66</v>
      </c>
    </row>
    <row r="6" spans="1:11" x14ac:dyDescent="0.2">
      <c r="A6" s="144" t="s">
        <v>11</v>
      </c>
      <c r="B6" s="144" t="s">
        <v>12</v>
      </c>
      <c r="C6" s="144" t="s">
        <v>161</v>
      </c>
      <c r="D6" s="144" t="s">
        <v>147</v>
      </c>
      <c r="E6" s="96">
        <v>1863072.66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f t="shared" si="0"/>
        <v>1863072.66</v>
      </c>
    </row>
    <row r="7" spans="1:11" x14ac:dyDescent="0.2">
      <c r="A7" s="144" t="s">
        <v>11</v>
      </c>
      <c r="B7" s="144" t="s">
        <v>12</v>
      </c>
      <c r="C7" s="144" t="s">
        <v>162</v>
      </c>
      <c r="D7" s="144" t="s">
        <v>163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f t="shared" si="0"/>
        <v>0</v>
      </c>
    </row>
    <row r="8" spans="1:11" x14ac:dyDescent="0.2">
      <c r="A8" s="144" t="s">
        <v>11</v>
      </c>
      <c r="B8" s="144" t="s">
        <v>12</v>
      </c>
      <c r="C8" s="144" t="s">
        <v>13</v>
      </c>
      <c r="D8" s="144" t="s">
        <v>14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f t="shared" si="0"/>
        <v>0</v>
      </c>
    </row>
    <row r="9" spans="1:11" x14ac:dyDescent="0.2">
      <c r="A9" s="144" t="s">
        <v>11</v>
      </c>
      <c r="B9" s="144" t="s">
        <v>12</v>
      </c>
      <c r="C9" s="144" t="s">
        <v>164</v>
      </c>
      <c r="D9" s="144" t="s">
        <v>165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f t="shared" si="0"/>
        <v>0</v>
      </c>
    </row>
    <row r="10" spans="1:11" x14ac:dyDescent="0.2">
      <c r="A10" s="144" t="s">
        <v>11</v>
      </c>
      <c r="B10" s="144" t="s">
        <v>166</v>
      </c>
      <c r="C10" s="144" t="s">
        <v>167</v>
      </c>
      <c r="D10" s="144" t="s">
        <v>168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f t="shared" si="0"/>
        <v>0</v>
      </c>
    </row>
    <row r="11" spans="1:11" x14ac:dyDescent="0.2">
      <c r="A11" s="144" t="s">
        <v>11</v>
      </c>
      <c r="B11" s="144" t="s">
        <v>166</v>
      </c>
      <c r="C11" s="144" t="s">
        <v>173</v>
      </c>
      <c r="D11" s="144" t="s">
        <v>174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f t="shared" si="0"/>
        <v>0</v>
      </c>
    </row>
    <row r="12" spans="1:11" x14ac:dyDescent="0.2">
      <c r="A12" s="144" t="s">
        <v>11</v>
      </c>
      <c r="B12" s="144" t="s">
        <v>166</v>
      </c>
      <c r="C12" s="144" t="s">
        <v>175</v>
      </c>
      <c r="D12" s="144" t="s">
        <v>176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f t="shared" si="0"/>
        <v>0</v>
      </c>
    </row>
    <row r="13" spans="1:11" x14ac:dyDescent="0.2">
      <c r="A13" s="144" t="s">
        <v>11</v>
      </c>
      <c r="B13" s="144" t="s">
        <v>166</v>
      </c>
      <c r="C13" s="144" t="s">
        <v>183</v>
      </c>
      <c r="D13" s="144" t="s">
        <v>184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f t="shared" si="0"/>
        <v>0</v>
      </c>
    </row>
    <row r="14" spans="1:11" x14ac:dyDescent="0.2">
      <c r="A14" s="144" t="s">
        <v>11</v>
      </c>
      <c r="B14" s="144" t="s">
        <v>166</v>
      </c>
      <c r="C14" s="144" t="s">
        <v>185</v>
      </c>
      <c r="D14" s="144" t="s">
        <v>186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f t="shared" si="0"/>
        <v>0</v>
      </c>
    </row>
    <row r="15" spans="1:11" x14ac:dyDescent="0.2">
      <c r="A15" s="144" t="s">
        <v>11</v>
      </c>
      <c r="B15" s="144" t="s">
        <v>166</v>
      </c>
      <c r="C15" s="144" t="s">
        <v>187</v>
      </c>
      <c r="D15" s="144" t="s">
        <v>188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f t="shared" si="0"/>
        <v>0</v>
      </c>
    </row>
    <row r="16" spans="1:11" x14ac:dyDescent="0.2">
      <c r="A16" s="144" t="s">
        <v>11</v>
      </c>
      <c r="B16" s="144" t="s">
        <v>166</v>
      </c>
      <c r="C16" s="144" t="s">
        <v>191</v>
      </c>
      <c r="D16" s="144" t="s">
        <v>192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f t="shared" si="0"/>
        <v>0</v>
      </c>
    </row>
    <row r="17" spans="1:11" x14ac:dyDescent="0.2">
      <c r="A17" s="144" t="s">
        <v>11</v>
      </c>
      <c r="B17" s="144" t="s">
        <v>166</v>
      </c>
      <c r="C17" s="144" t="s">
        <v>193</v>
      </c>
      <c r="D17" s="144" t="s">
        <v>194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f t="shared" si="0"/>
        <v>0</v>
      </c>
    </row>
    <row r="18" spans="1:11" x14ac:dyDescent="0.2">
      <c r="A18" s="144" t="s">
        <v>11</v>
      </c>
      <c r="B18" s="144" t="s">
        <v>166</v>
      </c>
      <c r="C18" s="144" t="s">
        <v>195</v>
      </c>
      <c r="D18" s="144" t="s">
        <v>192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f t="shared" si="0"/>
        <v>0</v>
      </c>
    </row>
    <row r="19" spans="1:11" x14ac:dyDescent="0.2">
      <c r="A19" s="144" t="s">
        <v>11</v>
      </c>
      <c r="B19" s="144" t="s">
        <v>166</v>
      </c>
      <c r="C19" s="144" t="s">
        <v>196</v>
      </c>
      <c r="D19" s="144" t="s">
        <v>194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f t="shared" si="0"/>
        <v>0</v>
      </c>
    </row>
    <row r="20" spans="1:11" x14ac:dyDescent="0.2">
      <c r="A20" s="144" t="s">
        <v>11</v>
      </c>
      <c r="B20" s="144" t="s">
        <v>166</v>
      </c>
      <c r="C20" s="144" t="s">
        <v>197</v>
      </c>
      <c r="D20" s="144" t="s">
        <v>194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f t="shared" si="0"/>
        <v>0</v>
      </c>
    </row>
    <row r="21" spans="1:11" x14ac:dyDescent="0.2">
      <c r="A21" s="144" t="s">
        <v>11</v>
      </c>
      <c r="B21" s="144" t="s">
        <v>166</v>
      </c>
      <c r="C21" s="144" t="s">
        <v>198</v>
      </c>
      <c r="D21" s="144" t="s">
        <v>194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f t="shared" si="0"/>
        <v>0</v>
      </c>
    </row>
    <row r="22" spans="1:11" x14ac:dyDescent="0.2">
      <c r="A22" s="144" t="s">
        <v>11</v>
      </c>
      <c r="B22" s="144" t="s">
        <v>166</v>
      </c>
      <c r="C22" s="144" t="s">
        <v>199</v>
      </c>
      <c r="D22" s="144" t="s">
        <v>194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f t="shared" si="0"/>
        <v>0</v>
      </c>
    </row>
    <row r="23" spans="1:11" x14ac:dyDescent="0.2">
      <c r="A23" s="144" t="s">
        <v>11</v>
      </c>
      <c r="B23" s="144" t="s">
        <v>17</v>
      </c>
      <c r="C23" s="144" t="s">
        <v>169</v>
      </c>
      <c r="D23" s="144" t="s">
        <v>170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f t="shared" si="0"/>
        <v>0</v>
      </c>
    </row>
    <row r="24" spans="1:11" x14ac:dyDescent="0.2">
      <c r="A24" s="144" t="s">
        <v>11</v>
      </c>
      <c r="B24" s="144" t="s">
        <v>17</v>
      </c>
      <c r="C24" s="144" t="s">
        <v>171</v>
      </c>
      <c r="D24" s="144" t="s">
        <v>172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f t="shared" si="0"/>
        <v>0</v>
      </c>
    </row>
    <row r="25" spans="1:11" x14ac:dyDescent="0.2">
      <c r="A25" s="144" t="s">
        <v>11</v>
      </c>
      <c r="B25" s="144" t="s">
        <v>17</v>
      </c>
      <c r="C25" s="144" t="s">
        <v>18</v>
      </c>
      <c r="D25" s="144" t="s">
        <v>19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f t="shared" si="0"/>
        <v>0</v>
      </c>
    </row>
    <row r="26" spans="1:11" x14ac:dyDescent="0.2">
      <c r="A26" s="144" t="s">
        <v>11</v>
      </c>
      <c r="B26" s="144" t="s">
        <v>17</v>
      </c>
      <c r="C26" s="144" t="s">
        <v>177</v>
      </c>
      <c r="D26" s="144" t="s">
        <v>178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f t="shared" si="0"/>
        <v>0</v>
      </c>
    </row>
    <row r="27" spans="1:11" x14ac:dyDescent="0.2">
      <c r="A27" s="144" t="s">
        <v>11</v>
      </c>
      <c r="B27" s="144" t="s">
        <v>17</v>
      </c>
      <c r="C27" s="144" t="s">
        <v>179</v>
      </c>
      <c r="D27" s="144" t="s">
        <v>180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f t="shared" si="0"/>
        <v>0</v>
      </c>
    </row>
    <row r="28" spans="1:11" x14ac:dyDescent="0.2">
      <c r="A28" s="144" t="s">
        <v>11</v>
      </c>
      <c r="B28" s="144" t="s">
        <v>17</v>
      </c>
      <c r="C28" s="144" t="s">
        <v>181</v>
      </c>
      <c r="D28" s="144" t="s">
        <v>182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f t="shared" si="0"/>
        <v>0</v>
      </c>
    </row>
    <row r="29" spans="1:11" x14ac:dyDescent="0.2">
      <c r="A29" s="144" t="s">
        <v>11</v>
      </c>
      <c r="B29" s="144" t="s">
        <v>17</v>
      </c>
      <c r="C29" s="144" t="s">
        <v>189</v>
      </c>
      <c r="D29" s="144" t="s">
        <v>190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f t="shared" si="0"/>
        <v>0</v>
      </c>
    </row>
    <row r="30" spans="1:11" x14ac:dyDescent="0.2">
      <c r="A30" s="144" t="s">
        <v>11</v>
      </c>
      <c r="B30" s="144" t="s">
        <v>20</v>
      </c>
      <c r="C30" s="144" t="s">
        <v>200</v>
      </c>
      <c r="D30" s="144" t="s">
        <v>168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f t="shared" si="0"/>
        <v>0</v>
      </c>
    </row>
    <row r="31" spans="1:11" x14ac:dyDescent="0.2">
      <c r="A31" s="144" t="s">
        <v>11</v>
      </c>
      <c r="B31" s="144" t="s">
        <v>20</v>
      </c>
      <c r="C31" s="144" t="s">
        <v>41</v>
      </c>
      <c r="D31" s="144" t="s">
        <v>42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f t="shared" si="0"/>
        <v>0</v>
      </c>
    </row>
    <row r="32" spans="1:11" x14ac:dyDescent="0.2">
      <c r="A32" s="144" t="s">
        <v>11</v>
      </c>
      <c r="B32" s="144" t="s">
        <v>20</v>
      </c>
      <c r="C32" s="144" t="s">
        <v>39</v>
      </c>
      <c r="D32" s="144" t="s">
        <v>40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f t="shared" si="0"/>
        <v>0</v>
      </c>
    </row>
    <row r="33" spans="1:11" x14ac:dyDescent="0.2">
      <c r="A33" s="144" t="s">
        <v>11</v>
      </c>
      <c r="B33" s="144" t="s">
        <v>20</v>
      </c>
      <c r="C33" s="144" t="s">
        <v>37</v>
      </c>
      <c r="D33" s="144" t="s">
        <v>38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f t="shared" si="0"/>
        <v>0</v>
      </c>
    </row>
    <row r="34" spans="1:11" x14ac:dyDescent="0.2">
      <c r="A34" s="144" t="s">
        <v>11</v>
      </c>
      <c r="B34" s="144" t="s">
        <v>20</v>
      </c>
      <c r="C34" s="144" t="s">
        <v>35</v>
      </c>
      <c r="D34" s="144" t="s">
        <v>36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f t="shared" si="0"/>
        <v>0</v>
      </c>
    </row>
    <row r="35" spans="1:11" x14ac:dyDescent="0.2">
      <c r="A35" s="144" t="s">
        <v>11</v>
      </c>
      <c r="B35" s="144" t="s">
        <v>20</v>
      </c>
      <c r="C35" s="144" t="s">
        <v>33</v>
      </c>
      <c r="D35" s="144" t="s">
        <v>34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f t="shared" ref="K35:K66" si="1">SUM(E35:J35)</f>
        <v>0</v>
      </c>
    </row>
    <row r="36" spans="1:11" x14ac:dyDescent="0.2">
      <c r="A36" s="144" t="s">
        <v>11</v>
      </c>
      <c r="B36" s="144" t="s">
        <v>20</v>
      </c>
      <c r="C36" s="144" t="s">
        <v>31</v>
      </c>
      <c r="D36" s="144" t="s">
        <v>32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f t="shared" si="1"/>
        <v>0</v>
      </c>
    </row>
    <row r="37" spans="1:11" x14ac:dyDescent="0.2">
      <c r="A37" s="144" t="s">
        <v>11</v>
      </c>
      <c r="B37" s="144" t="s">
        <v>20</v>
      </c>
      <c r="C37" s="144" t="s">
        <v>29</v>
      </c>
      <c r="D37" s="144" t="s">
        <v>30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f t="shared" si="1"/>
        <v>0</v>
      </c>
    </row>
    <row r="38" spans="1:11" x14ac:dyDescent="0.2">
      <c r="A38" s="144" t="s">
        <v>11</v>
      </c>
      <c r="B38" s="144" t="s">
        <v>20</v>
      </c>
      <c r="C38" s="144" t="s">
        <v>27</v>
      </c>
      <c r="D38" s="144" t="s">
        <v>28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f t="shared" si="1"/>
        <v>0</v>
      </c>
    </row>
    <row r="39" spans="1:11" x14ac:dyDescent="0.2">
      <c r="A39" s="144" t="s">
        <v>11</v>
      </c>
      <c r="B39" s="144" t="s">
        <v>20</v>
      </c>
      <c r="C39" s="144" t="s">
        <v>25</v>
      </c>
      <c r="D39" s="144" t="s">
        <v>26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f t="shared" si="1"/>
        <v>0</v>
      </c>
    </row>
    <row r="40" spans="1:11" x14ac:dyDescent="0.2">
      <c r="A40" s="144" t="s">
        <v>11</v>
      </c>
      <c r="B40" s="144" t="s">
        <v>20</v>
      </c>
      <c r="C40" s="144" t="s">
        <v>23</v>
      </c>
      <c r="D40" s="144" t="s">
        <v>24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f t="shared" si="1"/>
        <v>0</v>
      </c>
    </row>
    <row r="41" spans="1:11" x14ac:dyDescent="0.2">
      <c r="A41" s="144" t="s">
        <v>11</v>
      </c>
      <c r="B41" s="144" t="s">
        <v>20</v>
      </c>
      <c r="C41" s="144" t="s">
        <v>21</v>
      </c>
      <c r="D41" s="144" t="s">
        <v>22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f t="shared" si="1"/>
        <v>0</v>
      </c>
    </row>
    <row r="42" spans="1:11" x14ac:dyDescent="0.2">
      <c r="A42" s="144" t="s">
        <v>11</v>
      </c>
      <c r="B42" s="144" t="s">
        <v>43</v>
      </c>
      <c r="C42" s="144" t="s">
        <v>201</v>
      </c>
      <c r="D42" s="144" t="s">
        <v>202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f t="shared" si="1"/>
        <v>0</v>
      </c>
    </row>
    <row r="43" spans="1:11" x14ac:dyDescent="0.2">
      <c r="A43" s="144" t="s">
        <v>11</v>
      </c>
      <c r="B43" s="144" t="s">
        <v>43</v>
      </c>
      <c r="C43" s="144" t="s">
        <v>203</v>
      </c>
      <c r="D43" s="144" t="s">
        <v>204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f t="shared" si="1"/>
        <v>0</v>
      </c>
    </row>
    <row r="44" spans="1:11" x14ac:dyDescent="0.2">
      <c r="A44" s="144" t="s">
        <v>11</v>
      </c>
      <c r="B44" s="144" t="s">
        <v>43</v>
      </c>
      <c r="C44" s="144" t="s">
        <v>205</v>
      </c>
      <c r="D44" s="144" t="s">
        <v>206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f t="shared" si="1"/>
        <v>0</v>
      </c>
    </row>
    <row r="45" spans="1:11" x14ac:dyDescent="0.2">
      <c r="A45" s="144" t="s">
        <v>11</v>
      </c>
      <c r="B45" s="144" t="s">
        <v>43</v>
      </c>
      <c r="C45" s="144" t="s">
        <v>71</v>
      </c>
      <c r="D45" s="144" t="s">
        <v>70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f t="shared" si="1"/>
        <v>0</v>
      </c>
    </row>
    <row r="46" spans="1:11" x14ac:dyDescent="0.2">
      <c r="A46" s="144" t="s">
        <v>11</v>
      </c>
      <c r="B46" s="144" t="s">
        <v>43</v>
      </c>
      <c r="C46" s="144" t="s">
        <v>69</v>
      </c>
      <c r="D46" s="144" t="s">
        <v>70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f t="shared" si="1"/>
        <v>0</v>
      </c>
    </row>
    <row r="47" spans="1:11" x14ac:dyDescent="0.2">
      <c r="A47" s="144" t="s">
        <v>11</v>
      </c>
      <c r="B47" s="144" t="s">
        <v>43</v>
      </c>
      <c r="C47" s="144" t="s">
        <v>67</v>
      </c>
      <c r="D47" s="144" t="s">
        <v>68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f t="shared" si="1"/>
        <v>0</v>
      </c>
    </row>
    <row r="48" spans="1:11" x14ac:dyDescent="0.2">
      <c r="A48" s="144" t="s">
        <v>11</v>
      </c>
      <c r="B48" s="144" t="s">
        <v>43</v>
      </c>
      <c r="C48" s="144" t="s">
        <v>65</v>
      </c>
      <c r="D48" s="144" t="s">
        <v>66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f t="shared" si="1"/>
        <v>0</v>
      </c>
    </row>
    <row r="49" spans="1:11" x14ac:dyDescent="0.2">
      <c r="A49" s="144" t="s">
        <v>11</v>
      </c>
      <c r="B49" s="144" t="s">
        <v>43</v>
      </c>
      <c r="C49" s="144" t="s">
        <v>63</v>
      </c>
      <c r="D49" s="144" t="s">
        <v>64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f t="shared" si="1"/>
        <v>0</v>
      </c>
    </row>
    <row r="50" spans="1:11" x14ac:dyDescent="0.2">
      <c r="A50" s="144" t="s">
        <v>11</v>
      </c>
      <c r="B50" s="144" t="s">
        <v>43</v>
      </c>
      <c r="C50" s="144" t="s">
        <v>61</v>
      </c>
      <c r="D50" s="144" t="s">
        <v>62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f t="shared" si="1"/>
        <v>0</v>
      </c>
    </row>
    <row r="51" spans="1:11" x14ac:dyDescent="0.2">
      <c r="A51" s="144" t="s">
        <v>11</v>
      </c>
      <c r="B51" s="144" t="s">
        <v>43</v>
      </c>
      <c r="C51" s="144" t="s">
        <v>59</v>
      </c>
      <c r="D51" s="144" t="s">
        <v>60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f t="shared" si="1"/>
        <v>0</v>
      </c>
    </row>
    <row r="52" spans="1:11" x14ac:dyDescent="0.2">
      <c r="A52" s="144" t="s">
        <v>11</v>
      </c>
      <c r="B52" s="144" t="s">
        <v>43</v>
      </c>
      <c r="C52" s="144" t="s">
        <v>57</v>
      </c>
      <c r="D52" s="144" t="s">
        <v>58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f t="shared" si="1"/>
        <v>0</v>
      </c>
    </row>
    <row r="53" spans="1:11" x14ac:dyDescent="0.2">
      <c r="A53" s="144" t="s">
        <v>11</v>
      </c>
      <c r="B53" s="144" t="s">
        <v>43</v>
      </c>
      <c r="C53" s="144" t="s">
        <v>55</v>
      </c>
      <c r="D53" s="144" t="s">
        <v>56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f t="shared" si="1"/>
        <v>0</v>
      </c>
    </row>
    <row r="54" spans="1:11" x14ac:dyDescent="0.2">
      <c r="A54" s="144" t="s">
        <v>11</v>
      </c>
      <c r="B54" s="144" t="s">
        <v>43</v>
      </c>
      <c r="C54" s="144" t="s">
        <v>53</v>
      </c>
      <c r="D54" s="144" t="s">
        <v>54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f t="shared" si="1"/>
        <v>0</v>
      </c>
    </row>
    <row r="55" spans="1:11" x14ac:dyDescent="0.2">
      <c r="A55" s="144" t="s">
        <v>11</v>
      </c>
      <c r="B55" s="144" t="s">
        <v>43</v>
      </c>
      <c r="C55" s="144" t="s">
        <v>51</v>
      </c>
      <c r="D55" s="144" t="s">
        <v>52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f t="shared" si="1"/>
        <v>0</v>
      </c>
    </row>
    <row r="56" spans="1:11" x14ac:dyDescent="0.2">
      <c r="A56" s="144" t="s">
        <v>11</v>
      </c>
      <c r="B56" s="144" t="s">
        <v>43</v>
      </c>
      <c r="C56" s="144" t="s">
        <v>49</v>
      </c>
      <c r="D56" s="144" t="s">
        <v>50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f t="shared" si="1"/>
        <v>0</v>
      </c>
    </row>
    <row r="57" spans="1:11" x14ac:dyDescent="0.2">
      <c r="A57" s="144" t="s">
        <v>11</v>
      </c>
      <c r="B57" s="144" t="s">
        <v>43</v>
      </c>
      <c r="C57" s="144" t="s">
        <v>48</v>
      </c>
      <c r="D57" s="144" t="s">
        <v>47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f t="shared" si="1"/>
        <v>0</v>
      </c>
    </row>
    <row r="58" spans="1:11" x14ac:dyDescent="0.2">
      <c r="A58" s="144" t="s">
        <v>11</v>
      </c>
      <c r="B58" s="144" t="s">
        <v>43</v>
      </c>
      <c r="C58" s="144" t="s">
        <v>46</v>
      </c>
      <c r="D58" s="144" t="s">
        <v>47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f t="shared" si="1"/>
        <v>0</v>
      </c>
    </row>
    <row r="59" spans="1:11" x14ac:dyDescent="0.2">
      <c r="A59" s="144" t="s">
        <v>11</v>
      </c>
      <c r="B59" s="144" t="s">
        <v>43</v>
      </c>
      <c r="C59" s="144" t="s">
        <v>44</v>
      </c>
      <c r="D59" s="144" t="s">
        <v>45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f t="shared" si="1"/>
        <v>0</v>
      </c>
    </row>
    <row r="60" spans="1:11" x14ac:dyDescent="0.2">
      <c r="A60" s="144" t="s">
        <v>11</v>
      </c>
      <c r="B60" s="144" t="s">
        <v>43</v>
      </c>
      <c r="C60" s="144" t="s">
        <v>207</v>
      </c>
      <c r="D60" s="144" t="s">
        <v>208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f t="shared" si="1"/>
        <v>0</v>
      </c>
    </row>
    <row r="61" spans="1:11" x14ac:dyDescent="0.2">
      <c r="A61" s="144" t="s">
        <v>11</v>
      </c>
      <c r="B61" s="144" t="s">
        <v>72</v>
      </c>
      <c r="C61" s="144" t="s">
        <v>209</v>
      </c>
      <c r="D61" s="144" t="s">
        <v>168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f t="shared" si="1"/>
        <v>0</v>
      </c>
    </row>
    <row r="62" spans="1:11" x14ac:dyDescent="0.2">
      <c r="A62" s="144" t="s">
        <v>11</v>
      </c>
      <c r="B62" s="144" t="s">
        <v>72</v>
      </c>
      <c r="C62" s="144" t="s">
        <v>91</v>
      </c>
      <c r="D62" s="144" t="s">
        <v>92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f t="shared" si="1"/>
        <v>0</v>
      </c>
    </row>
    <row r="63" spans="1:11" x14ac:dyDescent="0.2">
      <c r="A63" s="144" t="s">
        <v>11</v>
      </c>
      <c r="B63" s="144" t="s">
        <v>72</v>
      </c>
      <c r="C63" s="144" t="s">
        <v>90</v>
      </c>
      <c r="D63" s="144" t="s">
        <v>68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f t="shared" si="1"/>
        <v>0</v>
      </c>
    </row>
    <row r="64" spans="1:11" x14ac:dyDescent="0.2">
      <c r="A64" s="144" t="s">
        <v>11</v>
      </c>
      <c r="B64" s="144" t="s">
        <v>72</v>
      </c>
      <c r="C64" s="144" t="s">
        <v>88</v>
      </c>
      <c r="D64" s="144" t="s">
        <v>89</v>
      </c>
      <c r="E64" s="96">
        <v>186318.77</v>
      </c>
      <c r="F64" s="96">
        <v>20967.41</v>
      </c>
      <c r="G64" s="96">
        <v>0</v>
      </c>
      <c r="H64" s="96">
        <v>0</v>
      </c>
      <c r="I64" s="96">
        <v>0</v>
      </c>
      <c r="J64" s="96">
        <v>0</v>
      </c>
      <c r="K64" s="96">
        <f t="shared" si="1"/>
        <v>207286.18</v>
      </c>
    </row>
    <row r="65" spans="1:11" x14ac:dyDescent="0.2">
      <c r="A65" s="144" t="s">
        <v>11</v>
      </c>
      <c r="B65" s="144" t="s">
        <v>72</v>
      </c>
      <c r="C65" s="144" t="s">
        <v>86</v>
      </c>
      <c r="D65" s="144" t="s">
        <v>87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f t="shared" si="1"/>
        <v>0</v>
      </c>
    </row>
    <row r="66" spans="1:11" x14ac:dyDescent="0.2">
      <c r="A66" s="144" t="s">
        <v>11</v>
      </c>
      <c r="B66" s="144" t="s">
        <v>72</v>
      </c>
      <c r="C66" s="144" t="s">
        <v>85</v>
      </c>
      <c r="D66" s="144" t="s">
        <v>84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f t="shared" si="1"/>
        <v>0</v>
      </c>
    </row>
    <row r="67" spans="1:11" x14ac:dyDescent="0.2">
      <c r="A67" s="144" t="s">
        <v>11</v>
      </c>
      <c r="B67" s="144" t="s">
        <v>72</v>
      </c>
      <c r="C67" s="144" t="s">
        <v>83</v>
      </c>
      <c r="D67" s="144" t="s">
        <v>84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f t="shared" ref="K67:K98" si="2">SUM(E67:J67)</f>
        <v>0</v>
      </c>
    </row>
    <row r="68" spans="1:11" x14ac:dyDescent="0.2">
      <c r="A68" s="144" t="s">
        <v>11</v>
      </c>
      <c r="B68" s="144" t="s">
        <v>72</v>
      </c>
      <c r="C68" s="144" t="s">
        <v>81</v>
      </c>
      <c r="D68" s="144" t="s">
        <v>82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f t="shared" si="2"/>
        <v>0</v>
      </c>
    </row>
    <row r="69" spans="1:11" x14ac:dyDescent="0.2">
      <c r="A69" s="144" t="s">
        <v>11</v>
      </c>
      <c r="B69" s="144" t="s">
        <v>72</v>
      </c>
      <c r="C69" s="144" t="s">
        <v>79</v>
      </c>
      <c r="D69" s="144" t="s">
        <v>80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f t="shared" si="2"/>
        <v>0</v>
      </c>
    </row>
    <row r="70" spans="1:11" x14ac:dyDescent="0.2">
      <c r="A70" s="144" t="s">
        <v>11</v>
      </c>
      <c r="B70" s="144" t="s">
        <v>72</v>
      </c>
      <c r="C70" s="144" t="s">
        <v>77</v>
      </c>
      <c r="D70" s="144" t="s">
        <v>78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f t="shared" si="2"/>
        <v>0</v>
      </c>
    </row>
    <row r="71" spans="1:11" x14ac:dyDescent="0.2">
      <c r="A71" s="144" t="s">
        <v>11</v>
      </c>
      <c r="B71" s="144" t="s">
        <v>72</v>
      </c>
      <c r="C71" s="144" t="s">
        <v>75</v>
      </c>
      <c r="D71" s="144" t="s">
        <v>76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f t="shared" si="2"/>
        <v>0</v>
      </c>
    </row>
    <row r="72" spans="1:11" x14ac:dyDescent="0.2">
      <c r="A72" s="144" t="s">
        <v>11</v>
      </c>
      <c r="B72" s="144" t="s">
        <v>72</v>
      </c>
      <c r="C72" s="144" t="s">
        <v>73</v>
      </c>
      <c r="D72" s="144" t="s">
        <v>74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f t="shared" si="2"/>
        <v>0</v>
      </c>
    </row>
    <row r="73" spans="1:11" x14ac:dyDescent="0.2">
      <c r="A73" s="144" t="s">
        <v>11</v>
      </c>
      <c r="B73" s="144" t="s">
        <v>72</v>
      </c>
      <c r="C73" s="144" t="s">
        <v>210</v>
      </c>
      <c r="D73" s="144" t="s">
        <v>211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f t="shared" si="2"/>
        <v>0</v>
      </c>
    </row>
    <row r="74" spans="1:11" x14ac:dyDescent="0.2">
      <c r="A74" s="144" t="s">
        <v>11</v>
      </c>
      <c r="B74" s="144" t="s">
        <v>93</v>
      </c>
      <c r="C74" s="144" t="s">
        <v>212</v>
      </c>
      <c r="D74" s="144" t="s">
        <v>168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f t="shared" si="2"/>
        <v>0</v>
      </c>
    </row>
    <row r="75" spans="1:11" x14ac:dyDescent="0.2">
      <c r="A75" s="144" t="s">
        <v>11</v>
      </c>
      <c r="B75" s="144" t="s">
        <v>93</v>
      </c>
      <c r="C75" s="144" t="s">
        <v>122</v>
      </c>
      <c r="D75" s="144" t="s">
        <v>92</v>
      </c>
      <c r="E75" s="96">
        <v>24431.360000000001</v>
      </c>
      <c r="F75" s="96">
        <v>155</v>
      </c>
      <c r="G75" s="96">
        <v>0</v>
      </c>
      <c r="H75" s="96">
        <v>0</v>
      </c>
      <c r="I75" s="96">
        <v>0</v>
      </c>
      <c r="J75" s="96">
        <v>0</v>
      </c>
      <c r="K75" s="96">
        <f t="shared" si="2"/>
        <v>24586.36</v>
      </c>
    </row>
    <row r="76" spans="1:11" x14ac:dyDescent="0.2">
      <c r="A76" s="144" t="s">
        <v>11</v>
      </c>
      <c r="B76" s="144" t="s">
        <v>93</v>
      </c>
      <c r="C76" s="144" t="s">
        <v>121</v>
      </c>
      <c r="D76" s="144" t="s">
        <v>70</v>
      </c>
      <c r="E76" s="96">
        <v>41837.83</v>
      </c>
      <c r="F76" s="96">
        <v>35599.279999999999</v>
      </c>
      <c r="G76" s="96">
        <v>0</v>
      </c>
      <c r="H76" s="96">
        <v>0</v>
      </c>
      <c r="I76" s="96">
        <v>0</v>
      </c>
      <c r="J76" s="96">
        <v>0</v>
      </c>
      <c r="K76" s="96">
        <f t="shared" si="2"/>
        <v>77437.11</v>
      </c>
    </row>
    <row r="77" spans="1:11" x14ac:dyDescent="0.2">
      <c r="A77" s="144" t="s">
        <v>11</v>
      </c>
      <c r="B77" s="144" t="s">
        <v>93</v>
      </c>
      <c r="C77" s="144" t="s">
        <v>119</v>
      </c>
      <c r="D77" s="144" t="s">
        <v>120</v>
      </c>
      <c r="E77" s="96">
        <v>41410733.090000004</v>
      </c>
      <c r="F77" s="96">
        <v>2305248.19</v>
      </c>
      <c r="G77" s="96">
        <v>-102.2</v>
      </c>
      <c r="H77" s="96">
        <v>-1225.04</v>
      </c>
      <c r="I77" s="96">
        <v>0</v>
      </c>
      <c r="J77" s="96">
        <v>0</v>
      </c>
      <c r="K77" s="96">
        <f t="shared" si="2"/>
        <v>43714654.039999999</v>
      </c>
    </row>
    <row r="78" spans="1:11" x14ac:dyDescent="0.2">
      <c r="A78" s="144" t="s">
        <v>11</v>
      </c>
      <c r="B78" s="144" t="s">
        <v>93</v>
      </c>
      <c r="C78" s="144" t="s">
        <v>117</v>
      </c>
      <c r="D78" s="144" t="s">
        <v>118</v>
      </c>
      <c r="E78" s="96">
        <v>30953655.559999999</v>
      </c>
      <c r="F78" s="96">
        <v>2402921.23</v>
      </c>
      <c r="G78" s="96">
        <v>0</v>
      </c>
      <c r="H78" s="96">
        <v>0</v>
      </c>
      <c r="I78" s="96">
        <v>0</v>
      </c>
      <c r="J78" s="96">
        <v>0</v>
      </c>
      <c r="K78" s="96">
        <f t="shared" si="2"/>
        <v>33356576.789999999</v>
      </c>
    </row>
    <row r="79" spans="1:11" x14ac:dyDescent="0.2">
      <c r="A79" s="144" t="s">
        <v>11</v>
      </c>
      <c r="B79" s="144" t="s">
        <v>93</v>
      </c>
      <c r="C79" s="144" t="s">
        <v>116</v>
      </c>
      <c r="D79" s="144" t="s">
        <v>28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f t="shared" si="2"/>
        <v>0</v>
      </c>
    </row>
    <row r="80" spans="1:11" x14ac:dyDescent="0.2">
      <c r="A80" s="144" t="s">
        <v>11</v>
      </c>
      <c r="B80" s="144" t="s">
        <v>93</v>
      </c>
      <c r="C80" s="144" t="s">
        <v>114</v>
      </c>
      <c r="D80" s="144" t="s">
        <v>115</v>
      </c>
      <c r="E80" s="96">
        <v>1004028.69</v>
      </c>
      <c r="F80" s="96">
        <v>78388.09</v>
      </c>
      <c r="G80" s="96">
        <v>0</v>
      </c>
      <c r="H80" s="96">
        <v>0</v>
      </c>
      <c r="I80" s="96">
        <v>0</v>
      </c>
      <c r="J80" s="96">
        <v>0</v>
      </c>
      <c r="K80" s="96">
        <f t="shared" si="2"/>
        <v>1082416.78</v>
      </c>
    </row>
    <row r="81" spans="1:11" x14ac:dyDescent="0.2">
      <c r="A81" s="144" t="s">
        <v>11</v>
      </c>
      <c r="B81" s="144" t="s">
        <v>93</v>
      </c>
      <c r="C81" s="144" t="s">
        <v>112</v>
      </c>
      <c r="D81" s="144" t="s">
        <v>113</v>
      </c>
      <c r="E81" s="96">
        <v>823930.16</v>
      </c>
      <c r="F81" s="96">
        <v>49972.39</v>
      </c>
      <c r="G81" s="96">
        <v>0</v>
      </c>
      <c r="H81" s="96">
        <v>0</v>
      </c>
      <c r="I81" s="96">
        <v>0</v>
      </c>
      <c r="J81" s="96">
        <v>0</v>
      </c>
      <c r="K81" s="96">
        <f t="shared" si="2"/>
        <v>873902.55</v>
      </c>
    </row>
    <row r="82" spans="1:11" x14ac:dyDescent="0.2">
      <c r="A82" s="144" t="s">
        <v>11</v>
      </c>
      <c r="B82" s="144" t="s">
        <v>93</v>
      </c>
      <c r="C82" s="144" t="s">
        <v>110</v>
      </c>
      <c r="D82" s="144" t="s">
        <v>111</v>
      </c>
      <c r="E82" s="96">
        <f>36681151.49+1741.69</f>
        <v>36682893.18</v>
      </c>
      <c r="F82" s="96">
        <v>2332063.6800000002</v>
      </c>
      <c r="G82" s="96">
        <v>-11452.66</v>
      </c>
      <c r="H82" s="96">
        <v>-32525.279999999999</v>
      </c>
      <c r="I82" s="96">
        <v>0</v>
      </c>
      <c r="J82" s="96">
        <v>0</v>
      </c>
      <c r="K82" s="96">
        <f t="shared" si="2"/>
        <v>38970978.920000002</v>
      </c>
    </row>
    <row r="83" spans="1:11" x14ac:dyDescent="0.2">
      <c r="A83" s="144" t="s">
        <v>11</v>
      </c>
      <c r="B83" s="144" t="s">
        <v>93</v>
      </c>
      <c r="C83" s="144" t="s">
        <v>108</v>
      </c>
      <c r="D83" s="144" t="s">
        <v>109</v>
      </c>
      <c r="E83" s="96">
        <v>2952555.59</v>
      </c>
      <c r="F83" s="96">
        <v>276288.12</v>
      </c>
      <c r="G83" s="96">
        <v>-352678.25</v>
      </c>
      <c r="H83" s="96">
        <v>0</v>
      </c>
      <c r="I83" s="96">
        <v>0</v>
      </c>
      <c r="J83" s="96">
        <v>0</v>
      </c>
      <c r="K83" s="96">
        <f t="shared" si="2"/>
        <v>2876165.46</v>
      </c>
    </row>
    <row r="84" spans="1:11" x14ac:dyDescent="0.2">
      <c r="A84" s="144" t="s">
        <v>11</v>
      </c>
      <c r="B84" s="144" t="s">
        <v>93</v>
      </c>
      <c r="C84" s="144" t="s">
        <v>106</v>
      </c>
      <c r="D84" s="144" t="s">
        <v>107</v>
      </c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96">
        <v>0</v>
      </c>
      <c r="K84" s="96">
        <f t="shared" si="2"/>
        <v>0</v>
      </c>
    </row>
    <row r="85" spans="1:11" x14ac:dyDescent="0.2">
      <c r="A85" s="144" t="s">
        <v>11</v>
      </c>
      <c r="B85" s="144" t="s">
        <v>93</v>
      </c>
      <c r="C85" s="144" t="s">
        <v>104</v>
      </c>
      <c r="D85" s="144" t="s">
        <v>105</v>
      </c>
      <c r="E85" s="96">
        <v>4740640.9000000004</v>
      </c>
      <c r="F85" s="96">
        <v>417350.17</v>
      </c>
      <c r="G85" s="96">
        <v>-412836.38</v>
      </c>
      <c r="H85" s="96">
        <v>0</v>
      </c>
      <c r="I85" s="96">
        <v>0</v>
      </c>
      <c r="J85" s="96">
        <v>0</v>
      </c>
      <c r="K85" s="96">
        <f t="shared" si="2"/>
        <v>4745154.6900000004</v>
      </c>
    </row>
    <row r="86" spans="1:11" x14ac:dyDescent="0.2">
      <c r="A86" s="144" t="s">
        <v>11</v>
      </c>
      <c r="B86" s="144" t="s">
        <v>93</v>
      </c>
      <c r="C86" s="144" t="s">
        <v>102</v>
      </c>
      <c r="D86" s="144" t="s">
        <v>103</v>
      </c>
      <c r="E86" s="96">
        <v>1360734.62</v>
      </c>
      <c r="F86" s="96">
        <v>309941.71999999997</v>
      </c>
      <c r="G86" s="96">
        <v>-645479.74</v>
      </c>
      <c r="H86" s="96">
        <v>0</v>
      </c>
      <c r="I86" s="96">
        <v>0</v>
      </c>
      <c r="J86" s="96">
        <v>0</v>
      </c>
      <c r="K86" s="96">
        <f t="shared" si="2"/>
        <v>1025196.6000000001</v>
      </c>
    </row>
    <row r="87" spans="1:11" x14ac:dyDescent="0.2">
      <c r="A87" s="144" t="s">
        <v>11</v>
      </c>
      <c r="B87" s="144" t="s">
        <v>93</v>
      </c>
      <c r="C87" s="144" t="s">
        <v>100</v>
      </c>
      <c r="D87" s="144" t="s">
        <v>101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f t="shared" si="2"/>
        <v>0</v>
      </c>
    </row>
    <row r="88" spans="1:11" x14ac:dyDescent="0.2">
      <c r="A88" s="144" t="s">
        <v>11</v>
      </c>
      <c r="B88" s="144" t="s">
        <v>93</v>
      </c>
      <c r="C88" s="144" t="s">
        <v>98</v>
      </c>
      <c r="D88" s="144" t="s">
        <v>99</v>
      </c>
      <c r="E88" s="96">
        <v>736615.53</v>
      </c>
      <c r="F88" s="96">
        <v>35623.35</v>
      </c>
      <c r="G88" s="96">
        <v>-17669.060000000001</v>
      </c>
      <c r="H88" s="96">
        <v>0</v>
      </c>
      <c r="I88" s="96">
        <v>0</v>
      </c>
      <c r="J88" s="96">
        <v>0</v>
      </c>
      <c r="K88" s="96">
        <f t="shared" si="2"/>
        <v>754569.82</v>
      </c>
    </row>
    <row r="89" spans="1:11" x14ac:dyDescent="0.2">
      <c r="A89" s="144" t="s">
        <v>11</v>
      </c>
      <c r="B89" s="144" t="s">
        <v>93</v>
      </c>
      <c r="C89" s="144" t="s">
        <v>96</v>
      </c>
      <c r="D89" s="144" t="s">
        <v>97</v>
      </c>
      <c r="E89" s="96">
        <v>16340.43</v>
      </c>
      <c r="F89" s="96">
        <v>4302.12</v>
      </c>
      <c r="G89" s="96">
        <v>0</v>
      </c>
      <c r="H89" s="96">
        <v>0</v>
      </c>
      <c r="I89" s="96">
        <v>0</v>
      </c>
      <c r="J89" s="96">
        <v>0</v>
      </c>
      <c r="K89" s="96">
        <f t="shared" si="2"/>
        <v>20642.55</v>
      </c>
    </row>
    <row r="90" spans="1:11" x14ac:dyDescent="0.2">
      <c r="A90" s="144" t="s">
        <v>11</v>
      </c>
      <c r="B90" s="144" t="s">
        <v>93</v>
      </c>
      <c r="C90" s="144" t="s">
        <v>213</v>
      </c>
      <c r="D90" s="144" t="s">
        <v>214</v>
      </c>
      <c r="E90" s="96">
        <v>0</v>
      </c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f t="shared" si="2"/>
        <v>0</v>
      </c>
    </row>
    <row r="91" spans="1:11" x14ac:dyDescent="0.2">
      <c r="A91" s="144" t="s">
        <v>11</v>
      </c>
      <c r="B91" s="144" t="s">
        <v>93</v>
      </c>
      <c r="C91" s="144" t="s">
        <v>94</v>
      </c>
      <c r="D91" s="144" t="s">
        <v>95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96">
        <v>0</v>
      </c>
      <c r="K91" s="96">
        <f t="shared" si="2"/>
        <v>0</v>
      </c>
    </row>
    <row r="92" spans="1:11" x14ac:dyDescent="0.2">
      <c r="A92" s="144" t="s">
        <v>11</v>
      </c>
      <c r="B92" s="144" t="s">
        <v>93</v>
      </c>
      <c r="C92" s="144" t="s">
        <v>215</v>
      </c>
      <c r="D92" s="144" t="s">
        <v>216</v>
      </c>
      <c r="E92" s="96">
        <v>26630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f t="shared" si="2"/>
        <v>26630</v>
      </c>
    </row>
    <row r="93" spans="1:11" x14ac:dyDescent="0.2">
      <c r="A93" s="144" t="s">
        <v>11</v>
      </c>
      <c r="B93" s="144" t="s">
        <v>93</v>
      </c>
      <c r="C93" s="144" t="s">
        <v>217</v>
      </c>
      <c r="D93" s="144" t="s">
        <v>218</v>
      </c>
      <c r="E93" s="96">
        <v>0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f t="shared" si="2"/>
        <v>0</v>
      </c>
    </row>
    <row r="94" spans="1:11" x14ac:dyDescent="0.2">
      <c r="A94" s="144" t="s">
        <v>11</v>
      </c>
      <c r="B94" s="144" t="s">
        <v>123</v>
      </c>
      <c r="C94" s="144" t="s">
        <v>219</v>
      </c>
      <c r="D94" s="144" t="s">
        <v>168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f t="shared" si="2"/>
        <v>0</v>
      </c>
    </row>
    <row r="95" spans="1:11" x14ac:dyDescent="0.2">
      <c r="A95" s="144" t="s">
        <v>11</v>
      </c>
      <c r="B95" s="144" t="s">
        <v>123</v>
      </c>
      <c r="C95" s="144" t="s">
        <v>156</v>
      </c>
      <c r="D95" s="144" t="s">
        <v>70</v>
      </c>
      <c r="E95" s="96">
        <v>120868.33</v>
      </c>
      <c r="F95" s="96">
        <v>36199.74</v>
      </c>
      <c r="G95" s="96">
        <v>0</v>
      </c>
      <c r="H95" s="96">
        <v>0</v>
      </c>
      <c r="I95" s="96">
        <v>0</v>
      </c>
      <c r="J95" s="96">
        <v>0</v>
      </c>
      <c r="K95" s="96">
        <f t="shared" si="2"/>
        <v>157068.07</v>
      </c>
    </row>
    <row r="96" spans="1:11" x14ac:dyDescent="0.2">
      <c r="A96" s="144" t="s">
        <v>11</v>
      </c>
      <c r="B96" s="144" t="s">
        <v>123</v>
      </c>
      <c r="C96" s="144" t="s">
        <v>154</v>
      </c>
      <c r="D96" s="144" t="s">
        <v>155</v>
      </c>
      <c r="E96" s="96">
        <v>174766.49</v>
      </c>
      <c r="F96" s="96">
        <v>15549.1</v>
      </c>
      <c r="G96" s="96">
        <v>0</v>
      </c>
      <c r="H96" s="96">
        <v>0</v>
      </c>
      <c r="I96" s="96">
        <v>0</v>
      </c>
      <c r="J96" s="96">
        <v>0</v>
      </c>
      <c r="K96" s="96">
        <f t="shared" si="2"/>
        <v>190315.59</v>
      </c>
    </row>
    <row r="97" spans="1:12" x14ac:dyDescent="0.2">
      <c r="A97" s="144" t="s">
        <v>11</v>
      </c>
      <c r="B97" s="144" t="s">
        <v>123</v>
      </c>
      <c r="C97" s="144" t="s">
        <v>152</v>
      </c>
      <c r="D97" s="144" t="s">
        <v>153</v>
      </c>
      <c r="E97" s="96">
        <v>23762.98</v>
      </c>
      <c r="F97" s="96">
        <v>826.09</v>
      </c>
      <c r="G97" s="96">
        <v>0</v>
      </c>
      <c r="H97" s="96">
        <v>0</v>
      </c>
      <c r="I97" s="96">
        <v>0</v>
      </c>
      <c r="J97" s="96">
        <v>0</v>
      </c>
      <c r="K97" s="96">
        <f t="shared" si="2"/>
        <v>24589.07</v>
      </c>
    </row>
    <row r="98" spans="1:12" x14ac:dyDescent="0.2">
      <c r="A98" s="144" t="s">
        <v>11</v>
      </c>
      <c r="B98" s="144" t="s">
        <v>123</v>
      </c>
      <c r="C98" s="144" t="s">
        <v>150</v>
      </c>
      <c r="D98" s="144" t="s">
        <v>151</v>
      </c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f t="shared" si="2"/>
        <v>0</v>
      </c>
    </row>
    <row r="99" spans="1:12" x14ac:dyDescent="0.2">
      <c r="A99" s="144" t="s">
        <v>11</v>
      </c>
      <c r="B99" s="144" t="s">
        <v>123</v>
      </c>
      <c r="C99" s="144" t="s">
        <v>148</v>
      </c>
      <c r="D99" s="144" t="s">
        <v>149</v>
      </c>
      <c r="E99" s="96">
        <v>0</v>
      </c>
      <c r="F99" s="96">
        <v>0</v>
      </c>
      <c r="G99" s="96">
        <v>0</v>
      </c>
      <c r="H99" s="96">
        <v>0</v>
      </c>
      <c r="I99" s="96">
        <v>0</v>
      </c>
      <c r="J99" s="96">
        <v>0</v>
      </c>
      <c r="K99" s="96">
        <f t="shared" ref="K99:K117" si="3">SUM(E99:J99)</f>
        <v>0</v>
      </c>
    </row>
    <row r="100" spans="1:12" x14ac:dyDescent="0.2">
      <c r="A100" s="144" t="s">
        <v>11</v>
      </c>
      <c r="B100" s="144" t="s">
        <v>123</v>
      </c>
      <c r="C100" s="144" t="s">
        <v>146</v>
      </c>
      <c r="D100" s="144" t="s">
        <v>147</v>
      </c>
      <c r="E100" s="96">
        <v>0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f t="shared" si="3"/>
        <v>0</v>
      </c>
    </row>
    <row r="101" spans="1:12" x14ac:dyDescent="0.2">
      <c r="A101" s="144" t="s">
        <v>11</v>
      </c>
      <c r="B101" s="144" t="s">
        <v>123</v>
      </c>
      <c r="C101" s="144" t="s">
        <v>144</v>
      </c>
      <c r="D101" s="144" t="s">
        <v>145</v>
      </c>
      <c r="E101" s="96">
        <v>331916.03000000003</v>
      </c>
      <c r="F101" s="96">
        <v>34807.9</v>
      </c>
      <c r="G101" s="96">
        <v>0</v>
      </c>
      <c r="H101" s="96">
        <v>0</v>
      </c>
      <c r="I101" s="96">
        <v>0</v>
      </c>
      <c r="J101" s="96">
        <v>0</v>
      </c>
      <c r="K101" s="96">
        <f t="shared" si="3"/>
        <v>366723.93000000005</v>
      </c>
      <c r="L101" s="2" t="s">
        <v>316</v>
      </c>
    </row>
    <row r="102" spans="1:12" x14ac:dyDescent="0.2">
      <c r="A102" s="144" t="s">
        <v>11</v>
      </c>
      <c r="B102" s="144" t="s">
        <v>123</v>
      </c>
      <c r="C102" s="144" t="s">
        <v>220</v>
      </c>
      <c r="D102" s="144" t="s">
        <v>221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f t="shared" si="3"/>
        <v>0</v>
      </c>
    </row>
    <row r="103" spans="1:12" x14ac:dyDescent="0.2">
      <c r="A103" s="144" t="s">
        <v>11</v>
      </c>
      <c r="B103" s="144" t="s">
        <v>123</v>
      </c>
      <c r="C103" s="144" t="s">
        <v>142</v>
      </c>
      <c r="D103" s="144" t="s">
        <v>143</v>
      </c>
      <c r="E103" s="96">
        <v>46009.04</v>
      </c>
      <c r="F103" s="96">
        <v>9397.0300000000007</v>
      </c>
      <c r="G103" s="96">
        <v>0</v>
      </c>
      <c r="H103" s="96">
        <v>0</v>
      </c>
      <c r="I103" s="96">
        <v>0</v>
      </c>
      <c r="J103" s="96">
        <v>0</v>
      </c>
      <c r="K103" s="96">
        <f t="shared" si="3"/>
        <v>55406.07</v>
      </c>
      <c r="L103" s="2" t="s">
        <v>316</v>
      </c>
    </row>
    <row r="104" spans="1:12" x14ac:dyDescent="0.2">
      <c r="A104" s="144" t="s">
        <v>11</v>
      </c>
      <c r="B104" s="144" t="s">
        <v>123</v>
      </c>
      <c r="C104" s="144" t="s">
        <v>222</v>
      </c>
      <c r="D104" s="144" t="s">
        <v>223</v>
      </c>
      <c r="E104" s="96">
        <v>0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f t="shared" si="3"/>
        <v>0</v>
      </c>
    </row>
    <row r="105" spans="1:12" x14ac:dyDescent="0.2">
      <c r="A105" s="144" t="s">
        <v>11</v>
      </c>
      <c r="B105" s="144" t="s">
        <v>123</v>
      </c>
      <c r="C105" s="144" t="s">
        <v>140</v>
      </c>
      <c r="D105" s="144" t="s">
        <v>141</v>
      </c>
      <c r="E105" s="96">
        <v>87390.79</v>
      </c>
      <c r="F105" s="96">
        <v>7908.82</v>
      </c>
      <c r="G105" s="96">
        <v>0</v>
      </c>
      <c r="H105" s="96">
        <v>0</v>
      </c>
      <c r="I105" s="96">
        <v>0</v>
      </c>
      <c r="J105" s="96">
        <v>0</v>
      </c>
      <c r="K105" s="96">
        <f t="shared" si="3"/>
        <v>95299.609999999986</v>
      </c>
    </row>
    <row r="106" spans="1:12" x14ac:dyDescent="0.2">
      <c r="A106" s="144" t="s">
        <v>11</v>
      </c>
      <c r="B106" s="144" t="s">
        <v>123</v>
      </c>
      <c r="C106" s="144" t="s">
        <v>138</v>
      </c>
      <c r="D106" s="144" t="s">
        <v>139</v>
      </c>
      <c r="E106" s="96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v>0</v>
      </c>
      <c r="K106" s="96">
        <f t="shared" si="3"/>
        <v>0</v>
      </c>
    </row>
    <row r="107" spans="1:12" x14ac:dyDescent="0.2">
      <c r="A107" s="144" t="s">
        <v>11</v>
      </c>
      <c r="B107" s="144" t="s">
        <v>123</v>
      </c>
      <c r="C107" s="144" t="s">
        <v>136</v>
      </c>
      <c r="D107" s="144" t="s">
        <v>137</v>
      </c>
      <c r="E107" s="96">
        <v>1272.28</v>
      </c>
      <c r="F107" s="96">
        <v>2837.06</v>
      </c>
      <c r="G107" s="96">
        <v>0</v>
      </c>
      <c r="H107" s="96">
        <v>0</v>
      </c>
      <c r="I107" s="96">
        <v>0</v>
      </c>
      <c r="J107" s="96">
        <v>0</v>
      </c>
      <c r="K107" s="96">
        <f t="shared" si="3"/>
        <v>4109.34</v>
      </c>
    </row>
    <row r="108" spans="1:12" x14ac:dyDescent="0.2">
      <c r="A108" s="144" t="s">
        <v>11</v>
      </c>
      <c r="B108" s="144" t="s">
        <v>123</v>
      </c>
      <c r="C108" s="144" t="s">
        <v>134</v>
      </c>
      <c r="D108" s="144" t="s">
        <v>135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f t="shared" si="3"/>
        <v>0</v>
      </c>
    </row>
    <row r="109" spans="1:12" x14ac:dyDescent="0.2">
      <c r="A109" s="144" t="s">
        <v>11</v>
      </c>
      <c r="B109" s="144" t="s">
        <v>123</v>
      </c>
      <c r="C109" s="144" t="s">
        <v>132</v>
      </c>
      <c r="D109" s="144" t="s">
        <v>133</v>
      </c>
      <c r="E109" s="96">
        <v>10600.88</v>
      </c>
      <c r="F109" s="96">
        <v>11912.64</v>
      </c>
      <c r="G109" s="96">
        <v>0</v>
      </c>
      <c r="H109" s="96">
        <v>0</v>
      </c>
      <c r="I109" s="96">
        <v>0</v>
      </c>
      <c r="J109" s="96">
        <v>0</v>
      </c>
      <c r="K109" s="96">
        <f t="shared" si="3"/>
        <v>22513.519999999997</v>
      </c>
    </row>
    <row r="110" spans="1:12" x14ac:dyDescent="0.2">
      <c r="A110" s="144" t="s">
        <v>11</v>
      </c>
      <c r="B110" s="144" t="s">
        <v>123</v>
      </c>
      <c r="C110" s="144" t="s">
        <v>130</v>
      </c>
      <c r="D110" s="144" t="s">
        <v>131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f t="shared" si="3"/>
        <v>0</v>
      </c>
    </row>
    <row r="111" spans="1:12" x14ac:dyDescent="0.2">
      <c r="A111" s="144" t="s">
        <v>11</v>
      </c>
      <c r="B111" s="144" t="s">
        <v>123</v>
      </c>
      <c r="C111" s="144" t="s">
        <v>128</v>
      </c>
      <c r="D111" s="144" t="s">
        <v>129</v>
      </c>
      <c r="E111" s="96"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f t="shared" si="3"/>
        <v>0</v>
      </c>
    </row>
    <row r="112" spans="1:12" x14ac:dyDescent="0.2">
      <c r="A112" s="144" t="s">
        <v>11</v>
      </c>
      <c r="B112" s="144" t="s">
        <v>123</v>
      </c>
      <c r="C112" s="144" t="s">
        <v>224</v>
      </c>
      <c r="D112" s="144" t="s">
        <v>225</v>
      </c>
      <c r="E112" s="96">
        <v>0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f t="shared" si="3"/>
        <v>0</v>
      </c>
    </row>
    <row r="113" spans="1:11" x14ac:dyDescent="0.2">
      <c r="A113" s="144" t="s">
        <v>11</v>
      </c>
      <c r="B113" s="144" t="s">
        <v>123</v>
      </c>
      <c r="C113" s="144" t="s">
        <v>226</v>
      </c>
      <c r="D113" s="144" t="s">
        <v>227</v>
      </c>
      <c r="E113" s="96">
        <v>0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f t="shared" si="3"/>
        <v>0</v>
      </c>
    </row>
    <row r="114" spans="1:11" x14ac:dyDescent="0.2">
      <c r="A114" s="144" t="s">
        <v>11</v>
      </c>
      <c r="B114" s="144" t="s">
        <v>123</v>
      </c>
      <c r="C114" s="144" t="s">
        <v>126</v>
      </c>
      <c r="D114" s="144" t="s">
        <v>127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f t="shared" si="3"/>
        <v>0</v>
      </c>
    </row>
    <row r="115" spans="1:11" x14ac:dyDescent="0.2">
      <c r="A115" s="144" t="s">
        <v>11</v>
      </c>
      <c r="B115" s="144" t="s">
        <v>123</v>
      </c>
      <c r="C115" s="144" t="s">
        <v>124</v>
      </c>
      <c r="D115" s="144" t="s">
        <v>125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f t="shared" si="3"/>
        <v>0</v>
      </c>
    </row>
    <row r="116" spans="1:11" x14ac:dyDescent="0.2">
      <c r="A116" s="144" t="s">
        <v>11</v>
      </c>
      <c r="B116" s="144" t="s">
        <v>123</v>
      </c>
      <c r="C116" s="144" t="s">
        <v>228</v>
      </c>
      <c r="D116" s="144" t="s">
        <v>229</v>
      </c>
      <c r="E116" s="96">
        <v>4727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f t="shared" si="3"/>
        <v>4727</v>
      </c>
    </row>
    <row r="117" spans="1:11" x14ac:dyDescent="0.2">
      <c r="A117" s="144" t="s">
        <v>11</v>
      </c>
      <c r="B117" s="144" t="s">
        <v>123</v>
      </c>
      <c r="C117" s="144" t="s">
        <v>230</v>
      </c>
      <c r="D117" s="144" t="s">
        <v>231</v>
      </c>
      <c r="E117" s="96"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f t="shared" si="3"/>
        <v>0</v>
      </c>
    </row>
    <row r="118" spans="1:11" x14ac:dyDescent="0.2">
      <c r="A118" s="143" t="s">
        <v>244</v>
      </c>
      <c r="B118" s="143" t="s">
        <v>244</v>
      </c>
      <c r="C118" s="143" t="s">
        <v>244</v>
      </c>
      <c r="D118" s="143" t="s">
        <v>244</v>
      </c>
      <c r="E118" s="145">
        <f t="shared" ref="E118:K118" si="4">SUM(E3:E117)</f>
        <v>123630386.07000004</v>
      </c>
      <c r="F118" s="145">
        <f t="shared" si="4"/>
        <v>8393439.9100000001</v>
      </c>
      <c r="G118" s="145">
        <f t="shared" si="4"/>
        <v>-1440218.29</v>
      </c>
      <c r="H118" s="145">
        <f t="shared" si="4"/>
        <v>-33750.32</v>
      </c>
      <c r="I118" s="145">
        <f t="shared" si="4"/>
        <v>0</v>
      </c>
      <c r="J118" s="145">
        <f t="shared" si="4"/>
        <v>0</v>
      </c>
      <c r="K118" s="145">
        <f t="shared" si="4"/>
        <v>130549857.36999996</v>
      </c>
    </row>
    <row r="120" spans="1:11" x14ac:dyDescent="0.2">
      <c r="D120" s="2" t="str">
        <f>D101</f>
        <v>TRANSPORTATION EQUIPMENT</v>
      </c>
      <c r="E120" s="146">
        <f>E101</f>
        <v>331916.03000000003</v>
      </c>
      <c r="F120" s="146">
        <f t="shared" ref="F120:K120" si="5">F101</f>
        <v>34807.9</v>
      </c>
      <c r="G120" s="146">
        <f t="shared" si="5"/>
        <v>0</v>
      </c>
      <c r="H120" s="146">
        <f t="shared" si="5"/>
        <v>0</v>
      </c>
      <c r="I120" s="146">
        <f t="shared" si="5"/>
        <v>0</v>
      </c>
      <c r="J120" s="146">
        <f t="shared" si="5"/>
        <v>0</v>
      </c>
      <c r="K120" s="146">
        <f t="shared" si="5"/>
        <v>366723.93000000005</v>
      </c>
    </row>
    <row r="121" spans="1:11" x14ac:dyDescent="0.2">
      <c r="D121" s="2" t="str">
        <f>D103</f>
        <v>TOOLS - SHOP &amp; GARAGE EQUIPUI</v>
      </c>
      <c r="E121" s="146">
        <f>E103</f>
        <v>46009.04</v>
      </c>
      <c r="F121" s="146">
        <f t="shared" ref="F121:K121" si="6">F103</f>
        <v>9397.0300000000007</v>
      </c>
      <c r="G121" s="146">
        <f t="shared" si="6"/>
        <v>0</v>
      </c>
      <c r="H121" s="146">
        <f t="shared" si="6"/>
        <v>0</v>
      </c>
      <c r="I121" s="146">
        <f t="shared" si="6"/>
        <v>0</v>
      </c>
      <c r="J121" s="146">
        <f t="shared" si="6"/>
        <v>0</v>
      </c>
      <c r="K121" s="146">
        <f t="shared" si="6"/>
        <v>55406.07</v>
      </c>
    </row>
    <row r="123" spans="1:11" x14ac:dyDescent="0.2">
      <c r="E123" s="147">
        <f>E118-E120-E121</f>
        <v>123252461.00000003</v>
      </c>
      <c r="F123" s="147">
        <f t="shared" ref="F123:K123" si="7">F118-F120-F121</f>
        <v>8349234.9799999995</v>
      </c>
      <c r="G123" s="147">
        <f t="shared" si="7"/>
        <v>-1440218.29</v>
      </c>
      <c r="H123" s="147">
        <f t="shared" si="7"/>
        <v>-33750.32</v>
      </c>
      <c r="I123" s="147">
        <f t="shared" si="7"/>
        <v>0</v>
      </c>
      <c r="J123" s="147">
        <f t="shared" si="7"/>
        <v>0</v>
      </c>
      <c r="K123" s="147">
        <f t="shared" si="7"/>
        <v>130127727.36999996</v>
      </c>
    </row>
  </sheetData>
  <pageMargins left="0.75" right="0.75" top="1" bottom="1" header="0.5" footer="0.5"/>
  <pageSetup paperSize="9" orientation="portrait" verticalDpi="0" r:id="rId1"/>
  <headerFooter>
    <oddHeader>&amp;RExh. KTW-5 Walker WP7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"/>
  <sheetViews>
    <sheetView showGridLines="0" zoomScale="85" zoomScaleNormal="85" workbookViewId="0">
      <selection activeCell="B3" sqref="B3"/>
    </sheetView>
  </sheetViews>
  <sheetFormatPr defaultRowHeight="12.75" x14ac:dyDescent="0.2"/>
  <cols>
    <col min="1" max="1" width="8.28515625" style="1" bestFit="1" customWidth="1"/>
    <col min="2" max="2" width="8.42578125" style="1" bestFit="1" customWidth="1"/>
    <col min="3" max="3" width="6.5703125" style="1" bestFit="1" customWidth="1"/>
    <col min="4" max="4" width="41.28515625" style="1" bestFit="1" customWidth="1"/>
    <col min="5" max="5" width="16.7109375" style="12" bestFit="1" customWidth="1"/>
    <col min="6" max="6" width="15.28515625" style="12" bestFit="1" customWidth="1"/>
    <col min="7" max="7" width="15" style="12" bestFit="1" customWidth="1"/>
    <col min="8" max="8" width="13.85546875" style="12" bestFit="1" customWidth="1"/>
    <col min="9" max="10" width="11.5703125" style="12" bestFit="1" customWidth="1"/>
    <col min="11" max="11" width="17.5703125" style="12" bestFit="1" customWidth="1"/>
    <col min="12" max="12" width="2.85546875" style="1" customWidth="1"/>
    <col min="13" max="13" width="19.42578125" style="1" bestFit="1" customWidth="1"/>
    <col min="14" max="14" width="10.5703125" style="1" bestFit="1" customWidth="1"/>
    <col min="15" max="16384" width="9.140625" style="1"/>
  </cols>
  <sheetData>
    <row r="1" spans="1:14" x14ac:dyDescent="0.2">
      <c r="A1" s="151" t="s">
        <v>0</v>
      </c>
      <c r="B1" s="151" t="s">
        <v>1</v>
      </c>
      <c r="C1" s="151" t="s">
        <v>2</v>
      </c>
      <c r="D1" s="151" t="s">
        <v>3</v>
      </c>
      <c r="E1" s="152" t="s">
        <v>4</v>
      </c>
      <c r="F1" s="152" t="s">
        <v>5</v>
      </c>
      <c r="G1" s="152" t="s">
        <v>6</v>
      </c>
      <c r="H1" s="152" t="s">
        <v>7</v>
      </c>
      <c r="I1" s="152" t="s">
        <v>8</v>
      </c>
      <c r="J1" s="152" t="s">
        <v>9</v>
      </c>
      <c r="K1" s="152" t="s">
        <v>10</v>
      </c>
      <c r="M1" s="153" t="s">
        <v>232</v>
      </c>
      <c r="N1" s="153" t="s">
        <v>233</v>
      </c>
    </row>
    <row r="2" spans="1:14" x14ac:dyDescent="0.2">
      <c r="A2" s="1" t="s">
        <v>11</v>
      </c>
      <c r="B2" s="1" t="s">
        <v>12</v>
      </c>
      <c r="C2" s="1" t="s">
        <v>157</v>
      </c>
      <c r="D2" s="1" t="s">
        <v>158</v>
      </c>
      <c r="E2" s="154">
        <f>VLOOKUP(C2,SYSTEM!$C$3:$E$138,3,FALSE)</f>
        <v>0</v>
      </c>
      <c r="F2" s="154">
        <f>VLOOKUP(C2,SYSTEM!$C$3:$F$138,4,FALSE)</f>
        <v>0</v>
      </c>
      <c r="G2" s="154">
        <f>VLOOKUP(C2,SYSTEM!$C$3:$G$138,5,FALSE)</f>
        <v>0</v>
      </c>
      <c r="H2" s="154">
        <f>VLOOKUP(C2,SYSTEM!$C$3:$H$138,6,FALSE)</f>
        <v>0</v>
      </c>
      <c r="I2" s="154">
        <f>VLOOKUP(C2,SYSTEM!$C$3:$I$138,7,FALSE)</f>
        <v>0</v>
      </c>
      <c r="J2" s="154">
        <f>VLOOKUP(C2,SYSTEM!$C$3:$J$138,8,FALSE)</f>
        <v>0</v>
      </c>
      <c r="K2" s="154">
        <f t="shared" ref="K2:K33" si="0">SUM(E2:J2)</f>
        <v>0</v>
      </c>
      <c r="M2" s="154">
        <f>VLOOKUP(C2,SYSTEM!$C$3:$K$138,9,FALSE)</f>
        <v>0</v>
      </c>
      <c r="N2" s="61">
        <f>ROUND(K2-M2,2)</f>
        <v>0</v>
      </c>
    </row>
    <row r="3" spans="1:14" x14ac:dyDescent="0.2">
      <c r="A3" s="1" t="s">
        <v>11</v>
      </c>
      <c r="B3" s="1" t="s">
        <v>12</v>
      </c>
      <c r="C3" s="1" t="s">
        <v>159</v>
      </c>
      <c r="D3" s="1" t="s">
        <v>160</v>
      </c>
      <c r="E3" s="154">
        <f>VLOOKUP(C3,SYSTEM!$C$3:$E$138,3,FALSE)</f>
        <v>0</v>
      </c>
      <c r="F3" s="154">
        <f>VLOOKUP(C3,SYSTEM!$C$3:$F$138,4,FALSE)</f>
        <v>0</v>
      </c>
      <c r="G3" s="154">
        <f>VLOOKUP(C3,SYSTEM!$C$3:$G$138,5,FALSE)</f>
        <v>0</v>
      </c>
      <c r="H3" s="154">
        <f>VLOOKUP(C3,SYSTEM!$C$3:$H$138,6,FALSE)</f>
        <v>0</v>
      </c>
      <c r="I3" s="154">
        <f>VLOOKUP(C3,SYSTEM!$C$3:$I$138,7,FALSE)</f>
        <v>0</v>
      </c>
      <c r="J3" s="154">
        <f>VLOOKUP(C3,SYSTEM!$C$3:$J$138,8,FALSE)</f>
        <v>0</v>
      </c>
      <c r="K3" s="154">
        <f t="shared" si="0"/>
        <v>0</v>
      </c>
      <c r="M3" s="154">
        <f>VLOOKUP(C3,SYSTEM!$C$3:$K$138,9,FALSE)</f>
        <v>0</v>
      </c>
      <c r="N3" s="61">
        <f t="shared" ref="N3:N67" si="1">ROUND(K3-M3,2)</f>
        <v>0</v>
      </c>
    </row>
    <row r="4" spans="1:14" x14ac:dyDescent="0.2">
      <c r="A4" s="1" t="s">
        <v>11</v>
      </c>
      <c r="B4" s="1" t="s">
        <v>12</v>
      </c>
      <c r="C4" s="1" t="s">
        <v>15</v>
      </c>
      <c r="D4" s="1" t="s">
        <v>16</v>
      </c>
      <c r="E4" s="154">
        <f>VLOOKUP(C4,SYSTEM!$C$3:$E$138,3,FALSE)</f>
        <v>33639462.910000004</v>
      </c>
      <c r="F4" s="154">
        <f>VLOOKUP(C4,SYSTEM!$C$3:$F$138,4,FALSE)</f>
        <v>6424915.4299999997</v>
      </c>
      <c r="G4" s="154">
        <f>VLOOKUP(C4,SYSTEM!$C$3:$G$138,5,FALSE)</f>
        <v>0</v>
      </c>
      <c r="H4" s="154">
        <f>VLOOKUP(C4,SYSTEM!$C$3:$H$138,6,FALSE)</f>
        <v>0</v>
      </c>
      <c r="I4" s="154">
        <f>VLOOKUP(C4,SYSTEM!$C$3:$I$138,7,FALSE)</f>
        <v>0</v>
      </c>
      <c r="J4" s="154">
        <f>VLOOKUP(C4,SYSTEM!$C$3:$J$138,8,FALSE)</f>
        <v>0</v>
      </c>
      <c r="K4" s="154">
        <f t="shared" si="0"/>
        <v>40064378.340000004</v>
      </c>
      <c r="M4" s="154">
        <f>VLOOKUP(C4,SYSTEM!$C$3:$K$138,9,FALSE)</f>
        <v>40064378.340000004</v>
      </c>
      <c r="N4" s="61">
        <f t="shared" si="1"/>
        <v>0</v>
      </c>
    </row>
    <row r="5" spans="1:14" x14ac:dyDescent="0.2">
      <c r="A5" s="1" t="s">
        <v>11</v>
      </c>
      <c r="B5" s="1" t="s">
        <v>12</v>
      </c>
      <c r="C5" s="1" t="s">
        <v>161</v>
      </c>
      <c r="D5" s="1" t="s">
        <v>147</v>
      </c>
      <c r="E5" s="154">
        <f>VLOOKUP(C5,SYSTEM!$C$3:$E$138,3,FALSE)</f>
        <v>32348167.73</v>
      </c>
      <c r="F5" s="154">
        <f>VLOOKUP(C5,SYSTEM!$C$3:$F$138,4,FALSE)</f>
        <v>0</v>
      </c>
      <c r="G5" s="154">
        <f>VLOOKUP(C5,SYSTEM!$C$3:$G$138,5,FALSE)</f>
        <v>0</v>
      </c>
      <c r="H5" s="154">
        <f>VLOOKUP(C5,SYSTEM!$C$3:$H$138,6,FALSE)</f>
        <v>0</v>
      </c>
      <c r="I5" s="154">
        <f>VLOOKUP(C5,SYSTEM!$C$3:$I$138,7,FALSE)</f>
        <v>0</v>
      </c>
      <c r="J5" s="154">
        <f>VLOOKUP(C5,SYSTEM!$C$3:$J$138,8,FALSE)</f>
        <v>0</v>
      </c>
      <c r="K5" s="154">
        <f t="shared" si="0"/>
        <v>32348167.73</v>
      </c>
      <c r="M5" s="154">
        <f>VLOOKUP(C5,SYSTEM!$C$3:$K$138,9,FALSE)</f>
        <v>32348167.73</v>
      </c>
      <c r="N5" s="61">
        <f t="shared" si="1"/>
        <v>0</v>
      </c>
    </row>
    <row r="6" spans="1:14" x14ac:dyDescent="0.2">
      <c r="A6" s="1" t="s">
        <v>11</v>
      </c>
      <c r="B6" s="1" t="s">
        <v>12</v>
      </c>
      <c r="C6" s="1" t="s">
        <v>162</v>
      </c>
      <c r="D6" s="1" t="s">
        <v>163</v>
      </c>
      <c r="E6" s="154">
        <f>VLOOKUP(C6,SYSTEM!$C$3:$E$138,3,FALSE)</f>
        <v>4146951</v>
      </c>
      <c r="F6" s="154">
        <f>VLOOKUP(C6,SYSTEM!$C$3:$F$138,4,FALSE)</f>
        <v>0</v>
      </c>
      <c r="G6" s="154">
        <f>VLOOKUP(C6,SYSTEM!$C$3:$G$138,5,FALSE)</f>
        <v>0</v>
      </c>
      <c r="H6" s="154">
        <f>VLOOKUP(C6,SYSTEM!$C$3:$H$138,6,FALSE)</f>
        <v>0</v>
      </c>
      <c r="I6" s="154">
        <f>VLOOKUP(C6,SYSTEM!$C$3:$I$138,7,FALSE)</f>
        <v>0</v>
      </c>
      <c r="J6" s="154">
        <f>VLOOKUP(C6,SYSTEM!$C$3:$J$138,8,FALSE)</f>
        <v>0</v>
      </c>
      <c r="K6" s="154">
        <f t="shared" si="0"/>
        <v>4146951</v>
      </c>
      <c r="M6" s="154">
        <f>VLOOKUP(C6,SYSTEM!$C$3:$K$138,9,FALSE)</f>
        <v>4146951</v>
      </c>
      <c r="N6" s="61">
        <f t="shared" si="1"/>
        <v>0</v>
      </c>
    </row>
    <row r="7" spans="1:14" x14ac:dyDescent="0.2">
      <c r="A7" s="1" t="s">
        <v>11</v>
      </c>
      <c r="B7" s="1" t="s">
        <v>12</v>
      </c>
      <c r="C7" s="1" t="s">
        <v>13</v>
      </c>
      <c r="D7" s="1" t="s">
        <v>14</v>
      </c>
      <c r="E7" s="154">
        <f>VLOOKUP(C7,SYSTEM!$C$3:$E$138,3,FALSE)</f>
        <v>682892.52</v>
      </c>
      <c r="F7" s="154">
        <f>VLOOKUP(C7,SYSTEM!$C$3:$F$138,4,FALSE)</f>
        <v>0</v>
      </c>
      <c r="G7" s="154">
        <f>VLOOKUP(C7,SYSTEM!$C$3:$G$138,5,FALSE)</f>
        <v>-682892.55</v>
      </c>
      <c r="H7" s="154">
        <f>VLOOKUP(C7,SYSTEM!$C$3:$H$138,6,FALSE)</f>
        <v>0</v>
      </c>
      <c r="I7" s="154">
        <f>VLOOKUP(C7,SYSTEM!$C$3:$I$138,7,FALSE)</f>
        <v>0</v>
      </c>
      <c r="J7" s="154">
        <f>VLOOKUP(C7,SYSTEM!$C$3:$J$138,8,FALSE)</f>
        <v>0</v>
      </c>
      <c r="K7" s="154">
        <f t="shared" si="0"/>
        <v>-3.0000000027939677E-2</v>
      </c>
      <c r="M7" s="154">
        <f>VLOOKUP(C7,SYSTEM!$C$3:$K$138,9,FALSE)</f>
        <v>-3.0000000027939677E-2</v>
      </c>
      <c r="N7" s="61">
        <f t="shared" si="1"/>
        <v>0</v>
      </c>
    </row>
    <row r="8" spans="1:14" x14ac:dyDescent="0.2">
      <c r="A8" s="1" t="s">
        <v>11</v>
      </c>
      <c r="B8" s="1" t="s">
        <v>12</v>
      </c>
      <c r="C8" s="1" t="s">
        <v>164</v>
      </c>
      <c r="D8" s="1" t="s">
        <v>165</v>
      </c>
      <c r="E8" s="154">
        <f>VLOOKUP(C8,SYSTEM!$C$3:$E$138,3,FALSE)</f>
        <v>0</v>
      </c>
      <c r="F8" s="154">
        <f>VLOOKUP(C8,SYSTEM!$C$3:$F$138,4,FALSE)</f>
        <v>0</v>
      </c>
      <c r="G8" s="154">
        <f>VLOOKUP(C8,SYSTEM!$C$3:$G$138,5,FALSE)</f>
        <v>0</v>
      </c>
      <c r="H8" s="154">
        <f>VLOOKUP(C8,SYSTEM!$C$3:$H$138,6,FALSE)</f>
        <v>0</v>
      </c>
      <c r="I8" s="154">
        <f>VLOOKUP(C8,SYSTEM!$C$3:$I$138,7,FALSE)</f>
        <v>0</v>
      </c>
      <c r="J8" s="154">
        <f>VLOOKUP(C8,SYSTEM!$C$3:$J$138,8,FALSE)</f>
        <v>0</v>
      </c>
      <c r="K8" s="154">
        <f t="shared" si="0"/>
        <v>0</v>
      </c>
      <c r="M8" s="154">
        <f>VLOOKUP(C8,SYSTEM!$C$3:$K$138,9,FALSE)</f>
        <v>0</v>
      </c>
      <c r="N8" s="61">
        <f t="shared" si="1"/>
        <v>0</v>
      </c>
    </row>
    <row r="9" spans="1:14" x14ac:dyDescent="0.2">
      <c r="A9" s="94" t="s">
        <v>11</v>
      </c>
      <c r="B9" s="94" t="s">
        <v>12</v>
      </c>
      <c r="C9" s="94" t="s">
        <v>247</v>
      </c>
      <c r="D9" s="94" t="s">
        <v>248</v>
      </c>
      <c r="E9" s="154">
        <f>VLOOKUP(C9,SYSTEM!$C$3:$E$138,3,FALSE)</f>
        <v>33422.75</v>
      </c>
      <c r="F9" s="154">
        <f>VLOOKUP(C9,SYSTEM!$C$3:$F$138,4,FALSE)</f>
        <v>90370.76</v>
      </c>
      <c r="G9" s="154">
        <f>VLOOKUP(C9,SYSTEM!$C$3:$G$138,5,FALSE)</f>
        <v>0</v>
      </c>
      <c r="H9" s="154">
        <f>VLOOKUP(C9,SYSTEM!$C$3:$H$138,6,FALSE)</f>
        <v>0</v>
      </c>
      <c r="I9" s="154">
        <f>VLOOKUP(C9,SYSTEM!$C$3:$I$138,7,FALSE)</f>
        <v>0</v>
      </c>
      <c r="J9" s="154">
        <f>VLOOKUP(C9,SYSTEM!$C$3:$J$138,8,FALSE)</f>
        <v>0</v>
      </c>
      <c r="K9" s="154">
        <f t="shared" si="0"/>
        <v>123793.51</v>
      </c>
      <c r="M9" s="154">
        <f>VLOOKUP(C9,SYSTEM!$C$3:$K$138,9,FALSE)</f>
        <v>123793.51</v>
      </c>
      <c r="N9" s="61">
        <f t="shared" si="1"/>
        <v>0</v>
      </c>
    </row>
    <row r="10" spans="1:14" x14ac:dyDescent="0.2">
      <c r="A10" s="94" t="s">
        <v>11</v>
      </c>
      <c r="B10" s="94" t="s">
        <v>12</v>
      </c>
      <c r="C10" s="94" t="s">
        <v>275</v>
      </c>
      <c r="D10" s="94" t="s">
        <v>276</v>
      </c>
      <c r="E10" s="154">
        <f>VLOOKUP(C10,SYSTEM!$C$3:$E$138,3,FALSE)</f>
        <v>0</v>
      </c>
      <c r="F10" s="154">
        <f>VLOOKUP(C10,SYSTEM!$C$3:$F$138,4,FALSE)</f>
        <v>218835.53</v>
      </c>
      <c r="G10" s="154">
        <f>VLOOKUP(C10,SYSTEM!$C$3:$G$138,5,FALSE)</f>
        <v>0</v>
      </c>
      <c r="H10" s="154">
        <f>VLOOKUP(C10,SYSTEM!$C$3:$H$138,6,FALSE)</f>
        <v>0</v>
      </c>
      <c r="I10" s="154">
        <f>VLOOKUP(C10,SYSTEM!$C$3:$I$138,7,FALSE)</f>
        <v>0</v>
      </c>
      <c r="J10" s="154">
        <f>VLOOKUP(C10,SYSTEM!$C$3:$J$138,8,FALSE)</f>
        <v>0</v>
      </c>
      <c r="K10" s="154">
        <f t="shared" si="0"/>
        <v>218835.53</v>
      </c>
      <c r="M10" s="154">
        <f>VLOOKUP(C10,SYSTEM!$C$3:$K$138,9,FALSE)</f>
        <v>218835.53</v>
      </c>
      <c r="N10" s="61">
        <f t="shared" si="1"/>
        <v>0</v>
      </c>
    </row>
    <row r="11" spans="1:14" x14ac:dyDescent="0.2">
      <c r="A11" s="1" t="s">
        <v>11</v>
      </c>
      <c r="B11" s="1" t="s">
        <v>166</v>
      </c>
      <c r="C11" s="1" t="s">
        <v>167</v>
      </c>
      <c r="D11" s="1" t="s">
        <v>168</v>
      </c>
      <c r="E11" s="154">
        <f>VLOOKUP(C11,SYSTEM!$C$3:$E$138,3,FALSE)</f>
        <v>0</v>
      </c>
      <c r="F11" s="154">
        <f>VLOOKUP(C11,SYSTEM!$C$3:$F$138,4,FALSE)</f>
        <v>0</v>
      </c>
      <c r="G11" s="154">
        <f>VLOOKUP(C11,SYSTEM!$C$3:$G$138,5,FALSE)</f>
        <v>0</v>
      </c>
      <c r="H11" s="154">
        <f>VLOOKUP(C11,SYSTEM!$C$3:$H$138,6,FALSE)</f>
        <v>0</v>
      </c>
      <c r="I11" s="154">
        <f>VLOOKUP(C11,SYSTEM!$C$3:$I$138,7,FALSE)</f>
        <v>0</v>
      </c>
      <c r="J11" s="154">
        <f>VLOOKUP(C11,SYSTEM!$C$3:$J$138,8,FALSE)</f>
        <v>0</v>
      </c>
      <c r="K11" s="154">
        <f t="shared" si="0"/>
        <v>0</v>
      </c>
      <c r="M11" s="154">
        <f>VLOOKUP(C11,SYSTEM!$C$3:$K$138,9,FALSE)</f>
        <v>0</v>
      </c>
      <c r="N11" s="61">
        <f t="shared" si="1"/>
        <v>0</v>
      </c>
    </row>
    <row r="12" spans="1:14" x14ac:dyDescent="0.2">
      <c r="A12" s="1" t="s">
        <v>11</v>
      </c>
      <c r="B12" s="1" t="s">
        <v>166</v>
      </c>
      <c r="C12" s="1" t="s">
        <v>173</v>
      </c>
      <c r="D12" s="1" t="s">
        <v>174</v>
      </c>
      <c r="E12" s="154">
        <f>VLOOKUP(C12,SYSTEM!$C$3:$E$138,3,FALSE)</f>
        <v>0</v>
      </c>
      <c r="F12" s="154">
        <f>VLOOKUP(C12,SYSTEM!$C$3:$F$138,4,FALSE)</f>
        <v>0</v>
      </c>
      <c r="G12" s="154">
        <f>VLOOKUP(C12,SYSTEM!$C$3:$G$138,5,FALSE)</f>
        <v>0</v>
      </c>
      <c r="H12" s="154">
        <f>VLOOKUP(C12,SYSTEM!$C$3:$H$138,6,FALSE)</f>
        <v>0</v>
      </c>
      <c r="I12" s="154">
        <f>VLOOKUP(C12,SYSTEM!$C$3:$I$138,7,FALSE)</f>
        <v>0</v>
      </c>
      <c r="J12" s="154">
        <f>VLOOKUP(C12,SYSTEM!$C$3:$J$138,8,FALSE)</f>
        <v>0</v>
      </c>
      <c r="K12" s="154">
        <f t="shared" si="0"/>
        <v>0</v>
      </c>
      <c r="M12" s="154">
        <f>VLOOKUP(C12,SYSTEM!$C$3:$K$138,9,FALSE)</f>
        <v>0</v>
      </c>
      <c r="N12" s="61">
        <f t="shared" si="1"/>
        <v>0</v>
      </c>
    </row>
    <row r="13" spans="1:14" x14ac:dyDescent="0.2">
      <c r="A13" s="1" t="s">
        <v>11</v>
      </c>
      <c r="B13" s="1" t="s">
        <v>166</v>
      </c>
      <c r="C13" s="1" t="s">
        <v>175</v>
      </c>
      <c r="D13" s="1" t="s">
        <v>176</v>
      </c>
      <c r="E13" s="154">
        <f>VLOOKUP(C13,SYSTEM!$C$3:$E$138,3,FALSE)</f>
        <v>13813.8</v>
      </c>
      <c r="F13" s="154">
        <f>VLOOKUP(C13,SYSTEM!$C$3:$F$138,4,FALSE)</f>
        <v>0</v>
      </c>
      <c r="G13" s="154">
        <f>VLOOKUP(C13,SYSTEM!$C$3:$G$138,5,FALSE)</f>
        <v>0</v>
      </c>
      <c r="H13" s="154">
        <f>VLOOKUP(C13,SYSTEM!$C$3:$H$138,6,FALSE)</f>
        <v>0</v>
      </c>
      <c r="I13" s="154">
        <f>VLOOKUP(C13,SYSTEM!$C$3:$I$138,7,FALSE)</f>
        <v>0</v>
      </c>
      <c r="J13" s="154">
        <f>VLOOKUP(C13,SYSTEM!$C$3:$J$138,8,FALSE)</f>
        <v>0</v>
      </c>
      <c r="K13" s="154">
        <f t="shared" si="0"/>
        <v>13813.8</v>
      </c>
      <c r="M13" s="154">
        <f>VLOOKUP(C13,SYSTEM!$C$3:$K$138,9,FALSE)</f>
        <v>13813.8</v>
      </c>
      <c r="N13" s="61">
        <f t="shared" si="1"/>
        <v>0</v>
      </c>
    </row>
    <row r="14" spans="1:14" x14ac:dyDescent="0.2">
      <c r="A14" s="1" t="s">
        <v>11</v>
      </c>
      <c r="B14" s="1" t="s">
        <v>166</v>
      </c>
      <c r="C14" s="1" t="s">
        <v>183</v>
      </c>
      <c r="D14" s="1" t="s">
        <v>184</v>
      </c>
      <c r="E14" s="154">
        <f>VLOOKUP(C14,SYSTEM!$C$3:$E$138,3,FALSE)</f>
        <v>0</v>
      </c>
      <c r="F14" s="154">
        <f>VLOOKUP(C14,SYSTEM!$C$3:$F$138,4,FALSE)</f>
        <v>0</v>
      </c>
      <c r="G14" s="154">
        <f>VLOOKUP(C14,SYSTEM!$C$3:$G$138,5,FALSE)</f>
        <v>0</v>
      </c>
      <c r="H14" s="154">
        <f>VLOOKUP(C14,SYSTEM!$C$3:$H$138,6,FALSE)</f>
        <v>0</v>
      </c>
      <c r="I14" s="154">
        <f>VLOOKUP(C14,SYSTEM!$C$3:$I$138,7,FALSE)</f>
        <v>0</v>
      </c>
      <c r="J14" s="154">
        <f>VLOOKUP(C14,SYSTEM!$C$3:$J$138,8,FALSE)</f>
        <v>0</v>
      </c>
      <c r="K14" s="154">
        <f t="shared" si="0"/>
        <v>0</v>
      </c>
      <c r="M14" s="154">
        <f>VLOOKUP(C14,SYSTEM!$C$3:$K$138,9,FALSE)</f>
        <v>0</v>
      </c>
      <c r="N14" s="61">
        <f t="shared" si="1"/>
        <v>0</v>
      </c>
    </row>
    <row r="15" spans="1:14" x14ac:dyDescent="0.2">
      <c r="A15" s="1" t="s">
        <v>11</v>
      </c>
      <c r="B15" s="1" t="s">
        <v>166</v>
      </c>
      <c r="C15" s="1" t="s">
        <v>185</v>
      </c>
      <c r="D15" s="1" t="s">
        <v>186</v>
      </c>
      <c r="E15" s="154">
        <f>VLOOKUP(C15,SYSTEM!$C$3:$E$138,3,FALSE)</f>
        <v>152140.79999999999</v>
      </c>
      <c r="F15" s="154">
        <f>VLOOKUP(C15,SYSTEM!$C$3:$F$138,4,FALSE)</f>
        <v>0</v>
      </c>
      <c r="G15" s="154">
        <f>VLOOKUP(C15,SYSTEM!$C$3:$G$138,5,FALSE)</f>
        <v>0</v>
      </c>
      <c r="H15" s="154">
        <f>VLOOKUP(C15,SYSTEM!$C$3:$H$138,6,FALSE)</f>
        <v>0</v>
      </c>
      <c r="I15" s="154">
        <f>VLOOKUP(C15,SYSTEM!$C$3:$I$138,7,FALSE)</f>
        <v>0</v>
      </c>
      <c r="J15" s="154">
        <f>VLOOKUP(C15,SYSTEM!$C$3:$J$138,8,FALSE)</f>
        <v>0</v>
      </c>
      <c r="K15" s="154">
        <f t="shared" si="0"/>
        <v>152140.79999999999</v>
      </c>
      <c r="M15" s="154">
        <f>VLOOKUP(C15,SYSTEM!$C$3:$K$138,9,FALSE)</f>
        <v>152140.79999999999</v>
      </c>
      <c r="N15" s="61">
        <f t="shared" si="1"/>
        <v>0</v>
      </c>
    </row>
    <row r="16" spans="1:14" x14ac:dyDescent="0.2">
      <c r="A16" s="1" t="s">
        <v>11</v>
      </c>
      <c r="B16" s="1" t="s">
        <v>166</v>
      </c>
      <c r="C16" s="1" t="s">
        <v>187</v>
      </c>
      <c r="D16" s="1" t="s">
        <v>188</v>
      </c>
      <c r="E16" s="154">
        <f>VLOOKUP(C16,SYSTEM!$C$3:$E$138,3,FALSE)</f>
        <v>255728.55</v>
      </c>
      <c r="F16" s="154">
        <f>VLOOKUP(C16,SYSTEM!$C$3:$F$138,4,FALSE)</f>
        <v>0</v>
      </c>
      <c r="G16" s="154">
        <f>VLOOKUP(C16,SYSTEM!$C$3:$G$138,5,FALSE)</f>
        <v>0</v>
      </c>
      <c r="H16" s="154">
        <f>VLOOKUP(C16,SYSTEM!$C$3:$H$138,6,FALSE)</f>
        <v>0</v>
      </c>
      <c r="I16" s="154">
        <f>VLOOKUP(C16,SYSTEM!$C$3:$I$138,7,FALSE)</f>
        <v>0</v>
      </c>
      <c r="J16" s="154">
        <f>VLOOKUP(C16,SYSTEM!$C$3:$J$138,8,FALSE)</f>
        <v>0</v>
      </c>
      <c r="K16" s="154">
        <f t="shared" si="0"/>
        <v>255728.55</v>
      </c>
      <c r="M16" s="154">
        <f>VLOOKUP(C16,SYSTEM!$C$3:$K$138,9,FALSE)</f>
        <v>255728.55</v>
      </c>
      <c r="N16" s="61">
        <f t="shared" si="1"/>
        <v>0</v>
      </c>
    </row>
    <row r="17" spans="1:14" x14ac:dyDescent="0.2">
      <c r="A17" s="1" t="s">
        <v>11</v>
      </c>
      <c r="B17" s="1" t="s">
        <v>166</v>
      </c>
      <c r="C17" s="1" t="s">
        <v>191</v>
      </c>
      <c r="D17" s="1" t="s">
        <v>192</v>
      </c>
      <c r="E17" s="154">
        <f>VLOOKUP(C17,SYSTEM!$C$3:$E$138,3,FALSE)</f>
        <v>0</v>
      </c>
      <c r="F17" s="154">
        <f>VLOOKUP(C17,SYSTEM!$C$3:$F$138,4,FALSE)</f>
        <v>0</v>
      </c>
      <c r="G17" s="154">
        <f>VLOOKUP(C17,SYSTEM!$C$3:$G$138,5,FALSE)</f>
        <v>0</v>
      </c>
      <c r="H17" s="154">
        <f>VLOOKUP(C17,SYSTEM!$C$3:$H$138,6,FALSE)</f>
        <v>0</v>
      </c>
      <c r="I17" s="154">
        <f>VLOOKUP(C17,SYSTEM!$C$3:$I$138,7,FALSE)</f>
        <v>0</v>
      </c>
      <c r="J17" s="154">
        <f>VLOOKUP(C17,SYSTEM!$C$3:$J$138,8,FALSE)</f>
        <v>0</v>
      </c>
      <c r="K17" s="154">
        <f t="shared" si="0"/>
        <v>0</v>
      </c>
      <c r="M17" s="154">
        <f>VLOOKUP(C17,SYSTEM!$C$3:$K$138,9,FALSE)</f>
        <v>0</v>
      </c>
      <c r="N17" s="61">
        <f t="shared" si="1"/>
        <v>0</v>
      </c>
    </row>
    <row r="18" spans="1:14" x14ac:dyDescent="0.2">
      <c r="A18" s="1" t="s">
        <v>11</v>
      </c>
      <c r="B18" s="1" t="s">
        <v>166</v>
      </c>
      <c r="C18" s="1" t="s">
        <v>193</v>
      </c>
      <c r="D18" s="1" t="s">
        <v>194</v>
      </c>
      <c r="E18" s="154">
        <f>VLOOKUP(C18,SYSTEM!$C$3:$E$138,3,FALSE)</f>
        <v>0</v>
      </c>
      <c r="F18" s="154">
        <f>VLOOKUP(C18,SYSTEM!$C$3:$F$138,4,FALSE)</f>
        <v>0</v>
      </c>
      <c r="G18" s="154">
        <f>VLOOKUP(C18,SYSTEM!$C$3:$G$138,5,FALSE)</f>
        <v>0</v>
      </c>
      <c r="H18" s="154">
        <f>VLOOKUP(C18,SYSTEM!$C$3:$H$138,6,FALSE)</f>
        <v>0</v>
      </c>
      <c r="I18" s="154">
        <f>VLOOKUP(C18,SYSTEM!$C$3:$I$138,7,FALSE)</f>
        <v>0</v>
      </c>
      <c r="J18" s="154">
        <f>VLOOKUP(C18,SYSTEM!$C$3:$J$138,8,FALSE)</f>
        <v>0</v>
      </c>
      <c r="K18" s="154">
        <f t="shared" si="0"/>
        <v>0</v>
      </c>
      <c r="M18" s="154">
        <f>VLOOKUP(C18,SYSTEM!$C$3:$K$138,9,FALSE)</f>
        <v>0</v>
      </c>
      <c r="N18" s="61">
        <f t="shared" si="1"/>
        <v>0</v>
      </c>
    </row>
    <row r="19" spans="1:14" x14ac:dyDescent="0.2">
      <c r="A19" s="1" t="s">
        <v>11</v>
      </c>
      <c r="B19" s="1" t="s">
        <v>166</v>
      </c>
      <c r="C19" s="1" t="s">
        <v>195</v>
      </c>
      <c r="D19" s="1" t="s">
        <v>192</v>
      </c>
      <c r="E19" s="154">
        <f>VLOOKUP(C19,SYSTEM!$C$3:$E$138,3,FALSE)</f>
        <v>0</v>
      </c>
      <c r="F19" s="154">
        <f>VLOOKUP(C19,SYSTEM!$C$3:$F$138,4,FALSE)</f>
        <v>0</v>
      </c>
      <c r="G19" s="154">
        <f>VLOOKUP(C19,SYSTEM!$C$3:$G$138,5,FALSE)</f>
        <v>0</v>
      </c>
      <c r="H19" s="154">
        <f>VLOOKUP(C19,SYSTEM!$C$3:$H$138,6,FALSE)</f>
        <v>0</v>
      </c>
      <c r="I19" s="154">
        <f>VLOOKUP(C19,SYSTEM!$C$3:$I$138,7,FALSE)</f>
        <v>0</v>
      </c>
      <c r="J19" s="154">
        <f>VLOOKUP(C19,SYSTEM!$C$3:$J$138,8,FALSE)</f>
        <v>0</v>
      </c>
      <c r="K19" s="154">
        <f t="shared" si="0"/>
        <v>0</v>
      </c>
      <c r="M19" s="154">
        <f>VLOOKUP(C19,SYSTEM!$C$3:$K$138,9,FALSE)</f>
        <v>0</v>
      </c>
      <c r="N19" s="61">
        <f t="shared" si="1"/>
        <v>0</v>
      </c>
    </row>
    <row r="20" spans="1:14" x14ac:dyDescent="0.2">
      <c r="A20" s="1" t="s">
        <v>11</v>
      </c>
      <c r="B20" s="1" t="s">
        <v>166</v>
      </c>
      <c r="C20" s="1" t="s">
        <v>196</v>
      </c>
      <c r="D20" s="1" t="s">
        <v>194</v>
      </c>
      <c r="E20" s="154">
        <f>VLOOKUP(C20,SYSTEM!$C$3:$E$138,3,FALSE)</f>
        <v>0</v>
      </c>
      <c r="F20" s="154">
        <f>VLOOKUP(C20,SYSTEM!$C$3:$F$138,4,FALSE)</f>
        <v>0</v>
      </c>
      <c r="G20" s="154">
        <f>VLOOKUP(C20,SYSTEM!$C$3:$G$138,5,FALSE)</f>
        <v>0</v>
      </c>
      <c r="H20" s="154">
        <f>VLOOKUP(C20,SYSTEM!$C$3:$H$138,6,FALSE)</f>
        <v>0</v>
      </c>
      <c r="I20" s="154">
        <f>VLOOKUP(C20,SYSTEM!$C$3:$I$138,7,FALSE)</f>
        <v>0</v>
      </c>
      <c r="J20" s="154">
        <f>VLOOKUP(C20,SYSTEM!$C$3:$J$138,8,FALSE)</f>
        <v>0</v>
      </c>
      <c r="K20" s="154">
        <f t="shared" si="0"/>
        <v>0</v>
      </c>
      <c r="M20" s="154">
        <f>VLOOKUP(C20,SYSTEM!$C$3:$K$138,9,FALSE)</f>
        <v>0</v>
      </c>
      <c r="N20" s="61">
        <f t="shared" si="1"/>
        <v>0</v>
      </c>
    </row>
    <row r="21" spans="1:14" x14ac:dyDescent="0.2">
      <c r="A21" s="1" t="s">
        <v>11</v>
      </c>
      <c r="B21" s="1" t="s">
        <v>166</v>
      </c>
      <c r="C21" s="1" t="s">
        <v>197</v>
      </c>
      <c r="D21" s="1" t="s">
        <v>194</v>
      </c>
      <c r="E21" s="154">
        <f>VLOOKUP(C21,SYSTEM!$C$3:$E$138,3,FALSE)</f>
        <v>0</v>
      </c>
      <c r="F21" s="154">
        <f>VLOOKUP(C21,SYSTEM!$C$3:$F$138,4,FALSE)</f>
        <v>0</v>
      </c>
      <c r="G21" s="154">
        <f>VLOOKUP(C21,SYSTEM!$C$3:$G$138,5,FALSE)</f>
        <v>0</v>
      </c>
      <c r="H21" s="154">
        <f>VLOOKUP(C21,SYSTEM!$C$3:$H$138,6,FALSE)</f>
        <v>0</v>
      </c>
      <c r="I21" s="154">
        <f>VLOOKUP(C21,SYSTEM!$C$3:$I$138,7,FALSE)</f>
        <v>0</v>
      </c>
      <c r="J21" s="154">
        <f>VLOOKUP(C21,SYSTEM!$C$3:$J$138,8,FALSE)</f>
        <v>0</v>
      </c>
      <c r="K21" s="154">
        <f t="shared" si="0"/>
        <v>0</v>
      </c>
      <c r="M21" s="154">
        <f>VLOOKUP(C21,SYSTEM!$C$3:$K$138,9,FALSE)</f>
        <v>0</v>
      </c>
      <c r="N21" s="61">
        <f t="shared" si="1"/>
        <v>0</v>
      </c>
    </row>
    <row r="22" spans="1:14" x14ac:dyDescent="0.2">
      <c r="A22" s="1" t="s">
        <v>11</v>
      </c>
      <c r="B22" s="1" t="s">
        <v>166</v>
      </c>
      <c r="C22" s="1" t="s">
        <v>198</v>
      </c>
      <c r="D22" s="1" t="s">
        <v>194</v>
      </c>
      <c r="E22" s="154">
        <f>VLOOKUP(C22,SYSTEM!$C$3:$E$138,3,FALSE)</f>
        <v>0</v>
      </c>
      <c r="F22" s="154">
        <f>VLOOKUP(C22,SYSTEM!$C$3:$F$138,4,FALSE)</f>
        <v>0</v>
      </c>
      <c r="G22" s="154">
        <f>VLOOKUP(C22,SYSTEM!$C$3:$G$138,5,FALSE)</f>
        <v>0</v>
      </c>
      <c r="H22" s="154">
        <f>VLOOKUP(C22,SYSTEM!$C$3:$H$138,6,FALSE)</f>
        <v>0</v>
      </c>
      <c r="I22" s="154">
        <f>VLOOKUP(C22,SYSTEM!$C$3:$I$138,7,FALSE)</f>
        <v>0</v>
      </c>
      <c r="J22" s="154">
        <f>VLOOKUP(C22,SYSTEM!$C$3:$J$138,8,FALSE)</f>
        <v>0</v>
      </c>
      <c r="K22" s="154">
        <f t="shared" si="0"/>
        <v>0</v>
      </c>
      <c r="M22" s="154">
        <f>VLOOKUP(C22,SYSTEM!$C$3:$K$138,9,FALSE)</f>
        <v>0</v>
      </c>
      <c r="N22" s="61">
        <f t="shared" si="1"/>
        <v>0</v>
      </c>
    </row>
    <row r="23" spans="1:14" x14ac:dyDescent="0.2">
      <c r="A23" s="1" t="s">
        <v>11</v>
      </c>
      <c r="B23" s="1" t="s">
        <v>166</v>
      </c>
      <c r="C23" s="1" t="s">
        <v>199</v>
      </c>
      <c r="D23" s="1" t="s">
        <v>194</v>
      </c>
      <c r="E23" s="154">
        <f>VLOOKUP(C23,SYSTEM!$C$3:$E$138,3,FALSE)</f>
        <v>0</v>
      </c>
      <c r="F23" s="154">
        <f>VLOOKUP(C23,SYSTEM!$C$3:$F$138,4,FALSE)</f>
        <v>0</v>
      </c>
      <c r="G23" s="154">
        <f>VLOOKUP(C23,SYSTEM!$C$3:$G$138,5,FALSE)</f>
        <v>0</v>
      </c>
      <c r="H23" s="154">
        <f>VLOOKUP(C23,SYSTEM!$C$3:$H$138,6,FALSE)</f>
        <v>0</v>
      </c>
      <c r="I23" s="154">
        <f>VLOOKUP(C23,SYSTEM!$C$3:$I$138,7,FALSE)</f>
        <v>0</v>
      </c>
      <c r="J23" s="154">
        <f>VLOOKUP(C23,SYSTEM!$C$3:$J$138,8,FALSE)</f>
        <v>0</v>
      </c>
      <c r="K23" s="154">
        <f t="shared" si="0"/>
        <v>0</v>
      </c>
      <c r="M23" s="154">
        <f>VLOOKUP(C23,SYSTEM!$C$3:$K$138,9,FALSE)</f>
        <v>0</v>
      </c>
      <c r="N23" s="61">
        <f t="shared" si="1"/>
        <v>0</v>
      </c>
    </row>
    <row r="24" spans="1:14" x14ac:dyDescent="0.2">
      <c r="A24" s="1" t="s">
        <v>11</v>
      </c>
      <c r="B24" s="1" t="s">
        <v>17</v>
      </c>
      <c r="C24" s="1" t="s">
        <v>169</v>
      </c>
      <c r="D24" s="1" t="s">
        <v>170</v>
      </c>
      <c r="E24" s="154">
        <f>VLOOKUP(C24,SYSTEM!$C$3:$E$138,3,FALSE)</f>
        <v>8736</v>
      </c>
      <c r="F24" s="154">
        <f>VLOOKUP(C24,SYSTEM!$C$3:$F$138,4,FALSE)</f>
        <v>0</v>
      </c>
      <c r="G24" s="154">
        <f>VLOOKUP(C24,SYSTEM!$C$3:$G$138,5,FALSE)</f>
        <v>0</v>
      </c>
      <c r="H24" s="154">
        <f>VLOOKUP(C24,SYSTEM!$C$3:$H$138,6,FALSE)</f>
        <v>0</v>
      </c>
      <c r="I24" s="154">
        <f>VLOOKUP(C24,SYSTEM!$C$3:$I$138,7,FALSE)</f>
        <v>0</v>
      </c>
      <c r="J24" s="154">
        <f>VLOOKUP(C24,SYSTEM!$C$3:$J$138,8,FALSE)</f>
        <v>0</v>
      </c>
      <c r="K24" s="154">
        <f t="shared" si="0"/>
        <v>8736</v>
      </c>
      <c r="M24" s="154">
        <f>VLOOKUP(C24,SYSTEM!$C$3:$K$138,9,FALSE)</f>
        <v>8736</v>
      </c>
      <c r="N24" s="61">
        <f t="shared" si="1"/>
        <v>0</v>
      </c>
    </row>
    <row r="25" spans="1:14" x14ac:dyDescent="0.2">
      <c r="A25" s="1" t="s">
        <v>11</v>
      </c>
      <c r="B25" s="1" t="s">
        <v>17</v>
      </c>
      <c r="C25" s="1" t="s">
        <v>171</v>
      </c>
      <c r="D25" s="1" t="s">
        <v>172</v>
      </c>
      <c r="E25" s="154">
        <f>VLOOKUP(C25,SYSTEM!$C$3:$E$138,3,FALSE)</f>
        <v>51245.7</v>
      </c>
      <c r="F25" s="154">
        <f>VLOOKUP(C25,SYSTEM!$C$3:$F$138,4,FALSE)</f>
        <v>0</v>
      </c>
      <c r="G25" s="154">
        <f>VLOOKUP(C25,SYSTEM!$C$3:$G$138,5,FALSE)</f>
        <v>0</v>
      </c>
      <c r="H25" s="154">
        <f>VLOOKUP(C25,SYSTEM!$C$3:$H$138,6,FALSE)</f>
        <v>0</v>
      </c>
      <c r="I25" s="154">
        <f>VLOOKUP(C25,SYSTEM!$C$3:$I$138,7,FALSE)</f>
        <v>0</v>
      </c>
      <c r="J25" s="154">
        <f>VLOOKUP(C25,SYSTEM!$C$3:$J$138,8,FALSE)</f>
        <v>0</v>
      </c>
      <c r="K25" s="154">
        <f t="shared" si="0"/>
        <v>51245.7</v>
      </c>
      <c r="M25" s="154">
        <f>VLOOKUP(C25,SYSTEM!$C$3:$K$138,9,FALSE)</f>
        <v>51245.7</v>
      </c>
      <c r="N25" s="61">
        <f t="shared" si="1"/>
        <v>0</v>
      </c>
    </row>
    <row r="26" spans="1:14" x14ac:dyDescent="0.2">
      <c r="A26" s="1" t="s">
        <v>11</v>
      </c>
      <c r="B26" s="1" t="s">
        <v>17</v>
      </c>
      <c r="C26" s="1" t="s">
        <v>18</v>
      </c>
      <c r="D26" s="1" t="s">
        <v>19</v>
      </c>
      <c r="E26" s="154">
        <f>VLOOKUP(C26,SYSTEM!$C$3:$E$138,3,FALSE)</f>
        <v>-7.0000000000000007E-2</v>
      </c>
      <c r="F26" s="154">
        <f>VLOOKUP(C26,SYSTEM!$C$3:$F$138,4,FALSE)</f>
        <v>-0.01</v>
      </c>
      <c r="G26" s="154">
        <f>VLOOKUP(C26,SYSTEM!$C$3:$G$138,5,FALSE)</f>
        <v>0</v>
      </c>
      <c r="H26" s="154">
        <f>VLOOKUP(C26,SYSTEM!$C$3:$H$138,6,FALSE)</f>
        <v>0</v>
      </c>
      <c r="I26" s="154">
        <f>VLOOKUP(C26,SYSTEM!$C$3:$I$138,7,FALSE)</f>
        <v>0</v>
      </c>
      <c r="J26" s="154">
        <f>VLOOKUP(C26,SYSTEM!$C$3:$J$138,8,FALSE)</f>
        <v>0</v>
      </c>
      <c r="K26" s="154">
        <f t="shared" si="0"/>
        <v>-0.08</v>
      </c>
      <c r="M26" s="154">
        <f>VLOOKUP(C26,SYSTEM!$C$3:$K$138,9,FALSE)</f>
        <v>-0.08</v>
      </c>
      <c r="N26" s="61">
        <f t="shared" si="1"/>
        <v>0</v>
      </c>
    </row>
    <row r="27" spans="1:14" x14ac:dyDescent="0.2">
      <c r="A27" s="1" t="s">
        <v>11</v>
      </c>
      <c r="B27" s="1" t="s">
        <v>17</v>
      </c>
      <c r="C27" s="1" t="s">
        <v>177</v>
      </c>
      <c r="D27" s="1" t="s">
        <v>178</v>
      </c>
      <c r="E27" s="154">
        <f>VLOOKUP(C27,SYSTEM!$C$3:$E$138,3,FALSE)</f>
        <v>0</v>
      </c>
      <c r="F27" s="154">
        <f>VLOOKUP(C27,SYSTEM!$C$3:$F$138,4,FALSE)</f>
        <v>0</v>
      </c>
      <c r="G27" s="154">
        <f>VLOOKUP(C27,SYSTEM!$C$3:$G$138,5,FALSE)</f>
        <v>0</v>
      </c>
      <c r="H27" s="154">
        <f>VLOOKUP(C27,SYSTEM!$C$3:$H$138,6,FALSE)</f>
        <v>0</v>
      </c>
      <c r="I27" s="154">
        <f>VLOOKUP(C27,SYSTEM!$C$3:$I$138,7,FALSE)</f>
        <v>0</v>
      </c>
      <c r="J27" s="154">
        <f>VLOOKUP(C27,SYSTEM!$C$3:$J$138,8,FALSE)</f>
        <v>0</v>
      </c>
      <c r="K27" s="154">
        <f t="shared" si="0"/>
        <v>0</v>
      </c>
      <c r="M27" s="154">
        <f>VLOOKUP(C27,SYSTEM!$C$3:$K$138,9,FALSE)</f>
        <v>0</v>
      </c>
      <c r="N27" s="61">
        <f t="shared" si="1"/>
        <v>0</v>
      </c>
    </row>
    <row r="28" spans="1:14" x14ac:dyDescent="0.2">
      <c r="A28" s="1" t="s">
        <v>11</v>
      </c>
      <c r="B28" s="1" t="s">
        <v>17</v>
      </c>
      <c r="C28" s="1" t="s">
        <v>179</v>
      </c>
      <c r="D28" s="1" t="s">
        <v>180</v>
      </c>
      <c r="E28" s="154">
        <f>VLOOKUP(C28,SYSTEM!$C$3:$E$138,3,FALSE)</f>
        <v>8066</v>
      </c>
      <c r="F28" s="154">
        <f>VLOOKUP(C28,SYSTEM!$C$3:$F$138,4,FALSE)</f>
        <v>0</v>
      </c>
      <c r="G28" s="154">
        <f>VLOOKUP(C28,SYSTEM!$C$3:$G$138,5,FALSE)</f>
        <v>0</v>
      </c>
      <c r="H28" s="154">
        <f>VLOOKUP(C28,SYSTEM!$C$3:$H$138,6,FALSE)</f>
        <v>0</v>
      </c>
      <c r="I28" s="154">
        <f>VLOOKUP(C28,SYSTEM!$C$3:$I$138,7,FALSE)</f>
        <v>0</v>
      </c>
      <c r="J28" s="154">
        <f>VLOOKUP(C28,SYSTEM!$C$3:$J$138,8,FALSE)</f>
        <v>0</v>
      </c>
      <c r="K28" s="154">
        <f t="shared" si="0"/>
        <v>8066</v>
      </c>
      <c r="M28" s="154">
        <f>VLOOKUP(C28,SYSTEM!$C$3:$K$138,9,FALSE)</f>
        <v>8066</v>
      </c>
      <c r="N28" s="61">
        <f t="shared" si="1"/>
        <v>0</v>
      </c>
    </row>
    <row r="29" spans="1:14" x14ac:dyDescent="0.2">
      <c r="A29" s="1" t="s">
        <v>11</v>
      </c>
      <c r="B29" s="1" t="s">
        <v>17</v>
      </c>
      <c r="C29" s="1" t="s">
        <v>181</v>
      </c>
      <c r="D29" s="1" t="s">
        <v>182</v>
      </c>
      <c r="E29" s="154">
        <f>VLOOKUP(C29,SYSTEM!$C$3:$E$138,3,FALSE)</f>
        <v>6584.5</v>
      </c>
      <c r="F29" s="154">
        <f>VLOOKUP(C29,SYSTEM!$C$3:$F$138,4,FALSE)</f>
        <v>0</v>
      </c>
      <c r="G29" s="154">
        <f>VLOOKUP(C29,SYSTEM!$C$3:$G$138,5,FALSE)</f>
        <v>0</v>
      </c>
      <c r="H29" s="154">
        <f>VLOOKUP(C29,SYSTEM!$C$3:$H$138,6,FALSE)</f>
        <v>0</v>
      </c>
      <c r="I29" s="154">
        <f>VLOOKUP(C29,SYSTEM!$C$3:$I$138,7,FALSE)</f>
        <v>0</v>
      </c>
      <c r="J29" s="154">
        <f>VLOOKUP(C29,SYSTEM!$C$3:$J$138,8,FALSE)</f>
        <v>0</v>
      </c>
      <c r="K29" s="154">
        <f t="shared" si="0"/>
        <v>6584.5</v>
      </c>
      <c r="M29" s="154">
        <f>VLOOKUP(C29,SYSTEM!$C$3:$K$138,9,FALSE)</f>
        <v>6584.5</v>
      </c>
      <c r="N29" s="61">
        <f t="shared" si="1"/>
        <v>0</v>
      </c>
    </row>
    <row r="30" spans="1:14" x14ac:dyDescent="0.2">
      <c r="A30" s="1" t="s">
        <v>11</v>
      </c>
      <c r="B30" s="1" t="s">
        <v>17</v>
      </c>
      <c r="C30" s="1" t="s">
        <v>189</v>
      </c>
      <c r="D30" s="1" t="s">
        <v>190</v>
      </c>
      <c r="E30" s="154">
        <f>VLOOKUP(C30,SYSTEM!$C$3:$E$138,3,FALSE)</f>
        <v>194720.4</v>
      </c>
      <c r="F30" s="154">
        <f>VLOOKUP(C30,SYSTEM!$C$3:$F$138,4,FALSE)</f>
        <v>0</v>
      </c>
      <c r="G30" s="154">
        <f>VLOOKUP(C30,SYSTEM!$C$3:$G$138,5,FALSE)</f>
        <v>0</v>
      </c>
      <c r="H30" s="154">
        <f>VLOOKUP(C30,SYSTEM!$C$3:$H$138,6,FALSE)</f>
        <v>0</v>
      </c>
      <c r="I30" s="154">
        <f>VLOOKUP(C30,SYSTEM!$C$3:$I$138,7,FALSE)</f>
        <v>0</v>
      </c>
      <c r="J30" s="154">
        <f>VLOOKUP(C30,SYSTEM!$C$3:$J$138,8,FALSE)</f>
        <v>0</v>
      </c>
      <c r="K30" s="154">
        <f t="shared" si="0"/>
        <v>194720.4</v>
      </c>
      <c r="M30" s="154">
        <f>VLOOKUP(C30,SYSTEM!$C$3:$K$138,9,FALSE)</f>
        <v>194720.4</v>
      </c>
      <c r="N30" s="61">
        <f t="shared" si="1"/>
        <v>0</v>
      </c>
    </row>
    <row r="31" spans="1:14" x14ac:dyDescent="0.2">
      <c r="A31" s="1" t="s">
        <v>11</v>
      </c>
      <c r="B31" s="1" t="s">
        <v>20</v>
      </c>
      <c r="C31" s="1" t="s">
        <v>200</v>
      </c>
      <c r="D31" s="1" t="s">
        <v>168</v>
      </c>
      <c r="E31" s="154">
        <f>VLOOKUP(C31,SYSTEM!$C$3:$E$138,3,FALSE)</f>
        <v>0</v>
      </c>
      <c r="F31" s="154">
        <f>VLOOKUP(C31,SYSTEM!$C$3:$F$138,4,FALSE)</f>
        <v>0</v>
      </c>
      <c r="G31" s="154">
        <f>VLOOKUP(C31,SYSTEM!$C$3:$G$138,5,FALSE)</f>
        <v>0</v>
      </c>
      <c r="H31" s="154">
        <f>VLOOKUP(C31,SYSTEM!$C$3:$H$138,6,FALSE)</f>
        <v>0</v>
      </c>
      <c r="I31" s="154">
        <f>VLOOKUP(C31,SYSTEM!$C$3:$I$138,7,FALSE)</f>
        <v>0</v>
      </c>
      <c r="J31" s="154">
        <f>VLOOKUP(C31,SYSTEM!$C$3:$J$138,8,FALSE)</f>
        <v>0</v>
      </c>
      <c r="K31" s="154">
        <f t="shared" si="0"/>
        <v>0</v>
      </c>
      <c r="M31" s="154">
        <f>VLOOKUP(C31,SYSTEM!$C$3:$K$138,9,FALSE)</f>
        <v>0</v>
      </c>
      <c r="N31" s="61">
        <f t="shared" si="1"/>
        <v>0</v>
      </c>
    </row>
    <row r="32" spans="1:14" x14ac:dyDescent="0.2">
      <c r="A32" s="1" t="s">
        <v>11</v>
      </c>
      <c r="B32" s="1" t="s">
        <v>20</v>
      </c>
      <c r="C32" s="1" t="s">
        <v>41</v>
      </c>
      <c r="D32" s="1" t="s">
        <v>42</v>
      </c>
      <c r="E32" s="154">
        <f>VLOOKUP(C32,SYSTEM!$C$3:$E$138,3,FALSE)</f>
        <v>31611.91</v>
      </c>
      <c r="F32" s="154">
        <f>VLOOKUP(C32,SYSTEM!$C$3:$F$138,4,FALSE)</f>
        <v>1567.64</v>
      </c>
      <c r="G32" s="154">
        <f>VLOOKUP(C32,SYSTEM!$C$3:$G$138,5,FALSE)</f>
        <v>0</v>
      </c>
      <c r="H32" s="154">
        <f>VLOOKUP(C32,SYSTEM!$C$3:$H$138,6,FALSE)</f>
        <v>0</v>
      </c>
      <c r="I32" s="154">
        <f>VLOOKUP(C32,SYSTEM!$C$3:$I$138,7,FALSE)</f>
        <v>0</v>
      </c>
      <c r="J32" s="154">
        <f>VLOOKUP(C32,SYSTEM!$C$3:$J$138,8,FALSE)</f>
        <v>0</v>
      </c>
      <c r="K32" s="154">
        <f t="shared" si="0"/>
        <v>33179.550000000003</v>
      </c>
      <c r="M32" s="154">
        <f>VLOOKUP(C32,SYSTEM!$C$3:$K$138,9,FALSE)</f>
        <v>33179.550000000003</v>
      </c>
      <c r="N32" s="61">
        <f t="shared" si="1"/>
        <v>0</v>
      </c>
    </row>
    <row r="33" spans="1:14" x14ac:dyDescent="0.2">
      <c r="A33" s="94" t="s">
        <v>11</v>
      </c>
      <c r="B33" s="94" t="s">
        <v>20</v>
      </c>
      <c r="C33" s="94" t="s">
        <v>249</v>
      </c>
      <c r="D33" s="94" t="s">
        <v>250</v>
      </c>
      <c r="E33" s="154">
        <f>VLOOKUP(C33,SYSTEM!$C$3:$E$138,3,FALSE)</f>
        <v>3270.67</v>
      </c>
      <c r="F33" s="154">
        <f>VLOOKUP(C33,SYSTEM!$C$3:$F$138,4,FALSE)</f>
        <v>8717.2199999999993</v>
      </c>
      <c r="G33" s="154">
        <f>VLOOKUP(C33,SYSTEM!$C$3:$G$138,5,FALSE)</f>
        <v>0</v>
      </c>
      <c r="H33" s="154">
        <f>VLOOKUP(C33,SYSTEM!$C$3:$H$138,6,FALSE)</f>
        <v>0</v>
      </c>
      <c r="I33" s="154">
        <f>VLOOKUP(C33,SYSTEM!$C$3:$I$138,7,FALSE)</f>
        <v>0</v>
      </c>
      <c r="J33" s="154">
        <f>VLOOKUP(C33,SYSTEM!$C$3:$J$138,8,FALSE)</f>
        <v>0</v>
      </c>
      <c r="K33" s="154">
        <f t="shared" si="0"/>
        <v>11987.89</v>
      </c>
      <c r="M33" s="154">
        <f>VLOOKUP(C33,SYSTEM!$C$3:$K$138,9,FALSE)</f>
        <v>11987.89</v>
      </c>
      <c r="N33" s="61">
        <f t="shared" si="1"/>
        <v>0</v>
      </c>
    </row>
    <row r="34" spans="1:14" x14ac:dyDescent="0.2">
      <c r="A34" s="1" t="s">
        <v>11</v>
      </c>
      <c r="B34" s="1" t="s">
        <v>20</v>
      </c>
      <c r="C34" s="1" t="s">
        <v>39</v>
      </c>
      <c r="D34" s="1" t="s">
        <v>40</v>
      </c>
      <c r="E34" s="154">
        <f>VLOOKUP(C34,SYSTEM!$C$3:$E$138,3,FALSE)</f>
        <v>3021424</v>
      </c>
      <c r="F34" s="154">
        <f>VLOOKUP(C34,SYSTEM!$C$3:$F$138,4,FALSE)</f>
        <v>129505.22</v>
      </c>
      <c r="G34" s="154">
        <f>VLOOKUP(C34,SYSTEM!$C$3:$G$138,5,FALSE)</f>
        <v>0</v>
      </c>
      <c r="H34" s="154">
        <f>VLOOKUP(C34,SYSTEM!$C$3:$H$138,6,FALSE)</f>
        <v>0</v>
      </c>
      <c r="I34" s="154">
        <f>VLOOKUP(C34,SYSTEM!$C$3:$I$138,7,FALSE)</f>
        <v>0</v>
      </c>
      <c r="J34" s="154">
        <f>VLOOKUP(C34,SYSTEM!$C$3:$J$138,8,FALSE)</f>
        <v>0</v>
      </c>
      <c r="K34" s="154">
        <f t="shared" ref="K34:K65" si="2">SUM(E34:J34)</f>
        <v>3150929.22</v>
      </c>
      <c r="M34" s="154">
        <f>VLOOKUP(C34,SYSTEM!$C$3:$K$138,9,FALSE)</f>
        <v>3150929.22</v>
      </c>
      <c r="N34" s="61">
        <f t="shared" si="1"/>
        <v>0</v>
      </c>
    </row>
    <row r="35" spans="1:14" x14ac:dyDescent="0.2">
      <c r="A35" s="94" t="s">
        <v>11</v>
      </c>
      <c r="B35" s="94" t="s">
        <v>20</v>
      </c>
      <c r="C35" s="94" t="s">
        <v>251</v>
      </c>
      <c r="D35" s="94" t="s">
        <v>252</v>
      </c>
      <c r="E35" s="154">
        <f>VLOOKUP(C35,SYSTEM!$C$3:$E$138,3,FALSE)</f>
        <v>43308.67</v>
      </c>
      <c r="F35" s="154">
        <f>VLOOKUP(C35,SYSTEM!$C$3:$F$138,4,FALSE)</f>
        <v>116631</v>
      </c>
      <c r="G35" s="154">
        <f>VLOOKUP(C35,SYSTEM!$C$3:$G$138,5,FALSE)</f>
        <v>0</v>
      </c>
      <c r="H35" s="154">
        <f>VLOOKUP(C35,SYSTEM!$C$3:$H$138,6,FALSE)</f>
        <v>0</v>
      </c>
      <c r="I35" s="154">
        <f>VLOOKUP(C35,SYSTEM!$C$3:$I$138,7,FALSE)</f>
        <v>0</v>
      </c>
      <c r="J35" s="154">
        <f>VLOOKUP(C35,SYSTEM!$C$3:$J$138,8,FALSE)</f>
        <v>0</v>
      </c>
      <c r="K35" s="154">
        <f t="shared" si="2"/>
        <v>159939.66999999998</v>
      </c>
      <c r="M35" s="154">
        <f>VLOOKUP(C35,SYSTEM!$C$3:$K$138,9,FALSE)</f>
        <v>159939.66999999998</v>
      </c>
      <c r="N35" s="61">
        <f t="shared" si="1"/>
        <v>0</v>
      </c>
    </row>
    <row r="36" spans="1:14" x14ac:dyDescent="0.2">
      <c r="A36" s="1" t="s">
        <v>11</v>
      </c>
      <c r="B36" s="1" t="s">
        <v>20</v>
      </c>
      <c r="C36" s="1" t="s">
        <v>37</v>
      </c>
      <c r="D36" s="1" t="s">
        <v>38</v>
      </c>
      <c r="E36" s="154">
        <f>VLOOKUP(C36,SYSTEM!$C$3:$E$138,3,FALSE)</f>
        <v>12518324.109999999</v>
      </c>
      <c r="F36" s="154">
        <f>VLOOKUP(C36,SYSTEM!$C$3:$F$138,4,FALSE)</f>
        <v>381969.69</v>
      </c>
      <c r="G36" s="154">
        <f>VLOOKUP(C36,SYSTEM!$C$3:$G$138,5,FALSE)</f>
        <v>0</v>
      </c>
      <c r="H36" s="154">
        <f>VLOOKUP(C36,SYSTEM!$C$3:$H$138,6,FALSE)</f>
        <v>0</v>
      </c>
      <c r="I36" s="154">
        <f>VLOOKUP(C36,SYSTEM!$C$3:$I$138,7,FALSE)</f>
        <v>0</v>
      </c>
      <c r="J36" s="154">
        <f>VLOOKUP(C36,SYSTEM!$C$3:$J$138,8,FALSE)</f>
        <v>0</v>
      </c>
      <c r="K36" s="154">
        <f t="shared" si="2"/>
        <v>12900293.799999999</v>
      </c>
      <c r="M36" s="154">
        <f>VLOOKUP(C36,SYSTEM!$C$3:$K$138,9,FALSE)</f>
        <v>12900293.799999999</v>
      </c>
      <c r="N36" s="61">
        <f t="shared" si="1"/>
        <v>0</v>
      </c>
    </row>
    <row r="37" spans="1:14" x14ac:dyDescent="0.2">
      <c r="A37" s="1" t="s">
        <v>11</v>
      </c>
      <c r="B37" s="1" t="s">
        <v>20</v>
      </c>
      <c r="C37" s="1" t="s">
        <v>35</v>
      </c>
      <c r="D37" s="1" t="s">
        <v>36</v>
      </c>
      <c r="E37" s="154">
        <f>VLOOKUP(C37,SYSTEM!$C$3:$E$138,3,FALSE)</f>
        <v>1794709.06</v>
      </c>
      <c r="F37" s="154">
        <f>VLOOKUP(C37,SYSTEM!$C$3:$F$138,4,FALSE)</f>
        <v>65772.81</v>
      </c>
      <c r="G37" s="154">
        <f>VLOOKUP(C37,SYSTEM!$C$3:$G$138,5,FALSE)</f>
        <v>0</v>
      </c>
      <c r="H37" s="154">
        <f>VLOOKUP(C37,SYSTEM!$C$3:$H$138,6,FALSE)</f>
        <v>0</v>
      </c>
      <c r="I37" s="154">
        <f>VLOOKUP(C37,SYSTEM!$C$3:$I$138,7,FALSE)</f>
        <v>0</v>
      </c>
      <c r="J37" s="154">
        <f>VLOOKUP(C37,SYSTEM!$C$3:$J$138,8,FALSE)</f>
        <v>0</v>
      </c>
      <c r="K37" s="154">
        <f t="shared" si="2"/>
        <v>1860481.87</v>
      </c>
      <c r="M37" s="154">
        <f>VLOOKUP(C37,SYSTEM!$C$3:$K$138,9,FALSE)</f>
        <v>1860481.87</v>
      </c>
      <c r="N37" s="61">
        <f t="shared" si="1"/>
        <v>0</v>
      </c>
    </row>
    <row r="38" spans="1:14" x14ac:dyDescent="0.2">
      <c r="A38" s="1" t="s">
        <v>11</v>
      </c>
      <c r="B38" s="1" t="s">
        <v>20</v>
      </c>
      <c r="C38" s="1" t="s">
        <v>33</v>
      </c>
      <c r="D38" s="1" t="s">
        <v>34</v>
      </c>
      <c r="E38" s="154">
        <f>VLOOKUP(C38,SYSTEM!$C$3:$E$138,3,FALSE)</f>
        <v>2768100.79</v>
      </c>
      <c r="F38" s="154">
        <f>VLOOKUP(C38,SYSTEM!$C$3:$F$138,4,FALSE)</f>
        <v>125815.18</v>
      </c>
      <c r="G38" s="154">
        <f>VLOOKUP(C38,SYSTEM!$C$3:$G$138,5,FALSE)</f>
        <v>0</v>
      </c>
      <c r="H38" s="154">
        <f>VLOOKUP(C38,SYSTEM!$C$3:$H$138,6,FALSE)</f>
        <v>0</v>
      </c>
      <c r="I38" s="154">
        <f>VLOOKUP(C38,SYSTEM!$C$3:$I$138,7,FALSE)</f>
        <v>0</v>
      </c>
      <c r="J38" s="154">
        <f>VLOOKUP(C38,SYSTEM!$C$3:$J$138,8,FALSE)</f>
        <v>0</v>
      </c>
      <c r="K38" s="154">
        <f t="shared" si="2"/>
        <v>2893915.97</v>
      </c>
      <c r="M38" s="154">
        <f>VLOOKUP(C38,SYSTEM!$C$3:$K$138,9,FALSE)</f>
        <v>2893915.97</v>
      </c>
      <c r="N38" s="61">
        <f t="shared" si="1"/>
        <v>0</v>
      </c>
    </row>
    <row r="39" spans="1:14" x14ac:dyDescent="0.2">
      <c r="A39" s="1" t="s">
        <v>11</v>
      </c>
      <c r="B39" s="1" t="s">
        <v>20</v>
      </c>
      <c r="C39" s="1" t="s">
        <v>31</v>
      </c>
      <c r="D39" s="1" t="s">
        <v>32</v>
      </c>
      <c r="E39" s="154">
        <f>VLOOKUP(C39,SYSTEM!$C$3:$E$138,3,FALSE)</f>
        <v>3634486.94</v>
      </c>
      <c r="F39" s="154">
        <f>VLOOKUP(C39,SYSTEM!$C$3:$F$138,4,FALSE)</f>
        <v>101121.98</v>
      </c>
      <c r="G39" s="154">
        <f>VLOOKUP(C39,SYSTEM!$C$3:$G$138,5,FALSE)</f>
        <v>0</v>
      </c>
      <c r="H39" s="154">
        <f>VLOOKUP(C39,SYSTEM!$C$3:$H$138,6,FALSE)</f>
        <v>0</v>
      </c>
      <c r="I39" s="154">
        <f>VLOOKUP(C39,SYSTEM!$C$3:$I$138,7,FALSE)</f>
        <v>0</v>
      </c>
      <c r="J39" s="154">
        <f>VLOOKUP(C39,SYSTEM!$C$3:$J$138,8,FALSE)</f>
        <v>0</v>
      </c>
      <c r="K39" s="154">
        <f t="shared" si="2"/>
        <v>3735608.92</v>
      </c>
      <c r="M39" s="154">
        <f>VLOOKUP(C39,SYSTEM!$C$3:$K$138,9,FALSE)</f>
        <v>3735608.92</v>
      </c>
      <c r="N39" s="61">
        <f t="shared" si="1"/>
        <v>0</v>
      </c>
    </row>
    <row r="40" spans="1:14" x14ac:dyDescent="0.2">
      <c r="A40" s="94" t="s">
        <v>11</v>
      </c>
      <c r="B40" s="94" t="s">
        <v>20</v>
      </c>
      <c r="C40" s="94" t="s">
        <v>253</v>
      </c>
      <c r="D40" s="94" t="s">
        <v>254</v>
      </c>
      <c r="E40" s="154">
        <f>VLOOKUP(C40,SYSTEM!$C$3:$E$138,3,FALSE)</f>
        <v>119716.95</v>
      </c>
      <c r="F40" s="154">
        <f>VLOOKUP(C40,SYSTEM!$C$3:$F$138,4,FALSE)</f>
        <v>333735.78999999998</v>
      </c>
      <c r="G40" s="154">
        <f>VLOOKUP(C40,SYSTEM!$C$3:$G$138,5,FALSE)</f>
        <v>0</v>
      </c>
      <c r="H40" s="154">
        <f>VLOOKUP(C40,SYSTEM!$C$3:$H$138,6,FALSE)</f>
        <v>0</v>
      </c>
      <c r="I40" s="154">
        <f>VLOOKUP(C40,SYSTEM!$C$3:$I$138,7,FALSE)</f>
        <v>0</v>
      </c>
      <c r="J40" s="154">
        <f>VLOOKUP(C40,SYSTEM!$C$3:$J$138,8,FALSE)</f>
        <v>0</v>
      </c>
      <c r="K40" s="154">
        <f t="shared" si="2"/>
        <v>453452.74</v>
      </c>
      <c r="M40" s="154">
        <f>VLOOKUP(C40,SYSTEM!$C$3:$K$138,9,FALSE)</f>
        <v>453452.74</v>
      </c>
      <c r="N40" s="61">
        <f t="shared" si="1"/>
        <v>0</v>
      </c>
    </row>
    <row r="41" spans="1:14" x14ac:dyDescent="0.2">
      <c r="A41" s="94" t="s">
        <v>11</v>
      </c>
      <c r="B41" s="94" t="s">
        <v>20</v>
      </c>
      <c r="C41" s="94" t="s">
        <v>255</v>
      </c>
      <c r="D41" s="94" t="s">
        <v>256</v>
      </c>
      <c r="E41" s="154">
        <f>VLOOKUP(C41,SYSTEM!$C$3:$E$138,3,FALSE)</f>
        <v>19126.560000000001</v>
      </c>
      <c r="F41" s="154">
        <f>VLOOKUP(C41,SYSTEM!$C$3:$F$138,4,FALSE)</f>
        <v>51133.63</v>
      </c>
      <c r="G41" s="154">
        <f>VLOOKUP(C41,SYSTEM!$C$3:$G$138,5,FALSE)</f>
        <v>0</v>
      </c>
      <c r="H41" s="154">
        <f>VLOOKUP(C41,SYSTEM!$C$3:$H$138,6,FALSE)</f>
        <v>0</v>
      </c>
      <c r="I41" s="154">
        <f>VLOOKUP(C41,SYSTEM!$C$3:$I$138,7,FALSE)</f>
        <v>0</v>
      </c>
      <c r="J41" s="154">
        <f>VLOOKUP(C41,SYSTEM!$C$3:$J$138,8,FALSE)</f>
        <v>0</v>
      </c>
      <c r="K41" s="154">
        <f t="shared" si="2"/>
        <v>70260.19</v>
      </c>
      <c r="M41" s="154">
        <f>VLOOKUP(C41,SYSTEM!$C$3:$K$138,9,FALSE)</f>
        <v>70260.19</v>
      </c>
      <c r="N41" s="61">
        <f t="shared" si="1"/>
        <v>0</v>
      </c>
    </row>
    <row r="42" spans="1:14" x14ac:dyDescent="0.2">
      <c r="A42" s="94" t="s">
        <v>11</v>
      </c>
      <c r="B42" s="94" t="s">
        <v>20</v>
      </c>
      <c r="C42" s="94" t="s">
        <v>257</v>
      </c>
      <c r="D42" s="94" t="s">
        <v>258</v>
      </c>
      <c r="E42" s="154">
        <f>VLOOKUP(C42,SYSTEM!$C$3:$E$138,3,FALSE)</f>
        <v>19715.07</v>
      </c>
      <c r="F42" s="154">
        <f>VLOOKUP(C42,SYSTEM!$C$3:$F$138,4,FALSE)</f>
        <v>52706.96</v>
      </c>
      <c r="G42" s="154">
        <f>VLOOKUP(C42,SYSTEM!$C$3:$G$138,5,FALSE)</f>
        <v>0</v>
      </c>
      <c r="H42" s="154">
        <f>VLOOKUP(C42,SYSTEM!$C$3:$H$138,6,FALSE)</f>
        <v>0</v>
      </c>
      <c r="I42" s="154">
        <f>VLOOKUP(C42,SYSTEM!$C$3:$I$138,7,FALSE)</f>
        <v>0</v>
      </c>
      <c r="J42" s="154">
        <f>VLOOKUP(C42,SYSTEM!$C$3:$J$138,8,FALSE)</f>
        <v>0</v>
      </c>
      <c r="K42" s="154">
        <f t="shared" si="2"/>
        <v>72422.03</v>
      </c>
      <c r="M42" s="154">
        <f>VLOOKUP(C42,SYSTEM!$C$3:$K$138,9,FALSE)</f>
        <v>72422.03</v>
      </c>
      <c r="N42" s="61">
        <f t="shared" si="1"/>
        <v>0</v>
      </c>
    </row>
    <row r="43" spans="1:14" x14ac:dyDescent="0.2">
      <c r="A43" s="94" t="s">
        <v>11</v>
      </c>
      <c r="B43" s="94" t="s">
        <v>20</v>
      </c>
      <c r="C43" s="94" t="s">
        <v>259</v>
      </c>
      <c r="D43" s="94" t="s">
        <v>260</v>
      </c>
      <c r="E43" s="154">
        <f>VLOOKUP(C43,SYSTEM!$C$3:$E$138,3,FALSE)</f>
        <v>18982.46</v>
      </c>
      <c r="F43" s="154">
        <f>VLOOKUP(C43,SYSTEM!$C$3:$F$138,4,FALSE)</f>
        <v>50749.7</v>
      </c>
      <c r="G43" s="154">
        <f>VLOOKUP(C43,SYSTEM!$C$3:$G$138,5,FALSE)</f>
        <v>0</v>
      </c>
      <c r="H43" s="154">
        <f>VLOOKUP(C43,SYSTEM!$C$3:$H$138,6,FALSE)</f>
        <v>0</v>
      </c>
      <c r="I43" s="154">
        <f>VLOOKUP(C43,SYSTEM!$C$3:$I$138,7,FALSE)</f>
        <v>0</v>
      </c>
      <c r="J43" s="154">
        <f>VLOOKUP(C43,SYSTEM!$C$3:$J$138,8,FALSE)</f>
        <v>0</v>
      </c>
      <c r="K43" s="154">
        <f t="shared" si="2"/>
        <v>69732.160000000003</v>
      </c>
      <c r="M43" s="154">
        <f>VLOOKUP(C43,SYSTEM!$C$3:$K$138,9,FALSE)</f>
        <v>69732.160000000003</v>
      </c>
      <c r="N43" s="61">
        <f t="shared" si="1"/>
        <v>0</v>
      </c>
    </row>
    <row r="44" spans="1:14" x14ac:dyDescent="0.2">
      <c r="A44" s="1" t="s">
        <v>11</v>
      </c>
      <c r="B44" s="1" t="s">
        <v>20</v>
      </c>
      <c r="C44" s="1" t="s">
        <v>29</v>
      </c>
      <c r="D44" s="1" t="s">
        <v>30</v>
      </c>
      <c r="E44" s="154">
        <f>VLOOKUP(C44,SYSTEM!$C$3:$E$138,3,FALSE)</f>
        <v>3427036.5100000002</v>
      </c>
      <c r="F44" s="154">
        <f>VLOOKUP(C44,SYSTEM!$C$3:$F$138,4,FALSE)</f>
        <v>165934.93</v>
      </c>
      <c r="G44" s="154">
        <f>VLOOKUP(C44,SYSTEM!$C$3:$G$138,5,FALSE)</f>
        <v>0</v>
      </c>
      <c r="H44" s="154">
        <f>VLOOKUP(C44,SYSTEM!$C$3:$H$138,6,FALSE)</f>
        <v>0</v>
      </c>
      <c r="I44" s="154">
        <f>VLOOKUP(C44,SYSTEM!$C$3:$I$138,7,FALSE)</f>
        <v>0</v>
      </c>
      <c r="J44" s="154">
        <f>VLOOKUP(C44,SYSTEM!$C$3:$J$138,8,FALSE)</f>
        <v>0</v>
      </c>
      <c r="K44" s="154">
        <f t="shared" si="2"/>
        <v>3592971.4400000004</v>
      </c>
      <c r="M44" s="154">
        <f>VLOOKUP(C44,SYSTEM!$C$3:$K$138,9,FALSE)</f>
        <v>3592971.4400000004</v>
      </c>
      <c r="N44" s="61">
        <f t="shared" si="1"/>
        <v>0</v>
      </c>
    </row>
    <row r="45" spans="1:14" x14ac:dyDescent="0.2">
      <c r="A45" s="94" t="s">
        <v>11</v>
      </c>
      <c r="B45" s="94" t="s">
        <v>20</v>
      </c>
      <c r="C45" s="94" t="s">
        <v>261</v>
      </c>
      <c r="D45" s="94" t="s">
        <v>262</v>
      </c>
      <c r="E45" s="154">
        <f>VLOOKUP(C45,SYSTEM!$C$3:$E$138,3,FALSE)</f>
        <v>2487.9</v>
      </c>
      <c r="F45" s="154">
        <f>VLOOKUP(C45,SYSTEM!$C$3:$F$138,4,FALSE)</f>
        <v>6973.01</v>
      </c>
      <c r="G45" s="154">
        <f>VLOOKUP(C45,SYSTEM!$C$3:$G$138,5,FALSE)</f>
        <v>0</v>
      </c>
      <c r="H45" s="154">
        <f>VLOOKUP(C45,SYSTEM!$C$3:$H$138,6,FALSE)</f>
        <v>0</v>
      </c>
      <c r="I45" s="154">
        <f>VLOOKUP(C45,SYSTEM!$C$3:$I$138,7,FALSE)</f>
        <v>0</v>
      </c>
      <c r="J45" s="154">
        <f>VLOOKUP(C45,SYSTEM!$C$3:$J$138,8,FALSE)</f>
        <v>0</v>
      </c>
      <c r="K45" s="154">
        <f t="shared" si="2"/>
        <v>9460.91</v>
      </c>
      <c r="M45" s="154">
        <f>VLOOKUP(C45,SYSTEM!$C$3:$K$138,9,FALSE)</f>
        <v>9460.91</v>
      </c>
      <c r="N45" s="61">
        <f t="shared" si="1"/>
        <v>0</v>
      </c>
    </row>
    <row r="46" spans="1:14" x14ac:dyDescent="0.2">
      <c r="A46" s="1" t="s">
        <v>11</v>
      </c>
      <c r="B46" s="1" t="s">
        <v>20</v>
      </c>
      <c r="C46" s="1" t="s">
        <v>27</v>
      </c>
      <c r="D46" s="1" t="s">
        <v>28</v>
      </c>
      <c r="E46" s="154">
        <f>VLOOKUP(C46,SYSTEM!$C$3:$E$138,3,FALSE)</f>
        <v>0</v>
      </c>
      <c r="F46" s="154">
        <f>VLOOKUP(C46,SYSTEM!$C$3:$F$138,4,FALSE)</f>
        <v>0</v>
      </c>
      <c r="G46" s="154">
        <f>VLOOKUP(C46,SYSTEM!$C$3:$G$138,5,FALSE)</f>
        <v>0</v>
      </c>
      <c r="H46" s="154">
        <f>VLOOKUP(C46,SYSTEM!$C$3:$H$138,6,FALSE)</f>
        <v>0</v>
      </c>
      <c r="I46" s="154">
        <f>VLOOKUP(C46,SYSTEM!$C$3:$I$138,7,FALSE)</f>
        <v>0</v>
      </c>
      <c r="J46" s="154">
        <f>VLOOKUP(C46,SYSTEM!$C$3:$J$138,8,FALSE)</f>
        <v>0</v>
      </c>
      <c r="K46" s="154">
        <f t="shared" si="2"/>
        <v>0</v>
      </c>
      <c r="M46" s="154">
        <f>VLOOKUP(C46,SYSTEM!$C$3:$K$138,9,FALSE)</f>
        <v>0</v>
      </c>
      <c r="N46" s="61">
        <f t="shared" si="1"/>
        <v>0</v>
      </c>
    </row>
    <row r="47" spans="1:14" x14ac:dyDescent="0.2">
      <c r="A47" s="1" t="s">
        <v>11</v>
      </c>
      <c r="B47" s="1" t="s">
        <v>20</v>
      </c>
      <c r="C47" s="1" t="s">
        <v>234</v>
      </c>
      <c r="D47" s="1" t="s">
        <v>235</v>
      </c>
      <c r="E47" s="154">
        <f>VLOOKUP(C47,SYSTEM!$C$3:$E$138,3,FALSE)</f>
        <v>3429388.56</v>
      </c>
      <c r="F47" s="154">
        <f>VLOOKUP(C47,SYSTEM!$C$3:$F$138,4,FALSE)</f>
        <v>62732.95</v>
      </c>
      <c r="G47" s="154">
        <f>VLOOKUP(C47,SYSTEM!$C$3:$G$138,5,FALSE)</f>
        <v>0</v>
      </c>
      <c r="H47" s="154">
        <f>VLOOKUP(C47,SYSTEM!$C$3:$H$138,6,FALSE)</f>
        <v>0</v>
      </c>
      <c r="I47" s="154">
        <f>VLOOKUP(C47,SYSTEM!$C$3:$I$138,7,FALSE)</f>
        <v>0</v>
      </c>
      <c r="J47" s="154">
        <f>VLOOKUP(C47,SYSTEM!$C$3:$J$138,8,FALSE)</f>
        <v>0</v>
      </c>
      <c r="K47" s="154">
        <f t="shared" si="2"/>
        <v>3492121.5100000002</v>
      </c>
      <c r="M47" s="154">
        <f>VLOOKUP(C47,SYSTEM!$C$3:$K$138,9,FALSE)</f>
        <v>3492121.5100000002</v>
      </c>
      <c r="N47" s="61">
        <f t="shared" si="1"/>
        <v>0</v>
      </c>
    </row>
    <row r="48" spans="1:14" x14ac:dyDescent="0.2">
      <c r="A48" s="1" t="s">
        <v>11</v>
      </c>
      <c r="B48" s="1" t="s">
        <v>20</v>
      </c>
      <c r="C48" s="1" t="s">
        <v>236</v>
      </c>
      <c r="D48" s="1" t="s">
        <v>237</v>
      </c>
      <c r="E48" s="154">
        <f>VLOOKUP(C48,SYSTEM!$C$3:$E$138,3,FALSE)</f>
        <v>3511006.43</v>
      </c>
      <c r="F48" s="154">
        <f>VLOOKUP(C48,SYSTEM!$C$3:$F$138,4,FALSE)</f>
        <v>61486.46</v>
      </c>
      <c r="G48" s="154">
        <f>VLOOKUP(C48,SYSTEM!$C$3:$G$138,5,FALSE)</f>
        <v>0</v>
      </c>
      <c r="H48" s="154">
        <f>VLOOKUP(C48,SYSTEM!$C$3:$H$138,6,FALSE)</f>
        <v>0</v>
      </c>
      <c r="I48" s="154">
        <f>VLOOKUP(C48,SYSTEM!$C$3:$I$138,7,FALSE)</f>
        <v>0</v>
      </c>
      <c r="J48" s="154">
        <f>VLOOKUP(C48,SYSTEM!$C$3:$J$138,8,FALSE)</f>
        <v>0</v>
      </c>
      <c r="K48" s="154">
        <f t="shared" si="2"/>
        <v>3572492.89</v>
      </c>
      <c r="M48" s="154">
        <f>VLOOKUP(C48,SYSTEM!$C$3:$K$138,9,FALSE)</f>
        <v>3572492.89</v>
      </c>
      <c r="N48" s="61">
        <f t="shared" si="1"/>
        <v>0</v>
      </c>
    </row>
    <row r="49" spans="1:14" x14ac:dyDescent="0.2">
      <c r="A49" s="1" t="s">
        <v>11</v>
      </c>
      <c r="B49" s="1" t="s">
        <v>20</v>
      </c>
      <c r="C49" s="1" t="s">
        <v>238</v>
      </c>
      <c r="D49" s="1" t="s">
        <v>239</v>
      </c>
      <c r="E49" s="154">
        <f>VLOOKUP(C49,SYSTEM!$C$3:$E$138,3,FALSE)</f>
        <v>11264323.24</v>
      </c>
      <c r="F49" s="154">
        <f>VLOOKUP(C49,SYSTEM!$C$3:$F$138,4,FALSE)</f>
        <v>365283.65</v>
      </c>
      <c r="G49" s="154">
        <f>VLOOKUP(C49,SYSTEM!$C$3:$G$138,5,FALSE)</f>
        <v>0</v>
      </c>
      <c r="H49" s="154">
        <f>VLOOKUP(C49,SYSTEM!$C$3:$H$138,6,FALSE)</f>
        <v>0</v>
      </c>
      <c r="I49" s="154">
        <f>VLOOKUP(C49,SYSTEM!$C$3:$I$138,7,FALSE)</f>
        <v>0</v>
      </c>
      <c r="J49" s="154">
        <f>VLOOKUP(C49,SYSTEM!$C$3:$J$138,8,FALSE)</f>
        <v>0</v>
      </c>
      <c r="K49" s="154">
        <f t="shared" si="2"/>
        <v>11629606.890000001</v>
      </c>
      <c r="M49" s="154">
        <f>VLOOKUP(C49,SYSTEM!$C$3:$K$138,9,FALSE)</f>
        <v>11629606.890000001</v>
      </c>
      <c r="N49" s="61">
        <f t="shared" si="1"/>
        <v>0</v>
      </c>
    </row>
    <row r="50" spans="1:14" x14ac:dyDescent="0.2">
      <c r="A50" s="1" t="s">
        <v>11</v>
      </c>
      <c r="B50" s="1" t="s">
        <v>20</v>
      </c>
      <c r="C50" s="1" t="s">
        <v>240</v>
      </c>
      <c r="D50" s="1" t="s">
        <v>241</v>
      </c>
      <c r="E50" s="154">
        <f>VLOOKUP(C50,SYSTEM!$C$3:$E$138,3,FALSE)</f>
        <v>1689116.78</v>
      </c>
      <c r="F50" s="154">
        <f>VLOOKUP(C50,SYSTEM!$C$3:$F$138,4,FALSE)</f>
        <v>86921.96</v>
      </c>
      <c r="G50" s="154">
        <f>VLOOKUP(C50,SYSTEM!$C$3:$G$138,5,FALSE)</f>
        <v>0</v>
      </c>
      <c r="H50" s="154">
        <f>VLOOKUP(C50,SYSTEM!$C$3:$H$138,6,FALSE)</f>
        <v>0</v>
      </c>
      <c r="I50" s="154">
        <f>VLOOKUP(C50,SYSTEM!$C$3:$I$138,7,FALSE)</f>
        <v>0</v>
      </c>
      <c r="J50" s="154">
        <f>VLOOKUP(C50,SYSTEM!$C$3:$J$138,8,FALSE)</f>
        <v>463610.33</v>
      </c>
      <c r="K50" s="154">
        <f t="shared" si="2"/>
        <v>2239649.0699999998</v>
      </c>
      <c r="M50" s="154">
        <f>VLOOKUP(C50,SYSTEM!$C$3:$K$138,9,FALSE)</f>
        <v>2239649.0699999998</v>
      </c>
      <c r="N50" s="61">
        <f t="shared" si="1"/>
        <v>0</v>
      </c>
    </row>
    <row r="51" spans="1:14" x14ac:dyDescent="0.2">
      <c r="A51" s="1" t="s">
        <v>11</v>
      </c>
      <c r="B51" s="1" t="s">
        <v>20</v>
      </c>
      <c r="C51" s="1" t="s">
        <v>242</v>
      </c>
      <c r="D51" s="1" t="s">
        <v>243</v>
      </c>
      <c r="E51" s="154">
        <f>VLOOKUP(C51,SYSTEM!$C$3:$E$138,3,FALSE)</f>
        <v>52553.22</v>
      </c>
      <c r="F51" s="154">
        <f>VLOOKUP(C51,SYSTEM!$C$3:$F$138,4,FALSE)</f>
        <v>1897.2</v>
      </c>
      <c r="G51" s="154">
        <f>VLOOKUP(C51,SYSTEM!$C$3:$G$138,5,FALSE)</f>
        <v>0</v>
      </c>
      <c r="H51" s="154">
        <f>VLOOKUP(C51,SYSTEM!$C$3:$H$138,6,FALSE)</f>
        <v>0</v>
      </c>
      <c r="I51" s="154">
        <f>VLOOKUP(C51,SYSTEM!$C$3:$I$138,7,FALSE)</f>
        <v>0</v>
      </c>
      <c r="J51" s="154">
        <f>VLOOKUP(C51,SYSTEM!$C$3:$J$138,8,FALSE)</f>
        <v>0</v>
      </c>
      <c r="K51" s="154">
        <f t="shared" si="2"/>
        <v>54450.42</v>
      </c>
      <c r="M51" s="154">
        <f>VLOOKUP(C51,SYSTEM!$C$3:$K$138,9,FALSE)</f>
        <v>54450.42</v>
      </c>
      <c r="N51" s="61">
        <f t="shared" si="1"/>
        <v>0</v>
      </c>
    </row>
    <row r="52" spans="1:14" x14ac:dyDescent="0.2">
      <c r="A52" s="94" t="s">
        <v>11</v>
      </c>
      <c r="B52" s="94" t="s">
        <v>20</v>
      </c>
      <c r="C52" s="94" t="s">
        <v>263</v>
      </c>
      <c r="D52" s="94" t="s">
        <v>264</v>
      </c>
      <c r="E52" s="154">
        <f>VLOOKUP(C52,SYSTEM!$C$3:$E$138,3,FALSE)</f>
        <v>273674.71000000002</v>
      </c>
      <c r="F52" s="154">
        <f>VLOOKUP(C52,SYSTEM!$C$3:$F$138,4,FALSE)</f>
        <v>737128.61</v>
      </c>
      <c r="G52" s="154">
        <f>VLOOKUP(C52,SYSTEM!$C$3:$G$138,5,FALSE)</f>
        <v>0</v>
      </c>
      <c r="H52" s="154">
        <f>VLOOKUP(C52,SYSTEM!$C$3:$H$138,6,FALSE)</f>
        <v>0</v>
      </c>
      <c r="I52" s="154">
        <f>VLOOKUP(C52,SYSTEM!$C$3:$I$138,7,FALSE)</f>
        <v>0</v>
      </c>
      <c r="J52" s="154">
        <f>VLOOKUP(C52,SYSTEM!$C$3:$J$138,8,FALSE)</f>
        <v>0</v>
      </c>
      <c r="K52" s="154">
        <f t="shared" si="2"/>
        <v>1010803.3200000001</v>
      </c>
      <c r="M52" s="154">
        <f>VLOOKUP(C52,SYSTEM!$C$3:$K$138,9,FALSE)</f>
        <v>1010803.3200000001</v>
      </c>
      <c r="N52" s="61">
        <f t="shared" si="1"/>
        <v>0</v>
      </c>
    </row>
    <row r="53" spans="1:14" x14ac:dyDescent="0.2">
      <c r="A53" s="1" t="s">
        <v>11</v>
      </c>
      <c r="B53" s="1" t="s">
        <v>20</v>
      </c>
      <c r="C53" s="1" t="s">
        <v>25</v>
      </c>
      <c r="D53" s="1" t="s">
        <v>26</v>
      </c>
      <c r="E53" s="154">
        <f>VLOOKUP(C53,SYSTEM!$C$3:$E$138,3,FALSE)</f>
        <v>4872439.3599999994</v>
      </c>
      <c r="F53" s="154">
        <f>VLOOKUP(C53,SYSTEM!$C$3:$F$138,4,FALSE)</f>
        <v>169893.05</v>
      </c>
      <c r="G53" s="154">
        <f>VLOOKUP(C53,SYSTEM!$C$3:$G$138,5,FALSE)</f>
        <v>0</v>
      </c>
      <c r="H53" s="154">
        <f>VLOOKUP(C53,SYSTEM!$C$3:$H$138,6,FALSE)</f>
        <v>0</v>
      </c>
      <c r="I53" s="154">
        <f>VLOOKUP(C53,SYSTEM!$C$3:$I$138,7,FALSE)</f>
        <v>0</v>
      </c>
      <c r="J53" s="154">
        <f>VLOOKUP(C53,SYSTEM!$C$3:$J$138,8,FALSE)</f>
        <v>0</v>
      </c>
      <c r="K53" s="154">
        <f t="shared" si="2"/>
        <v>5042332.4099999992</v>
      </c>
      <c r="M53" s="154">
        <f>VLOOKUP(C53,SYSTEM!$C$3:$K$138,9,FALSE)</f>
        <v>5042332.4099999992</v>
      </c>
      <c r="N53" s="61">
        <f t="shared" si="1"/>
        <v>0</v>
      </c>
    </row>
    <row r="54" spans="1:14" x14ac:dyDescent="0.2">
      <c r="A54" s="94" t="s">
        <v>11</v>
      </c>
      <c r="B54" s="94" t="s">
        <v>20</v>
      </c>
      <c r="C54" s="94" t="s">
        <v>265</v>
      </c>
      <c r="D54" s="94" t="s">
        <v>266</v>
      </c>
      <c r="E54" s="154">
        <f>VLOOKUP(C54,SYSTEM!$C$3:$E$138,3,FALSE)</f>
        <v>123990.97</v>
      </c>
      <c r="F54" s="154">
        <f>VLOOKUP(C54,SYSTEM!$C$3:$F$138,4,FALSE)</f>
        <v>339893.65</v>
      </c>
      <c r="G54" s="154">
        <f>VLOOKUP(C54,SYSTEM!$C$3:$G$138,5,FALSE)</f>
        <v>0</v>
      </c>
      <c r="H54" s="154">
        <f>VLOOKUP(C54,SYSTEM!$C$3:$H$138,6,FALSE)</f>
        <v>0</v>
      </c>
      <c r="I54" s="154">
        <f>VLOOKUP(C54,SYSTEM!$C$3:$I$138,7,FALSE)</f>
        <v>0</v>
      </c>
      <c r="J54" s="154">
        <f>VLOOKUP(C54,SYSTEM!$C$3:$J$138,8,FALSE)</f>
        <v>0</v>
      </c>
      <c r="K54" s="154">
        <f t="shared" si="2"/>
        <v>463884.62</v>
      </c>
      <c r="M54" s="154">
        <f>VLOOKUP(C54,SYSTEM!$C$3:$K$138,9,FALSE)</f>
        <v>463884.62</v>
      </c>
      <c r="N54" s="61">
        <f t="shared" si="1"/>
        <v>0</v>
      </c>
    </row>
    <row r="55" spans="1:14" x14ac:dyDescent="0.2">
      <c r="A55" s="1" t="s">
        <v>11</v>
      </c>
      <c r="B55" s="1" t="s">
        <v>20</v>
      </c>
      <c r="C55" s="1" t="s">
        <v>23</v>
      </c>
      <c r="D55" s="1" t="s">
        <v>24</v>
      </c>
      <c r="E55" s="154">
        <f>VLOOKUP(C55,SYSTEM!$C$3:$E$138,3,FALSE)</f>
        <v>243771.72999999998</v>
      </c>
      <c r="F55" s="154">
        <f>VLOOKUP(C55,SYSTEM!$C$3:$F$138,4,FALSE)</f>
        <v>4983.0200000000004</v>
      </c>
      <c r="G55" s="154">
        <f>VLOOKUP(C55,SYSTEM!$C$3:$G$138,5,FALSE)</f>
        <v>0</v>
      </c>
      <c r="H55" s="154">
        <f>VLOOKUP(C55,SYSTEM!$C$3:$H$138,6,FALSE)</f>
        <v>0</v>
      </c>
      <c r="I55" s="154">
        <f>VLOOKUP(C55,SYSTEM!$C$3:$I$138,7,FALSE)</f>
        <v>0</v>
      </c>
      <c r="J55" s="154">
        <f>VLOOKUP(C55,SYSTEM!$C$3:$J$138,8,FALSE)</f>
        <v>0</v>
      </c>
      <c r="K55" s="154">
        <f t="shared" si="2"/>
        <v>248754.74999999997</v>
      </c>
      <c r="M55" s="154">
        <f>VLOOKUP(C55,SYSTEM!$C$3:$K$138,9,FALSE)</f>
        <v>248754.74999999997</v>
      </c>
      <c r="N55" s="61">
        <f t="shared" si="1"/>
        <v>0</v>
      </c>
    </row>
    <row r="56" spans="1:14" x14ac:dyDescent="0.2">
      <c r="A56" s="1" t="s">
        <v>11</v>
      </c>
      <c r="B56" s="1" t="s">
        <v>20</v>
      </c>
      <c r="C56" s="1" t="s">
        <v>21</v>
      </c>
      <c r="D56" s="1" t="s">
        <v>22</v>
      </c>
      <c r="E56" s="154">
        <f>VLOOKUP(C56,SYSTEM!$C$3:$E$138,3,FALSE)</f>
        <v>938731.99</v>
      </c>
      <c r="F56" s="154">
        <f>VLOOKUP(C56,SYSTEM!$C$3:$F$138,4,FALSE)</f>
        <v>69278.62</v>
      </c>
      <c r="G56" s="154">
        <f>VLOOKUP(C56,SYSTEM!$C$3:$G$138,5,FALSE)</f>
        <v>0</v>
      </c>
      <c r="H56" s="154">
        <f>VLOOKUP(C56,SYSTEM!$C$3:$H$138,6,FALSE)</f>
        <v>0</v>
      </c>
      <c r="I56" s="154">
        <f>VLOOKUP(C56,SYSTEM!$C$3:$I$138,7,FALSE)</f>
        <v>0</v>
      </c>
      <c r="J56" s="154">
        <f>VLOOKUP(C56,SYSTEM!$C$3:$J$138,8,FALSE)</f>
        <v>0</v>
      </c>
      <c r="K56" s="154">
        <f t="shared" si="2"/>
        <v>1008010.61</v>
      </c>
      <c r="M56" s="154">
        <f>VLOOKUP(C56,SYSTEM!$C$3:$K$138,9,FALSE)</f>
        <v>1008010.61</v>
      </c>
      <c r="N56" s="61">
        <f t="shared" si="1"/>
        <v>0</v>
      </c>
    </row>
    <row r="57" spans="1:14" x14ac:dyDescent="0.2">
      <c r="A57" s="1" t="s">
        <v>11</v>
      </c>
      <c r="B57" s="1" t="s">
        <v>43</v>
      </c>
      <c r="C57" s="1" t="s">
        <v>201</v>
      </c>
      <c r="D57" s="1" t="s">
        <v>202</v>
      </c>
      <c r="E57" s="154">
        <f>VLOOKUP(C57,SYSTEM!$C$3:$E$138,3,FALSE)</f>
        <v>0</v>
      </c>
      <c r="F57" s="154">
        <f>VLOOKUP(C57,SYSTEM!$C$3:$F$138,4,FALSE)</f>
        <v>0</v>
      </c>
      <c r="G57" s="154">
        <f>VLOOKUP(C57,SYSTEM!$C$3:$G$138,5,FALSE)</f>
        <v>0</v>
      </c>
      <c r="H57" s="154">
        <f>VLOOKUP(C57,SYSTEM!$C$3:$H$138,6,FALSE)</f>
        <v>0</v>
      </c>
      <c r="I57" s="154">
        <f>VLOOKUP(C57,SYSTEM!$C$3:$I$138,7,FALSE)</f>
        <v>0</v>
      </c>
      <c r="J57" s="154">
        <f>VLOOKUP(C57,SYSTEM!$C$3:$J$138,8,FALSE)</f>
        <v>0</v>
      </c>
      <c r="K57" s="154">
        <f t="shared" si="2"/>
        <v>0</v>
      </c>
      <c r="M57" s="154">
        <f>VLOOKUP(C57,SYSTEM!$C$3:$K$138,9,FALSE)</f>
        <v>0</v>
      </c>
      <c r="N57" s="61">
        <f t="shared" si="1"/>
        <v>0</v>
      </c>
    </row>
    <row r="58" spans="1:14" x14ac:dyDescent="0.2">
      <c r="A58" s="1" t="s">
        <v>11</v>
      </c>
      <c r="B58" s="1" t="s">
        <v>43</v>
      </c>
      <c r="C58" s="1" t="s">
        <v>203</v>
      </c>
      <c r="D58" s="1" t="s">
        <v>204</v>
      </c>
      <c r="E58" s="154">
        <f>VLOOKUP(C58,SYSTEM!$C$3:$E$138,3,FALSE)</f>
        <v>0</v>
      </c>
      <c r="F58" s="154">
        <f>VLOOKUP(C58,SYSTEM!$C$3:$F$138,4,FALSE)</f>
        <v>0</v>
      </c>
      <c r="G58" s="154">
        <f>VLOOKUP(C58,SYSTEM!$C$3:$G$138,5,FALSE)</f>
        <v>0</v>
      </c>
      <c r="H58" s="154">
        <f>VLOOKUP(C58,SYSTEM!$C$3:$H$138,6,FALSE)</f>
        <v>0</v>
      </c>
      <c r="I58" s="154">
        <f>VLOOKUP(C58,SYSTEM!$C$3:$I$138,7,FALSE)</f>
        <v>0</v>
      </c>
      <c r="J58" s="154">
        <f>VLOOKUP(C58,SYSTEM!$C$3:$J$138,8,FALSE)</f>
        <v>0</v>
      </c>
      <c r="K58" s="154">
        <f t="shared" si="2"/>
        <v>0</v>
      </c>
      <c r="M58" s="154">
        <f>VLOOKUP(C58,SYSTEM!$C$3:$K$138,9,FALSE)</f>
        <v>0</v>
      </c>
      <c r="N58" s="61">
        <f t="shared" si="1"/>
        <v>0</v>
      </c>
    </row>
    <row r="59" spans="1:14" x14ac:dyDescent="0.2">
      <c r="A59" s="1" t="s">
        <v>11</v>
      </c>
      <c r="B59" s="1" t="s">
        <v>43</v>
      </c>
      <c r="C59" s="1" t="s">
        <v>205</v>
      </c>
      <c r="D59" s="1" t="s">
        <v>206</v>
      </c>
      <c r="E59" s="154">
        <f>VLOOKUP(C59,SYSTEM!$C$3:$E$138,3,FALSE)</f>
        <v>0</v>
      </c>
      <c r="F59" s="154">
        <f>VLOOKUP(C59,SYSTEM!$C$3:$F$138,4,FALSE)</f>
        <v>0</v>
      </c>
      <c r="G59" s="154">
        <f>VLOOKUP(C59,SYSTEM!$C$3:$G$138,5,FALSE)</f>
        <v>0</v>
      </c>
      <c r="H59" s="154">
        <f>VLOOKUP(C59,SYSTEM!$C$3:$H$138,6,FALSE)</f>
        <v>0</v>
      </c>
      <c r="I59" s="154">
        <f>VLOOKUP(C59,SYSTEM!$C$3:$I$138,7,FALSE)</f>
        <v>0</v>
      </c>
      <c r="J59" s="154">
        <f>VLOOKUP(C59,SYSTEM!$C$3:$J$138,8,FALSE)</f>
        <v>0</v>
      </c>
      <c r="K59" s="154">
        <f t="shared" si="2"/>
        <v>0</v>
      </c>
      <c r="M59" s="154">
        <f>VLOOKUP(C59,SYSTEM!$C$3:$K$138,9,FALSE)</f>
        <v>0</v>
      </c>
      <c r="N59" s="61">
        <f t="shared" si="1"/>
        <v>0</v>
      </c>
    </row>
    <row r="60" spans="1:14" x14ac:dyDescent="0.2">
      <c r="A60" s="1" t="s">
        <v>11</v>
      </c>
      <c r="B60" s="1" t="s">
        <v>43</v>
      </c>
      <c r="C60" s="1" t="s">
        <v>71</v>
      </c>
      <c r="D60" s="1" t="s">
        <v>70</v>
      </c>
      <c r="E60" s="154">
        <f>VLOOKUP(C60,SYSTEM!$C$3:$E$138,3,FALSE)</f>
        <v>3062609.1900000004</v>
      </c>
      <c r="F60" s="154">
        <f>VLOOKUP(C60,SYSTEM!$C$3:$F$138,4,FALSE)</f>
        <v>404482.68</v>
      </c>
      <c r="G60" s="154">
        <f>VLOOKUP(C60,SYSTEM!$C$3:$G$138,5,FALSE)</f>
        <v>0</v>
      </c>
      <c r="H60" s="154">
        <f>VLOOKUP(C60,SYSTEM!$C$3:$H$138,6,FALSE)</f>
        <v>0</v>
      </c>
      <c r="I60" s="154">
        <f>VLOOKUP(C60,SYSTEM!$C$3:$I$138,7,FALSE)</f>
        <v>0</v>
      </c>
      <c r="J60" s="154">
        <f>VLOOKUP(C60,SYSTEM!$C$3:$J$138,8,FALSE)</f>
        <v>0</v>
      </c>
      <c r="K60" s="154">
        <f t="shared" si="2"/>
        <v>3467091.8700000006</v>
      </c>
      <c r="M60" s="154">
        <f>VLOOKUP(C60,SYSTEM!$C$3:$K$138,9,FALSE)</f>
        <v>3467091.8700000006</v>
      </c>
      <c r="N60" s="61">
        <f t="shared" si="1"/>
        <v>0</v>
      </c>
    </row>
    <row r="61" spans="1:14" x14ac:dyDescent="0.2">
      <c r="A61" s="1" t="s">
        <v>11</v>
      </c>
      <c r="B61" s="1" t="s">
        <v>43</v>
      </c>
      <c r="C61" s="1" t="s">
        <v>69</v>
      </c>
      <c r="D61" s="1" t="s">
        <v>70</v>
      </c>
      <c r="E61" s="154">
        <f>VLOOKUP(C61,SYSTEM!$C$3:$E$138,3,FALSE)</f>
        <v>3012668.24</v>
      </c>
      <c r="F61" s="154">
        <f>VLOOKUP(C61,SYSTEM!$C$3:$F$138,4,FALSE)</f>
        <v>523789.29</v>
      </c>
      <c r="G61" s="154">
        <f>VLOOKUP(C61,SYSTEM!$C$3:$G$138,5,FALSE)</f>
        <v>0</v>
      </c>
      <c r="H61" s="154">
        <f>VLOOKUP(C61,SYSTEM!$C$3:$H$138,6,FALSE)</f>
        <v>0</v>
      </c>
      <c r="I61" s="154">
        <f>VLOOKUP(C61,SYSTEM!$C$3:$I$138,7,FALSE)</f>
        <v>0</v>
      </c>
      <c r="J61" s="154">
        <f>VLOOKUP(C61,SYSTEM!$C$3:$J$138,8,FALSE)</f>
        <v>0</v>
      </c>
      <c r="K61" s="154">
        <f t="shared" si="2"/>
        <v>3536457.5300000003</v>
      </c>
      <c r="M61" s="154">
        <f>VLOOKUP(C61,SYSTEM!$C$3:$K$138,9,FALSE)</f>
        <v>3536457.5300000003</v>
      </c>
      <c r="N61" s="61">
        <f t="shared" si="1"/>
        <v>0</v>
      </c>
    </row>
    <row r="62" spans="1:14" x14ac:dyDescent="0.2">
      <c r="A62" s="1" t="s">
        <v>11</v>
      </c>
      <c r="B62" s="1" t="s">
        <v>43</v>
      </c>
      <c r="C62" s="1" t="s">
        <v>67</v>
      </c>
      <c r="D62" s="1" t="s">
        <v>68</v>
      </c>
      <c r="E62" s="154">
        <f>VLOOKUP(C62,SYSTEM!$C$3:$E$138,3,FALSE)</f>
        <v>12246.64</v>
      </c>
      <c r="F62" s="154">
        <f>VLOOKUP(C62,SYSTEM!$C$3:$F$138,4,FALSE)</f>
        <v>473.6</v>
      </c>
      <c r="G62" s="154">
        <f>VLOOKUP(C62,SYSTEM!$C$3:$G$138,5,FALSE)</f>
        <v>0</v>
      </c>
      <c r="H62" s="154">
        <f>VLOOKUP(C62,SYSTEM!$C$3:$H$138,6,FALSE)</f>
        <v>0</v>
      </c>
      <c r="I62" s="154">
        <f>VLOOKUP(C62,SYSTEM!$C$3:$I$138,7,FALSE)</f>
        <v>0</v>
      </c>
      <c r="J62" s="154">
        <f>VLOOKUP(C62,SYSTEM!$C$3:$J$138,8,FALSE)</f>
        <v>0</v>
      </c>
      <c r="K62" s="154">
        <f t="shared" si="2"/>
        <v>12720.24</v>
      </c>
      <c r="M62" s="154">
        <f>VLOOKUP(C62,SYSTEM!$C$3:$K$138,9,FALSE)</f>
        <v>12720.24</v>
      </c>
      <c r="N62" s="61">
        <f t="shared" si="1"/>
        <v>0</v>
      </c>
    </row>
    <row r="63" spans="1:14" x14ac:dyDescent="0.2">
      <c r="A63" s="1" t="s">
        <v>11</v>
      </c>
      <c r="B63" s="1" t="s">
        <v>43</v>
      </c>
      <c r="C63" s="1" t="s">
        <v>65</v>
      </c>
      <c r="D63" s="1" t="s">
        <v>66</v>
      </c>
      <c r="E63" s="154">
        <f>VLOOKUP(C63,SYSTEM!$C$3:$E$138,3,FALSE)</f>
        <v>2540828.3699999996</v>
      </c>
      <c r="F63" s="154">
        <f>VLOOKUP(C63,SYSTEM!$C$3:$F$138,4,FALSE)</f>
        <v>117546.42</v>
      </c>
      <c r="G63" s="154">
        <f>VLOOKUP(C63,SYSTEM!$C$3:$G$138,5,FALSE)</f>
        <v>0</v>
      </c>
      <c r="H63" s="154">
        <f>VLOOKUP(C63,SYSTEM!$C$3:$H$138,6,FALSE)</f>
        <v>0</v>
      </c>
      <c r="I63" s="154">
        <f>VLOOKUP(C63,SYSTEM!$C$3:$I$138,7,FALSE)</f>
        <v>0</v>
      </c>
      <c r="J63" s="154">
        <f>VLOOKUP(C63,SYSTEM!$C$3:$J$138,8,FALSE)</f>
        <v>0</v>
      </c>
      <c r="K63" s="154">
        <f t="shared" si="2"/>
        <v>2658374.7899999996</v>
      </c>
      <c r="M63" s="154">
        <f>VLOOKUP(C63,SYSTEM!$C$3:$K$138,9,FALSE)</f>
        <v>2658374.7899999996</v>
      </c>
      <c r="N63" s="61">
        <f t="shared" si="1"/>
        <v>0</v>
      </c>
    </row>
    <row r="64" spans="1:14" x14ac:dyDescent="0.2">
      <c r="A64" s="1" t="s">
        <v>11</v>
      </c>
      <c r="B64" s="1" t="s">
        <v>43</v>
      </c>
      <c r="C64" s="1" t="s">
        <v>63</v>
      </c>
      <c r="D64" s="1" t="s">
        <v>64</v>
      </c>
      <c r="E64" s="154">
        <f>VLOOKUP(C64,SYSTEM!$C$3:$E$138,3,FALSE)</f>
        <v>6001947.3899999997</v>
      </c>
      <c r="F64" s="154">
        <f>VLOOKUP(C64,SYSTEM!$C$3:$F$138,4,FALSE)</f>
        <v>144028.62</v>
      </c>
      <c r="G64" s="154">
        <f>VLOOKUP(C64,SYSTEM!$C$3:$G$138,5,FALSE)</f>
        <v>0</v>
      </c>
      <c r="H64" s="154">
        <f>VLOOKUP(C64,SYSTEM!$C$3:$H$138,6,FALSE)</f>
        <v>0</v>
      </c>
      <c r="I64" s="154">
        <f>VLOOKUP(C64,SYSTEM!$C$3:$I$138,7,FALSE)</f>
        <v>0</v>
      </c>
      <c r="J64" s="154">
        <f>VLOOKUP(C64,SYSTEM!$C$3:$J$138,8,FALSE)</f>
        <v>0</v>
      </c>
      <c r="K64" s="154">
        <f t="shared" si="2"/>
        <v>6145976.0099999998</v>
      </c>
      <c r="M64" s="154">
        <f>VLOOKUP(C64,SYSTEM!$C$3:$K$138,9,FALSE)</f>
        <v>6145976.0099999998</v>
      </c>
      <c r="N64" s="61">
        <f t="shared" si="1"/>
        <v>0</v>
      </c>
    </row>
    <row r="65" spans="1:14" x14ac:dyDescent="0.2">
      <c r="A65" s="1" t="s">
        <v>11</v>
      </c>
      <c r="B65" s="1" t="s">
        <v>43</v>
      </c>
      <c r="C65" s="1" t="s">
        <v>61</v>
      </c>
      <c r="D65" s="1" t="s">
        <v>62</v>
      </c>
      <c r="E65" s="154">
        <f>VLOOKUP(C65,SYSTEM!$C$3:$E$138,3,FALSE)</f>
        <v>1245.5999999999999</v>
      </c>
      <c r="F65" s="154">
        <f>VLOOKUP(C65,SYSTEM!$C$3:$F$138,4,FALSE)</f>
        <v>15.98</v>
      </c>
      <c r="G65" s="154">
        <f>VLOOKUP(C65,SYSTEM!$C$3:$G$138,5,FALSE)</f>
        <v>0</v>
      </c>
      <c r="H65" s="154">
        <f>VLOOKUP(C65,SYSTEM!$C$3:$H$138,6,FALSE)</f>
        <v>0</v>
      </c>
      <c r="I65" s="154">
        <f>VLOOKUP(C65,SYSTEM!$C$3:$I$138,7,FALSE)</f>
        <v>0</v>
      </c>
      <c r="J65" s="154">
        <f>VLOOKUP(C65,SYSTEM!$C$3:$J$138,8,FALSE)</f>
        <v>0</v>
      </c>
      <c r="K65" s="154">
        <f t="shared" si="2"/>
        <v>1261.58</v>
      </c>
      <c r="M65" s="154">
        <f>VLOOKUP(C65,SYSTEM!$C$3:$K$138,9,FALSE)</f>
        <v>1261.58</v>
      </c>
      <c r="N65" s="61">
        <f t="shared" si="1"/>
        <v>0</v>
      </c>
    </row>
    <row r="66" spans="1:14" x14ac:dyDescent="0.2">
      <c r="A66" s="1" t="s">
        <v>11</v>
      </c>
      <c r="B66" s="1" t="s">
        <v>43</v>
      </c>
      <c r="C66" s="1" t="s">
        <v>59</v>
      </c>
      <c r="D66" s="1" t="s">
        <v>60</v>
      </c>
      <c r="E66" s="154">
        <f>VLOOKUP(C66,SYSTEM!$C$3:$E$138,3,FALSE)</f>
        <v>2681886.2999999998</v>
      </c>
      <c r="F66" s="154">
        <f>VLOOKUP(C66,SYSTEM!$C$3:$F$138,4,FALSE)</f>
        <v>44212.28</v>
      </c>
      <c r="G66" s="154">
        <f>VLOOKUP(C66,SYSTEM!$C$3:$G$138,5,FALSE)</f>
        <v>0</v>
      </c>
      <c r="H66" s="154">
        <f>VLOOKUP(C66,SYSTEM!$C$3:$H$138,6,FALSE)</f>
        <v>0</v>
      </c>
      <c r="I66" s="154">
        <f>VLOOKUP(C66,SYSTEM!$C$3:$I$138,7,FALSE)</f>
        <v>0</v>
      </c>
      <c r="J66" s="154">
        <f>VLOOKUP(C66,SYSTEM!$C$3:$J$138,8,FALSE)</f>
        <v>0</v>
      </c>
      <c r="K66" s="154">
        <f t="shared" ref="K66:K97" si="3">SUM(E66:J66)</f>
        <v>2726098.5799999996</v>
      </c>
      <c r="M66" s="154">
        <f>VLOOKUP(C66,SYSTEM!$C$3:$K$138,9,FALSE)</f>
        <v>2726098.5799999996</v>
      </c>
      <c r="N66" s="61">
        <f t="shared" si="1"/>
        <v>0</v>
      </c>
    </row>
    <row r="67" spans="1:14" x14ac:dyDescent="0.2">
      <c r="A67" s="1" t="s">
        <v>11</v>
      </c>
      <c r="B67" s="1" t="s">
        <v>43</v>
      </c>
      <c r="C67" s="1" t="s">
        <v>57</v>
      </c>
      <c r="D67" s="1" t="s">
        <v>58</v>
      </c>
      <c r="E67" s="154">
        <f>VLOOKUP(C67,SYSTEM!$C$3:$E$138,3,FALSE)</f>
        <v>7320517.1399999997</v>
      </c>
      <c r="F67" s="154">
        <f>VLOOKUP(C67,SYSTEM!$C$3:$F$138,4,FALSE)</f>
        <v>105458.84</v>
      </c>
      <c r="G67" s="154">
        <f>VLOOKUP(C67,SYSTEM!$C$3:$G$138,5,FALSE)</f>
        <v>0</v>
      </c>
      <c r="H67" s="154">
        <f>VLOOKUP(C67,SYSTEM!$C$3:$H$138,6,FALSE)</f>
        <v>0</v>
      </c>
      <c r="I67" s="154">
        <f>VLOOKUP(C67,SYSTEM!$C$3:$I$138,7,FALSE)</f>
        <v>0</v>
      </c>
      <c r="J67" s="154">
        <f>VLOOKUP(C67,SYSTEM!$C$3:$J$138,8,FALSE)</f>
        <v>0</v>
      </c>
      <c r="K67" s="154">
        <f t="shared" si="3"/>
        <v>7425975.9799999995</v>
      </c>
      <c r="M67" s="154">
        <f>VLOOKUP(C67,SYSTEM!$C$3:$K$138,9,FALSE)</f>
        <v>7425975.9799999995</v>
      </c>
      <c r="N67" s="61">
        <f t="shared" si="1"/>
        <v>0</v>
      </c>
    </row>
    <row r="68" spans="1:14" x14ac:dyDescent="0.2">
      <c r="A68" s="1" t="s">
        <v>11</v>
      </c>
      <c r="B68" s="1" t="s">
        <v>43</v>
      </c>
      <c r="C68" s="1" t="s">
        <v>55</v>
      </c>
      <c r="D68" s="1" t="s">
        <v>56</v>
      </c>
      <c r="E68" s="154">
        <f>VLOOKUP(C68,SYSTEM!$C$3:$E$138,3,FALSE)</f>
        <v>2467720.71</v>
      </c>
      <c r="F68" s="154">
        <f>VLOOKUP(C68,SYSTEM!$C$3:$F$138,4,FALSE)</f>
        <v>20955.53</v>
      </c>
      <c r="G68" s="154">
        <f>VLOOKUP(C68,SYSTEM!$C$3:$G$138,5,FALSE)</f>
        <v>0</v>
      </c>
      <c r="H68" s="154">
        <f>VLOOKUP(C68,SYSTEM!$C$3:$H$138,6,FALSE)</f>
        <v>0</v>
      </c>
      <c r="I68" s="154">
        <f>VLOOKUP(C68,SYSTEM!$C$3:$I$138,7,FALSE)</f>
        <v>0</v>
      </c>
      <c r="J68" s="154">
        <f>VLOOKUP(C68,SYSTEM!$C$3:$J$138,8,FALSE)</f>
        <v>0</v>
      </c>
      <c r="K68" s="154">
        <f t="shared" si="3"/>
        <v>2488676.2399999998</v>
      </c>
      <c r="M68" s="154">
        <f>VLOOKUP(C68,SYSTEM!$C$3:$K$138,9,FALSE)</f>
        <v>2488676.2399999998</v>
      </c>
      <c r="N68" s="61">
        <f t="shared" ref="N68:N131" si="4">ROUND(K68-M68,2)</f>
        <v>0</v>
      </c>
    </row>
    <row r="69" spans="1:14" x14ac:dyDescent="0.2">
      <c r="A69" s="1" t="s">
        <v>11</v>
      </c>
      <c r="B69" s="1" t="s">
        <v>43</v>
      </c>
      <c r="C69" s="1" t="s">
        <v>53</v>
      </c>
      <c r="D69" s="1" t="s">
        <v>54</v>
      </c>
      <c r="E69" s="154">
        <f>VLOOKUP(C69,SYSTEM!$C$3:$E$138,3,FALSE)</f>
        <v>399434.34</v>
      </c>
      <c r="F69" s="154">
        <f>VLOOKUP(C69,SYSTEM!$C$3:$F$138,4,FALSE)</f>
        <v>115556.7</v>
      </c>
      <c r="G69" s="154">
        <f>VLOOKUP(C69,SYSTEM!$C$3:$G$138,5,FALSE)</f>
        <v>0</v>
      </c>
      <c r="H69" s="154">
        <f>VLOOKUP(C69,SYSTEM!$C$3:$H$138,6,FALSE)</f>
        <v>0</v>
      </c>
      <c r="I69" s="154">
        <f>VLOOKUP(C69,SYSTEM!$C$3:$I$138,7,FALSE)</f>
        <v>0</v>
      </c>
      <c r="J69" s="154">
        <f>VLOOKUP(C69,SYSTEM!$C$3:$J$138,8,FALSE)</f>
        <v>0</v>
      </c>
      <c r="K69" s="154">
        <f t="shared" si="3"/>
        <v>514991.04000000004</v>
      </c>
      <c r="M69" s="154">
        <f>VLOOKUP(C69,SYSTEM!$C$3:$K$138,9,FALSE)</f>
        <v>514991.04000000004</v>
      </c>
      <c r="N69" s="61">
        <f t="shared" si="4"/>
        <v>0</v>
      </c>
    </row>
    <row r="70" spans="1:14" x14ac:dyDescent="0.2">
      <c r="A70" s="1" t="s">
        <v>11</v>
      </c>
      <c r="B70" s="1" t="s">
        <v>43</v>
      </c>
      <c r="C70" s="1" t="s">
        <v>51</v>
      </c>
      <c r="D70" s="1" t="s">
        <v>52</v>
      </c>
      <c r="E70" s="154">
        <f>VLOOKUP(C70,SYSTEM!$C$3:$E$138,3,FALSE)</f>
        <v>206896.94</v>
      </c>
      <c r="F70" s="154">
        <f>VLOOKUP(C70,SYSTEM!$C$3:$F$138,4,FALSE)</f>
        <v>0</v>
      </c>
      <c r="G70" s="154">
        <f>VLOOKUP(C70,SYSTEM!$C$3:$G$138,5,FALSE)</f>
        <v>0</v>
      </c>
      <c r="H70" s="154">
        <f>VLOOKUP(C70,SYSTEM!$C$3:$H$138,6,FALSE)</f>
        <v>0</v>
      </c>
      <c r="I70" s="154">
        <f>VLOOKUP(C70,SYSTEM!$C$3:$I$138,7,FALSE)</f>
        <v>0</v>
      </c>
      <c r="J70" s="154">
        <f>VLOOKUP(C70,SYSTEM!$C$3:$J$138,8,FALSE)</f>
        <v>0</v>
      </c>
      <c r="K70" s="154">
        <f t="shared" si="3"/>
        <v>206896.94</v>
      </c>
      <c r="M70" s="154">
        <f>VLOOKUP(C70,SYSTEM!$C$3:$K$138,9,FALSE)</f>
        <v>206896.94</v>
      </c>
      <c r="N70" s="61">
        <f t="shared" si="4"/>
        <v>0</v>
      </c>
    </row>
    <row r="71" spans="1:14" x14ac:dyDescent="0.2">
      <c r="A71" s="1" t="s">
        <v>11</v>
      </c>
      <c r="B71" s="1" t="s">
        <v>43</v>
      </c>
      <c r="C71" s="1" t="s">
        <v>49</v>
      </c>
      <c r="D71" s="1" t="s">
        <v>50</v>
      </c>
      <c r="E71" s="154">
        <f>VLOOKUP(C71,SYSTEM!$C$3:$E$138,3,FALSE)</f>
        <v>1047512.76</v>
      </c>
      <c r="F71" s="154">
        <f>VLOOKUP(C71,SYSTEM!$C$3:$F$138,4,FALSE)</f>
        <v>350432.97</v>
      </c>
      <c r="G71" s="154">
        <f>VLOOKUP(C71,SYSTEM!$C$3:$G$138,5,FALSE)</f>
        <v>0</v>
      </c>
      <c r="H71" s="154">
        <f>VLOOKUP(C71,SYSTEM!$C$3:$H$138,6,FALSE)</f>
        <v>0</v>
      </c>
      <c r="I71" s="154">
        <f>VLOOKUP(C71,SYSTEM!$C$3:$I$138,7,FALSE)</f>
        <v>0</v>
      </c>
      <c r="J71" s="154">
        <f>VLOOKUP(C71,SYSTEM!$C$3:$J$138,8,FALSE)</f>
        <v>0</v>
      </c>
      <c r="K71" s="154">
        <f t="shared" si="3"/>
        <v>1397945.73</v>
      </c>
      <c r="M71" s="154">
        <f>VLOOKUP(C71,SYSTEM!$C$3:$K$138,9,FALSE)</f>
        <v>1397945.73</v>
      </c>
      <c r="N71" s="61">
        <f t="shared" si="4"/>
        <v>0</v>
      </c>
    </row>
    <row r="72" spans="1:14" x14ac:dyDescent="0.2">
      <c r="A72" s="1" t="s">
        <v>11</v>
      </c>
      <c r="B72" s="1" t="s">
        <v>43</v>
      </c>
      <c r="C72" s="1" t="s">
        <v>48</v>
      </c>
      <c r="D72" s="1" t="s">
        <v>47</v>
      </c>
      <c r="E72" s="154">
        <f>VLOOKUP(C72,SYSTEM!$C$3:$E$138,3,FALSE)</f>
        <v>716461.94</v>
      </c>
      <c r="F72" s="154">
        <f>VLOOKUP(C72,SYSTEM!$C$3:$F$138,4,FALSE)</f>
        <v>114852.2</v>
      </c>
      <c r="G72" s="154">
        <f>VLOOKUP(C72,SYSTEM!$C$3:$G$138,5,FALSE)</f>
        <v>0</v>
      </c>
      <c r="H72" s="154">
        <f>VLOOKUP(C72,SYSTEM!$C$3:$H$138,6,FALSE)</f>
        <v>0</v>
      </c>
      <c r="I72" s="154">
        <f>VLOOKUP(C72,SYSTEM!$C$3:$I$138,7,FALSE)</f>
        <v>0</v>
      </c>
      <c r="J72" s="154">
        <f>VLOOKUP(C72,SYSTEM!$C$3:$J$138,8,FALSE)</f>
        <v>0</v>
      </c>
      <c r="K72" s="154">
        <f t="shared" si="3"/>
        <v>831314.1399999999</v>
      </c>
      <c r="M72" s="154">
        <f>VLOOKUP(C72,SYSTEM!$C$3:$K$138,9,FALSE)</f>
        <v>831314.1399999999</v>
      </c>
      <c r="N72" s="61">
        <f t="shared" si="4"/>
        <v>0</v>
      </c>
    </row>
    <row r="73" spans="1:14" x14ac:dyDescent="0.2">
      <c r="A73" s="1" t="s">
        <v>11</v>
      </c>
      <c r="B73" s="1" t="s">
        <v>43</v>
      </c>
      <c r="C73" s="1" t="s">
        <v>46</v>
      </c>
      <c r="D73" s="1" t="s">
        <v>47</v>
      </c>
      <c r="E73" s="154">
        <f>VLOOKUP(C73,SYSTEM!$C$3:$E$138,3,FALSE)</f>
        <v>261800.81</v>
      </c>
      <c r="F73" s="154">
        <f>VLOOKUP(C73,SYSTEM!$C$3:$F$138,4,FALSE)</f>
        <v>13726.84</v>
      </c>
      <c r="G73" s="154">
        <f>VLOOKUP(C73,SYSTEM!$C$3:$G$138,5,FALSE)</f>
        <v>0</v>
      </c>
      <c r="H73" s="154">
        <f>VLOOKUP(C73,SYSTEM!$C$3:$H$138,6,FALSE)</f>
        <v>0</v>
      </c>
      <c r="I73" s="154">
        <f>VLOOKUP(C73,SYSTEM!$C$3:$I$138,7,FALSE)</f>
        <v>0</v>
      </c>
      <c r="J73" s="154">
        <f>VLOOKUP(C73,SYSTEM!$C$3:$J$138,8,FALSE)</f>
        <v>0</v>
      </c>
      <c r="K73" s="154">
        <f t="shared" si="3"/>
        <v>275527.65000000002</v>
      </c>
      <c r="M73" s="154">
        <f>VLOOKUP(C73,SYSTEM!$C$3:$K$138,9,FALSE)</f>
        <v>275527.65000000002</v>
      </c>
      <c r="N73" s="61">
        <f t="shared" si="4"/>
        <v>0</v>
      </c>
    </row>
    <row r="74" spans="1:14" x14ac:dyDescent="0.2">
      <c r="A74" s="1" t="s">
        <v>11</v>
      </c>
      <c r="B74" s="1" t="s">
        <v>43</v>
      </c>
      <c r="C74" s="1" t="s">
        <v>44</v>
      </c>
      <c r="D74" s="1" t="s">
        <v>45</v>
      </c>
      <c r="E74" s="154">
        <f>VLOOKUP(C74,SYSTEM!$C$3:$E$138,3,FALSE)</f>
        <v>1491990.81</v>
      </c>
      <c r="F74" s="154">
        <f>VLOOKUP(C74,SYSTEM!$C$3:$F$138,4,FALSE)</f>
        <v>79944.13</v>
      </c>
      <c r="G74" s="154">
        <f>VLOOKUP(C74,SYSTEM!$C$3:$G$138,5,FALSE)</f>
        <v>0</v>
      </c>
      <c r="H74" s="154">
        <f>VLOOKUP(C74,SYSTEM!$C$3:$H$138,6,FALSE)</f>
        <v>0</v>
      </c>
      <c r="I74" s="154">
        <f>VLOOKUP(C74,SYSTEM!$C$3:$I$138,7,FALSE)</f>
        <v>0</v>
      </c>
      <c r="J74" s="154">
        <f>VLOOKUP(C74,SYSTEM!$C$3:$J$138,8,FALSE)</f>
        <v>0</v>
      </c>
      <c r="K74" s="154">
        <f t="shared" si="3"/>
        <v>1571934.94</v>
      </c>
      <c r="M74" s="154">
        <f>VLOOKUP(C74,SYSTEM!$C$3:$K$138,9,FALSE)</f>
        <v>1571934.94</v>
      </c>
      <c r="N74" s="61">
        <f t="shared" si="4"/>
        <v>0</v>
      </c>
    </row>
    <row r="75" spans="1:14" x14ac:dyDescent="0.2">
      <c r="A75" s="1" t="s">
        <v>11</v>
      </c>
      <c r="B75" s="1" t="s">
        <v>43</v>
      </c>
      <c r="C75" s="1" t="s">
        <v>207</v>
      </c>
      <c r="D75" s="1" t="s">
        <v>208</v>
      </c>
      <c r="E75" s="154">
        <f>VLOOKUP(C75,SYSTEM!$C$3:$E$138,3,FALSE)</f>
        <v>739473</v>
      </c>
      <c r="F75" s="154">
        <f>VLOOKUP(C75,SYSTEM!$C$3:$F$138,4,FALSE)</f>
        <v>0</v>
      </c>
      <c r="G75" s="154">
        <f>VLOOKUP(C75,SYSTEM!$C$3:$G$138,5,FALSE)</f>
        <v>0</v>
      </c>
      <c r="H75" s="154">
        <f>VLOOKUP(C75,SYSTEM!$C$3:$H$138,6,FALSE)</f>
        <v>0</v>
      </c>
      <c r="I75" s="154">
        <f>VLOOKUP(C75,SYSTEM!$C$3:$I$138,7,FALSE)</f>
        <v>0</v>
      </c>
      <c r="J75" s="154">
        <f>VLOOKUP(C75,SYSTEM!$C$3:$J$138,8,FALSE)</f>
        <v>0</v>
      </c>
      <c r="K75" s="154">
        <f t="shared" si="3"/>
        <v>739473</v>
      </c>
      <c r="M75" s="154">
        <f>VLOOKUP(C75,SYSTEM!$C$3:$K$138,9,FALSE)</f>
        <v>739473</v>
      </c>
      <c r="N75" s="61">
        <f t="shared" si="4"/>
        <v>0</v>
      </c>
    </row>
    <row r="76" spans="1:14" x14ac:dyDescent="0.2">
      <c r="A76" s="1" t="s">
        <v>11</v>
      </c>
      <c r="B76" s="1" t="s">
        <v>72</v>
      </c>
      <c r="C76" s="1" t="s">
        <v>209</v>
      </c>
      <c r="D76" s="1" t="s">
        <v>168</v>
      </c>
      <c r="E76" s="154">
        <f>VLOOKUP(C76,SYSTEM!$C$3:$E$138,3,FALSE)</f>
        <v>0</v>
      </c>
      <c r="F76" s="154">
        <f>VLOOKUP(C76,SYSTEM!$C$3:$F$138,4,FALSE)</f>
        <v>0</v>
      </c>
      <c r="G76" s="154">
        <f>VLOOKUP(C76,SYSTEM!$C$3:$G$138,5,FALSE)</f>
        <v>0</v>
      </c>
      <c r="H76" s="154">
        <f>VLOOKUP(C76,SYSTEM!$C$3:$H$138,6,FALSE)</f>
        <v>0</v>
      </c>
      <c r="I76" s="154">
        <f>VLOOKUP(C76,SYSTEM!$C$3:$I$138,7,FALSE)</f>
        <v>0</v>
      </c>
      <c r="J76" s="154">
        <f>VLOOKUP(C76,SYSTEM!$C$3:$J$138,8,FALSE)</f>
        <v>0</v>
      </c>
      <c r="K76" s="154">
        <f t="shared" si="3"/>
        <v>0</v>
      </c>
      <c r="M76" s="154">
        <f>VLOOKUP(C76,SYSTEM!$C$3:$K$138,9,FALSE)</f>
        <v>0</v>
      </c>
      <c r="N76" s="61">
        <f t="shared" si="4"/>
        <v>0</v>
      </c>
    </row>
    <row r="77" spans="1:14" x14ac:dyDescent="0.2">
      <c r="A77" s="1" t="s">
        <v>11</v>
      </c>
      <c r="B77" s="1" t="s">
        <v>72</v>
      </c>
      <c r="C77" s="1" t="s">
        <v>91</v>
      </c>
      <c r="D77" s="1" t="s">
        <v>92</v>
      </c>
      <c r="E77" s="154">
        <f>VLOOKUP(C77,SYSTEM!$C$3:$E$138,3,FALSE)</f>
        <v>2199945.86</v>
      </c>
      <c r="F77" s="154">
        <f>VLOOKUP(C77,SYSTEM!$C$3:$F$138,4,FALSE)</f>
        <v>98118.68</v>
      </c>
      <c r="G77" s="154">
        <f>VLOOKUP(C77,SYSTEM!$C$3:$G$138,5,FALSE)</f>
        <v>0</v>
      </c>
      <c r="H77" s="154">
        <f>VLOOKUP(C77,SYSTEM!$C$3:$H$138,6,FALSE)</f>
        <v>0</v>
      </c>
      <c r="I77" s="154">
        <f>VLOOKUP(C77,SYSTEM!$C$3:$I$138,7,FALSE)</f>
        <v>0</v>
      </c>
      <c r="J77" s="154">
        <f>VLOOKUP(C77,SYSTEM!$C$3:$J$138,8,FALSE)</f>
        <v>0</v>
      </c>
      <c r="K77" s="154">
        <f t="shared" si="3"/>
        <v>2298064.54</v>
      </c>
      <c r="M77" s="154">
        <f>VLOOKUP(C77,SYSTEM!$C$3:$K$138,9,FALSE)</f>
        <v>2298064.54</v>
      </c>
      <c r="N77" s="61">
        <f t="shared" si="4"/>
        <v>0</v>
      </c>
    </row>
    <row r="78" spans="1:14" x14ac:dyDescent="0.2">
      <c r="A78" s="94" t="s">
        <v>11</v>
      </c>
      <c r="B78" s="94" t="s">
        <v>72</v>
      </c>
      <c r="C78" s="94" t="s">
        <v>267</v>
      </c>
      <c r="D78" s="94" t="s">
        <v>268</v>
      </c>
      <c r="E78" s="154">
        <f>VLOOKUP(C78,SYSTEM!$C$3:$E$138,3,FALSE)</f>
        <v>3815.77</v>
      </c>
      <c r="F78" s="154">
        <f>VLOOKUP(C78,SYSTEM!$C$3:$F$138,4,FALSE)</f>
        <v>10170.040000000001</v>
      </c>
      <c r="G78" s="154">
        <f>VLOOKUP(C78,SYSTEM!$C$3:$G$138,5,FALSE)</f>
        <v>0</v>
      </c>
      <c r="H78" s="154">
        <f>VLOOKUP(C78,SYSTEM!$C$3:$H$138,6,FALSE)</f>
        <v>0</v>
      </c>
      <c r="I78" s="154">
        <f>VLOOKUP(C78,SYSTEM!$C$3:$I$138,7,FALSE)</f>
        <v>0</v>
      </c>
      <c r="J78" s="154">
        <f>VLOOKUP(C78,SYSTEM!$C$3:$J$138,8,FALSE)</f>
        <v>0</v>
      </c>
      <c r="K78" s="154">
        <f t="shared" si="3"/>
        <v>13985.810000000001</v>
      </c>
      <c r="M78" s="154">
        <f>VLOOKUP(C78,SYSTEM!$C$3:$K$138,9,FALSE)</f>
        <v>13985.810000000001</v>
      </c>
      <c r="N78" s="61">
        <f t="shared" si="4"/>
        <v>0</v>
      </c>
    </row>
    <row r="79" spans="1:14" x14ac:dyDescent="0.2">
      <c r="A79" s="1" t="s">
        <v>11</v>
      </c>
      <c r="B79" s="1" t="s">
        <v>72</v>
      </c>
      <c r="C79" s="1" t="s">
        <v>90</v>
      </c>
      <c r="D79" s="1" t="s">
        <v>68</v>
      </c>
      <c r="E79" s="154">
        <f>VLOOKUP(C79,SYSTEM!$C$3:$E$138,3,FALSE)</f>
        <v>379049.43</v>
      </c>
      <c r="F79" s="154">
        <f>VLOOKUP(C79,SYSTEM!$C$3:$F$138,4,FALSE)</f>
        <v>27056.29</v>
      </c>
      <c r="G79" s="154">
        <f>VLOOKUP(C79,SYSTEM!$C$3:$G$138,5,FALSE)</f>
        <v>0</v>
      </c>
      <c r="H79" s="154">
        <f>VLOOKUP(C79,SYSTEM!$C$3:$H$138,6,FALSE)</f>
        <v>0</v>
      </c>
      <c r="I79" s="154">
        <f>VLOOKUP(C79,SYSTEM!$C$3:$I$138,7,FALSE)</f>
        <v>0</v>
      </c>
      <c r="J79" s="154">
        <f>VLOOKUP(C79,SYSTEM!$C$3:$J$138,8,FALSE)</f>
        <v>0</v>
      </c>
      <c r="K79" s="154">
        <f t="shared" si="3"/>
        <v>406105.72</v>
      </c>
      <c r="M79" s="154">
        <f>VLOOKUP(C79,SYSTEM!$C$3:$K$138,9,FALSE)</f>
        <v>406105.72</v>
      </c>
      <c r="N79" s="61">
        <f t="shared" si="4"/>
        <v>0</v>
      </c>
    </row>
    <row r="80" spans="1:14" x14ac:dyDescent="0.2">
      <c r="A80" s="1" t="s">
        <v>11</v>
      </c>
      <c r="B80" s="1" t="s">
        <v>72</v>
      </c>
      <c r="C80" s="1" t="s">
        <v>88</v>
      </c>
      <c r="D80" s="1" t="s">
        <v>89</v>
      </c>
      <c r="E80" s="154">
        <f>VLOOKUP(C80,SYSTEM!$C$3:$E$138,3,FALSE)</f>
        <v>38979185.379999995</v>
      </c>
      <c r="F80" s="154">
        <f>VLOOKUP(C80,SYSTEM!$C$3:$F$138,4,FALSE)</f>
        <v>3370001.64</v>
      </c>
      <c r="G80" s="154">
        <f>VLOOKUP(C80,SYSTEM!$C$3:$G$138,5,FALSE)</f>
        <v>0</v>
      </c>
      <c r="H80" s="154">
        <f>VLOOKUP(C80,SYSTEM!$C$3:$H$138,6,FALSE)</f>
        <v>0</v>
      </c>
      <c r="I80" s="154">
        <f>VLOOKUP(C80,SYSTEM!$C$3:$I$138,7,FALSE)</f>
        <v>0</v>
      </c>
      <c r="J80" s="154">
        <f>VLOOKUP(C80,SYSTEM!$C$3:$J$138,8,FALSE)</f>
        <v>0</v>
      </c>
      <c r="K80" s="154">
        <f t="shared" si="3"/>
        <v>42349187.019999996</v>
      </c>
      <c r="M80" s="154">
        <f>VLOOKUP(C80,SYSTEM!$C$3:$K$138,9,FALSE)</f>
        <v>42349187.019999996</v>
      </c>
      <c r="N80" s="61">
        <f t="shared" si="4"/>
        <v>0</v>
      </c>
    </row>
    <row r="81" spans="1:14" x14ac:dyDescent="0.2">
      <c r="A81" s="1" t="s">
        <v>11</v>
      </c>
      <c r="B81" s="1" t="s">
        <v>72</v>
      </c>
      <c r="C81" s="1" t="s">
        <v>86</v>
      </c>
      <c r="D81" s="1" t="s">
        <v>87</v>
      </c>
      <c r="E81" s="154">
        <f>VLOOKUP(C81,SYSTEM!$C$3:$E$138,3,FALSE)</f>
        <v>1203095.45</v>
      </c>
      <c r="F81" s="154">
        <f>VLOOKUP(C81,SYSTEM!$C$3:$F$138,4,FALSE)</f>
        <v>34306.82</v>
      </c>
      <c r="G81" s="154">
        <f>VLOOKUP(C81,SYSTEM!$C$3:$G$138,5,FALSE)</f>
        <v>0</v>
      </c>
      <c r="H81" s="154">
        <f>VLOOKUP(C81,SYSTEM!$C$3:$H$138,6,FALSE)</f>
        <v>0</v>
      </c>
      <c r="I81" s="154">
        <f>VLOOKUP(C81,SYSTEM!$C$3:$I$138,7,FALSE)</f>
        <v>0</v>
      </c>
      <c r="J81" s="154">
        <f>VLOOKUP(C81,SYSTEM!$C$3:$J$138,8,FALSE)</f>
        <v>0</v>
      </c>
      <c r="K81" s="154">
        <f t="shared" si="3"/>
        <v>1237402.27</v>
      </c>
      <c r="M81" s="154">
        <f>VLOOKUP(C81,SYSTEM!$C$3:$K$138,9,FALSE)</f>
        <v>1237402.27</v>
      </c>
      <c r="N81" s="61">
        <f t="shared" si="4"/>
        <v>0</v>
      </c>
    </row>
    <row r="82" spans="1:14" x14ac:dyDescent="0.2">
      <c r="A82" s="1" t="s">
        <v>11</v>
      </c>
      <c r="B82" s="1" t="s">
        <v>72</v>
      </c>
      <c r="C82" s="1" t="s">
        <v>85</v>
      </c>
      <c r="D82" s="1" t="s">
        <v>84</v>
      </c>
      <c r="E82" s="154">
        <f>VLOOKUP(C82,SYSTEM!$C$3:$E$138,3,FALSE)</f>
        <v>11193300.48</v>
      </c>
      <c r="F82" s="154">
        <f>VLOOKUP(C82,SYSTEM!$C$3:$F$138,4,FALSE)</f>
        <v>237693.31</v>
      </c>
      <c r="G82" s="154">
        <f>VLOOKUP(C82,SYSTEM!$C$3:$G$138,5,FALSE)</f>
        <v>0</v>
      </c>
      <c r="H82" s="154">
        <f>VLOOKUP(C82,SYSTEM!$C$3:$H$138,6,FALSE)</f>
        <v>0</v>
      </c>
      <c r="I82" s="154">
        <f>VLOOKUP(C82,SYSTEM!$C$3:$I$138,7,FALSE)</f>
        <v>0</v>
      </c>
      <c r="J82" s="154">
        <f>VLOOKUP(C82,SYSTEM!$C$3:$J$138,8,FALSE)</f>
        <v>0</v>
      </c>
      <c r="K82" s="154">
        <f t="shared" si="3"/>
        <v>11430993.790000001</v>
      </c>
      <c r="M82" s="154">
        <f>VLOOKUP(C82,SYSTEM!$C$3:$K$138,9,FALSE)</f>
        <v>11430993.790000001</v>
      </c>
      <c r="N82" s="61">
        <f t="shared" si="4"/>
        <v>0</v>
      </c>
    </row>
    <row r="83" spans="1:14" x14ac:dyDescent="0.2">
      <c r="A83" s="1" t="s">
        <v>11</v>
      </c>
      <c r="B83" s="1" t="s">
        <v>72</v>
      </c>
      <c r="C83" s="1" t="s">
        <v>83</v>
      </c>
      <c r="D83" s="1" t="s">
        <v>84</v>
      </c>
      <c r="E83" s="154">
        <f>VLOOKUP(C83,SYSTEM!$C$3:$E$138,3,FALSE)</f>
        <v>15084797.23</v>
      </c>
      <c r="F83" s="154">
        <f>VLOOKUP(C83,SYSTEM!$C$3:$F$138,4,FALSE)</f>
        <v>676698.03</v>
      </c>
      <c r="G83" s="154">
        <f>VLOOKUP(C83,SYSTEM!$C$3:$G$138,5,FALSE)</f>
        <v>0</v>
      </c>
      <c r="H83" s="154">
        <f>VLOOKUP(C83,SYSTEM!$C$3:$H$138,6,FALSE)</f>
        <v>0</v>
      </c>
      <c r="I83" s="154">
        <f>VLOOKUP(C83,SYSTEM!$C$3:$I$138,7,FALSE)</f>
        <v>0</v>
      </c>
      <c r="J83" s="154">
        <f>VLOOKUP(C83,SYSTEM!$C$3:$J$138,8,FALSE)</f>
        <v>0</v>
      </c>
      <c r="K83" s="154">
        <f t="shared" si="3"/>
        <v>15761495.26</v>
      </c>
      <c r="M83" s="154">
        <f>VLOOKUP(C83,SYSTEM!$C$3:$K$138,9,FALSE)</f>
        <v>15761495.26</v>
      </c>
      <c r="N83" s="61">
        <f t="shared" si="4"/>
        <v>0</v>
      </c>
    </row>
    <row r="84" spans="1:14" x14ac:dyDescent="0.2">
      <c r="A84" s="1" t="s">
        <v>11</v>
      </c>
      <c r="B84" s="1" t="s">
        <v>72</v>
      </c>
      <c r="C84" s="1" t="s">
        <v>81</v>
      </c>
      <c r="D84" s="1" t="s">
        <v>82</v>
      </c>
      <c r="E84" s="154">
        <f>VLOOKUP(C84,SYSTEM!$C$3:$E$138,3,FALSE)</f>
        <v>6411734.4100000001</v>
      </c>
      <c r="F84" s="154">
        <f>VLOOKUP(C84,SYSTEM!$C$3:$F$138,4,FALSE)</f>
        <v>338843.92</v>
      </c>
      <c r="G84" s="154">
        <f>VLOOKUP(C84,SYSTEM!$C$3:$G$138,5,FALSE)</f>
        <v>0</v>
      </c>
      <c r="H84" s="154">
        <f>VLOOKUP(C84,SYSTEM!$C$3:$H$138,6,FALSE)</f>
        <v>0</v>
      </c>
      <c r="I84" s="154">
        <f>VLOOKUP(C84,SYSTEM!$C$3:$I$138,7,FALSE)</f>
        <v>0</v>
      </c>
      <c r="J84" s="154">
        <f>VLOOKUP(C84,SYSTEM!$C$3:$J$138,8,FALSE)</f>
        <v>0</v>
      </c>
      <c r="K84" s="154">
        <f t="shared" si="3"/>
        <v>6750578.3300000001</v>
      </c>
      <c r="M84" s="154">
        <f>VLOOKUP(C84,SYSTEM!$C$3:$K$138,9,FALSE)</f>
        <v>6750578.3300000001</v>
      </c>
      <c r="N84" s="61">
        <f t="shared" si="4"/>
        <v>0</v>
      </c>
    </row>
    <row r="85" spans="1:14" x14ac:dyDescent="0.2">
      <c r="A85" s="1" t="s">
        <v>11</v>
      </c>
      <c r="B85" s="1" t="s">
        <v>72</v>
      </c>
      <c r="C85" s="1" t="s">
        <v>79</v>
      </c>
      <c r="D85" s="1" t="s">
        <v>80</v>
      </c>
      <c r="E85" s="154">
        <f>VLOOKUP(C85,SYSTEM!$C$3:$E$138,3,FALSE)</f>
        <v>6530557.3300000001</v>
      </c>
      <c r="F85" s="154">
        <f>VLOOKUP(C85,SYSTEM!$C$3:$F$138,4,FALSE)</f>
        <v>362966.18</v>
      </c>
      <c r="G85" s="154">
        <f>VLOOKUP(C85,SYSTEM!$C$3:$G$138,5,FALSE)</f>
        <v>0</v>
      </c>
      <c r="H85" s="154">
        <f>VLOOKUP(C85,SYSTEM!$C$3:$H$138,6,FALSE)</f>
        <v>0</v>
      </c>
      <c r="I85" s="154">
        <f>VLOOKUP(C85,SYSTEM!$C$3:$I$138,7,FALSE)</f>
        <v>0</v>
      </c>
      <c r="J85" s="154">
        <f>VLOOKUP(C85,SYSTEM!$C$3:$J$138,8,FALSE)</f>
        <v>0</v>
      </c>
      <c r="K85" s="154">
        <f t="shared" si="3"/>
        <v>6893523.5099999998</v>
      </c>
      <c r="M85" s="154">
        <f>VLOOKUP(C85,SYSTEM!$C$3:$K$138,9,FALSE)</f>
        <v>6893523.5099999998</v>
      </c>
      <c r="N85" s="61">
        <f t="shared" si="4"/>
        <v>0</v>
      </c>
    </row>
    <row r="86" spans="1:14" x14ac:dyDescent="0.2">
      <c r="A86" s="1" t="s">
        <v>11</v>
      </c>
      <c r="B86" s="1" t="s">
        <v>72</v>
      </c>
      <c r="C86" s="1" t="s">
        <v>77</v>
      </c>
      <c r="D86" s="1" t="s">
        <v>78</v>
      </c>
      <c r="E86" s="154">
        <f>VLOOKUP(C86,SYSTEM!$C$3:$E$138,3,FALSE)</f>
        <v>24118919.439999998</v>
      </c>
      <c r="F86" s="154">
        <f>VLOOKUP(C86,SYSTEM!$C$3:$F$138,4,FALSE)</f>
        <v>1330537.19</v>
      </c>
      <c r="G86" s="154">
        <f>VLOOKUP(C86,SYSTEM!$C$3:$G$138,5,FALSE)</f>
        <v>0</v>
      </c>
      <c r="H86" s="154">
        <f>VLOOKUP(C86,SYSTEM!$C$3:$H$138,6,FALSE)</f>
        <v>0</v>
      </c>
      <c r="I86" s="154">
        <f>VLOOKUP(C86,SYSTEM!$C$3:$I$138,7,FALSE)</f>
        <v>0</v>
      </c>
      <c r="J86" s="154">
        <f>VLOOKUP(C86,SYSTEM!$C$3:$J$138,8,FALSE)</f>
        <v>0</v>
      </c>
      <c r="K86" s="154">
        <f t="shared" si="3"/>
        <v>25449456.629999999</v>
      </c>
      <c r="M86" s="154">
        <f>VLOOKUP(C86,SYSTEM!$C$3:$K$138,9,FALSE)</f>
        <v>25449456.629999999</v>
      </c>
      <c r="N86" s="61">
        <f t="shared" si="4"/>
        <v>0</v>
      </c>
    </row>
    <row r="87" spans="1:14" x14ac:dyDescent="0.2">
      <c r="A87" s="94" t="s">
        <v>11</v>
      </c>
      <c r="B87" s="94" t="s">
        <v>72</v>
      </c>
      <c r="C87" s="94" t="s">
        <v>269</v>
      </c>
      <c r="D87" s="94" t="s">
        <v>270</v>
      </c>
      <c r="E87" s="154">
        <f>VLOOKUP(C87,SYSTEM!$C$3:$E$138,3,FALSE)</f>
        <v>650295.25</v>
      </c>
      <c r="F87" s="154">
        <f>VLOOKUP(C87,SYSTEM!$C$3:$F$138,4,FALSE)</f>
        <v>1737856.67</v>
      </c>
      <c r="G87" s="154">
        <f>VLOOKUP(C87,SYSTEM!$C$3:$G$138,5,FALSE)</f>
        <v>0</v>
      </c>
      <c r="H87" s="154">
        <f>VLOOKUP(C87,SYSTEM!$C$3:$H$138,6,FALSE)</f>
        <v>0</v>
      </c>
      <c r="I87" s="154">
        <f>VLOOKUP(C87,SYSTEM!$C$3:$I$138,7,FALSE)</f>
        <v>0</v>
      </c>
      <c r="J87" s="154">
        <f>VLOOKUP(C87,SYSTEM!$C$3:$J$138,8,FALSE)</f>
        <v>0</v>
      </c>
      <c r="K87" s="154">
        <f t="shared" si="3"/>
        <v>2388151.92</v>
      </c>
      <c r="M87" s="154">
        <f>VLOOKUP(C87,SYSTEM!$C$3:$K$138,9,FALSE)</f>
        <v>2388151.92</v>
      </c>
      <c r="N87" s="61">
        <f t="shared" si="4"/>
        <v>0</v>
      </c>
    </row>
    <row r="88" spans="1:14" x14ac:dyDescent="0.2">
      <c r="A88" s="1" t="s">
        <v>11</v>
      </c>
      <c r="B88" s="1" t="s">
        <v>72</v>
      </c>
      <c r="C88" s="1" t="s">
        <v>75</v>
      </c>
      <c r="D88" s="1" t="s">
        <v>76</v>
      </c>
      <c r="E88" s="154">
        <f>VLOOKUP(C88,SYSTEM!$C$3:$E$138,3,FALSE)</f>
        <v>-8.81</v>
      </c>
      <c r="F88" s="154">
        <f>VLOOKUP(C88,SYSTEM!$C$3:$F$138,4,FALSE)</f>
        <v>0</v>
      </c>
      <c r="G88" s="154">
        <f>VLOOKUP(C88,SYSTEM!$C$3:$G$138,5,FALSE)</f>
        <v>0</v>
      </c>
      <c r="H88" s="154">
        <f>VLOOKUP(C88,SYSTEM!$C$3:$H$138,6,FALSE)</f>
        <v>0</v>
      </c>
      <c r="I88" s="154">
        <f>VLOOKUP(C88,SYSTEM!$C$3:$I$138,7,FALSE)</f>
        <v>0</v>
      </c>
      <c r="J88" s="154">
        <f>VLOOKUP(C88,SYSTEM!$C$3:$J$138,8,FALSE)</f>
        <v>0</v>
      </c>
      <c r="K88" s="154">
        <f t="shared" si="3"/>
        <v>-8.81</v>
      </c>
      <c r="M88" s="154">
        <f>VLOOKUP(C88,SYSTEM!$C$3:$K$138,9,FALSE)</f>
        <v>-8.81</v>
      </c>
      <c r="N88" s="61">
        <f t="shared" si="4"/>
        <v>0</v>
      </c>
    </row>
    <row r="89" spans="1:14" x14ac:dyDescent="0.2">
      <c r="A89" s="1" t="s">
        <v>11</v>
      </c>
      <c r="B89" s="1" t="s">
        <v>72</v>
      </c>
      <c r="C89" s="1" t="s">
        <v>73</v>
      </c>
      <c r="D89" s="1" t="s">
        <v>74</v>
      </c>
      <c r="E89" s="154">
        <f>VLOOKUP(C89,SYSTEM!$C$3:$E$138,3,FALSE)</f>
        <v>1717510.9</v>
      </c>
      <c r="F89" s="154">
        <f>VLOOKUP(C89,SYSTEM!$C$3:$F$138,4,FALSE)</f>
        <v>84546</v>
      </c>
      <c r="G89" s="154">
        <f>VLOOKUP(C89,SYSTEM!$C$3:$G$138,5,FALSE)</f>
        <v>0</v>
      </c>
      <c r="H89" s="154">
        <f>VLOOKUP(C89,SYSTEM!$C$3:$H$138,6,FALSE)</f>
        <v>0</v>
      </c>
      <c r="I89" s="154">
        <f>VLOOKUP(C89,SYSTEM!$C$3:$I$138,7,FALSE)</f>
        <v>0</v>
      </c>
      <c r="J89" s="154">
        <f>VLOOKUP(C89,SYSTEM!$C$3:$J$138,8,FALSE)</f>
        <v>0</v>
      </c>
      <c r="K89" s="154">
        <f t="shared" si="3"/>
        <v>1802056.9</v>
      </c>
      <c r="M89" s="154">
        <f>VLOOKUP(C89,SYSTEM!$C$3:$K$138,9,FALSE)</f>
        <v>1802056.9</v>
      </c>
      <c r="N89" s="61">
        <f t="shared" si="4"/>
        <v>0</v>
      </c>
    </row>
    <row r="90" spans="1:14" x14ac:dyDescent="0.2">
      <c r="A90" s="1" t="s">
        <v>11</v>
      </c>
      <c r="B90" s="1" t="s">
        <v>72</v>
      </c>
      <c r="C90" s="1" t="s">
        <v>210</v>
      </c>
      <c r="D90" s="1" t="s">
        <v>211</v>
      </c>
      <c r="E90" s="154">
        <f>VLOOKUP(C90,SYSTEM!$C$3:$E$138,3,FALSE)</f>
        <v>0</v>
      </c>
      <c r="F90" s="154">
        <f>VLOOKUP(C90,SYSTEM!$C$3:$F$138,4,FALSE)</f>
        <v>0</v>
      </c>
      <c r="G90" s="154">
        <f>VLOOKUP(C90,SYSTEM!$C$3:$G$138,5,FALSE)</f>
        <v>0</v>
      </c>
      <c r="H90" s="154">
        <f>VLOOKUP(C90,SYSTEM!$C$3:$H$138,6,FALSE)</f>
        <v>0</v>
      </c>
      <c r="I90" s="154">
        <f>VLOOKUP(C90,SYSTEM!$C$3:$I$138,7,FALSE)</f>
        <v>0</v>
      </c>
      <c r="J90" s="154">
        <f>VLOOKUP(C90,SYSTEM!$C$3:$J$138,8,FALSE)</f>
        <v>0</v>
      </c>
      <c r="K90" s="154">
        <f t="shared" si="3"/>
        <v>0</v>
      </c>
      <c r="M90" s="154">
        <f>VLOOKUP(C90,SYSTEM!$C$3:$K$138,9,FALSE)</f>
        <v>0</v>
      </c>
      <c r="N90" s="61">
        <f t="shared" si="4"/>
        <v>0</v>
      </c>
    </row>
    <row r="91" spans="1:14" x14ac:dyDescent="0.2">
      <c r="A91" s="1" t="s">
        <v>11</v>
      </c>
      <c r="B91" s="1" t="s">
        <v>93</v>
      </c>
      <c r="C91" s="1" t="s">
        <v>212</v>
      </c>
      <c r="D91" s="1" t="s">
        <v>168</v>
      </c>
      <c r="E91" s="154">
        <f>VLOOKUP(C91,SYSTEM!$C$3:$E$138,3,FALSE)</f>
        <v>0</v>
      </c>
      <c r="F91" s="154">
        <f>VLOOKUP(C91,SYSTEM!$C$3:$F$138,4,FALSE)</f>
        <v>0</v>
      </c>
      <c r="G91" s="154">
        <f>VLOOKUP(C91,SYSTEM!$C$3:$G$138,5,FALSE)</f>
        <v>0</v>
      </c>
      <c r="H91" s="154">
        <f>VLOOKUP(C91,SYSTEM!$C$3:$H$138,6,FALSE)</f>
        <v>0</v>
      </c>
      <c r="I91" s="154">
        <f>VLOOKUP(C91,SYSTEM!$C$3:$I$138,7,FALSE)</f>
        <v>0</v>
      </c>
      <c r="J91" s="154">
        <f>VLOOKUP(C91,SYSTEM!$C$3:$J$138,8,FALSE)</f>
        <v>0</v>
      </c>
      <c r="K91" s="154">
        <f t="shared" si="3"/>
        <v>0</v>
      </c>
      <c r="M91" s="154">
        <f>VLOOKUP(C91,SYSTEM!$C$3:$K$138,9,FALSE)</f>
        <v>0</v>
      </c>
      <c r="N91" s="61">
        <f t="shared" si="4"/>
        <v>0</v>
      </c>
    </row>
    <row r="92" spans="1:14" x14ac:dyDescent="0.2">
      <c r="A92" s="1" t="s">
        <v>11</v>
      </c>
      <c r="B92" s="1" t="s">
        <v>93</v>
      </c>
      <c r="C92" s="1" t="s">
        <v>122</v>
      </c>
      <c r="D92" s="1" t="s">
        <v>92</v>
      </c>
      <c r="E92" s="154">
        <f>VLOOKUP(C92,SYSTEM!$C$3:$E$138,3,FALSE)</f>
        <v>1689082.67</v>
      </c>
      <c r="F92" s="154">
        <f>VLOOKUP(C92,SYSTEM!$C$3:$F$138,4,FALSE)</f>
        <v>10562.58</v>
      </c>
      <c r="G92" s="154">
        <f>VLOOKUP(C92,SYSTEM!$C$3:$G$138,5,FALSE)</f>
        <v>0</v>
      </c>
      <c r="H92" s="154">
        <f>VLOOKUP(C92,SYSTEM!$C$3:$H$138,6,FALSE)</f>
        <v>0</v>
      </c>
      <c r="I92" s="154">
        <f>VLOOKUP(C92,SYSTEM!$C$3:$I$138,7,FALSE)</f>
        <v>0</v>
      </c>
      <c r="J92" s="154">
        <f>VLOOKUP(C92,SYSTEM!$C$3:$J$138,8,FALSE)</f>
        <v>0</v>
      </c>
      <c r="K92" s="154">
        <f t="shared" si="3"/>
        <v>1699645.25</v>
      </c>
      <c r="M92" s="154">
        <f>VLOOKUP(C92,SYSTEM!$C$3:$K$138,9,FALSE)</f>
        <v>1699645.25</v>
      </c>
      <c r="N92" s="61">
        <f t="shared" si="4"/>
        <v>0</v>
      </c>
    </row>
    <row r="93" spans="1:14" x14ac:dyDescent="0.2">
      <c r="A93" s="1" t="s">
        <v>11</v>
      </c>
      <c r="B93" s="1" t="s">
        <v>93</v>
      </c>
      <c r="C93" s="1" t="s">
        <v>121</v>
      </c>
      <c r="D93" s="1" t="s">
        <v>70</v>
      </c>
      <c r="E93" s="154">
        <f>VLOOKUP(C93,SYSTEM!$C$3:$E$138,3,FALSE)</f>
        <v>92248.77</v>
      </c>
      <c r="F93" s="154">
        <f>VLOOKUP(C93,SYSTEM!$C$3:$F$138,4,FALSE)</f>
        <v>37508.21</v>
      </c>
      <c r="G93" s="154">
        <f>VLOOKUP(C93,SYSTEM!$C$3:$G$138,5,FALSE)</f>
        <v>0</v>
      </c>
      <c r="H93" s="154">
        <f>VLOOKUP(C93,SYSTEM!$C$3:$H$138,6,FALSE)</f>
        <v>0</v>
      </c>
      <c r="I93" s="154">
        <f>VLOOKUP(C93,SYSTEM!$C$3:$I$138,7,FALSE)</f>
        <v>0</v>
      </c>
      <c r="J93" s="154">
        <f>VLOOKUP(C93,SYSTEM!$C$3:$J$138,8,FALSE)</f>
        <v>0</v>
      </c>
      <c r="K93" s="154">
        <f t="shared" si="3"/>
        <v>129756.98000000001</v>
      </c>
      <c r="M93" s="154">
        <f>VLOOKUP(C93,SYSTEM!$C$3:$K$138,9,FALSE)</f>
        <v>129756.98000000001</v>
      </c>
      <c r="N93" s="61">
        <f t="shared" si="4"/>
        <v>0</v>
      </c>
    </row>
    <row r="94" spans="1:14" x14ac:dyDescent="0.2">
      <c r="A94" s="1" t="s">
        <v>11</v>
      </c>
      <c r="B94" s="1" t="s">
        <v>93</v>
      </c>
      <c r="C94" s="1" t="s">
        <v>119</v>
      </c>
      <c r="D94" s="1" t="s">
        <v>120</v>
      </c>
      <c r="E94" s="154">
        <f>VLOOKUP(C94,SYSTEM!$C$3:$E$138,3,FALSE)</f>
        <v>350472853.19999999</v>
      </c>
      <c r="F94" s="154">
        <f>VLOOKUP(C94,SYSTEM!$C$3:$F$138,4,FALSE)</f>
        <v>16345257.77</v>
      </c>
      <c r="G94" s="154">
        <f>VLOOKUP(C94,SYSTEM!$C$3:$G$138,5,FALSE)</f>
        <v>-110757.58</v>
      </c>
      <c r="H94" s="154">
        <f>VLOOKUP(C94,SYSTEM!$C$3:$H$138,6,FALSE)</f>
        <v>-184466.83</v>
      </c>
      <c r="I94" s="154">
        <f>VLOOKUP(C94,SYSTEM!$C$3:$I$138,7,FALSE)</f>
        <v>35111.65</v>
      </c>
      <c r="J94" s="154">
        <f>VLOOKUP(C94,SYSTEM!$C$3:$J$138,8,FALSE)</f>
        <v>0</v>
      </c>
      <c r="K94" s="154">
        <f t="shared" si="3"/>
        <v>366557998.20999998</v>
      </c>
      <c r="M94" s="154">
        <f>VLOOKUP(C94,SYSTEM!$C$3:$K$138,9,FALSE)</f>
        <v>366557998.20999998</v>
      </c>
      <c r="N94" s="61">
        <f t="shared" si="4"/>
        <v>0</v>
      </c>
    </row>
    <row r="95" spans="1:14" x14ac:dyDescent="0.2">
      <c r="A95" s="1" t="s">
        <v>11</v>
      </c>
      <c r="B95" s="1" t="s">
        <v>93</v>
      </c>
      <c r="C95" s="1" t="s">
        <v>117</v>
      </c>
      <c r="D95" s="1" t="s">
        <v>118</v>
      </c>
      <c r="E95" s="154">
        <f>VLOOKUP(C95,SYSTEM!$C$3:$E$138,3,FALSE)</f>
        <v>244891048.78999999</v>
      </c>
      <c r="F95" s="154">
        <f>VLOOKUP(C95,SYSTEM!$C$3:$F$138,4,FALSE)</f>
        <v>14421863.359999999</v>
      </c>
      <c r="G95" s="154">
        <f>VLOOKUP(C95,SYSTEM!$C$3:$G$138,5,FALSE)</f>
        <v>-139784.24</v>
      </c>
      <c r="H95" s="154">
        <f>VLOOKUP(C95,SYSTEM!$C$3:$H$138,6,FALSE)</f>
        <v>-41400.43</v>
      </c>
      <c r="I95" s="154">
        <f>VLOOKUP(C95,SYSTEM!$C$3:$I$138,7,FALSE)</f>
        <v>46640.35</v>
      </c>
      <c r="J95" s="154">
        <f>VLOOKUP(C95,SYSTEM!$C$3:$J$138,8,FALSE)</f>
        <v>0</v>
      </c>
      <c r="K95" s="154">
        <f t="shared" si="3"/>
        <v>259178367.82999995</v>
      </c>
      <c r="M95" s="154">
        <f>VLOOKUP(C95,SYSTEM!$C$3:$K$138,9,FALSE)</f>
        <v>259178367.82999995</v>
      </c>
      <c r="N95" s="61">
        <f t="shared" si="4"/>
        <v>0</v>
      </c>
    </row>
    <row r="96" spans="1:14" x14ac:dyDescent="0.2">
      <c r="A96" s="94" t="s">
        <v>11</v>
      </c>
      <c r="B96" s="94" t="s">
        <v>93</v>
      </c>
      <c r="C96" s="94" t="s">
        <v>271</v>
      </c>
      <c r="D96" s="94" t="s">
        <v>272</v>
      </c>
      <c r="E96" s="154">
        <f>VLOOKUP(C96,SYSTEM!$C$3:$E$138,3,FALSE)</f>
        <v>5419.4800000000005</v>
      </c>
      <c r="F96" s="154">
        <f>VLOOKUP(C96,SYSTEM!$C$3:$F$138,4,FALSE)</f>
        <v>14451.93</v>
      </c>
      <c r="G96" s="154">
        <f>VLOOKUP(C96,SYSTEM!$C$3:$G$138,5,FALSE)</f>
        <v>0</v>
      </c>
      <c r="H96" s="154">
        <f>VLOOKUP(C96,SYSTEM!$C$3:$H$138,6,FALSE)</f>
        <v>0</v>
      </c>
      <c r="I96" s="154">
        <f>VLOOKUP(C96,SYSTEM!$C$3:$I$138,7,FALSE)</f>
        <v>0</v>
      </c>
      <c r="J96" s="154">
        <f>VLOOKUP(C96,SYSTEM!$C$3:$J$138,8,FALSE)</f>
        <v>0</v>
      </c>
      <c r="K96" s="154">
        <f t="shared" si="3"/>
        <v>19871.41</v>
      </c>
      <c r="M96" s="154">
        <f>VLOOKUP(C96,SYSTEM!$C$3:$K$138,9,FALSE)</f>
        <v>19871.41</v>
      </c>
      <c r="N96" s="61">
        <f t="shared" si="4"/>
        <v>0</v>
      </c>
    </row>
    <row r="97" spans="1:14" x14ac:dyDescent="0.2">
      <c r="A97" s="1" t="s">
        <v>11</v>
      </c>
      <c r="B97" s="1" t="s">
        <v>93</v>
      </c>
      <c r="C97" s="1" t="s">
        <v>116</v>
      </c>
      <c r="D97" s="1" t="s">
        <v>28</v>
      </c>
      <c r="E97" s="154">
        <f>VLOOKUP(C97,SYSTEM!$C$3:$E$138,3,FALSE)</f>
        <v>675258.07</v>
      </c>
      <c r="F97" s="154">
        <f>VLOOKUP(C97,SYSTEM!$C$3:$F$138,4,FALSE)</f>
        <v>10802.6</v>
      </c>
      <c r="G97" s="154">
        <f>VLOOKUP(C97,SYSTEM!$C$3:$G$138,5,FALSE)</f>
        <v>0</v>
      </c>
      <c r="H97" s="154">
        <f>VLOOKUP(C97,SYSTEM!$C$3:$H$138,6,FALSE)</f>
        <v>0</v>
      </c>
      <c r="I97" s="154">
        <f>VLOOKUP(C97,SYSTEM!$C$3:$I$138,7,FALSE)</f>
        <v>0</v>
      </c>
      <c r="J97" s="154">
        <f>VLOOKUP(C97,SYSTEM!$C$3:$J$138,8,FALSE)</f>
        <v>0</v>
      </c>
      <c r="K97" s="154">
        <f t="shared" si="3"/>
        <v>686060.66999999993</v>
      </c>
      <c r="M97" s="154">
        <f>VLOOKUP(C97,SYSTEM!$C$3:$K$138,9,FALSE)</f>
        <v>686060.66999999993</v>
      </c>
      <c r="N97" s="61">
        <f t="shared" si="4"/>
        <v>0</v>
      </c>
    </row>
    <row r="98" spans="1:14" x14ac:dyDescent="0.2">
      <c r="A98" s="1" t="s">
        <v>11</v>
      </c>
      <c r="B98" s="1" t="s">
        <v>93</v>
      </c>
      <c r="C98" s="1" t="s">
        <v>114</v>
      </c>
      <c r="D98" s="1" t="s">
        <v>115</v>
      </c>
      <c r="E98" s="154">
        <f>VLOOKUP(C98,SYSTEM!$C$3:$E$138,3,FALSE)</f>
        <v>13629616.75</v>
      </c>
      <c r="F98" s="154">
        <f>VLOOKUP(C98,SYSTEM!$C$3:$F$138,4,FALSE)</f>
        <v>845214.56</v>
      </c>
      <c r="G98" s="154">
        <f>VLOOKUP(C98,SYSTEM!$C$3:$G$138,5,FALSE)</f>
        <v>0</v>
      </c>
      <c r="H98" s="154">
        <f>VLOOKUP(C98,SYSTEM!$C$3:$H$138,6,FALSE)</f>
        <v>0</v>
      </c>
      <c r="I98" s="154">
        <f>VLOOKUP(C98,SYSTEM!$C$3:$I$138,7,FALSE)</f>
        <v>0</v>
      </c>
      <c r="J98" s="154">
        <f>VLOOKUP(C98,SYSTEM!$C$3:$J$138,8,FALSE)</f>
        <v>0</v>
      </c>
      <c r="K98" s="154">
        <f t="shared" ref="K98:K129" si="5">SUM(E98:J98)</f>
        <v>14474831.310000001</v>
      </c>
      <c r="M98" s="154">
        <f>VLOOKUP(C98,SYSTEM!$C$3:$K$138,9,FALSE)</f>
        <v>14474831.310000001</v>
      </c>
      <c r="N98" s="61">
        <f t="shared" si="4"/>
        <v>0</v>
      </c>
    </row>
    <row r="99" spans="1:14" x14ac:dyDescent="0.2">
      <c r="A99" s="1" t="s">
        <v>11</v>
      </c>
      <c r="B99" s="1" t="s">
        <v>93</v>
      </c>
      <c r="C99" s="1" t="s">
        <v>112</v>
      </c>
      <c r="D99" s="1" t="s">
        <v>113</v>
      </c>
      <c r="E99" s="154">
        <f>VLOOKUP(C99,SYSTEM!$C$3:$E$138,3,FALSE)</f>
        <v>3160794.52</v>
      </c>
      <c r="F99" s="154">
        <f>VLOOKUP(C99,SYSTEM!$C$3:$F$138,4,FALSE)</f>
        <v>354775.77</v>
      </c>
      <c r="G99" s="154">
        <f>VLOOKUP(C99,SYSTEM!$C$3:$G$138,5,FALSE)</f>
        <v>0</v>
      </c>
      <c r="H99" s="154">
        <f>VLOOKUP(C99,SYSTEM!$C$3:$H$138,6,FALSE)</f>
        <v>0</v>
      </c>
      <c r="I99" s="154">
        <f>VLOOKUP(C99,SYSTEM!$C$3:$I$138,7,FALSE)</f>
        <v>0</v>
      </c>
      <c r="J99" s="154">
        <f>VLOOKUP(C99,SYSTEM!$C$3:$J$138,8,FALSE)</f>
        <v>0</v>
      </c>
      <c r="K99" s="154">
        <f t="shared" si="5"/>
        <v>3515570.29</v>
      </c>
      <c r="M99" s="154">
        <f>VLOOKUP(C99,SYSTEM!$C$3:$K$138,9,FALSE)</f>
        <v>3515570.29</v>
      </c>
      <c r="N99" s="61">
        <f t="shared" si="4"/>
        <v>0</v>
      </c>
    </row>
    <row r="100" spans="1:14" x14ac:dyDescent="0.2">
      <c r="A100" s="1" t="s">
        <v>11</v>
      </c>
      <c r="B100" s="1" t="s">
        <v>93</v>
      </c>
      <c r="C100" s="1" t="s">
        <v>110</v>
      </c>
      <c r="D100" s="1" t="s">
        <v>111</v>
      </c>
      <c r="E100" s="154">
        <f>VLOOKUP(C100,SYSTEM!$C$3:$E$138,3,FALSE)</f>
        <v>438395392.07999998</v>
      </c>
      <c r="F100" s="154">
        <f>VLOOKUP(C100,SYSTEM!$C$3:$F$138,4,FALSE)</f>
        <v>24272328.670000002</v>
      </c>
      <c r="G100" s="154">
        <f>VLOOKUP(C100,SYSTEM!$C$3:$G$138,5,FALSE)</f>
        <v>-409551.54</v>
      </c>
      <c r="H100" s="154">
        <f>VLOOKUP(C100,SYSTEM!$C$3:$H$138,6,FALSE)</f>
        <v>-976810.67</v>
      </c>
      <c r="I100" s="154">
        <f>VLOOKUP(C100,SYSTEM!$C$3:$I$138,7,FALSE)</f>
        <v>0</v>
      </c>
      <c r="J100" s="154">
        <f>VLOOKUP(C100,SYSTEM!$C$3:$J$138,8,FALSE)</f>
        <v>0</v>
      </c>
      <c r="K100" s="154">
        <f t="shared" si="5"/>
        <v>461281358.53999996</v>
      </c>
      <c r="M100" s="154">
        <f>VLOOKUP(C100,SYSTEM!$C$3:$K$138,9,FALSE)</f>
        <v>461281358.53999996</v>
      </c>
      <c r="N100" s="61">
        <f t="shared" si="4"/>
        <v>0</v>
      </c>
    </row>
    <row r="101" spans="1:14" x14ac:dyDescent="0.2">
      <c r="A101" s="1" t="s">
        <v>11</v>
      </c>
      <c r="B101" s="1" t="s">
        <v>93</v>
      </c>
      <c r="C101" s="1" t="s">
        <v>108</v>
      </c>
      <c r="D101" s="1" t="s">
        <v>109</v>
      </c>
      <c r="E101" s="154">
        <f>VLOOKUP(C101,SYSTEM!$C$3:$E$138,3,FALSE)</f>
        <v>23799675.670000002</v>
      </c>
      <c r="F101" s="154">
        <f>VLOOKUP(C101,SYSTEM!$C$3:$F$138,4,FALSE)</f>
        <v>2315194.16</v>
      </c>
      <c r="G101" s="154">
        <f>VLOOKUP(C101,SYSTEM!$C$3:$G$138,5,FALSE)</f>
        <v>-3765866.48</v>
      </c>
      <c r="H101" s="154">
        <f>VLOOKUP(C101,SYSTEM!$C$3:$H$138,6,FALSE)</f>
        <v>0</v>
      </c>
      <c r="I101" s="154">
        <f>VLOOKUP(C101,SYSTEM!$C$3:$I$138,7,FALSE)</f>
        <v>391.66</v>
      </c>
      <c r="J101" s="154">
        <f>VLOOKUP(C101,SYSTEM!$C$3:$J$138,8,FALSE)</f>
        <v>0</v>
      </c>
      <c r="K101" s="154">
        <f t="shared" si="5"/>
        <v>22349395.010000002</v>
      </c>
      <c r="M101" s="154">
        <f>VLOOKUP(C101,SYSTEM!$C$3:$K$138,9,FALSE)</f>
        <v>22349395.010000002</v>
      </c>
      <c r="N101" s="61">
        <f t="shared" si="4"/>
        <v>0</v>
      </c>
    </row>
    <row r="102" spans="1:14" x14ac:dyDescent="0.2">
      <c r="A102" s="1" t="s">
        <v>11</v>
      </c>
      <c r="B102" s="1" t="s">
        <v>93</v>
      </c>
      <c r="C102" s="1" t="s">
        <v>106</v>
      </c>
      <c r="D102" s="1" t="s">
        <v>107</v>
      </c>
      <c r="E102" s="154">
        <f>VLOOKUP(C102,SYSTEM!$C$3:$E$138,3,FALSE)</f>
        <v>1980849.1500000001</v>
      </c>
      <c r="F102" s="154">
        <f>VLOOKUP(C102,SYSTEM!$C$3:$F$138,4,FALSE)</f>
        <v>49041.52</v>
      </c>
      <c r="G102" s="154">
        <f>VLOOKUP(C102,SYSTEM!$C$3:$G$138,5,FALSE)</f>
        <v>0</v>
      </c>
      <c r="H102" s="154">
        <f>VLOOKUP(C102,SYSTEM!$C$3:$H$138,6,FALSE)</f>
        <v>0</v>
      </c>
      <c r="I102" s="154">
        <f>VLOOKUP(C102,SYSTEM!$C$3:$I$138,7,FALSE)</f>
        <v>0</v>
      </c>
      <c r="J102" s="154">
        <f>VLOOKUP(C102,SYSTEM!$C$3:$J$138,8,FALSE)</f>
        <v>0</v>
      </c>
      <c r="K102" s="154">
        <f t="shared" si="5"/>
        <v>2029890.6700000002</v>
      </c>
      <c r="M102" s="154">
        <f>VLOOKUP(C102,SYSTEM!$C$3:$K$138,9,FALSE)</f>
        <v>2029890.6700000002</v>
      </c>
      <c r="N102" s="61">
        <f t="shared" si="4"/>
        <v>0</v>
      </c>
    </row>
    <row r="103" spans="1:14" x14ac:dyDescent="0.2">
      <c r="A103" s="1" t="s">
        <v>11</v>
      </c>
      <c r="B103" s="1" t="s">
        <v>93</v>
      </c>
      <c r="C103" s="1" t="s">
        <v>104</v>
      </c>
      <c r="D103" s="1" t="s">
        <v>105</v>
      </c>
      <c r="E103" s="154">
        <f>VLOOKUP(C103,SYSTEM!$C$3:$E$138,3,FALSE)</f>
        <v>21556605.23</v>
      </c>
      <c r="F103" s="154">
        <f>VLOOKUP(C103,SYSTEM!$C$3:$F$138,4,FALSE)</f>
        <v>2623507.14</v>
      </c>
      <c r="G103" s="154">
        <f>VLOOKUP(C103,SYSTEM!$C$3:$G$138,5,FALSE)</f>
        <v>-3720208.31</v>
      </c>
      <c r="H103" s="154">
        <f>VLOOKUP(C103,SYSTEM!$C$3:$H$138,6,FALSE)</f>
        <v>0</v>
      </c>
      <c r="I103" s="154">
        <f>VLOOKUP(C103,SYSTEM!$C$3:$I$138,7,FALSE)</f>
        <v>0</v>
      </c>
      <c r="J103" s="154">
        <f>VLOOKUP(C103,SYSTEM!$C$3:$J$138,8,FALSE)</f>
        <v>0</v>
      </c>
      <c r="K103" s="154">
        <f t="shared" si="5"/>
        <v>20459904.060000002</v>
      </c>
      <c r="M103" s="154">
        <f>VLOOKUP(C103,SYSTEM!$C$3:$K$138,9,FALSE)</f>
        <v>20459904.060000002</v>
      </c>
      <c r="N103" s="61">
        <f t="shared" si="4"/>
        <v>0</v>
      </c>
    </row>
    <row r="104" spans="1:14" x14ac:dyDescent="0.2">
      <c r="A104" s="1" t="s">
        <v>11</v>
      </c>
      <c r="B104" s="1" t="s">
        <v>93</v>
      </c>
      <c r="C104" s="1" t="s">
        <v>102</v>
      </c>
      <c r="D104" s="1" t="s">
        <v>103</v>
      </c>
      <c r="E104" s="154">
        <f>VLOOKUP(C104,SYSTEM!$C$3:$E$138,3,FALSE)</f>
        <v>6096261.2800000012</v>
      </c>
      <c r="F104" s="154">
        <f>VLOOKUP(C104,SYSTEM!$C$3:$F$138,4,FALSE)</f>
        <v>2979427.54</v>
      </c>
      <c r="G104" s="154">
        <f>VLOOKUP(C104,SYSTEM!$C$3:$G$138,5,FALSE)</f>
        <v>-5157744.34</v>
      </c>
      <c r="H104" s="154">
        <f>VLOOKUP(C104,SYSTEM!$C$3:$H$138,6,FALSE)</f>
        <v>0</v>
      </c>
      <c r="I104" s="154">
        <f>VLOOKUP(C104,SYSTEM!$C$3:$I$138,7,FALSE)</f>
        <v>0</v>
      </c>
      <c r="J104" s="154">
        <f>VLOOKUP(C104,SYSTEM!$C$3:$J$138,8,FALSE)</f>
        <v>0</v>
      </c>
      <c r="K104" s="154">
        <f t="shared" si="5"/>
        <v>3917944.4800000004</v>
      </c>
      <c r="M104" s="154">
        <f>VLOOKUP(C104,SYSTEM!$C$3:$K$138,9,FALSE)</f>
        <v>3917944.4800000004</v>
      </c>
      <c r="N104" s="61">
        <f t="shared" si="4"/>
        <v>0</v>
      </c>
    </row>
    <row r="105" spans="1:14" x14ac:dyDescent="0.2">
      <c r="A105" s="1" t="s">
        <v>11</v>
      </c>
      <c r="B105" s="1" t="s">
        <v>93</v>
      </c>
      <c r="C105" s="1" t="s">
        <v>100</v>
      </c>
      <c r="D105" s="1" t="s">
        <v>101</v>
      </c>
      <c r="E105" s="154">
        <f>VLOOKUP(C105,SYSTEM!$C$3:$E$138,3,FALSE)</f>
        <v>111053.97</v>
      </c>
      <c r="F105" s="154">
        <f>VLOOKUP(C105,SYSTEM!$C$3:$F$138,4,FALSE)</f>
        <v>41415.800000000003</v>
      </c>
      <c r="G105" s="154">
        <f>VLOOKUP(C105,SYSTEM!$C$3:$G$138,5,FALSE)</f>
        <v>0</v>
      </c>
      <c r="H105" s="154">
        <f>VLOOKUP(C105,SYSTEM!$C$3:$H$138,6,FALSE)</f>
        <v>0</v>
      </c>
      <c r="I105" s="154">
        <f>VLOOKUP(C105,SYSTEM!$C$3:$I$138,7,FALSE)</f>
        <v>0</v>
      </c>
      <c r="J105" s="154">
        <f>VLOOKUP(C105,SYSTEM!$C$3:$J$138,8,FALSE)</f>
        <v>0</v>
      </c>
      <c r="K105" s="154">
        <f t="shared" si="5"/>
        <v>152469.77000000002</v>
      </c>
      <c r="M105" s="154">
        <f>VLOOKUP(C105,SYSTEM!$C$3:$K$138,9,FALSE)</f>
        <v>152469.77000000002</v>
      </c>
      <c r="N105" s="61">
        <f t="shared" si="4"/>
        <v>0</v>
      </c>
    </row>
    <row r="106" spans="1:14" x14ac:dyDescent="0.2">
      <c r="A106" s="1" t="s">
        <v>11</v>
      </c>
      <c r="B106" s="1" t="s">
        <v>93</v>
      </c>
      <c r="C106" s="1" t="s">
        <v>98</v>
      </c>
      <c r="D106" s="1" t="s">
        <v>99</v>
      </c>
      <c r="E106" s="154">
        <f>VLOOKUP(C106,SYSTEM!$C$3:$E$138,3,FALSE)</f>
        <v>6023566.8299999991</v>
      </c>
      <c r="F106" s="154">
        <f>VLOOKUP(C106,SYSTEM!$C$3:$F$138,4,FALSE)</f>
        <v>347336.53</v>
      </c>
      <c r="G106" s="154">
        <f>VLOOKUP(C106,SYSTEM!$C$3:$G$138,5,FALSE)</f>
        <v>-298640.26</v>
      </c>
      <c r="H106" s="154">
        <f>VLOOKUP(C106,SYSTEM!$C$3:$H$138,6,FALSE)</f>
        <v>0</v>
      </c>
      <c r="I106" s="154">
        <f>VLOOKUP(C106,SYSTEM!$C$3:$I$138,7,FALSE)</f>
        <v>0</v>
      </c>
      <c r="J106" s="154">
        <f>VLOOKUP(C106,SYSTEM!$C$3:$J$138,8,FALSE)</f>
        <v>0</v>
      </c>
      <c r="K106" s="154">
        <f t="shared" si="5"/>
        <v>6072263.0999999996</v>
      </c>
      <c r="M106" s="154">
        <f>VLOOKUP(C106,SYSTEM!$C$3:$K$138,9,FALSE)</f>
        <v>6072263.0999999996</v>
      </c>
      <c r="N106" s="61">
        <f t="shared" si="4"/>
        <v>0</v>
      </c>
    </row>
    <row r="107" spans="1:14" x14ac:dyDescent="0.2">
      <c r="A107" s="1" t="s">
        <v>11</v>
      </c>
      <c r="B107" s="1" t="s">
        <v>93</v>
      </c>
      <c r="C107" s="1" t="s">
        <v>96</v>
      </c>
      <c r="D107" s="1" t="s">
        <v>97</v>
      </c>
      <c r="E107" s="154">
        <f>VLOOKUP(C107,SYSTEM!$C$3:$E$138,3,FALSE)</f>
        <v>376774.16</v>
      </c>
      <c r="F107" s="154">
        <f>VLOOKUP(C107,SYSTEM!$C$3:$F$138,4,FALSE)</f>
        <v>71635.23</v>
      </c>
      <c r="G107" s="154">
        <f>VLOOKUP(C107,SYSTEM!$C$3:$G$138,5,FALSE)</f>
        <v>0</v>
      </c>
      <c r="H107" s="154">
        <f>VLOOKUP(C107,SYSTEM!$C$3:$H$138,6,FALSE)</f>
        <v>0</v>
      </c>
      <c r="I107" s="154">
        <f>VLOOKUP(C107,SYSTEM!$C$3:$I$138,7,FALSE)</f>
        <v>0</v>
      </c>
      <c r="J107" s="154">
        <f>VLOOKUP(C107,SYSTEM!$C$3:$J$138,8,FALSE)</f>
        <v>0</v>
      </c>
      <c r="K107" s="154">
        <f t="shared" si="5"/>
        <v>448409.38999999996</v>
      </c>
      <c r="M107" s="154">
        <f>VLOOKUP(C107,SYSTEM!$C$3:$K$138,9,FALSE)</f>
        <v>448409.38999999996</v>
      </c>
      <c r="N107" s="61">
        <f t="shared" si="4"/>
        <v>0</v>
      </c>
    </row>
    <row r="108" spans="1:14" x14ac:dyDescent="0.2">
      <c r="A108" s="1" t="s">
        <v>11</v>
      </c>
      <c r="B108" s="1" t="s">
        <v>93</v>
      </c>
      <c r="C108" s="1" t="s">
        <v>213</v>
      </c>
      <c r="D108" s="1" t="s">
        <v>214</v>
      </c>
      <c r="E108" s="154">
        <f>VLOOKUP(C108,SYSTEM!$C$3:$E$138,3,FALSE)</f>
        <v>233822.05</v>
      </c>
      <c r="F108" s="154">
        <f>VLOOKUP(C108,SYSTEM!$C$3:$F$138,4,FALSE)</f>
        <v>123363.83</v>
      </c>
      <c r="G108" s="154">
        <f>VLOOKUP(C108,SYSTEM!$C$3:$G$138,5,FALSE)</f>
        <v>0</v>
      </c>
      <c r="H108" s="154">
        <f>VLOOKUP(C108,SYSTEM!$C$3:$H$138,6,FALSE)</f>
        <v>0</v>
      </c>
      <c r="I108" s="154">
        <f>VLOOKUP(C108,SYSTEM!$C$3:$I$138,7,FALSE)</f>
        <v>0</v>
      </c>
      <c r="J108" s="154">
        <f>VLOOKUP(C108,SYSTEM!$C$3:$J$138,8,FALSE)</f>
        <v>0</v>
      </c>
      <c r="K108" s="154">
        <f t="shared" si="5"/>
        <v>357185.88</v>
      </c>
      <c r="M108" s="154">
        <f>VLOOKUP(C108,SYSTEM!$C$3:$K$138,9,FALSE)</f>
        <v>357185.88</v>
      </c>
      <c r="N108" s="61">
        <f t="shared" si="4"/>
        <v>0</v>
      </c>
    </row>
    <row r="109" spans="1:14" x14ac:dyDescent="0.2">
      <c r="A109" s="1" t="s">
        <v>11</v>
      </c>
      <c r="B109" s="1" t="s">
        <v>93</v>
      </c>
      <c r="C109" s="1" t="s">
        <v>245</v>
      </c>
      <c r="D109" s="1" t="s">
        <v>246</v>
      </c>
      <c r="E109" s="154">
        <f>VLOOKUP(C109,SYSTEM!$C$3:$E$138,3,FALSE)</f>
        <v>0</v>
      </c>
      <c r="F109" s="154">
        <f>VLOOKUP(C109,SYSTEM!$C$3:$F$138,4,FALSE)</f>
        <v>0</v>
      </c>
      <c r="G109" s="154">
        <f>VLOOKUP(C109,SYSTEM!$C$3:$G$138,5,FALSE)</f>
        <v>0</v>
      </c>
      <c r="H109" s="154">
        <f>VLOOKUP(C109,SYSTEM!$C$3:$H$138,6,FALSE)</f>
        <v>0</v>
      </c>
      <c r="I109" s="154">
        <f>VLOOKUP(C109,SYSTEM!$C$3:$I$138,7,FALSE)</f>
        <v>0</v>
      </c>
      <c r="J109" s="154">
        <f>VLOOKUP(C109,SYSTEM!$C$3:$J$138,8,FALSE)</f>
        <v>0</v>
      </c>
      <c r="K109" s="154">
        <f t="shared" si="5"/>
        <v>0</v>
      </c>
      <c r="M109" s="154">
        <f>VLOOKUP(C109,SYSTEM!$C$3:$K$138,9,FALSE)</f>
        <v>0</v>
      </c>
      <c r="N109" s="61">
        <f t="shared" si="4"/>
        <v>0</v>
      </c>
    </row>
    <row r="110" spans="1:14" x14ac:dyDescent="0.2">
      <c r="A110" s="1" t="s">
        <v>11</v>
      </c>
      <c r="B110" s="1" t="s">
        <v>93</v>
      </c>
      <c r="C110" s="1" t="s">
        <v>94</v>
      </c>
      <c r="D110" s="1" t="s">
        <v>95</v>
      </c>
      <c r="E110" s="154">
        <f>VLOOKUP(C110,SYSTEM!$C$3:$E$138,3,FALSE)</f>
        <v>144491.32</v>
      </c>
      <c r="F110" s="154">
        <f>VLOOKUP(C110,SYSTEM!$C$3:$F$138,4,FALSE)</f>
        <v>1425.64</v>
      </c>
      <c r="G110" s="154">
        <f>VLOOKUP(C110,SYSTEM!$C$3:$G$138,5,FALSE)</f>
        <v>0</v>
      </c>
      <c r="H110" s="154">
        <f>VLOOKUP(C110,SYSTEM!$C$3:$H$138,6,FALSE)</f>
        <v>0</v>
      </c>
      <c r="I110" s="154">
        <f>VLOOKUP(C110,SYSTEM!$C$3:$I$138,7,FALSE)</f>
        <v>0</v>
      </c>
      <c r="J110" s="154">
        <f>VLOOKUP(C110,SYSTEM!$C$3:$J$138,8,FALSE)</f>
        <v>0</v>
      </c>
      <c r="K110" s="154">
        <f t="shared" si="5"/>
        <v>145916.96000000002</v>
      </c>
      <c r="M110" s="154">
        <f>VLOOKUP(C110,SYSTEM!$C$3:$K$138,9,FALSE)</f>
        <v>145916.96000000002</v>
      </c>
      <c r="N110" s="61">
        <f t="shared" si="4"/>
        <v>0</v>
      </c>
    </row>
    <row r="111" spans="1:14" x14ac:dyDescent="0.2">
      <c r="A111" s="1" t="s">
        <v>11</v>
      </c>
      <c r="B111" s="1" t="s">
        <v>93</v>
      </c>
      <c r="C111" s="1" t="s">
        <v>215</v>
      </c>
      <c r="D111" s="1" t="s">
        <v>216</v>
      </c>
      <c r="E111" s="154">
        <f>VLOOKUP(C111,SYSTEM!$C$3:$E$138,3,FALSE)</f>
        <v>96424</v>
      </c>
      <c r="F111" s="154">
        <f>VLOOKUP(C111,SYSTEM!$C$3:$F$138,4,FALSE)</f>
        <v>0</v>
      </c>
      <c r="G111" s="154">
        <f>VLOOKUP(C111,SYSTEM!$C$3:$G$138,5,FALSE)</f>
        <v>0</v>
      </c>
      <c r="H111" s="154">
        <f>VLOOKUP(C111,SYSTEM!$C$3:$H$138,6,FALSE)</f>
        <v>0</v>
      </c>
      <c r="I111" s="154">
        <f>VLOOKUP(C111,SYSTEM!$C$3:$I$138,7,FALSE)</f>
        <v>0</v>
      </c>
      <c r="J111" s="154">
        <f>VLOOKUP(C111,SYSTEM!$C$3:$J$138,8,FALSE)</f>
        <v>0</v>
      </c>
      <c r="K111" s="154">
        <f t="shared" si="5"/>
        <v>96424</v>
      </c>
      <c r="M111" s="154">
        <f>VLOOKUP(C111,SYSTEM!$C$3:$K$138,9,FALSE)</f>
        <v>96424</v>
      </c>
      <c r="N111" s="61">
        <f t="shared" si="4"/>
        <v>0</v>
      </c>
    </row>
    <row r="112" spans="1:14" x14ac:dyDescent="0.2">
      <c r="A112" s="1" t="s">
        <v>11</v>
      </c>
      <c r="B112" s="1" t="s">
        <v>93</v>
      </c>
      <c r="C112" s="1" t="s">
        <v>217</v>
      </c>
      <c r="D112" s="1" t="s">
        <v>218</v>
      </c>
      <c r="E112" s="154">
        <f>VLOOKUP(C112,SYSTEM!$C$3:$E$138,3,FALSE)</f>
        <v>72671</v>
      </c>
      <c r="F112" s="154">
        <f>VLOOKUP(C112,SYSTEM!$C$3:$F$138,4,FALSE)</f>
        <v>0</v>
      </c>
      <c r="G112" s="154">
        <f>VLOOKUP(C112,SYSTEM!$C$3:$G$138,5,FALSE)</f>
        <v>0</v>
      </c>
      <c r="H112" s="154">
        <f>VLOOKUP(C112,SYSTEM!$C$3:$H$138,6,FALSE)</f>
        <v>0</v>
      </c>
      <c r="I112" s="154">
        <f>VLOOKUP(C112,SYSTEM!$C$3:$I$138,7,FALSE)</f>
        <v>0</v>
      </c>
      <c r="J112" s="154">
        <f>VLOOKUP(C112,SYSTEM!$C$3:$J$138,8,FALSE)</f>
        <v>0</v>
      </c>
      <c r="K112" s="154">
        <f t="shared" si="5"/>
        <v>72671</v>
      </c>
      <c r="M112" s="154">
        <f>VLOOKUP(C112,SYSTEM!$C$3:$K$138,9,FALSE)</f>
        <v>72671</v>
      </c>
      <c r="N112" s="61">
        <f t="shared" si="4"/>
        <v>0</v>
      </c>
    </row>
    <row r="113" spans="1:14" x14ac:dyDescent="0.2">
      <c r="A113" s="1" t="s">
        <v>11</v>
      </c>
      <c r="B113" s="1" t="s">
        <v>123</v>
      </c>
      <c r="C113" s="1" t="s">
        <v>219</v>
      </c>
      <c r="D113" s="1" t="s">
        <v>168</v>
      </c>
      <c r="E113" s="154">
        <f>VLOOKUP(C113,SYSTEM!$C$3:$E$138,3,FALSE)</f>
        <v>437351</v>
      </c>
      <c r="F113" s="154">
        <f>VLOOKUP(C113,SYSTEM!$C$3:$F$138,4,FALSE)</f>
        <v>0</v>
      </c>
      <c r="G113" s="154">
        <f>VLOOKUP(C113,SYSTEM!$C$3:$G$138,5,FALSE)</f>
        <v>0</v>
      </c>
      <c r="H113" s="154">
        <f>VLOOKUP(C113,SYSTEM!$C$3:$H$138,6,FALSE)</f>
        <v>0</v>
      </c>
      <c r="I113" s="154">
        <f>VLOOKUP(C113,SYSTEM!$C$3:$I$138,7,FALSE)</f>
        <v>0</v>
      </c>
      <c r="J113" s="154">
        <f>VLOOKUP(C113,SYSTEM!$C$3:$J$138,8,FALSE)</f>
        <v>0</v>
      </c>
      <c r="K113" s="154">
        <f t="shared" si="5"/>
        <v>437351</v>
      </c>
      <c r="M113" s="154">
        <f>VLOOKUP(C113,SYSTEM!$C$3:$K$138,9,FALSE)</f>
        <v>437351</v>
      </c>
      <c r="N113" s="61">
        <f t="shared" si="4"/>
        <v>0</v>
      </c>
    </row>
    <row r="114" spans="1:14" x14ac:dyDescent="0.2">
      <c r="A114" s="1" t="s">
        <v>11</v>
      </c>
      <c r="B114" s="1" t="s">
        <v>123</v>
      </c>
      <c r="C114" s="1" t="s">
        <v>156</v>
      </c>
      <c r="D114" s="1" t="s">
        <v>70</v>
      </c>
      <c r="E114" s="154">
        <f>VLOOKUP(C114,SYSTEM!$C$3:$E$138,3,FALSE)</f>
        <v>13126977.52</v>
      </c>
      <c r="F114" s="154">
        <f>VLOOKUP(C114,SYSTEM!$C$3:$F$138,4,FALSE)</f>
        <v>1706910.88</v>
      </c>
      <c r="G114" s="154">
        <f>VLOOKUP(C114,SYSTEM!$C$3:$G$138,5,FALSE)</f>
        <v>-175297.75</v>
      </c>
      <c r="H114" s="154">
        <f>VLOOKUP(C114,SYSTEM!$C$3:$H$138,6,FALSE)</f>
        <v>0</v>
      </c>
      <c r="I114" s="154">
        <f>VLOOKUP(C114,SYSTEM!$C$3:$I$138,7,FALSE)</f>
        <v>0</v>
      </c>
      <c r="J114" s="154">
        <f>VLOOKUP(C114,SYSTEM!$C$3:$J$138,8,FALSE)</f>
        <v>0</v>
      </c>
      <c r="K114" s="154">
        <f t="shared" si="5"/>
        <v>14658590.649999999</v>
      </c>
      <c r="M114" s="154">
        <f>VLOOKUP(C114,SYSTEM!$C$3:$K$138,9,FALSE)</f>
        <v>14658590.649999999</v>
      </c>
      <c r="N114" s="61">
        <f t="shared" si="4"/>
        <v>0</v>
      </c>
    </row>
    <row r="115" spans="1:14" x14ac:dyDescent="0.2">
      <c r="A115" s="1" t="s">
        <v>11</v>
      </c>
      <c r="B115" s="1" t="s">
        <v>123</v>
      </c>
      <c r="C115" s="1" t="s">
        <v>154</v>
      </c>
      <c r="D115" s="1" t="s">
        <v>155</v>
      </c>
      <c r="E115" s="154">
        <f>VLOOKUP(C115,SYSTEM!$C$3:$E$138,3,FALSE)</f>
        <v>5500003.5700000003</v>
      </c>
      <c r="F115" s="154">
        <f>VLOOKUP(C115,SYSTEM!$C$3:$F$138,4,FALSE)</f>
        <v>436053.21</v>
      </c>
      <c r="G115" s="154">
        <f>VLOOKUP(C115,SYSTEM!$C$3:$G$138,5,FALSE)</f>
        <v>0</v>
      </c>
      <c r="H115" s="154">
        <f>VLOOKUP(C115,SYSTEM!$C$3:$H$138,6,FALSE)</f>
        <v>0</v>
      </c>
      <c r="I115" s="154">
        <f>VLOOKUP(C115,SYSTEM!$C$3:$I$138,7,FALSE)</f>
        <v>0</v>
      </c>
      <c r="J115" s="154">
        <f>VLOOKUP(C115,SYSTEM!$C$3:$J$138,8,FALSE)</f>
        <v>0</v>
      </c>
      <c r="K115" s="154">
        <f t="shared" si="5"/>
        <v>5936056.7800000003</v>
      </c>
      <c r="M115" s="154">
        <f>VLOOKUP(C115,SYSTEM!$C$3:$K$138,9,FALSE)</f>
        <v>5936056.7800000003</v>
      </c>
      <c r="N115" s="61">
        <f t="shared" si="4"/>
        <v>0</v>
      </c>
    </row>
    <row r="116" spans="1:14" x14ac:dyDescent="0.2">
      <c r="A116" s="1" t="s">
        <v>11</v>
      </c>
      <c r="B116" s="1" t="s">
        <v>123</v>
      </c>
      <c r="C116" s="1" t="s">
        <v>152</v>
      </c>
      <c r="D116" s="1" t="s">
        <v>153</v>
      </c>
      <c r="E116" s="154">
        <f>VLOOKUP(C116,SYSTEM!$C$3:$E$138,3,FALSE)</f>
        <v>5512878.1300000008</v>
      </c>
      <c r="F116" s="154">
        <f>VLOOKUP(C116,SYSTEM!$C$3:$F$138,4,FALSE)</f>
        <v>498170.7</v>
      </c>
      <c r="G116" s="154">
        <f>VLOOKUP(C116,SYSTEM!$C$3:$G$138,5,FALSE)</f>
        <v>-70549.63</v>
      </c>
      <c r="H116" s="154">
        <f>VLOOKUP(C116,SYSTEM!$C$3:$H$138,6,FALSE)</f>
        <v>0</v>
      </c>
      <c r="I116" s="154">
        <f>VLOOKUP(C116,SYSTEM!$C$3:$I$138,7,FALSE)</f>
        <v>0</v>
      </c>
      <c r="J116" s="154">
        <f>VLOOKUP(C116,SYSTEM!$C$3:$J$138,8,FALSE)</f>
        <v>0</v>
      </c>
      <c r="K116" s="154">
        <f t="shared" si="5"/>
        <v>5940499.2000000011</v>
      </c>
      <c r="M116" s="154">
        <f>VLOOKUP(C116,SYSTEM!$C$3:$K$138,9,FALSE)</f>
        <v>5940499.2000000011</v>
      </c>
      <c r="N116" s="61">
        <f t="shared" si="4"/>
        <v>0</v>
      </c>
    </row>
    <row r="117" spans="1:14" x14ac:dyDescent="0.2">
      <c r="A117" s="1" t="s">
        <v>11</v>
      </c>
      <c r="B117" s="1" t="s">
        <v>123</v>
      </c>
      <c r="C117" s="1" t="s">
        <v>150</v>
      </c>
      <c r="D117" s="1" t="s">
        <v>151</v>
      </c>
      <c r="E117" s="154">
        <f>VLOOKUP(C117,SYSTEM!$C$3:$E$138,3,FALSE)</f>
        <v>18413043.41</v>
      </c>
      <c r="F117" s="154">
        <f>VLOOKUP(C117,SYSTEM!$C$3:$F$138,4,FALSE)</f>
        <v>7551443.3099999996</v>
      </c>
      <c r="G117" s="154">
        <f>VLOOKUP(C117,SYSTEM!$C$3:$G$138,5,FALSE)</f>
        <v>-2853152.8</v>
      </c>
      <c r="H117" s="154">
        <f>VLOOKUP(C117,SYSTEM!$C$3:$H$138,6,FALSE)</f>
        <v>0</v>
      </c>
      <c r="I117" s="154">
        <f>VLOOKUP(C117,SYSTEM!$C$3:$I$138,7,FALSE)</f>
        <v>0</v>
      </c>
      <c r="J117" s="154">
        <f>VLOOKUP(C117,SYSTEM!$C$3:$J$138,8,FALSE)</f>
        <v>0</v>
      </c>
      <c r="K117" s="154">
        <f t="shared" si="5"/>
        <v>23111333.919999998</v>
      </c>
      <c r="M117" s="154">
        <f>VLOOKUP(C117,SYSTEM!$C$3:$K$138,9,FALSE)</f>
        <v>23111333.919999998</v>
      </c>
      <c r="N117" s="61">
        <f t="shared" si="4"/>
        <v>0</v>
      </c>
    </row>
    <row r="118" spans="1:14" x14ac:dyDescent="0.2">
      <c r="A118" s="1" t="s">
        <v>11</v>
      </c>
      <c r="B118" s="1" t="s">
        <v>123</v>
      </c>
      <c r="C118" s="1" t="s">
        <v>148</v>
      </c>
      <c r="D118" s="1" t="s">
        <v>149</v>
      </c>
      <c r="E118" s="154">
        <f>VLOOKUP(C118,SYSTEM!$C$3:$E$138,3,FALSE)</f>
        <v>0</v>
      </c>
      <c r="F118" s="154">
        <f>VLOOKUP(C118,SYSTEM!$C$3:$F$138,4,FALSE)</f>
        <v>0</v>
      </c>
      <c r="G118" s="154">
        <f>VLOOKUP(C118,SYSTEM!$C$3:$G$138,5,FALSE)</f>
        <v>0</v>
      </c>
      <c r="H118" s="154">
        <f>VLOOKUP(C118,SYSTEM!$C$3:$H$138,6,FALSE)</f>
        <v>0</v>
      </c>
      <c r="I118" s="154">
        <f>VLOOKUP(C118,SYSTEM!$C$3:$I$138,7,FALSE)</f>
        <v>0</v>
      </c>
      <c r="J118" s="154">
        <f>VLOOKUP(C118,SYSTEM!$C$3:$J$138,8,FALSE)</f>
        <v>0</v>
      </c>
      <c r="K118" s="154">
        <f t="shared" si="5"/>
        <v>0</v>
      </c>
      <c r="M118" s="154">
        <f>VLOOKUP(C118,SYSTEM!$C$3:$K$138,9,FALSE)</f>
        <v>0</v>
      </c>
      <c r="N118" s="61">
        <f t="shared" si="4"/>
        <v>0</v>
      </c>
    </row>
    <row r="119" spans="1:14" x14ac:dyDescent="0.2">
      <c r="A119" s="1" t="s">
        <v>11</v>
      </c>
      <c r="B119" s="1" t="s">
        <v>123</v>
      </c>
      <c r="C119" s="1" t="s">
        <v>146</v>
      </c>
      <c r="D119" s="1" t="s">
        <v>147</v>
      </c>
      <c r="E119" s="154">
        <f>VLOOKUP(C119,SYSTEM!$C$3:$E$138,3,FALSE)</f>
        <v>0</v>
      </c>
      <c r="F119" s="154">
        <f>VLOOKUP(C119,SYSTEM!$C$3:$F$138,4,FALSE)</f>
        <v>0</v>
      </c>
      <c r="G119" s="154">
        <f>VLOOKUP(C119,SYSTEM!$C$3:$G$138,5,FALSE)</f>
        <v>0</v>
      </c>
      <c r="H119" s="154">
        <f>VLOOKUP(C119,SYSTEM!$C$3:$H$138,6,FALSE)</f>
        <v>0</v>
      </c>
      <c r="I119" s="154">
        <f>VLOOKUP(C119,SYSTEM!$C$3:$I$138,7,FALSE)</f>
        <v>0</v>
      </c>
      <c r="J119" s="154">
        <f>VLOOKUP(C119,SYSTEM!$C$3:$J$138,8,FALSE)</f>
        <v>0</v>
      </c>
      <c r="K119" s="154">
        <f t="shared" si="5"/>
        <v>0</v>
      </c>
      <c r="M119" s="154">
        <f>VLOOKUP(C119,SYSTEM!$C$3:$K$138,9,FALSE)</f>
        <v>0</v>
      </c>
      <c r="N119" s="61">
        <f t="shared" si="4"/>
        <v>0</v>
      </c>
    </row>
    <row r="120" spans="1:14" x14ac:dyDescent="0.2">
      <c r="A120" s="94" t="s">
        <v>11</v>
      </c>
      <c r="B120" s="94" t="s">
        <v>123</v>
      </c>
      <c r="C120" s="94" t="s">
        <v>273</v>
      </c>
      <c r="D120" s="94" t="s">
        <v>274</v>
      </c>
      <c r="E120" s="154">
        <f>VLOOKUP(C120,SYSTEM!$C$3:$E$138,3,FALSE)</f>
        <v>113539.29999999999</v>
      </c>
      <c r="F120" s="154">
        <f>VLOOKUP(C120,SYSTEM!$C$3:$F$138,4,FALSE)</f>
        <v>307631.96000000002</v>
      </c>
      <c r="G120" s="154">
        <f>VLOOKUP(C120,SYSTEM!$C$3:$G$138,5,FALSE)</f>
        <v>0</v>
      </c>
      <c r="H120" s="154">
        <f>VLOOKUP(C120,SYSTEM!$C$3:$H$138,6,FALSE)</f>
        <v>0</v>
      </c>
      <c r="I120" s="154">
        <f>VLOOKUP(C120,SYSTEM!$C$3:$I$138,7,FALSE)</f>
        <v>0</v>
      </c>
      <c r="J120" s="154">
        <f>VLOOKUP(C120,SYSTEM!$C$3:$J$138,8,FALSE)</f>
        <v>0</v>
      </c>
      <c r="K120" s="154">
        <f t="shared" si="5"/>
        <v>421171.26</v>
      </c>
      <c r="M120" s="154">
        <f>VLOOKUP(C120,SYSTEM!$C$3:$K$138,9,FALSE)</f>
        <v>421171.26</v>
      </c>
      <c r="N120" s="61">
        <f t="shared" si="4"/>
        <v>0</v>
      </c>
    </row>
    <row r="121" spans="1:14" x14ac:dyDescent="0.2">
      <c r="A121" s="1" t="s">
        <v>11</v>
      </c>
      <c r="B121" s="1" t="s">
        <v>123</v>
      </c>
      <c r="C121" s="1" t="s">
        <v>144</v>
      </c>
      <c r="D121" s="1" t="s">
        <v>145</v>
      </c>
      <c r="E121" s="154">
        <f>VLOOKUP(C121,SYSTEM!$C$3:$E$138,3,FALSE)</f>
        <v>11704066.540000001</v>
      </c>
      <c r="F121" s="154">
        <f>VLOOKUP(C121,SYSTEM!$C$3:$F$138,4,FALSE)</f>
        <v>3508973.46</v>
      </c>
      <c r="G121" s="154">
        <f>VLOOKUP(C121,SYSTEM!$C$3:$G$138,5,FALSE)</f>
        <v>-1726027.74</v>
      </c>
      <c r="H121" s="154">
        <f>VLOOKUP(C121,SYSTEM!$C$3:$H$138,6,FALSE)</f>
        <v>0</v>
      </c>
      <c r="I121" s="154">
        <f>VLOOKUP(C121,SYSTEM!$C$3:$I$138,7,FALSE)</f>
        <v>500879</v>
      </c>
      <c r="J121" s="154">
        <f>VLOOKUP(C121,SYSTEM!$C$3:$J$138,8,FALSE)</f>
        <v>0</v>
      </c>
      <c r="K121" s="154">
        <f t="shared" si="5"/>
        <v>13987891.26</v>
      </c>
      <c r="M121" s="154">
        <f>VLOOKUP(C121,SYSTEM!$C$3:$K$138,9,FALSE)</f>
        <v>13987891.26</v>
      </c>
      <c r="N121" s="61">
        <f t="shared" si="4"/>
        <v>0</v>
      </c>
    </row>
    <row r="122" spans="1:14" x14ac:dyDescent="0.2">
      <c r="A122" s="1" t="s">
        <v>11</v>
      </c>
      <c r="B122" s="1" t="s">
        <v>123</v>
      </c>
      <c r="C122" s="1" t="s">
        <v>220</v>
      </c>
      <c r="D122" s="1" t="s">
        <v>221</v>
      </c>
      <c r="E122" s="154">
        <f>VLOOKUP(C122,SYSTEM!$C$3:$E$138,3,FALSE)</f>
        <v>119406</v>
      </c>
      <c r="F122" s="154">
        <f>VLOOKUP(C122,SYSTEM!$C$3:$F$138,4,FALSE)</f>
        <v>0</v>
      </c>
      <c r="G122" s="154">
        <f>VLOOKUP(C122,SYSTEM!$C$3:$G$138,5,FALSE)</f>
        <v>0</v>
      </c>
      <c r="H122" s="154">
        <f>VLOOKUP(C122,SYSTEM!$C$3:$H$138,6,FALSE)</f>
        <v>0</v>
      </c>
      <c r="I122" s="154">
        <f>VLOOKUP(C122,SYSTEM!$C$3:$I$138,7,FALSE)</f>
        <v>0</v>
      </c>
      <c r="J122" s="154">
        <f>VLOOKUP(C122,SYSTEM!$C$3:$J$138,8,FALSE)</f>
        <v>0</v>
      </c>
      <c r="K122" s="154">
        <f t="shared" si="5"/>
        <v>119406</v>
      </c>
      <c r="M122" s="154">
        <f>VLOOKUP(C122,SYSTEM!$C$3:$K$138,9,FALSE)</f>
        <v>119406</v>
      </c>
      <c r="N122" s="61">
        <f t="shared" si="4"/>
        <v>0</v>
      </c>
    </row>
    <row r="123" spans="1:14" x14ac:dyDescent="0.2">
      <c r="A123" s="1" t="s">
        <v>11</v>
      </c>
      <c r="B123" s="1" t="s">
        <v>123</v>
      </c>
      <c r="C123" s="1" t="s">
        <v>142</v>
      </c>
      <c r="D123" s="1" t="s">
        <v>143</v>
      </c>
      <c r="E123" s="154">
        <f>VLOOKUP(C123,SYSTEM!$C$3:$E$138,3,FALSE)</f>
        <v>5350007.6099999994</v>
      </c>
      <c r="F123" s="154">
        <f>VLOOKUP(C123,SYSTEM!$C$3:$F$138,4,FALSE)</f>
        <v>484005.19</v>
      </c>
      <c r="G123" s="154">
        <f>VLOOKUP(C123,SYSTEM!$C$3:$G$138,5,FALSE)</f>
        <v>0</v>
      </c>
      <c r="H123" s="154">
        <f>VLOOKUP(C123,SYSTEM!$C$3:$H$138,6,FALSE)</f>
        <v>0</v>
      </c>
      <c r="I123" s="154">
        <f>VLOOKUP(C123,SYSTEM!$C$3:$I$138,7,FALSE)</f>
        <v>35573.71</v>
      </c>
      <c r="J123" s="154">
        <f>VLOOKUP(C123,SYSTEM!$C$3:$J$138,8,FALSE)</f>
        <v>0</v>
      </c>
      <c r="K123" s="154">
        <f t="shared" si="5"/>
        <v>5869586.5099999998</v>
      </c>
      <c r="M123" s="154">
        <f>VLOOKUP(C123,SYSTEM!$C$3:$K$138,9,FALSE)</f>
        <v>5869586.5099999998</v>
      </c>
      <c r="N123" s="61">
        <f t="shared" si="4"/>
        <v>0</v>
      </c>
    </row>
    <row r="124" spans="1:14" x14ac:dyDescent="0.2">
      <c r="A124" s="1" t="s">
        <v>11</v>
      </c>
      <c r="B124" s="1" t="s">
        <v>123</v>
      </c>
      <c r="C124" s="1" t="s">
        <v>222</v>
      </c>
      <c r="D124" s="1" t="s">
        <v>223</v>
      </c>
      <c r="E124" s="154">
        <f>VLOOKUP(C124,SYSTEM!$C$3:$E$138,3,FALSE)</f>
        <v>267.87</v>
      </c>
      <c r="F124" s="154">
        <f>VLOOKUP(C124,SYSTEM!$C$3:$F$138,4,FALSE)</f>
        <v>-9.9600000000000009</v>
      </c>
      <c r="G124" s="154">
        <f>VLOOKUP(C124,SYSTEM!$C$3:$G$138,5,FALSE)</f>
        <v>-277</v>
      </c>
      <c r="H124" s="154">
        <f>VLOOKUP(C124,SYSTEM!$C$3:$H$138,6,FALSE)</f>
        <v>0</v>
      </c>
      <c r="I124" s="154">
        <f>VLOOKUP(C124,SYSTEM!$C$3:$I$138,7,FALSE)</f>
        <v>0</v>
      </c>
      <c r="J124" s="154">
        <f>VLOOKUP(C124,SYSTEM!$C$3:$J$138,8,FALSE)</f>
        <v>0</v>
      </c>
      <c r="K124" s="154">
        <f t="shared" si="5"/>
        <v>-19.089999999999975</v>
      </c>
      <c r="M124" s="154">
        <f>VLOOKUP(C124,SYSTEM!$C$3:$K$138,9,FALSE)</f>
        <v>-19.089999999999975</v>
      </c>
      <c r="N124" s="61">
        <f t="shared" si="4"/>
        <v>0</v>
      </c>
    </row>
    <row r="125" spans="1:14" x14ac:dyDescent="0.2">
      <c r="A125" s="1" t="s">
        <v>11</v>
      </c>
      <c r="B125" s="1" t="s">
        <v>123</v>
      </c>
      <c r="C125" s="1" t="s">
        <v>140</v>
      </c>
      <c r="D125" s="1" t="s">
        <v>141</v>
      </c>
      <c r="E125" s="154">
        <f>VLOOKUP(C125,SYSTEM!$C$3:$E$138,3,FALSE)</f>
        <v>2399535.7300000004</v>
      </c>
      <c r="F125" s="154">
        <f>VLOOKUP(C125,SYSTEM!$C$3:$F$138,4,FALSE)</f>
        <v>455433.78</v>
      </c>
      <c r="G125" s="154">
        <f>VLOOKUP(C125,SYSTEM!$C$3:$G$138,5,FALSE)</f>
        <v>-9990.4699999999993</v>
      </c>
      <c r="H125" s="154">
        <f>VLOOKUP(C125,SYSTEM!$C$3:$H$138,6,FALSE)</f>
        <v>0</v>
      </c>
      <c r="I125" s="154">
        <f>VLOOKUP(C125,SYSTEM!$C$3:$I$138,7,FALSE)</f>
        <v>176610</v>
      </c>
      <c r="J125" s="154">
        <f>VLOOKUP(C125,SYSTEM!$C$3:$J$138,8,FALSE)</f>
        <v>0</v>
      </c>
      <c r="K125" s="154">
        <f t="shared" si="5"/>
        <v>3021589.0400000005</v>
      </c>
      <c r="M125" s="154">
        <f>VLOOKUP(C125,SYSTEM!$C$3:$K$138,9,FALSE)</f>
        <v>3021589.0400000005</v>
      </c>
      <c r="N125" s="61">
        <f t="shared" si="4"/>
        <v>0</v>
      </c>
    </row>
    <row r="126" spans="1:14" x14ac:dyDescent="0.2">
      <c r="A126" s="1" t="s">
        <v>11</v>
      </c>
      <c r="B126" s="1" t="s">
        <v>123</v>
      </c>
      <c r="C126" s="1" t="s">
        <v>138</v>
      </c>
      <c r="D126" s="1" t="s">
        <v>139</v>
      </c>
      <c r="E126" s="154">
        <f>VLOOKUP(C126,SYSTEM!$C$3:$E$138,3,FALSE)</f>
        <v>53197.22</v>
      </c>
      <c r="F126" s="154">
        <f>VLOOKUP(C126,SYSTEM!$C$3:$F$138,4,FALSE)</f>
        <v>7009.09</v>
      </c>
      <c r="G126" s="154">
        <f>VLOOKUP(C126,SYSTEM!$C$3:$G$138,5,FALSE)</f>
        <v>-20921.45</v>
      </c>
      <c r="H126" s="154">
        <f>VLOOKUP(C126,SYSTEM!$C$3:$H$138,6,FALSE)</f>
        <v>0</v>
      </c>
      <c r="I126" s="154">
        <f>VLOOKUP(C126,SYSTEM!$C$3:$I$138,7,FALSE)</f>
        <v>0</v>
      </c>
      <c r="J126" s="154">
        <f>VLOOKUP(C126,SYSTEM!$C$3:$J$138,8,FALSE)</f>
        <v>0</v>
      </c>
      <c r="K126" s="154">
        <f t="shared" si="5"/>
        <v>39284.86</v>
      </c>
      <c r="M126" s="154">
        <f>VLOOKUP(C126,SYSTEM!$C$3:$K$138,9,FALSE)</f>
        <v>39284.86</v>
      </c>
      <c r="N126" s="61">
        <f t="shared" si="4"/>
        <v>0</v>
      </c>
    </row>
    <row r="127" spans="1:14" x14ac:dyDescent="0.2">
      <c r="A127" s="1" t="s">
        <v>11</v>
      </c>
      <c r="B127" s="1" t="s">
        <v>123</v>
      </c>
      <c r="C127" s="1" t="s">
        <v>136</v>
      </c>
      <c r="D127" s="1" t="s">
        <v>137</v>
      </c>
      <c r="E127" s="154">
        <f>VLOOKUP(C127,SYSTEM!$C$3:$E$138,3,FALSE)</f>
        <v>118585.64</v>
      </c>
      <c r="F127" s="154">
        <f>VLOOKUP(C127,SYSTEM!$C$3:$F$138,4,FALSE)</f>
        <v>389053.14</v>
      </c>
      <c r="G127" s="154">
        <f>VLOOKUP(C127,SYSTEM!$C$3:$G$138,5,FALSE)</f>
        <v>0</v>
      </c>
      <c r="H127" s="154">
        <f>VLOOKUP(C127,SYSTEM!$C$3:$H$138,6,FALSE)</f>
        <v>0</v>
      </c>
      <c r="I127" s="154">
        <f>VLOOKUP(C127,SYSTEM!$C$3:$I$138,7,FALSE)</f>
        <v>0</v>
      </c>
      <c r="J127" s="154">
        <f>VLOOKUP(C127,SYSTEM!$C$3:$J$138,8,FALSE)</f>
        <v>0</v>
      </c>
      <c r="K127" s="154">
        <f t="shared" si="5"/>
        <v>507638.78</v>
      </c>
      <c r="M127" s="154">
        <f>VLOOKUP(C127,SYSTEM!$C$3:$K$138,9,FALSE)</f>
        <v>507638.78</v>
      </c>
      <c r="N127" s="61">
        <f t="shared" si="4"/>
        <v>0</v>
      </c>
    </row>
    <row r="128" spans="1:14" x14ac:dyDescent="0.2">
      <c r="A128" s="1" t="s">
        <v>11</v>
      </c>
      <c r="B128" s="1" t="s">
        <v>123</v>
      </c>
      <c r="C128" s="1" t="s">
        <v>134</v>
      </c>
      <c r="D128" s="1" t="s">
        <v>135</v>
      </c>
      <c r="E128" s="154">
        <f>VLOOKUP(C128,SYSTEM!$C$3:$E$138,3,FALSE)</f>
        <v>-6055.6</v>
      </c>
      <c r="F128" s="154">
        <f>VLOOKUP(C128,SYSTEM!$C$3:$F$138,4,FALSE)</f>
        <v>-17469</v>
      </c>
      <c r="G128" s="154">
        <f>VLOOKUP(C128,SYSTEM!$C$3:$G$138,5,FALSE)</f>
        <v>0</v>
      </c>
      <c r="H128" s="154">
        <f>VLOOKUP(C128,SYSTEM!$C$3:$H$138,6,FALSE)</f>
        <v>0</v>
      </c>
      <c r="I128" s="154">
        <f>VLOOKUP(C128,SYSTEM!$C$3:$I$138,7,FALSE)</f>
        <v>0</v>
      </c>
      <c r="J128" s="154">
        <f>VLOOKUP(C128,SYSTEM!$C$3:$J$138,8,FALSE)</f>
        <v>0</v>
      </c>
      <c r="K128" s="154">
        <f t="shared" si="5"/>
        <v>-23524.6</v>
      </c>
      <c r="M128" s="154">
        <f>VLOOKUP(C128,SYSTEM!$C$3:$K$138,9,FALSE)</f>
        <v>-23524.6</v>
      </c>
      <c r="N128" s="61">
        <f t="shared" si="4"/>
        <v>0</v>
      </c>
    </row>
    <row r="129" spans="1:14" x14ac:dyDescent="0.2">
      <c r="A129" s="1" t="s">
        <v>11</v>
      </c>
      <c r="B129" s="1" t="s">
        <v>123</v>
      </c>
      <c r="C129" s="1" t="s">
        <v>132</v>
      </c>
      <c r="D129" s="1" t="s">
        <v>133</v>
      </c>
      <c r="E129" s="154">
        <f>VLOOKUP(C129,SYSTEM!$C$3:$E$138,3,FALSE)</f>
        <v>385537.15</v>
      </c>
      <c r="F129" s="154">
        <f>VLOOKUP(C129,SYSTEM!$C$3:$F$138,4,FALSE)</f>
        <v>339488.98</v>
      </c>
      <c r="G129" s="154">
        <f>VLOOKUP(C129,SYSTEM!$C$3:$G$138,5,FALSE)</f>
        <v>-1730.6</v>
      </c>
      <c r="H129" s="154">
        <f>VLOOKUP(C129,SYSTEM!$C$3:$H$138,6,FALSE)</f>
        <v>0</v>
      </c>
      <c r="I129" s="154">
        <f>VLOOKUP(C129,SYSTEM!$C$3:$I$138,7,FALSE)</f>
        <v>0</v>
      </c>
      <c r="J129" s="154">
        <f>VLOOKUP(C129,SYSTEM!$C$3:$J$138,8,FALSE)</f>
        <v>0</v>
      </c>
      <c r="K129" s="154">
        <f t="shared" si="5"/>
        <v>723295.53</v>
      </c>
      <c r="M129" s="154">
        <f>VLOOKUP(C129,SYSTEM!$C$3:$K$138,9,FALSE)</f>
        <v>723295.53</v>
      </c>
      <c r="N129" s="61">
        <f t="shared" si="4"/>
        <v>0</v>
      </c>
    </row>
    <row r="130" spans="1:14" x14ac:dyDescent="0.2">
      <c r="A130" s="1" t="s">
        <v>11</v>
      </c>
      <c r="B130" s="1" t="s">
        <v>123</v>
      </c>
      <c r="C130" s="1" t="s">
        <v>130</v>
      </c>
      <c r="D130" s="1" t="s">
        <v>131</v>
      </c>
      <c r="E130" s="154">
        <f>VLOOKUP(C130,SYSTEM!$C$3:$E$138,3,FALSE)</f>
        <v>639007.99</v>
      </c>
      <c r="F130" s="154">
        <f>VLOOKUP(C130,SYSTEM!$C$3:$F$138,4,FALSE)</f>
        <v>296735.09999999998</v>
      </c>
      <c r="G130" s="154">
        <f>VLOOKUP(C130,SYSTEM!$C$3:$G$138,5,FALSE)</f>
        <v>0</v>
      </c>
      <c r="H130" s="154">
        <f>VLOOKUP(C130,SYSTEM!$C$3:$H$138,6,FALSE)</f>
        <v>0</v>
      </c>
      <c r="I130" s="154">
        <f>VLOOKUP(C130,SYSTEM!$C$3:$I$138,7,FALSE)</f>
        <v>0</v>
      </c>
      <c r="J130" s="154">
        <f>VLOOKUP(C130,SYSTEM!$C$3:$J$138,8,FALSE)</f>
        <v>0</v>
      </c>
      <c r="K130" s="154">
        <f t="shared" ref="K130:K137" si="6">SUM(E130:J130)</f>
        <v>935743.09</v>
      </c>
      <c r="M130" s="154">
        <f>VLOOKUP(C130,SYSTEM!$C$3:$K$138,9,FALSE)</f>
        <v>935743.09</v>
      </c>
      <c r="N130" s="61">
        <f t="shared" si="4"/>
        <v>0</v>
      </c>
    </row>
    <row r="131" spans="1:14" x14ac:dyDescent="0.2">
      <c r="A131" s="1" t="s">
        <v>11</v>
      </c>
      <c r="B131" s="1" t="s">
        <v>123</v>
      </c>
      <c r="C131" s="1" t="s">
        <v>128</v>
      </c>
      <c r="D131" s="1" t="s">
        <v>129</v>
      </c>
      <c r="E131" s="154">
        <f>VLOOKUP(C131,SYSTEM!$C$3:$E$138,3,FALSE)</f>
        <v>429148.24</v>
      </c>
      <c r="F131" s="154">
        <f>VLOOKUP(C131,SYSTEM!$C$3:$F$138,4,FALSE)</f>
        <v>33485.64</v>
      </c>
      <c r="G131" s="154">
        <f>VLOOKUP(C131,SYSTEM!$C$3:$G$138,5,FALSE)</f>
        <v>0</v>
      </c>
      <c r="H131" s="154">
        <f>VLOOKUP(C131,SYSTEM!$C$3:$H$138,6,FALSE)</f>
        <v>0</v>
      </c>
      <c r="I131" s="154">
        <f>VLOOKUP(C131,SYSTEM!$C$3:$I$138,7,FALSE)</f>
        <v>0</v>
      </c>
      <c r="J131" s="154">
        <f>VLOOKUP(C131,SYSTEM!$C$3:$J$138,8,FALSE)</f>
        <v>0</v>
      </c>
      <c r="K131" s="154">
        <f t="shared" si="6"/>
        <v>462633.88</v>
      </c>
      <c r="M131" s="154">
        <f>VLOOKUP(C131,SYSTEM!$C$3:$K$138,9,FALSE)</f>
        <v>462633.88</v>
      </c>
      <c r="N131" s="61">
        <f t="shared" si="4"/>
        <v>0</v>
      </c>
    </row>
    <row r="132" spans="1:14" x14ac:dyDescent="0.2">
      <c r="A132" s="1" t="s">
        <v>11</v>
      </c>
      <c r="B132" s="1" t="s">
        <v>123</v>
      </c>
      <c r="C132" s="1" t="s">
        <v>224</v>
      </c>
      <c r="D132" s="1" t="s">
        <v>225</v>
      </c>
      <c r="E132" s="154">
        <f>VLOOKUP(C132,SYSTEM!$C$3:$E$138,3,FALSE)</f>
        <v>0</v>
      </c>
      <c r="F132" s="154">
        <f>VLOOKUP(C132,SYSTEM!$C$3:$F$138,4,FALSE)</f>
        <v>0</v>
      </c>
      <c r="G132" s="154">
        <f>VLOOKUP(C132,SYSTEM!$C$3:$G$138,5,FALSE)</f>
        <v>0</v>
      </c>
      <c r="H132" s="154">
        <f>VLOOKUP(C132,SYSTEM!$C$3:$H$138,6,FALSE)</f>
        <v>0</v>
      </c>
      <c r="I132" s="154">
        <f>VLOOKUP(C132,SYSTEM!$C$3:$I$138,7,FALSE)</f>
        <v>0</v>
      </c>
      <c r="J132" s="154">
        <f>VLOOKUP(C132,SYSTEM!$C$3:$J$138,8,FALSE)</f>
        <v>0</v>
      </c>
      <c r="K132" s="154">
        <f t="shared" si="6"/>
        <v>0</v>
      </c>
      <c r="M132" s="154">
        <f>VLOOKUP(C132,SYSTEM!$C$3:$K$138,9,FALSE)</f>
        <v>0</v>
      </c>
      <c r="N132" s="61">
        <f t="shared" ref="N132:N137" si="7">ROUND(K132-M132,2)</f>
        <v>0</v>
      </c>
    </row>
    <row r="133" spans="1:14" x14ac:dyDescent="0.2">
      <c r="A133" s="1" t="s">
        <v>11</v>
      </c>
      <c r="B133" s="1" t="s">
        <v>123</v>
      </c>
      <c r="C133" s="1" t="s">
        <v>226</v>
      </c>
      <c r="D133" s="1" t="s">
        <v>227</v>
      </c>
      <c r="E133" s="154">
        <f>VLOOKUP(C133,SYSTEM!$C$3:$E$138,3,FALSE)</f>
        <v>3906.44</v>
      </c>
      <c r="F133" s="154">
        <f>VLOOKUP(C133,SYSTEM!$C$3:$F$138,4,FALSE)</f>
        <v>-494.04</v>
      </c>
      <c r="G133" s="154">
        <f>VLOOKUP(C133,SYSTEM!$C$3:$G$138,5,FALSE)</f>
        <v>0</v>
      </c>
      <c r="H133" s="154">
        <f>VLOOKUP(C133,SYSTEM!$C$3:$H$138,6,FALSE)</f>
        <v>0</v>
      </c>
      <c r="I133" s="154">
        <f>VLOOKUP(C133,SYSTEM!$C$3:$I$138,7,FALSE)</f>
        <v>0</v>
      </c>
      <c r="J133" s="154">
        <f>VLOOKUP(C133,SYSTEM!$C$3:$J$138,8,FALSE)</f>
        <v>0</v>
      </c>
      <c r="K133" s="154">
        <f t="shared" si="6"/>
        <v>3412.4</v>
      </c>
      <c r="M133" s="154">
        <f>VLOOKUP(C133,SYSTEM!$C$3:$K$138,9,FALSE)</f>
        <v>3412.4</v>
      </c>
      <c r="N133" s="61">
        <f t="shared" si="7"/>
        <v>0</v>
      </c>
    </row>
    <row r="134" spans="1:14" x14ac:dyDescent="0.2">
      <c r="A134" s="1" t="s">
        <v>11</v>
      </c>
      <c r="B134" s="1" t="s">
        <v>123</v>
      </c>
      <c r="C134" s="1" t="s">
        <v>126</v>
      </c>
      <c r="D134" s="1" t="s">
        <v>127</v>
      </c>
      <c r="E134" s="154">
        <f>VLOOKUP(C134,SYSTEM!$C$3:$E$138,3,FALSE)</f>
        <v>5654.07</v>
      </c>
      <c r="F134" s="154">
        <f>VLOOKUP(C134,SYSTEM!$C$3:$F$138,4,FALSE)</f>
        <v>1541.97</v>
      </c>
      <c r="G134" s="154">
        <f>VLOOKUP(C134,SYSTEM!$C$3:$G$138,5,FALSE)</f>
        <v>0</v>
      </c>
      <c r="H134" s="154">
        <f>VLOOKUP(C134,SYSTEM!$C$3:$H$138,6,FALSE)</f>
        <v>0</v>
      </c>
      <c r="I134" s="154">
        <f>VLOOKUP(C134,SYSTEM!$C$3:$I$138,7,FALSE)</f>
        <v>0</v>
      </c>
      <c r="J134" s="154">
        <f>VLOOKUP(C134,SYSTEM!$C$3:$J$138,8,FALSE)</f>
        <v>0</v>
      </c>
      <c r="K134" s="154">
        <f t="shared" si="6"/>
        <v>7196.04</v>
      </c>
      <c r="M134" s="154">
        <f>VLOOKUP(C134,SYSTEM!$C$3:$K$138,9,FALSE)</f>
        <v>7196.04</v>
      </c>
      <c r="N134" s="61">
        <f t="shared" si="7"/>
        <v>0</v>
      </c>
    </row>
    <row r="135" spans="1:14" x14ac:dyDescent="0.2">
      <c r="A135" s="1" t="s">
        <v>11</v>
      </c>
      <c r="B135" s="1" t="s">
        <v>123</v>
      </c>
      <c r="C135" s="1" t="s">
        <v>124</v>
      </c>
      <c r="D135" s="1" t="s">
        <v>125</v>
      </c>
      <c r="E135" s="154">
        <f>VLOOKUP(C135,SYSTEM!$C$3:$E$138,3,FALSE)</f>
        <v>14873</v>
      </c>
      <c r="F135" s="154">
        <f>VLOOKUP(C135,SYSTEM!$C$3:$F$138,4,FALSE)</f>
        <v>0</v>
      </c>
      <c r="G135" s="154">
        <f>VLOOKUP(C135,SYSTEM!$C$3:$G$138,5,FALSE)</f>
        <v>0</v>
      </c>
      <c r="H135" s="154">
        <f>VLOOKUP(C135,SYSTEM!$C$3:$H$138,6,FALSE)</f>
        <v>0</v>
      </c>
      <c r="I135" s="154">
        <f>VLOOKUP(C135,SYSTEM!$C$3:$I$138,7,FALSE)</f>
        <v>0</v>
      </c>
      <c r="J135" s="154">
        <f>VLOOKUP(C135,SYSTEM!$C$3:$J$138,8,FALSE)</f>
        <v>0</v>
      </c>
      <c r="K135" s="154">
        <f t="shared" si="6"/>
        <v>14873</v>
      </c>
      <c r="M135" s="154">
        <f>VLOOKUP(C135,SYSTEM!$C$3:$K$138,9,FALSE)</f>
        <v>14873</v>
      </c>
      <c r="N135" s="61">
        <f t="shared" si="7"/>
        <v>0</v>
      </c>
    </row>
    <row r="136" spans="1:14" x14ac:dyDescent="0.2">
      <c r="A136" s="1" t="s">
        <v>11</v>
      </c>
      <c r="B136" s="1" t="s">
        <v>123</v>
      </c>
      <c r="C136" s="1" t="s">
        <v>228</v>
      </c>
      <c r="D136" s="1" t="s">
        <v>229</v>
      </c>
      <c r="E136" s="154">
        <f>VLOOKUP(C136,SYSTEM!$C$3:$E$138,3,FALSE)</f>
        <v>10120</v>
      </c>
      <c r="F136" s="154">
        <f>VLOOKUP(C136,SYSTEM!$C$3:$F$138,4,FALSE)</f>
        <v>0</v>
      </c>
      <c r="G136" s="154">
        <f>VLOOKUP(C136,SYSTEM!$C$3:$G$138,5,FALSE)</f>
        <v>0</v>
      </c>
      <c r="H136" s="154">
        <f>VLOOKUP(C136,SYSTEM!$C$3:$H$138,6,FALSE)</f>
        <v>0</v>
      </c>
      <c r="I136" s="154">
        <f>VLOOKUP(C136,SYSTEM!$C$3:$I$138,7,FALSE)</f>
        <v>0</v>
      </c>
      <c r="J136" s="154">
        <f>VLOOKUP(C136,SYSTEM!$C$3:$J$138,8,FALSE)</f>
        <v>0</v>
      </c>
      <c r="K136" s="154">
        <f t="shared" si="6"/>
        <v>10120</v>
      </c>
      <c r="M136" s="154">
        <f>VLOOKUP(C136,SYSTEM!$C$3:$K$138,9,FALSE)</f>
        <v>10120</v>
      </c>
      <c r="N136" s="61">
        <f t="shared" si="7"/>
        <v>0</v>
      </c>
    </row>
    <row r="137" spans="1:14" x14ac:dyDescent="0.2">
      <c r="A137" s="1" t="s">
        <v>11</v>
      </c>
      <c r="B137" s="1" t="s">
        <v>123</v>
      </c>
      <c r="C137" s="1" t="s">
        <v>230</v>
      </c>
      <c r="D137" s="1" t="s">
        <v>231</v>
      </c>
      <c r="E137" s="154">
        <f>VLOOKUP(C137,SYSTEM!$C$3:$E$138,3,FALSE)</f>
        <v>66739</v>
      </c>
      <c r="F137" s="154">
        <f>VLOOKUP(C137,SYSTEM!$C$3:$F$138,4,FALSE)</f>
        <v>0</v>
      </c>
      <c r="G137" s="154">
        <f>VLOOKUP(C137,SYSTEM!$C$3:$G$138,5,FALSE)</f>
        <v>0</v>
      </c>
      <c r="H137" s="154">
        <f>VLOOKUP(C137,SYSTEM!$C$3:$H$138,6,FALSE)</f>
        <v>0</v>
      </c>
      <c r="I137" s="154">
        <f>VLOOKUP(C137,SYSTEM!$C$3:$I$138,7,FALSE)</f>
        <v>0</v>
      </c>
      <c r="J137" s="154">
        <f>VLOOKUP(C137,SYSTEM!$C$3:$J$138,8,FALSE)</f>
        <v>0</v>
      </c>
      <c r="K137" s="154">
        <f t="shared" si="6"/>
        <v>66739</v>
      </c>
      <c r="M137" s="154">
        <f>VLOOKUP(C137,SYSTEM!$C$3:$K$138,9,FALSE)</f>
        <v>66739</v>
      </c>
      <c r="N137" s="61">
        <f t="shared" si="7"/>
        <v>0</v>
      </c>
    </row>
    <row r="138" spans="1:14" ht="13.5" thickBot="1" x14ac:dyDescent="0.25">
      <c r="E138" s="148">
        <f>SUM(E2:E137)</f>
        <v>1443702368.3000002</v>
      </c>
      <c r="F138" s="148">
        <f t="shared" ref="F138:K138" si="8">SUM(F2:F137)</f>
        <v>101433302.73999998</v>
      </c>
      <c r="G138" s="148">
        <f t="shared" si="8"/>
        <v>-19143392.739999998</v>
      </c>
      <c r="H138" s="148">
        <f t="shared" si="8"/>
        <v>-1202677.93</v>
      </c>
      <c r="I138" s="148">
        <f t="shared" si="8"/>
        <v>795206.37</v>
      </c>
      <c r="J138" s="148">
        <f t="shared" si="8"/>
        <v>463610.33</v>
      </c>
      <c r="K138" s="148">
        <f t="shared" si="8"/>
        <v>1526048417.0700002</v>
      </c>
    </row>
    <row r="139" spans="1:14" ht="13.5" thickTop="1" x14ac:dyDescent="0.2"/>
    <row r="141" spans="1:14" x14ac:dyDescent="0.2">
      <c r="J141" s="1">
        <v>108002</v>
      </c>
      <c r="K141" s="149">
        <v>10026175.869999999</v>
      </c>
    </row>
    <row r="142" spans="1:14" x14ac:dyDescent="0.2">
      <c r="J142" s="1">
        <v>108003</v>
      </c>
      <c r="K142" s="149">
        <v>-38428.21</v>
      </c>
    </row>
    <row r="143" spans="1:14" x14ac:dyDescent="0.2">
      <c r="J143" s="1">
        <v>108004</v>
      </c>
      <c r="K143" s="149">
        <v>-584035.19999999995</v>
      </c>
    </row>
    <row r="144" spans="1:14" x14ac:dyDescent="0.2">
      <c r="J144" s="76">
        <v>108005</v>
      </c>
      <c r="K144" s="149">
        <v>97238.35</v>
      </c>
    </row>
    <row r="145" spans="10:11" x14ac:dyDescent="0.2">
      <c r="J145" s="76">
        <v>108009</v>
      </c>
      <c r="K145" s="149">
        <v>2379323.09</v>
      </c>
    </row>
    <row r="146" spans="10:11" x14ac:dyDescent="0.2">
      <c r="J146" s="1">
        <v>108010</v>
      </c>
      <c r="K146" s="149">
        <v>58030247.039999999</v>
      </c>
    </row>
    <row r="147" spans="10:11" x14ac:dyDescent="0.2">
      <c r="J147" s="1">
        <v>108011</v>
      </c>
      <c r="K147" s="149">
        <v>-1155113772.71</v>
      </c>
    </row>
    <row r="148" spans="10:11" x14ac:dyDescent="0.2">
      <c r="J148" s="1">
        <v>108012</v>
      </c>
      <c r="K148" s="149">
        <v>-18113764.120000001</v>
      </c>
    </row>
    <row r="149" spans="10:11" x14ac:dyDescent="0.2">
      <c r="J149" s="1">
        <v>108013</v>
      </c>
      <c r="K149" s="149">
        <v>4171728.7</v>
      </c>
    </row>
    <row r="150" spans="10:11" x14ac:dyDescent="0.2">
      <c r="J150" s="1">
        <v>108014</v>
      </c>
      <c r="K150" s="149">
        <v>1036068.13</v>
      </c>
    </row>
    <row r="151" spans="10:11" x14ac:dyDescent="0.2">
      <c r="J151" s="1">
        <v>108015</v>
      </c>
      <c r="K151" s="149">
        <v>-3481049.6</v>
      </c>
    </row>
    <row r="152" spans="10:11" x14ac:dyDescent="0.2">
      <c r="J152" s="1">
        <v>108016</v>
      </c>
      <c r="K152" s="149">
        <v>-4405588.18</v>
      </c>
    </row>
    <row r="153" spans="10:11" x14ac:dyDescent="0.2">
      <c r="J153" s="1">
        <v>108018</v>
      </c>
      <c r="K153" s="149">
        <v>-218835.53</v>
      </c>
    </row>
    <row r="154" spans="10:11" x14ac:dyDescent="0.2">
      <c r="J154" s="1">
        <v>108019</v>
      </c>
      <c r="K154" s="149">
        <v>0</v>
      </c>
    </row>
    <row r="155" spans="10:11" x14ac:dyDescent="0.2">
      <c r="J155" s="1">
        <v>108100</v>
      </c>
      <c r="K155" s="149">
        <v>0</v>
      </c>
    </row>
    <row r="156" spans="10:11" x14ac:dyDescent="0.2">
      <c r="J156" s="1">
        <v>108102</v>
      </c>
      <c r="K156" s="149">
        <v>-418853157.08999997</v>
      </c>
    </row>
    <row r="157" spans="10:11" x14ac:dyDescent="0.2">
      <c r="J157" s="1">
        <v>108103</v>
      </c>
      <c r="K157" s="149">
        <v>-980567.61</v>
      </c>
    </row>
    <row r="158" spans="10:11" x14ac:dyDescent="0.2">
      <c r="J158" s="1">
        <v>108666</v>
      </c>
      <c r="K158" s="149">
        <v>0</v>
      </c>
    </row>
    <row r="159" spans="10:11" x14ac:dyDescent="0.2">
      <c r="J159" s="1"/>
      <c r="K159" s="150">
        <f>SUM(K141:K158)</f>
        <v>-1526048417.0699995</v>
      </c>
    </row>
    <row r="160" spans="10:11" x14ac:dyDescent="0.2">
      <c r="K160" s="69">
        <f>+K138+K159</f>
        <v>0</v>
      </c>
    </row>
  </sheetData>
  <sortState ref="A2:K137">
    <sortCondition ref="B2:B137"/>
    <sortCondition ref="C2:C137"/>
  </sortState>
  <pageMargins left="0.75" right="0.75" top="1" bottom="1" header="0.5" footer="0.5"/>
  <pageSetup orientation="portrait" r:id="rId1"/>
  <headerFooter>
    <oddHeader>&amp;RExh. KTW-5 Walker WP7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C346-1FE3-41A5-97C7-1D61851320CC}">
  <dimension ref="A1:N138"/>
  <sheetViews>
    <sheetView showGridLines="0" zoomScaleNormal="100" workbookViewId="0">
      <selection activeCell="H14" sqref="H14"/>
    </sheetView>
  </sheetViews>
  <sheetFormatPr defaultRowHeight="12.75" outlineLevelCol="1" x14ac:dyDescent="0.2"/>
  <cols>
    <col min="1" max="1" width="13" style="1" customWidth="1"/>
    <col min="2" max="2" width="34.42578125" style="1" customWidth="1"/>
    <col min="3" max="3" width="13" style="1" customWidth="1"/>
    <col min="4" max="4" width="9.140625" style="4" customWidth="1" outlineLevel="1"/>
    <col min="5" max="14" width="9.140625" style="1" customWidth="1" outlineLevel="1"/>
    <col min="15" max="16384" width="9.140625" style="1"/>
  </cols>
  <sheetData>
    <row r="1" spans="1:8" x14ac:dyDescent="0.2">
      <c r="A1" s="4">
        <v>301</v>
      </c>
      <c r="B1" s="5" t="s">
        <v>285</v>
      </c>
      <c r="C1" s="4"/>
      <c r="D1" s="4">
        <v>301</v>
      </c>
      <c r="F1" s="13">
        <v>0</v>
      </c>
      <c r="H1" s="157"/>
    </row>
    <row r="2" spans="1:8" x14ac:dyDescent="0.2">
      <c r="A2" s="4">
        <v>302</v>
      </c>
      <c r="B2" s="5" t="s">
        <v>285</v>
      </c>
      <c r="C2" s="4"/>
      <c r="D2" s="4">
        <v>302</v>
      </c>
      <c r="F2" s="13">
        <v>0</v>
      </c>
    </row>
    <row r="3" spans="1:8" x14ac:dyDescent="0.2">
      <c r="A3" s="4">
        <v>303.10000000000002</v>
      </c>
      <c r="B3" s="5" t="s">
        <v>286</v>
      </c>
      <c r="C3" s="4"/>
      <c r="D3" s="4">
        <v>303.10000000000002</v>
      </c>
      <c r="E3" s="11">
        <v>6.78</v>
      </c>
      <c r="F3" s="13">
        <v>6.7799999999999999E-2</v>
      </c>
    </row>
    <row r="4" spans="1:8" x14ac:dyDescent="0.2">
      <c r="A4" s="4">
        <v>303.2</v>
      </c>
      <c r="B4" s="5" t="s">
        <v>286</v>
      </c>
      <c r="C4" s="4"/>
      <c r="D4" s="4">
        <v>303.2</v>
      </c>
      <c r="E4" s="11">
        <v>0.01</v>
      </c>
      <c r="F4" s="13">
        <v>1E-4</v>
      </c>
    </row>
    <row r="5" spans="1:8" x14ac:dyDescent="0.2">
      <c r="A5" s="4">
        <v>303.3</v>
      </c>
      <c r="B5" s="5" t="s">
        <v>286</v>
      </c>
      <c r="C5" s="4"/>
      <c r="D5" s="4">
        <v>303.3</v>
      </c>
      <c r="E5" s="11">
        <v>0</v>
      </c>
      <c r="F5" s="13">
        <v>0</v>
      </c>
    </row>
    <row r="6" spans="1:8" x14ac:dyDescent="0.2">
      <c r="A6" s="4">
        <v>303.39999999999998</v>
      </c>
      <c r="B6" s="5" t="s">
        <v>286</v>
      </c>
      <c r="C6" s="4"/>
      <c r="D6" s="4">
        <v>303.39999999999998</v>
      </c>
      <c r="E6" s="11">
        <v>10.96</v>
      </c>
      <c r="F6" s="13">
        <v>0.1096</v>
      </c>
    </row>
    <row r="7" spans="1:8" x14ac:dyDescent="0.2">
      <c r="A7" s="4">
        <v>303.5</v>
      </c>
      <c r="B7" s="5" t="s">
        <v>286</v>
      </c>
      <c r="C7" s="4"/>
      <c r="D7" s="4">
        <v>303.5</v>
      </c>
      <c r="F7" s="13">
        <v>0</v>
      </c>
    </row>
    <row r="8" spans="1:8" x14ac:dyDescent="0.2">
      <c r="A8" s="4">
        <v>303.7</v>
      </c>
      <c r="B8" s="5" t="s">
        <v>286</v>
      </c>
      <c r="C8" s="4"/>
      <c r="D8" s="4">
        <v>303.7</v>
      </c>
      <c r="F8" s="13">
        <v>0.21386800885565521</v>
      </c>
      <c r="G8" s="1" t="s">
        <v>1100</v>
      </c>
    </row>
    <row r="9" spans="1:8" x14ac:dyDescent="0.2">
      <c r="A9" s="4">
        <v>303.10000000000002</v>
      </c>
      <c r="B9" s="5" t="s">
        <v>286</v>
      </c>
      <c r="C9" s="4"/>
      <c r="D9" s="4">
        <v>304.10000000000002</v>
      </c>
      <c r="F9" s="13">
        <v>0</v>
      </c>
    </row>
    <row r="10" spans="1:8" x14ac:dyDescent="0.2">
      <c r="A10" s="4">
        <v>304.10000000000002</v>
      </c>
      <c r="B10" s="1" t="s">
        <v>287</v>
      </c>
      <c r="C10" s="4"/>
      <c r="D10" s="4">
        <v>305.11</v>
      </c>
      <c r="E10" s="11">
        <v>0</v>
      </c>
      <c r="F10" s="13">
        <v>0</v>
      </c>
    </row>
    <row r="11" spans="1:8" x14ac:dyDescent="0.2">
      <c r="A11" s="4">
        <v>305.2</v>
      </c>
      <c r="B11" s="1" t="s">
        <v>287</v>
      </c>
      <c r="C11" s="4"/>
      <c r="D11" s="4">
        <v>305.17</v>
      </c>
      <c r="E11" s="11">
        <v>0</v>
      </c>
      <c r="F11" s="13">
        <v>0</v>
      </c>
    </row>
    <row r="12" spans="1:8" x14ac:dyDescent="0.2">
      <c r="A12" s="4">
        <v>305.5</v>
      </c>
      <c r="B12" s="1" t="s">
        <v>287</v>
      </c>
      <c r="C12" s="4"/>
      <c r="D12" s="4">
        <v>305.2</v>
      </c>
      <c r="F12" s="13">
        <v>0</v>
      </c>
    </row>
    <row r="13" spans="1:8" x14ac:dyDescent="0.2">
      <c r="A13" s="4">
        <v>312.3</v>
      </c>
      <c r="B13" s="1" t="s">
        <v>287</v>
      </c>
      <c r="C13" s="4"/>
      <c r="D13" s="4">
        <v>305.5</v>
      </c>
      <c r="E13" s="11">
        <v>0</v>
      </c>
      <c r="F13" s="13">
        <v>0</v>
      </c>
    </row>
    <row r="14" spans="1:8" x14ac:dyDescent="0.2">
      <c r="A14" s="4">
        <v>318.3</v>
      </c>
      <c r="B14" s="1" t="s">
        <v>287</v>
      </c>
      <c r="C14" s="4"/>
      <c r="D14" s="4">
        <v>311</v>
      </c>
      <c r="F14" s="13">
        <v>0</v>
      </c>
    </row>
    <row r="15" spans="1:8" x14ac:dyDescent="0.2">
      <c r="A15" s="4">
        <v>318.5</v>
      </c>
      <c r="B15" s="1" t="s">
        <v>287</v>
      </c>
      <c r="C15" s="4"/>
      <c r="D15" s="4">
        <v>311.39999999999998</v>
      </c>
      <c r="F15" s="13">
        <v>0</v>
      </c>
    </row>
    <row r="16" spans="1:8" x14ac:dyDescent="0.2">
      <c r="A16" s="4">
        <v>325</v>
      </c>
      <c r="B16" s="1" t="s">
        <v>287</v>
      </c>
      <c r="C16" s="4"/>
      <c r="D16" s="4">
        <v>311.7</v>
      </c>
      <c r="E16" s="11">
        <v>0</v>
      </c>
      <c r="F16" s="13">
        <v>0</v>
      </c>
    </row>
    <row r="17" spans="1:9" x14ac:dyDescent="0.2">
      <c r="A17" s="4">
        <v>327</v>
      </c>
      <c r="B17" s="1" t="s">
        <v>287</v>
      </c>
      <c r="C17" s="4"/>
      <c r="D17" s="4">
        <v>311.8</v>
      </c>
      <c r="E17" s="11">
        <v>0</v>
      </c>
      <c r="F17" s="13">
        <v>0</v>
      </c>
    </row>
    <row r="18" spans="1:9" x14ac:dyDescent="0.2">
      <c r="A18" s="4">
        <v>328</v>
      </c>
      <c r="B18" s="1" t="s">
        <v>287</v>
      </c>
      <c r="C18" s="4"/>
      <c r="D18" s="4">
        <v>312.3</v>
      </c>
      <c r="F18" s="13">
        <v>0</v>
      </c>
    </row>
    <row r="19" spans="1:9" x14ac:dyDescent="0.2">
      <c r="A19" s="4">
        <v>331</v>
      </c>
      <c r="B19" s="1" t="s">
        <v>287</v>
      </c>
      <c r="C19" s="4"/>
      <c r="D19" s="4">
        <v>318.3</v>
      </c>
      <c r="E19" s="11">
        <v>0</v>
      </c>
      <c r="F19" s="13">
        <v>0</v>
      </c>
    </row>
    <row r="20" spans="1:9" x14ac:dyDescent="0.2">
      <c r="A20" s="4">
        <v>332</v>
      </c>
      <c r="B20" s="1" t="s">
        <v>287</v>
      </c>
      <c r="C20" s="4"/>
      <c r="D20" s="4">
        <v>318.5</v>
      </c>
      <c r="E20" s="11">
        <v>0</v>
      </c>
      <c r="F20" s="13">
        <v>0</v>
      </c>
    </row>
    <row r="21" spans="1:9" x14ac:dyDescent="0.2">
      <c r="A21" s="4">
        <v>333</v>
      </c>
      <c r="B21" s="1" t="s">
        <v>287</v>
      </c>
      <c r="C21" s="4"/>
      <c r="D21" s="4">
        <v>319</v>
      </c>
      <c r="E21" s="11">
        <v>0</v>
      </c>
      <c r="F21" s="13">
        <v>0</v>
      </c>
    </row>
    <row r="22" spans="1:9" x14ac:dyDescent="0.2">
      <c r="A22" s="4">
        <v>334</v>
      </c>
      <c r="B22" s="1" t="s">
        <v>287</v>
      </c>
      <c r="C22" s="4"/>
      <c r="D22" s="4">
        <v>325</v>
      </c>
      <c r="F22" s="13">
        <v>0</v>
      </c>
    </row>
    <row r="23" spans="1:9" x14ac:dyDescent="0.2">
      <c r="A23" s="4">
        <v>305.11</v>
      </c>
      <c r="B23" s="1" t="s">
        <v>287</v>
      </c>
      <c r="C23" s="4"/>
      <c r="D23" s="4">
        <v>327</v>
      </c>
      <c r="F23" s="13">
        <v>0</v>
      </c>
    </row>
    <row r="24" spans="1:9" x14ac:dyDescent="0.2">
      <c r="A24" s="4">
        <v>305.17</v>
      </c>
      <c r="B24" s="1" t="s">
        <v>287</v>
      </c>
      <c r="C24" s="4"/>
      <c r="D24" s="4">
        <v>328</v>
      </c>
      <c r="F24" s="13">
        <v>0</v>
      </c>
    </row>
    <row r="25" spans="1:9" x14ac:dyDescent="0.2">
      <c r="A25" s="4">
        <v>311</v>
      </c>
      <c r="B25" s="1" t="s">
        <v>287</v>
      </c>
      <c r="C25" s="4"/>
      <c r="D25" s="4">
        <v>331</v>
      </c>
      <c r="F25" s="13">
        <v>0</v>
      </c>
    </row>
    <row r="26" spans="1:9" x14ac:dyDescent="0.2">
      <c r="A26" s="4">
        <v>311.39999999999998</v>
      </c>
      <c r="B26" s="1" t="s">
        <v>287</v>
      </c>
      <c r="C26" s="4"/>
      <c r="D26" s="4">
        <v>332</v>
      </c>
      <c r="F26" s="13">
        <v>0</v>
      </c>
    </row>
    <row r="27" spans="1:9" x14ac:dyDescent="0.2">
      <c r="A27" s="4">
        <v>311.7</v>
      </c>
      <c r="B27" s="1" t="s">
        <v>287</v>
      </c>
      <c r="C27" s="4"/>
      <c r="D27" s="4">
        <v>333</v>
      </c>
      <c r="F27" s="13">
        <v>0</v>
      </c>
    </row>
    <row r="28" spans="1:9" x14ac:dyDescent="0.2">
      <c r="A28" s="4">
        <v>311.8</v>
      </c>
      <c r="B28" s="1" t="s">
        <v>287</v>
      </c>
      <c r="C28" s="4"/>
      <c r="D28" s="4">
        <v>334</v>
      </c>
      <c r="F28" s="13">
        <v>0</v>
      </c>
    </row>
    <row r="29" spans="1:9" x14ac:dyDescent="0.2">
      <c r="A29" s="4">
        <v>319</v>
      </c>
      <c r="B29" s="1" t="s">
        <v>287</v>
      </c>
      <c r="C29" s="4"/>
      <c r="D29" s="4">
        <v>350.1</v>
      </c>
      <c r="F29" s="13">
        <v>0</v>
      </c>
    </row>
    <row r="30" spans="1:9" x14ac:dyDescent="0.2">
      <c r="A30" s="4">
        <v>350.1</v>
      </c>
      <c r="B30" s="1" t="s">
        <v>288</v>
      </c>
      <c r="C30" s="4"/>
      <c r="D30" s="4">
        <v>350.2</v>
      </c>
      <c r="E30" s="11">
        <v>1.43</v>
      </c>
      <c r="F30" s="13">
        <v>1.43E-2</v>
      </c>
      <c r="I30" s="155"/>
    </row>
    <row r="31" spans="1:9" x14ac:dyDescent="0.2">
      <c r="A31" s="4">
        <v>350.2</v>
      </c>
      <c r="B31" s="1" t="s">
        <v>288</v>
      </c>
      <c r="C31" s="4"/>
      <c r="D31" s="4">
        <v>351</v>
      </c>
      <c r="E31" s="11">
        <v>1.5</v>
      </c>
      <c r="F31" s="13">
        <v>1.4999999999999999E-2</v>
      </c>
      <c r="I31" s="155"/>
    </row>
    <row r="32" spans="1:9" x14ac:dyDescent="0.2">
      <c r="A32" s="4">
        <v>351</v>
      </c>
      <c r="B32" s="1" t="s">
        <v>288</v>
      </c>
      <c r="C32" s="4"/>
      <c r="D32" s="4">
        <v>352</v>
      </c>
      <c r="E32" s="11">
        <v>1.5</v>
      </c>
      <c r="F32" s="13">
        <v>1.4999999999999999E-2</v>
      </c>
      <c r="I32" s="155"/>
    </row>
    <row r="33" spans="1:9" x14ac:dyDescent="0.2">
      <c r="A33" s="4">
        <v>352</v>
      </c>
      <c r="B33" s="1" t="s">
        <v>288</v>
      </c>
      <c r="C33" s="4"/>
      <c r="D33" s="4">
        <v>352.1</v>
      </c>
      <c r="E33" s="11">
        <v>1.67</v>
      </c>
      <c r="F33" s="13">
        <v>1.67E-2</v>
      </c>
      <c r="I33" s="155"/>
    </row>
    <row r="34" spans="1:9" x14ac:dyDescent="0.2">
      <c r="A34" s="4">
        <v>352.1</v>
      </c>
      <c r="B34" s="1" t="s">
        <v>288</v>
      </c>
      <c r="C34" s="4"/>
      <c r="D34" s="4">
        <v>352.2</v>
      </c>
      <c r="E34" s="11">
        <v>1.73</v>
      </c>
      <c r="F34" s="13">
        <v>1.7299999999999999E-2</v>
      </c>
      <c r="I34" s="155"/>
    </row>
    <row r="35" spans="1:9" x14ac:dyDescent="0.2">
      <c r="A35" s="4">
        <v>352.2</v>
      </c>
      <c r="B35" s="1" t="s">
        <v>288</v>
      </c>
      <c r="C35" s="4"/>
      <c r="D35" s="4">
        <v>352.3</v>
      </c>
      <c r="E35" s="11">
        <v>1.57</v>
      </c>
      <c r="F35" s="13">
        <v>1.5699999999999999E-2</v>
      </c>
      <c r="I35" s="155"/>
    </row>
    <row r="36" spans="1:9" x14ac:dyDescent="0.2">
      <c r="A36" s="4">
        <v>352.3</v>
      </c>
      <c r="B36" s="1" t="s">
        <v>288</v>
      </c>
      <c r="C36" s="4"/>
      <c r="D36" s="4">
        <v>353</v>
      </c>
      <c r="E36" s="11">
        <v>2.06</v>
      </c>
      <c r="F36" s="13">
        <v>2.06E-2</v>
      </c>
      <c r="I36" s="155"/>
    </row>
    <row r="37" spans="1:9" x14ac:dyDescent="0.2">
      <c r="A37" s="4">
        <v>353</v>
      </c>
      <c r="B37" s="1" t="s">
        <v>288</v>
      </c>
      <c r="C37" s="4"/>
      <c r="D37" s="4">
        <v>354</v>
      </c>
      <c r="F37" s="13">
        <v>0</v>
      </c>
      <c r="I37" s="155"/>
    </row>
    <row r="38" spans="1:9" x14ac:dyDescent="0.2">
      <c r="A38" s="4">
        <v>354</v>
      </c>
      <c r="B38" s="1" t="s">
        <v>288</v>
      </c>
      <c r="C38" s="4"/>
      <c r="D38" s="4">
        <v>354.1</v>
      </c>
      <c r="E38" s="11">
        <v>1.51</v>
      </c>
      <c r="F38" s="13">
        <v>1.5100000000000001E-2</v>
      </c>
      <c r="I38" s="155"/>
    </row>
    <row r="39" spans="1:9" x14ac:dyDescent="0.2">
      <c r="A39" s="4">
        <v>354.1</v>
      </c>
      <c r="B39" s="1" t="s">
        <v>288</v>
      </c>
      <c r="C39" s="4"/>
      <c r="D39" s="4">
        <v>354.2</v>
      </c>
      <c r="E39" s="11">
        <v>1.48</v>
      </c>
      <c r="F39" s="13">
        <v>1.4800000000000001E-2</v>
      </c>
      <c r="I39" s="155"/>
    </row>
    <row r="40" spans="1:9" x14ac:dyDescent="0.2">
      <c r="A40" s="4">
        <v>354.2</v>
      </c>
      <c r="B40" s="1" t="s">
        <v>288</v>
      </c>
      <c r="C40" s="4"/>
      <c r="D40" s="4">
        <v>354.3</v>
      </c>
      <c r="E40" s="11">
        <v>1.86</v>
      </c>
      <c r="F40" s="13">
        <v>1.8599999999999998E-2</v>
      </c>
      <c r="I40" s="155"/>
    </row>
    <row r="41" spans="1:9" x14ac:dyDescent="0.2">
      <c r="A41" s="4">
        <v>354.3</v>
      </c>
      <c r="B41" s="1" t="s">
        <v>288</v>
      </c>
      <c r="C41" s="4"/>
      <c r="D41" s="4">
        <v>354.4</v>
      </c>
      <c r="E41" s="11">
        <v>1.93</v>
      </c>
      <c r="F41" s="13">
        <v>1.9300000000000001E-2</v>
      </c>
      <c r="I41" s="155"/>
    </row>
    <row r="42" spans="1:9" x14ac:dyDescent="0.2">
      <c r="A42" s="4">
        <v>354.4</v>
      </c>
      <c r="B42" s="1" t="s">
        <v>288</v>
      </c>
      <c r="C42" s="4"/>
      <c r="D42" s="4">
        <v>354.5</v>
      </c>
      <c r="E42" s="11">
        <v>2.0099999999999998</v>
      </c>
      <c r="F42" s="13">
        <v>2.01E-2</v>
      </c>
      <c r="I42" s="155"/>
    </row>
    <row r="43" spans="1:9" x14ac:dyDescent="0.2">
      <c r="A43" s="4">
        <v>354.6</v>
      </c>
      <c r="B43" s="1" t="s">
        <v>288</v>
      </c>
      <c r="C43" s="4"/>
      <c r="D43" s="4">
        <v>354.6</v>
      </c>
      <c r="E43" s="11">
        <v>2.19</v>
      </c>
      <c r="F43" s="13">
        <v>2.1899999999999999E-2</v>
      </c>
      <c r="I43" s="155"/>
    </row>
    <row r="44" spans="1:9" x14ac:dyDescent="0.2">
      <c r="A44" s="4">
        <v>355</v>
      </c>
      <c r="B44" s="1" t="s">
        <v>288</v>
      </c>
      <c r="C44" s="4"/>
      <c r="D44" s="4">
        <v>355</v>
      </c>
      <c r="E44" s="11">
        <v>2.27</v>
      </c>
      <c r="F44" s="13">
        <v>2.2700000000000001E-2</v>
      </c>
      <c r="I44" s="155"/>
    </row>
    <row r="45" spans="1:9" x14ac:dyDescent="0.2">
      <c r="A45" s="4">
        <v>356</v>
      </c>
      <c r="B45" s="1" t="s">
        <v>288</v>
      </c>
      <c r="C45" s="4"/>
      <c r="D45" s="4">
        <v>356</v>
      </c>
      <c r="E45" s="11">
        <v>1.37</v>
      </c>
      <c r="F45" s="13">
        <v>1.37E-2</v>
      </c>
      <c r="I45" s="155"/>
    </row>
    <row r="46" spans="1:9" x14ac:dyDescent="0.2">
      <c r="A46" s="4">
        <v>357</v>
      </c>
      <c r="B46" s="1" t="s">
        <v>288</v>
      </c>
      <c r="C46" s="4"/>
      <c r="D46" s="4">
        <v>357</v>
      </c>
      <c r="E46" s="11">
        <v>2.17</v>
      </c>
      <c r="F46" s="13">
        <v>2.1700000000000001E-2</v>
      </c>
      <c r="I46" s="155"/>
    </row>
    <row r="47" spans="1:9" x14ac:dyDescent="0.2">
      <c r="A47" s="4">
        <v>360.11</v>
      </c>
      <c r="B47" s="1" t="s">
        <v>288</v>
      </c>
      <c r="C47" s="4"/>
      <c r="D47" s="4">
        <v>360.11</v>
      </c>
      <c r="F47" s="13">
        <v>0</v>
      </c>
      <c r="I47" s="155"/>
    </row>
    <row r="48" spans="1:9" x14ac:dyDescent="0.2">
      <c r="A48" s="4">
        <v>360.12</v>
      </c>
      <c r="B48" s="1" t="s">
        <v>288</v>
      </c>
      <c r="C48" s="4"/>
      <c r="D48" s="4">
        <v>360.12</v>
      </c>
      <c r="F48" s="13">
        <v>0</v>
      </c>
    </row>
    <row r="49" spans="1:6" x14ac:dyDescent="0.2">
      <c r="A49" s="4">
        <v>360.2</v>
      </c>
      <c r="B49" s="1" t="s">
        <v>288</v>
      </c>
      <c r="C49" s="4"/>
      <c r="D49" s="4">
        <v>360.2</v>
      </c>
      <c r="F49" s="13">
        <v>0</v>
      </c>
    </row>
    <row r="50" spans="1:6" x14ac:dyDescent="0.2">
      <c r="A50" s="4">
        <v>361.11</v>
      </c>
      <c r="B50" s="1" t="s">
        <v>288</v>
      </c>
      <c r="C50" s="4"/>
      <c r="D50" s="4">
        <v>361</v>
      </c>
      <c r="E50" s="156"/>
      <c r="F50" s="13">
        <v>0</v>
      </c>
    </row>
    <row r="51" spans="1:6" x14ac:dyDescent="0.2">
      <c r="A51" s="4">
        <v>361.12</v>
      </c>
      <c r="B51" s="1" t="s">
        <v>288</v>
      </c>
      <c r="C51" s="4"/>
      <c r="D51" s="4">
        <v>361.11</v>
      </c>
      <c r="E51" s="11">
        <v>3.79</v>
      </c>
      <c r="F51" s="13">
        <v>3.7900000000000003E-2</v>
      </c>
    </row>
    <row r="52" spans="1:6" x14ac:dyDescent="0.2">
      <c r="A52" s="4">
        <v>361.2</v>
      </c>
      <c r="B52" s="1" t="s">
        <v>288</v>
      </c>
      <c r="C52" s="4"/>
      <c r="D52" s="4">
        <v>361.12</v>
      </c>
      <c r="E52" s="11">
        <v>4.33</v>
      </c>
      <c r="F52" s="13">
        <v>4.3299999999999998E-2</v>
      </c>
    </row>
    <row r="53" spans="1:6" x14ac:dyDescent="0.2">
      <c r="A53" s="4">
        <v>362.11</v>
      </c>
      <c r="B53" s="1" t="s">
        <v>288</v>
      </c>
      <c r="C53" s="4"/>
      <c r="D53" s="4">
        <v>361.2</v>
      </c>
      <c r="E53" s="11">
        <v>1.77</v>
      </c>
      <c r="F53" s="13">
        <v>1.77E-2</v>
      </c>
    </row>
    <row r="54" spans="1:6" x14ac:dyDescent="0.2">
      <c r="A54" s="4">
        <v>362.12</v>
      </c>
      <c r="B54" s="1" t="s">
        <v>288</v>
      </c>
      <c r="C54" s="4"/>
      <c r="D54" s="4">
        <v>362</v>
      </c>
      <c r="E54" s="11"/>
      <c r="F54" s="13">
        <v>0</v>
      </c>
    </row>
    <row r="55" spans="1:6" x14ac:dyDescent="0.2">
      <c r="A55" s="4">
        <v>362.2</v>
      </c>
      <c r="B55" s="1" t="s">
        <v>288</v>
      </c>
      <c r="C55" s="4"/>
      <c r="D55" s="4">
        <v>362.11</v>
      </c>
      <c r="E55" s="11">
        <v>2.58</v>
      </c>
      <c r="F55" s="13">
        <v>2.58E-2</v>
      </c>
    </row>
    <row r="56" spans="1:6" x14ac:dyDescent="0.2">
      <c r="A56" s="4">
        <v>363.11</v>
      </c>
      <c r="B56" s="1" t="s">
        <v>288</v>
      </c>
      <c r="C56" s="4"/>
      <c r="D56" s="4">
        <v>362.12</v>
      </c>
      <c r="E56" s="11">
        <v>2.4300000000000002</v>
      </c>
      <c r="F56" s="13">
        <v>2.4299999999999999E-2</v>
      </c>
    </row>
    <row r="57" spans="1:6" x14ac:dyDescent="0.2">
      <c r="A57" s="4">
        <v>363.12</v>
      </c>
      <c r="B57" s="1" t="s">
        <v>288</v>
      </c>
      <c r="C57" s="4"/>
      <c r="D57" s="4">
        <v>362.2</v>
      </c>
      <c r="E57" s="11">
        <v>1</v>
      </c>
      <c r="F57" s="13">
        <v>0.01</v>
      </c>
    </row>
    <row r="58" spans="1:6" x14ac:dyDescent="0.2">
      <c r="A58" s="4">
        <v>363.21</v>
      </c>
      <c r="B58" s="1" t="s">
        <v>288</v>
      </c>
      <c r="C58" s="4"/>
      <c r="D58" s="4">
        <v>363.1</v>
      </c>
      <c r="E58" s="156"/>
      <c r="F58" s="13">
        <v>0</v>
      </c>
    </row>
    <row r="59" spans="1:6" x14ac:dyDescent="0.2">
      <c r="A59" s="4">
        <v>363.22</v>
      </c>
      <c r="B59" s="1" t="s">
        <v>288</v>
      </c>
      <c r="C59" s="4"/>
      <c r="D59" s="4">
        <v>363.11</v>
      </c>
      <c r="E59" s="11">
        <v>1.31</v>
      </c>
      <c r="F59" s="13">
        <v>1.3100000000000001E-2</v>
      </c>
    </row>
    <row r="60" spans="1:6" x14ac:dyDescent="0.2">
      <c r="A60" s="4">
        <v>363.31</v>
      </c>
      <c r="B60" s="1" t="s">
        <v>288</v>
      </c>
      <c r="C60" s="4"/>
      <c r="D60" s="4">
        <v>363.12</v>
      </c>
      <c r="E60" s="11">
        <v>0.67</v>
      </c>
      <c r="F60" s="13">
        <v>6.7000000000000002E-3</v>
      </c>
    </row>
    <row r="61" spans="1:6" x14ac:dyDescent="0.2">
      <c r="A61" s="4">
        <v>363.32</v>
      </c>
      <c r="B61" s="1" t="s">
        <v>288</v>
      </c>
      <c r="C61" s="4"/>
      <c r="D61" s="4">
        <v>363.2</v>
      </c>
      <c r="E61" s="11"/>
      <c r="F61" s="13">
        <v>0</v>
      </c>
    </row>
    <row r="62" spans="1:6" x14ac:dyDescent="0.2">
      <c r="A62" s="4">
        <v>363.41</v>
      </c>
      <c r="B62" s="1" t="s">
        <v>288</v>
      </c>
      <c r="C62" s="4"/>
      <c r="D62" s="4">
        <v>363.21</v>
      </c>
      <c r="E62" s="11">
        <v>0.47</v>
      </c>
      <c r="F62" s="13">
        <v>4.7000000000000002E-3</v>
      </c>
    </row>
    <row r="63" spans="1:6" x14ac:dyDescent="0.2">
      <c r="A63" s="4">
        <v>363.42</v>
      </c>
      <c r="B63" s="1" t="s">
        <v>288</v>
      </c>
      <c r="C63" s="4"/>
      <c r="D63" s="4">
        <v>363.22</v>
      </c>
      <c r="E63" s="11">
        <v>3.09</v>
      </c>
      <c r="F63" s="13">
        <v>3.09E-2</v>
      </c>
    </row>
    <row r="64" spans="1:6" x14ac:dyDescent="0.2">
      <c r="A64" s="4">
        <v>363.5</v>
      </c>
      <c r="B64" s="1" t="s">
        <v>289</v>
      </c>
      <c r="C64" s="4"/>
      <c r="D64" s="4">
        <v>363.3</v>
      </c>
      <c r="E64" s="11"/>
      <c r="F64" s="13">
        <v>0</v>
      </c>
    </row>
    <row r="65" spans="1:9" x14ac:dyDescent="0.2">
      <c r="A65" s="4">
        <v>363.6</v>
      </c>
      <c r="B65" s="1" t="s">
        <v>289</v>
      </c>
      <c r="C65" s="4"/>
      <c r="D65" s="4">
        <v>363.31</v>
      </c>
      <c r="E65" s="11">
        <v>0</v>
      </c>
      <c r="F65" s="13">
        <v>0</v>
      </c>
    </row>
    <row r="66" spans="1:9" x14ac:dyDescent="0.2">
      <c r="A66" s="4">
        <v>365.1</v>
      </c>
      <c r="B66" s="1" t="s">
        <v>290</v>
      </c>
      <c r="C66" s="4"/>
      <c r="D66" s="4">
        <v>363.32</v>
      </c>
      <c r="E66" s="11">
        <v>7.58</v>
      </c>
      <c r="F66" s="13">
        <v>7.5800000000000006E-2</v>
      </c>
    </row>
    <row r="67" spans="1:9" x14ac:dyDescent="0.2">
      <c r="A67" s="4">
        <v>365.2</v>
      </c>
      <c r="B67" s="1" t="s">
        <v>290</v>
      </c>
      <c r="C67" s="4"/>
      <c r="D67" s="4">
        <v>363.4</v>
      </c>
      <c r="E67" s="11"/>
      <c r="F67" s="13">
        <v>0</v>
      </c>
    </row>
    <row r="68" spans="1:9" x14ac:dyDescent="0.2">
      <c r="A68" s="4">
        <v>366.3</v>
      </c>
      <c r="B68" s="1" t="s">
        <v>290</v>
      </c>
      <c r="C68" s="4"/>
      <c r="D68" s="4">
        <v>363.41</v>
      </c>
      <c r="E68" s="11">
        <v>3.99</v>
      </c>
      <c r="F68" s="13">
        <v>3.9899999999999998E-2</v>
      </c>
    </row>
    <row r="69" spans="1:9" x14ac:dyDescent="0.2">
      <c r="A69" s="4">
        <v>367</v>
      </c>
      <c r="B69" s="1" t="s">
        <v>290</v>
      </c>
      <c r="C69" s="4"/>
      <c r="D69" s="4">
        <v>363.42</v>
      </c>
      <c r="E69" s="11">
        <v>0.13</v>
      </c>
      <c r="F69" s="13">
        <v>1.2999999999999999E-3</v>
      </c>
    </row>
    <row r="70" spans="1:9" x14ac:dyDescent="0.2">
      <c r="A70" s="4">
        <v>367.21</v>
      </c>
      <c r="B70" s="1" t="s">
        <v>288</v>
      </c>
      <c r="C70" s="4"/>
      <c r="D70" s="4">
        <v>363.5</v>
      </c>
      <c r="E70" s="11">
        <v>2.62</v>
      </c>
      <c r="F70" s="13">
        <v>2.6200000000000001E-2</v>
      </c>
    </row>
    <row r="71" spans="1:9" x14ac:dyDescent="0.2">
      <c r="A71" s="4">
        <v>367.22</v>
      </c>
      <c r="B71" s="1" t="s">
        <v>288</v>
      </c>
      <c r="C71" s="4"/>
      <c r="D71" s="4">
        <v>363.6</v>
      </c>
      <c r="E71" s="11">
        <v>0.23</v>
      </c>
      <c r="F71" s="13">
        <v>2.3E-3</v>
      </c>
    </row>
    <row r="72" spans="1:9" x14ac:dyDescent="0.2">
      <c r="A72" s="4">
        <v>367.23</v>
      </c>
      <c r="B72" s="1" t="s">
        <v>288</v>
      </c>
      <c r="C72" s="4"/>
      <c r="D72" s="4">
        <v>365.1</v>
      </c>
      <c r="F72" s="13">
        <v>0</v>
      </c>
    </row>
    <row r="73" spans="1:9" x14ac:dyDescent="0.2">
      <c r="A73" s="4">
        <v>367.24</v>
      </c>
      <c r="B73" s="1" t="s">
        <v>288</v>
      </c>
      <c r="C73" s="4"/>
      <c r="D73" s="4">
        <v>365.2</v>
      </c>
      <c r="E73" s="11">
        <v>1.52</v>
      </c>
      <c r="F73" s="13">
        <v>1.52E-2</v>
      </c>
      <c r="I73" s="155"/>
    </row>
    <row r="74" spans="1:9" x14ac:dyDescent="0.2">
      <c r="A74" s="4">
        <v>367.25</v>
      </c>
      <c r="B74" s="1" t="s">
        <v>288</v>
      </c>
      <c r="C74" s="4"/>
      <c r="D74" s="4">
        <v>366.3</v>
      </c>
      <c r="E74" s="11">
        <v>1.75</v>
      </c>
      <c r="F74" s="13">
        <v>1.7500000000000002E-2</v>
      </c>
      <c r="I74" s="155"/>
    </row>
    <row r="75" spans="1:9" x14ac:dyDescent="0.2">
      <c r="A75" s="4">
        <v>367.26</v>
      </c>
      <c r="B75" s="1" t="s">
        <v>288</v>
      </c>
      <c r="C75" s="4"/>
      <c r="D75" s="4">
        <v>367</v>
      </c>
      <c r="E75" s="11">
        <v>1.88</v>
      </c>
      <c r="F75" s="13">
        <v>1.8800000000000001E-2</v>
      </c>
      <c r="I75" s="155"/>
    </row>
    <row r="76" spans="1:9" x14ac:dyDescent="0.2">
      <c r="A76" s="4">
        <v>368</v>
      </c>
      <c r="B76" s="1" t="s">
        <v>290</v>
      </c>
      <c r="C76" s="4"/>
      <c r="D76" s="4">
        <v>367.21</v>
      </c>
      <c r="E76" s="11">
        <v>1.72</v>
      </c>
      <c r="F76" s="13">
        <v>1.72E-2</v>
      </c>
      <c r="I76" s="155"/>
    </row>
    <row r="77" spans="1:9" x14ac:dyDescent="0.2">
      <c r="A77" s="4">
        <v>369</v>
      </c>
      <c r="B77" s="1" t="s">
        <v>290</v>
      </c>
      <c r="C77" s="4"/>
      <c r="D77" s="4">
        <v>367.22</v>
      </c>
      <c r="E77" s="11">
        <v>1.59</v>
      </c>
      <c r="F77" s="13">
        <v>1.5900000000000001E-2</v>
      </c>
      <c r="I77" s="155"/>
    </row>
    <row r="78" spans="1:9" x14ac:dyDescent="0.2">
      <c r="A78" s="4">
        <v>370</v>
      </c>
      <c r="B78" s="1" t="s">
        <v>290</v>
      </c>
      <c r="C78" s="4"/>
      <c r="D78" s="4">
        <v>367.23</v>
      </c>
      <c r="E78" s="11">
        <v>1.94</v>
      </c>
      <c r="F78" s="13">
        <v>1.9400000000000001E-2</v>
      </c>
      <c r="I78" s="155"/>
    </row>
    <row r="79" spans="1:9" x14ac:dyDescent="0.2">
      <c r="A79" s="4">
        <v>374.1</v>
      </c>
      <c r="B79" s="1" t="s">
        <v>291</v>
      </c>
      <c r="C79" s="4"/>
      <c r="D79" s="4">
        <v>367.24</v>
      </c>
      <c r="E79" s="11">
        <v>1.94</v>
      </c>
      <c r="F79" s="13">
        <v>1.9400000000000001E-2</v>
      </c>
      <c r="I79" s="155"/>
    </row>
    <row r="80" spans="1:9" x14ac:dyDescent="0.2">
      <c r="A80" s="4">
        <v>374.2</v>
      </c>
      <c r="B80" s="1" t="s">
        <v>291</v>
      </c>
      <c r="C80" s="4"/>
      <c r="D80" s="4">
        <v>367.25</v>
      </c>
      <c r="E80" s="11">
        <v>1.95</v>
      </c>
      <c r="F80" s="13">
        <v>1.95E-2</v>
      </c>
      <c r="I80" s="155"/>
    </row>
    <row r="81" spans="1:10" x14ac:dyDescent="0.2">
      <c r="A81" s="4">
        <v>375</v>
      </c>
      <c r="B81" s="1" t="s">
        <v>291</v>
      </c>
      <c r="C81" s="4"/>
      <c r="D81" s="4">
        <v>367.26</v>
      </c>
      <c r="E81" s="11">
        <v>1.95</v>
      </c>
      <c r="F81" s="13">
        <v>1.95E-2</v>
      </c>
      <c r="I81" s="155"/>
    </row>
    <row r="82" spans="1:10" x14ac:dyDescent="0.2">
      <c r="A82" s="4">
        <v>376.11</v>
      </c>
      <c r="B82" s="1" t="s">
        <v>291</v>
      </c>
      <c r="C82" s="4"/>
      <c r="D82" s="4">
        <v>368</v>
      </c>
      <c r="E82" s="11">
        <v>2.15</v>
      </c>
      <c r="F82" s="13">
        <v>2.1499999999999998E-2</v>
      </c>
      <c r="I82" s="155"/>
    </row>
    <row r="83" spans="1:10" x14ac:dyDescent="0.2">
      <c r="A83" s="4">
        <v>376.12</v>
      </c>
      <c r="B83" s="1" t="s">
        <v>291</v>
      </c>
      <c r="C83" s="4"/>
      <c r="D83" s="4">
        <v>369</v>
      </c>
      <c r="E83" s="11">
        <v>2.13</v>
      </c>
      <c r="F83" s="13">
        <v>2.1299999999999999E-2</v>
      </c>
      <c r="I83" s="155"/>
    </row>
    <row r="84" spans="1:10" x14ac:dyDescent="0.2">
      <c r="A84" s="4">
        <v>377</v>
      </c>
      <c r="B84" s="1" t="s">
        <v>291</v>
      </c>
      <c r="C84" s="4"/>
      <c r="D84" s="4">
        <v>370</v>
      </c>
      <c r="F84" s="13">
        <v>0</v>
      </c>
    </row>
    <row r="85" spans="1:10" x14ac:dyDescent="0.2">
      <c r="A85" s="4">
        <v>378</v>
      </c>
      <c r="B85" s="1" t="s">
        <v>291</v>
      </c>
      <c r="C85" s="4"/>
      <c r="D85" s="4">
        <v>374.1</v>
      </c>
      <c r="F85" s="13">
        <v>0</v>
      </c>
    </row>
    <row r="86" spans="1:10" x14ac:dyDescent="0.2">
      <c r="A86" s="4">
        <v>379</v>
      </c>
      <c r="B86" s="1" t="s">
        <v>291</v>
      </c>
      <c r="C86" s="4"/>
      <c r="D86" s="4">
        <v>374.2</v>
      </c>
      <c r="E86" s="11">
        <v>0.56000000000000005</v>
      </c>
      <c r="F86" s="13">
        <v>5.5999999999999999E-3</v>
      </c>
      <c r="J86" s="155"/>
    </row>
    <row r="87" spans="1:10" x14ac:dyDescent="0.2">
      <c r="A87" s="4">
        <v>380</v>
      </c>
      <c r="B87" s="1" t="s">
        <v>291</v>
      </c>
      <c r="C87" s="4"/>
      <c r="D87" s="4">
        <v>375</v>
      </c>
      <c r="E87" s="11">
        <v>0</v>
      </c>
      <c r="F87" s="13">
        <v>1.4999999999999999E-2</v>
      </c>
      <c r="G87" s="1" t="s">
        <v>1099</v>
      </c>
      <c r="J87" s="155"/>
    </row>
    <row r="88" spans="1:10" x14ac:dyDescent="0.2">
      <c r="A88" s="4">
        <v>381</v>
      </c>
      <c r="B88" s="1" t="s">
        <v>291</v>
      </c>
      <c r="C88" s="4"/>
      <c r="D88" s="4">
        <v>376.11</v>
      </c>
      <c r="E88" s="11">
        <v>2.54</v>
      </c>
      <c r="F88" s="13">
        <v>2.5399999999999999E-2</v>
      </c>
      <c r="J88" s="155"/>
    </row>
    <row r="89" spans="1:10" x14ac:dyDescent="0.2">
      <c r="A89" s="4">
        <v>381.1</v>
      </c>
      <c r="B89" s="1" t="s">
        <v>291</v>
      </c>
      <c r="C89" s="4"/>
      <c r="D89" s="4">
        <v>376.12</v>
      </c>
      <c r="E89" s="11">
        <v>2.3199999999999998</v>
      </c>
      <c r="F89" s="13">
        <v>2.3199999999999998E-2</v>
      </c>
      <c r="J89" s="155"/>
    </row>
    <row r="90" spans="1:10" x14ac:dyDescent="0.2">
      <c r="A90" s="4">
        <v>381.2</v>
      </c>
      <c r="B90" s="1" t="s">
        <v>291</v>
      </c>
      <c r="C90" s="4"/>
      <c r="D90" s="4">
        <v>377</v>
      </c>
      <c r="E90" s="11">
        <v>1.32</v>
      </c>
      <c r="F90" s="13">
        <v>1.32E-2</v>
      </c>
      <c r="J90" s="155"/>
    </row>
    <row r="91" spans="1:10" x14ac:dyDescent="0.2">
      <c r="A91" s="4">
        <v>382</v>
      </c>
      <c r="B91" s="1" t="s">
        <v>291</v>
      </c>
      <c r="C91" s="4"/>
      <c r="D91" s="4">
        <v>378</v>
      </c>
      <c r="E91" s="11">
        <v>2.1800000000000002</v>
      </c>
      <c r="F91" s="13">
        <v>2.18E-2</v>
      </c>
      <c r="J91" s="155"/>
    </row>
    <row r="92" spans="1:10" x14ac:dyDescent="0.2">
      <c r="A92" s="4">
        <v>382.1</v>
      </c>
      <c r="B92" s="1" t="s">
        <v>291</v>
      </c>
      <c r="C92" s="4"/>
      <c r="D92" s="4">
        <v>379</v>
      </c>
      <c r="E92" s="11">
        <v>2.12</v>
      </c>
      <c r="F92" s="13">
        <v>2.12E-2</v>
      </c>
      <c r="J92" s="155"/>
    </row>
    <row r="93" spans="1:10" x14ac:dyDescent="0.2">
      <c r="A93" s="4">
        <v>382.2</v>
      </c>
      <c r="B93" s="1" t="s">
        <v>291</v>
      </c>
      <c r="C93" s="4"/>
      <c r="D93" s="4">
        <v>380</v>
      </c>
      <c r="E93" s="11">
        <v>2.87</v>
      </c>
      <c r="F93" s="13">
        <v>2.87E-2</v>
      </c>
      <c r="J93" s="155"/>
    </row>
    <row r="94" spans="1:10" x14ac:dyDescent="0.2">
      <c r="A94" s="4">
        <v>383</v>
      </c>
      <c r="B94" s="1" t="s">
        <v>291</v>
      </c>
      <c r="C94" s="4"/>
      <c r="D94" s="4">
        <v>381</v>
      </c>
      <c r="E94" s="11">
        <v>2.23</v>
      </c>
      <c r="F94" s="13">
        <v>2.23E-2</v>
      </c>
      <c r="J94" s="155"/>
    </row>
    <row r="95" spans="1:10" x14ac:dyDescent="0.2">
      <c r="A95" s="4">
        <v>386</v>
      </c>
      <c r="B95" s="1" t="s">
        <v>291</v>
      </c>
      <c r="C95" s="4"/>
      <c r="D95" s="4">
        <v>381.1</v>
      </c>
      <c r="E95" s="11">
        <v>2.89</v>
      </c>
      <c r="F95" s="13">
        <v>2.8899999999999999E-2</v>
      </c>
      <c r="J95" s="155"/>
    </row>
    <row r="96" spans="1:10" x14ac:dyDescent="0.2">
      <c r="A96" s="4">
        <v>386.1</v>
      </c>
      <c r="B96" s="1" t="s">
        <v>291</v>
      </c>
      <c r="C96" s="4"/>
      <c r="D96" s="4">
        <v>381.2</v>
      </c>
      <c r="E96" s="11">
        <v>5.85</v>
      </c>
      <c r="F96" s="13">
        <v>5.8500000000000003E-2</v>
      </c>
      <c r="J96" s="155"/>
    </row>
    <row r="97" spans="1:10" x14ac:dyDescent="0.2">
      <c r="A97" s="4">
        <v>387.1</v>
      </c>
      <c r="B97" s="1" t="s">
        <v>291</v>
      </c>
      <c r="C97" s="4"/>
      <c r="D97" s="4">
        <v>382</v>
      </c>
      <c r="E97" s="11">
        <v>4.84</v>
      </c>
      <c r="F97" s="13">
        <v>4.8399999999999999E-2</v>
      </c>
      <c r="J97" s="155"/>
    </row>
    <row r="98" spans="1:10" x14ac:dyDescent="0.2">
      <c r="A98" s="4">
        <v>387.2</v>
      </c>
      <c r="B98" s="1" t="s">
        <v>291</v>
      </c>
      <c r="C98" s="4"/>
      <c r="D98" s="4">
        <v>382.1</v>
      </c>
      <c r="E98" s="11">
        <v>8.61</v>
      </c>
      <c r="F98" s="13">
        <v>8.6099999999999996E-2</v>
      </c>
      <c r="J98" s="155"/>
    </row>
    <row r="99" spans="1:10" x14ac:dyDescent="0.2">
      <c r="A99" s="4">
        <v>387.3</v>
      </c>
      <c r="B99" s="1" t="s">
        <v>291</v>
      </c>
      <c r="C99" s="4"/>
      <c r="D99" s="4">
        <v>382.2</v>
      </c>
      <c r="E99" s="11">
        <v>3.9</v>
      </c>
      <c r="F99" s="13">
        <v>3.9E-2</v>
      </c>
      <c r="J99" s="155"/>
    </row>
    <row r="100" spans="1:10" x14ac:dyDescent="0.2">
      <c r="A100" s="4">
        <v>389</v>
      </c>
      <c r="B100" s="1" t="s">
        <v>302</v>
      </c>
      <c r="C100" s="4"/>
      <c r="D100" s="4">
        <v>383</v>
      </c>
      <c r="E100" s="11">
        <v>2.92</v>
      </c>
      <c r="F100" s="13">
        <v>2.92E-2</v>
      </c>
      <c r="J100" s="155"/>
    </row>
    <row r="101" spans="1:10" x14ac:dyDescent="0.2">
      <c r="A101" s="4">
        <v>390</v>
      </c>
      <c r="B101" s="1" t="s">
        <v>293</v>
      </c>
      <c r="C101" s="4"/>
      <c r="D101" s="4">
        <v>386</v>
      </c>
      <c r="F101" s="13">
        <v>0.1</v>
      </c>
      <c r="G101" s="1" t="s">
        <v>1126</v>
      </c>
    </row>
    <row r="102" spans="1:10" x14ac:dyDescent="0.2">
      <c r="A102" s="4">
        <v>390.1</v>
      </c>
      <c r="B102" s="1" t="s">
        <v>294</v>
      </c>
      <c r="C102" s="4"/>
      <c r="D102" s="4">
        <v>386.1</v>
      </c>
      <c r="F102" s="13">
        <v>0</v>
      </c>
    </row>
    <row r="103" spans="1:10" x14ac:dyDescent="0.2">
      <c r="A103" s="4">
        <v>391.1</v>
      </c>
      <c r="B103" s="1" t="s">
        <v>294</v>
      </c>
      <c r="C103" s="4"/>
      <c r="D103" s="4">
        <v>387.1</v>
      </c>
      <c r="E103" s="11">
        <v>0.82</v>
      </c>
      <c r="F103" s="13">
        <v>8.2000000000000007E-3</v>
      </c>
    </row>
    <row r="104" spans="1:10" x14ac:dyDescent="0.2">
      <c r="A104" s="4">
        <v>391.2</v>
      </c>
      <c r="B104" s="1" t="s">
        <v>294</v>
      </c>
      <c r="C104" s="4"/>
      <c r="D104" s="4">
        <v>387.2</v>
      </c>
      <c r="E104" s="11">
        <v>0</v>
      </c>
      <c r="F104" s="13">
        <v>0</v>
      </c>
    </row>
    <row r="105" spans="1:10" x14ac:dyDescent="0.2">
      <c r="A105" s="4">
        <v>391.3</v>
      </c>
      <c r="B105" s="1" t="s">
        <v>294</v>
      </c>
      <c r="C105" s="4"/>
      <c r="D105" s="4">
        <v>387.3</v>
      </c>
      <c r="E105" s="11">
        <v>0</v>
      </c>
      <c r="F105" s="13">
        <v>0</v>
      </c>
    </row>
    <row r="106" spans="1:10" x14ac:dyDescent="0.2">
      <c r="A106" s="4">
        <v>391.4</v>
      </c>
      <c r="B106" s="1" t="s">
        <v>294</v>
      </c>
      <c r="C106" s="4"/>
      <c r="D106" s="4">
        <v>389</v>
      </c>
      <c r="F106" s="13">
        <v>0</v>
      </c>
    </row>
    <row r="107" spans="1:10" x14ac:dyDescent="0.2">
      <c r="A107" s="4">
        <v>392</v>
      </c>
      <c r="B107" s="1" t="s">
        <v>294</v>
      </c>
      <c r="C107" s="4"/>
      <c r="D107" s="4">
        <v>390</v>
      </c>
      <c r="E107" s="11">
        <v>2.27</v>
      </c>
      <c r="F107" s="13">
        <v>2.2700000000000001E-2</v>
      </c>
    </row>
    <row r="108" spans="1:10" x14ac:dyDescent="0.2">
      <c r="A108" s="4">
        <v>393</v>
      </c>
      <c r="B108" s="1" t="s">
        <v>294</v>
      </c>
      <c r="C108" s="4"/>
      <c r="D108" s="4">
        <v>390.1</v>
      </c>
      <c r="E108" s="11">
        <v>2.15</v>
      </c>
      <c r="F108" s="13">
        <v>2.1499999999999998E-2</v>
      </c>
    </row>
    <row r="109" spans="1:10" x14ac:dyDescent="0.2">
      <c r="A109" s="4">
        <v>394</v>
      </c>
      <c r="B109" s="1" t="s">
        <v>294</v>
      </c>
      <c r="C109" s="4"/>
      <c r="D109" s="4">
        <v>391.1</v>
      </c>
      <c r="E109" s="11">
        <v>5</v>
      </c>
      <c r="F109" s="13">
        <v>0.05</v>
      </c>
    </row>
    <row r="110" spans="1:10" x14ac:dyDescent="0.2">
      <c r="A110" s="4">
        <v>395</v>
      </c>
      <c r="B110" s="1" t="s">
        <v>294</v>
      </c>
      <c r="C110" s="4"/>
      <c r="D110" s="4">
        <v>391.2</v>
      </c>
      <c r="E110" s="11">
        <v>20</v>
      </c>
      <c r="F110" s="13">
        <v>0.2</v>
      </c>
    </row>
    <row r="111" spans="1:10" x14ac:dyDescent="0.2">
      <c r="A111" s="4">
        <v>396</v>
      </c>
      <c r="B111" s="1" t="s">
        <v>294</v>
      </c>
      <c r="C111" s="4"/>
      <c r="D111" s="4">
        <v>391.3</v>
      </c>
      <c r="F111" s="13">
        <v>0</v>
      </c>
    </row>
    <row r="112" spans="1:10" x14ac:dyDescent="0.2">
      <c r="A112" s="4">
        <v>397</v>
      </c>
      <c r="B112" s="1" t="s">
        <v>294</v>
      </c>
      <c r="C112" s="4"/>
      <c r="D112" s="4">
        <v>391.4</v>
      </c>
      <c r="F112" s="13">
        <v>0</v>
      </c>
    </row>
    <row r="113" spans="1:6" x14ac:dyDescent="0.2">
      <c r="A113" s="4">
        <v>397.1</v>
      </c>
      <c r="B113" s="1" t="s">
        <v>294</v>
      </c>
      <c r="C113" s="4"/>
      <c r="D113" s="4">
        <v>392</v>
      </c>
      <c r="E113" s="11">
        <v>6.86</v>
      </c>
      <c r="F113" s="13">
        <v>6.8599999999999994E-2</v>
      </c>
    </row>
    <row r="114" spans="1:6" x14ac:dyDescent="0.2">
      <c r="A114" s="4">
        <v>397.2</v>
      </c>
      <c r="B114" s="1" t="s">
        <v>294</v>
      </c>
      <c r="C114" s="4"/>
      <c r="D114" s="4">
        <v>393</v>
      </c>
      <c r="E114" s="11">
        <v>0</v>
      </c>
      <c r="F114" s="13">
        <v>0</v>
      </c>
    </row>
    <row r="115" spans="1:6" x14ac:dyDescent="0.2">
      <c r="A115" s="4">
        <v>397.3</v>
      </c>
      <c r="B115" s="1" t="s">
        <v>294</v>
      </c>
      <c r="C115" s="4"/>
      <c r="D115" s="4">
        <v>394</v>
      </c>
      <c r="E115" s="11">
        <v>4</v>
      </c>
      <c r="F115" s="13">
        <v>0.04</v>
      </c>
    </row>
    <row r="116" spans="1:6" x14ac:dyDescent="0.2">
      <c r="A116" s="4">
        <v>397.4</v>
      </c>
      <c r="B116" s="1" t="s">
        <v>294</v>
      </c>
      <c r="C116" s="4"/>
      <c r="D116" s="4">
        <v>395</v>
      </c>
      <c r="E116" s="11">
        <v>5</v>
      </c>
      <c r="F116" s="13">
        <v>0.05</v>
      </c>
    </row>
    <row r="117" spans="1:6" x14ac:dyDescent="0.2">
      <c r="A117" s="4">
        <v>397.5</v>
      </c>
      <c r="B117" s="1" t="s">
        <v>294</v>
      </c>
      <c r="C117" s="4"/>
      <c r="D117" s="4">
        <v>396</v>
      </c>
      <c r="E117" s="11">
        <v>3.4</v>
      </c>
      <c r="F117" s="13">
        <v>3.4000000000000002E-2</v>
      </c>
    </row>
    <row r="118" spans="1:6" x14ac:dyDescent="0.2">
      <c r="A118" s="4">
        <v>398</v>
      </c>
      <c r="B118" s="1" t="s">
        <v>294</v>
      </c>
      <c r="C118" s="4"/>
      <c r="D118" s="4">
        <v>397</v>
      </c>
      <c r="E118" s="11">
        <v>6.67</v>
      </c>
      <c r="F118" s="13">
        <v>6.6699999999999995E-2</v>
      </c>
    </row>
    <row r="119" spans="1:6" x14ac:dyDescent="0.2">
      <c r="A119" s="6">
        <v>398.1</v>
      </c>
      <c r="B119" s="1" t="s">
        <v>294</v>
      </c>
      <c r="C119" s="6"/>
      <c r="D119" s="4">
        <v>397.1</v>
      </c>
      <c r="E119" s="11">
        <v>10</v>
      </c>
      <c r="F119" s="13">
        <v>0.1</v>
      </c>
    </row>
    <row r="120" spans="1:6" x14ac:dyDescent="0.2">
      <c r="A120" s="6">
        <v>398.2</v>
      </c>
      <c r="B120" s="1" t="s">
        <v>294</v>
      </c>
      <c r="C120" s="6"/>
      <c r="D120" s="4">
        <v>397.2</v>
      </c>
      <c r="E120" s="11">
        <v>6.67</v>
      </c>
      <c r="F120" s="13">
        <v>6.6699999999999995E-2</v>
      </c>
    </row>
    <row r="121" spans="1:6" x14ac:dyDescent="0.2">
      <c r="A121" s="6">
        <v>398.3</v>
      </c>
      <c r="B121" s="1" t="s">
        <v>294</v>
      </c>
      <c r="C121" s="6"/>
      <c r="D121" s="4">
        <v>397.3</v>
      </c>
      <c r="E121" s="11">
        <v>6.67</v>
      </c>
      <c r="F121" s="13">
        <v>6.6699999999999995E-2</v>
      </c>
    </row>
    <row r="122" spans="1:6" x14ac:dyDescent="0.2">
      <c r="A122" s="7">
        <v>398.4</v>
      </c>
      <c r="B122" s="1" t="s">
        <v>294</v>
      </c>
      <c r="C122" s="7"/>
      <c r="D122" s="4">
        <v>397.4</v>
      </c>
      <c r="E122" s="11">
        <v>6.67</v>
      </c>
      <c r="F122" s="13">
        <v>6.6699999999999995E-2</v>
      </c>
    </row>
    <row r="123" spans="1:6" x14ac:dyDescent="0.2">
      <c r="A123" s="8">
        <v>398.5</v>
      </c>
      <c r="B123" s="1" t="s">
        <v>294</v>
      </c>
      <c r="C123" s="8"/>
      <c r="D123" s="4">
        <v>397.5</v>
      </c>
      <c r="E123" s="11">
        <v>10</v>
      </c>
      <c r="F123" s="13">
        <v>0.1</v>
      </c>
    </row>
    <row r="124" spans="1:6" x14ac:dyDescent="0.2">
      <c r="D124" s="4">
        <v>398</v>
      </c>
      <c r="F124" s="13">
        <v>0</v>
      </c>
    </row>
    <row r="125" spans="1:6" x14ac:dyDescent="0.2">
      <c r="D125" s="4">
        <v>398.1</v>
      </c>
      <c r="E125" s="11">
        <v>6.67</v>
      </c>
      <c r="F125" s="13">
        <v>6.6699999999999995E-2</v>
      </c>
    </row>
    <row r="126" spans="1:6" x14ac:dyDescent="0.2">
      <c r="D126" s="4">
        <v>398.2</v>
      </c>
      <c r="E126" s="11">
        <v>6.67</v>
      </c>
      <c r="F126" s="13">
        <v>6.6699999999999995E-2</v>
      </c>
    </row>
    <row r="127" spans="1:6" x14ac:dyDescent="0.2">
      <c r="D127" s="4">
        <v>398.3</v>
      </c>
      <c r="E127" s="11">
        <v>0</v>
      </c>
      <c r="F127" s="13">
        <v>0</v>
      </c>
    </row>
    <row r="128" spans="1:6" x14ac:dyDescent="0.2">
      <c r="D128" s="4">
        <v>398.4</v>
      </c>
      <c r="E128" s="11">
        <v>0</v>
      </c>
      <c r="F128" s="13">
        <v>0</v>
      </c>
    </row>
    <row r="129" spans="4:6" x14ac:dyDescent="0.2">
      <c r="D129" s="4">
        <v>398.5</v>
      </c>
      <c r="E129" s="11">
        <v>0</v>
      </c>
      <c r="F129" s="13">
        <v>0</v>
      </c>
    </row>
    <row r="130" spans="4:6" x14ac:dyDescent="0.2">
      <c r="E130" s="11"/>
      <c r="F130" s="13"/>
    </row>
    <row r="131" spans="4:6" x14ac:dyDescent="0.2">
      <c r="E131" s="11"/>
      <c r="F131" s="13"/>
    </row>
    <row r="132" spans="4:6" x14ac:dyDescent="0.2">
      <c r="E132" s="11"/>
      <c r="F132" s="13"/>
    </row>
    <row r="133" spans="4:6" x14ac:dyDescent="0.2">
      <c r="E133" s="11"/>
      <c r="F133" s="13"/>
    </row>
    <row r="134" spans="4:6" x14ac:dyDescent="0.2">
      <c r="E134" s="11"/>
      <c r="F134" s="13"/>
    </row>
    <row r="135" spans="4:6" x14ac:dyDescent="0.2">
      <c r="E135" s="11"/>
      <c r="F135" s="13"/>
    </row>
    <row r="136" spans="4:6" x14ac:dyDescent="0.2">
      <c r="E136" s="11"/>
      <c r="F136" s="13"/>
    </row>
    <row r="137" spans="4:6" x14ac:dyDescent="0.2">
      <c r="E137" s="11"/>
      <c r="F137" s="13"/>
    </row>
    <row r="138" spans="4:6" x14ac:dyDescent="0.2">
      <c r="E138" s="11"/>
      <c r="F138" s="13"/>
    </row>
  </sheetData>
  <sortState ref="D1:F139">
    <sortCondition ref="D1:D139"/>
  </sortState>
  <pageMargins left="0.7" right="0.7" top="0.75" bottom="0.75" header="0.3" footer="0.3"/>
  <pageSetup orientation="portrait" horizontalDpi="0" verticalDpi="0" r:id="rId1"/>
  <headerFooter>
    <oddHeader>&amp;RExh. KTW-5 Walker WP7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7080-11E0-4A15-963D-91DDA4CF0390}">
  <dimension ref="A1:O79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606" sqref="O606"/>
    </sheetView>
  </sheetViews>
  <sheetFormatPr defaultColWidth="9.140625" defaultRowHeight="15" outlineLevelCol="1" x14ac:dyDescent="0.25"/>
  <cols>
    <col min="1" max="1" width="54.85546875" style="17" customWidth="1"/>
    <col min="2" max="4" width="15.140625" style="16" hidden="1" customWidth="1" outlineLevel="1"/>
    <col min="5" max="9" width="15.42578125" style="17" hidden="1" customWidth="1" outlineLevel="1"/>
    <col min="10" max="10" width="14.42578125" style="17" hidden="1" customWidth="1" outlineLevel="1"/>
    <col min="11" max="13" width="14.7109375" style="17" hidden="1" customWidth="1" outlineLevel="1"/>
    <col min="14" max="14" width="17.28515625" style="18" customWidth="1" collapsed="1"/>
    <col min="15" max="15" width="10.140625" style="17" bestFit="1" customWidth="1"/>
    <col min="16" max="16384" width="9.140625" style="17"/>
  </cols>
  <sheetData>
    <row r="1" spans="1:14" x14ac:dyDescent="0.25">
      <c r="A1" s="15" t="s">
        <v>317</v>
      </c>
    </row>
    <row r="2" spans="1:14" ht="15.75" thickBot="1" x14ac:dyDescent="0.3">
      <c r="A2" s="19" t="s">
        <v>318</v>
      </c>
    </row>
    <row r="3" spans="1:14" ht="34.5" thickBot="1" x14ac:dyDescent="0.3">
      <c r="A3" s="20"/>
      <c r="B3" s="21" t="s">
        <v>319</v>
      </c>
      <c r="C3" s="21" t="s">
        <v>320</v>
      </c>
      <c r="D3" s="21" t="s">
        <v>321</v>
      </c>
      <c r="E3" s="22" t="s">
        <v>322</v>
      </c>
      <c r="F3" s="22" t="s">
        <v>323</v>
      </c>
      <c r="G3" s="22" t="s">
        <v>324</v>
      </c>
      <c r="H3" s="22" t="s">
        <v>325</v>
      </c>
      <c r="I3" s="22" t="s">
        <v>326</v>
      </c>
      <c r="J3" s="22" t="s">
        <v>327</v>
      </c>
      <c r="K3" s="23" t="s">
        <v>328</v>
      </c>
      <c r="L3" s="23" t="s">
        <v>329</v>
      </c>
      <c r="M3" s="23" t="s">
        <v>330</v>
      </c>
      <c r="N3" s="24" t="s">
        <v>331</v>
      </c>
    </row>
    <row r="4" spans="1:14" ht="15.75" thickBot="1" x14ac:dyDescent="0.3">
      <c r="A4" s="23" t="s">
        <v>332</v>
      </c>
      <c r="B4" s="25" t="s">
        <v>333</v>
      </c>
      <c r="C4" s="25" t="s">
        <v>333</v>
      </c>
      <c r="D4" s="25" t="s">
        <v>333</v>
      </c>
      <c r="E4" s="20" t="s">
        <v>333</v>
      </c>
      <c r="F4" s="20" t="s">
        <v>333</v>
      </c>
      <c r="G4" s="20" t="s">
        <v>333</v>
      </c>
      <c r="H4" s="20" t="s">
        <v>333</v>
      </c>
      <c r="I4" s="20" t="s">
        <v>333</v>
      </c>
      <c r="J4" s="20" t="s">
        <v>333</v>
      </c>
      <c r="K4" s="20" t="s">
        <v>333</v>
      </c>
      <c r="L4" s="20" t="s">
        <v>333</v>
      </c>
      <c r="M4" s="20" t="s">
        <v>333</v>
      </c>
      <c r="N4" s="26" t="s">
        <v>333</v>
      </c>
    </row>
    <row r="5" spans="1:14" ht="15.75" thickBot="1" x14ac:dyDescent="0.3">
      <c r="A5" s="27" t="s">
        <v>334</v>
      </c>
      <c r="B5" s="28">
        <v>-2462748.3199999998</v>
      </c>
      <c r="C5" s="28">
        <v>-15317332.91</v>
      </c>
      <c r="D5" s="28">
        <v>-20907477.460000001</v>
      </c>
      <c r="E5" s="29">
        <v>-22143461.059999999</v>
      </c>
      <c r="F5" s="29">
        <v>-17517377.73</v>
      </c>
      <c r="G5" s="29">
        <v>-8712377.2699999996</v>
      </c>
      <c r="H5" s="29">
        <v>-3017005.25</v>
      </c>
      <c r="I5" s="29">
        <v>2702110.38</v>
      </c>
      <c r="J5" s="29">
        <v>5938308.9299999997</v>
      </c>
      <c r="K5" s="29">
        <v>8925138.4600000009</v>
      </c>
      <c r="L5" s="29">
        <v>7214089.2000000002</v>
      </c>
      <c r="M5" s="29">
        <v>4936898.93</v>
      </c>
      <c r="N5" s="30">
        <f>SUM(B5:M5)</f>
        <v>-60361234.099999987</v>
      </c>
    </row>
    <row r="6" spans="1:14" ht="15.75" thickBot="1" x14ac:dyDescent="0.3">
      <c r="A6" s="31" t="s">
        <v>335</v>
      </c>
      <c r="B6" s="32">
        <v>-2462748.3199999998</v>
      </c>
      <c r="C6" s="32">
        <v>-15317332.91</v>
      </c>
      <c r="D6" s="32">
        <v>-20907477.460000001</v>
      </c>
      <c r="E6" s="33">
        <v>-22143461.059999999</v>
      </c>
      <c r="F6" s="33">
        <v>-17517377.73</v>
      </c>
      <c r="G6" s="33">
        <v>-8712377.2699999996</v>
      </c>
      <c r="H6" s="33">
        <v>-3017005.25</v>
      </c>
      <c r="I6" s="33">
        <v>2702110.38</v>
      </c>
      <c r="J6" s="33">
        <v>5938308.9299999997</v>
      </c>
      <c r="K6" s="33">
        <v>8925138.4600000009</v>
      </c>
      <c r="L6" s="33">
        <v>7214089.2000000002</v>
      </c>
      <c r="M6" s="33">
        <v>4936898.93</v>
      </c>
      <c r="N6" s="34">
        <f t="shared" ref="N6:N69" si="0">SUM(B6:M6)</f>
        <v>-60361234.099999987</v>
      </c>
    </row>
    <row r="7" spans="1:14" ht="15.75" thickBot="1" x14ac:dyDescent="0.3">
      <c r="A7" s="35" t="s">
        <v>336</v>
      </c>
      <c r="B7" s="28">
        <v>-2099090.3199999998</v>
      </c>
      <c r="C7" s="28">
        <v>-18922843.91</v>
      </c>
      <c r="D7" s="28">
        <v>-25674771.23</v>
      </c>
      <c r="E7" s="29">
        <v>-28550513.059999999</v>
      </c>
      <c r="F7" s="29">
        <v>-22617868.73</v>
      </c>
      <c r="G7" s="29">
        <v>-11098149.27</v>
      </c>
      <c r="H7" s="29">
        <v>-3776153.25</v>
      </c>
      <c r="I7" s="29">
        <v>3600224.38</v>
      </c>
      <c r="J7" s="29">
        <v>7770779.9299999997</v>
      </c>
      <c r="K7" s="29">
        <v>11583211.460000001</v>
      </c>
      <c r="L7" s="29">
        <v>9394036.1999999993</v>
      </c>
      <c r="M7" s="29">
        <v>6462217.9299999997</v>
      </c>
      <c r="N7" s="30">
        <f t="shared" si="0"/>
        <v>-73928919.870000005</v>
      </c>
    </row>
    <row r="8" spans="1:14" ht="15.75" thickBot="1" x14ac:dyDescent="0.3">
      <c r="A8" s="36" t="s">
        <v>337</v>
      </c>
      <c r="B8" s="32">
        <v>-4612919.92</v>
      </c>
      <c r="C8" s="32">
        <v>-21497515.620000001</v>
      </c>
      <c r="D8" s="32">
        <v>-28866245.539999999</v>
      </c>
      <c r="E8" s="33">
        <v>-31168175.579999998</v>
      </c>
      <c r="F8" s="33">
        <v>-25007321.530000001</v>
      </c>
      <c r="G8" s="33">
        <v>-13756737.890000001</v>
      </c>
      <c r="H8" s="33">
        <v>-7166628.1299999999</v>
      </c>
      <c r="I8" s="33">
        <v>236100.81</v>
      </c>
      <c r="J8" s="33">
        <v>4713509.95</v>
      </c>
      <c r="K8" s="33">
        <v>8701609.7799999993</v>
      </c>
      <c r="L8" s="33">
        <v>6670574.2000000002</v>
      </c>
      <c r="M8" s="33">
        <v>5246249.51</v>
      </c>
      <c r="N8" s="34">
        <f t="shared" si="0"/>
        <v>-106507499.95999998</v>
      </c>
    </row>
    <row r="9" spans="1:14" ht="15.75" thickBot="1" x14ac:dyDescent="0.3">
      <c r="A9" s="37" t="s">
        <v>338</v>
      </c>
      <c r="B9" s="28">
        <v>-57108701.229999997</v>
      </c>
      <c r="C9" s="28">
        <v>-80636278.629999995</v>
      </c>
      <c r="D9" s="28">
        <v>-102695850.09999999</v>
      </c>
      <c r="E9" s="29">
        <v>-102222956.03</v>
      </c>
      <c r="F9" s="29">
        <v>-92384260.040000007</v>
      </c>
      <c r="G9" s="29">
        <v>-83878820.700000003</v>
      </c>
      <c r="H9" s="29">
        <v>-55306895.469999999</v>
      </c>
      <c r="I9" s="29">
        <v>-40313860.479999997</v>
      </c>
      <c r="J9" s="29">
        <v>-31371987.640000001</v>
      </c>
      <c r="K9" s="29">
        <v>-27254518.170000002</v>
      </c>
      <c r="L9" s="29">
        <v>-27869807.52</v>
      </c>
      <c r="M9" s="29">
        <v>-28637097.489999998</v>
      </c>
      <c r="N9" s="30">
        <f t="shared" si="0"/>
        <v>-729681033.5</v>
      </c>
    </row>
    <row r="10" spans="1:14" ht="15.75" thickBot="1" x14ac:dyDescent="0.3">
      <c r="A10" s="38" t="s">
        <v>339</v>
      </c>
      <c r="B10" s="32">
        <v>-24746138.48</v>
      </c>
      <c r="C10" s="32">
        <v>-41796842.770000003</v>
      </c>
      <c r="D10" s="32">
        <v>-64590752.539999999</v>
      </c>
      <c r="E10" s="33">
        <v>-73466781.519999996</v>
      </c>
      <c r="F10" s="33">
        <v>-61676533.649999999</v>
      </c>
      <c r="G10" s="33">
        <v>-54991076.789999999</v>
      </c>
      <c r="H10" s="33">
        <v>-44438015.829999998</v>
      </c>
      <c r="I10" s="33">
        <v>-28448130.969999999</v>
      </c>
      <c r="J10" s="33">
        <v>-12577107.41</v>
      </c>
      <c r="K10" s="33">
        <v>-15967688.859999999</v>
      </c>
      <c r="L10" s="33">
        <v>-14110040.73</v>
      </c>
      <c r="M10" s="33">
        <v>-14492785.640000001</v>
      </c>
      <c r="N10" s="34">
        <f t="shared" si="0"/>
        <v>-451301895.19</v>
      </c>
    </row>
    <row r="11" spans="1:14" ht="15.75" thickBot="1" x14ac:dyDescent="0.3">
      <c r="A11" s="39" t="s">
        <v>340</v>
      </c>
      <c r="B11" s="28">
        <v>-424538.05</v>
      </c>
      <c r="C11" s="28">
        <v>-718325.36</v>
      </c>
      <c r="D11" s="28">
        <v>-1119528.79</v>
      </c>
      <c r="E11" s="29">
        <v>-1256212.76</v>
      </c>
      <c r="F11" s="29">
        <v>-1047803.76</v>
      </c>
      <c r="G11" s="29">
        <v>-951902.05</v>
      </c>
      <c r="H11" s="29">
        <v>-761484.94</v>
      </c>
      <c r="I11" s="29">
        <v>-473683.08</v>
      </c>
      <c r="J11" s="29">
        <v>-239488.82</v>
      </c>
      <c r="K11" s="29">
        <v>-292699.13</v>
      </c>
      <c r="L11" s="29">
        <v>-258968.97</v>
      </c>
      <c r="M11" s="29">
        <v>-267741.64</v>
      </c>
      <c r="N11" s="30">
        <f t="shared" si="0"/>
        <v>-7812377.3499999987</v>
      </c>
    </row>
    <row r="12" spans="1:14" ht="15.75" thickBot="1" x14ac:dyDescent="0.3">
      <c r="A12" s="39" t="s">
        <v>341</v>
      </c>
      <c r="B12" s="32">
        <v>-24321246.219999999</v>
      </c>
      <c r="C12" s="32">
        <v>-41078176.969999999</v>
      </c>
      <c r="D12" s="32">
        <v>-63122081.380000003</v>
      </c>
      <c r="E12" s="33">
        <v>-68054616.599999994</v>
      </c>
      <c r="F12" s="33">
        <v>-57444991.920000002</v>
      </c>
      <c r="G12" s="33">
        <v>-55205130.380000003</v>
      </c>
      <c r="H12" s="33">
        <v>-44358690.659999996</v>
      </c>
      <c r="I12" s="33">
        <v>-26366877.18</v>
      </c>
      <c r="J12" s="33">
        <v>-12336524.789999999</v>
      </c>
      <c r="K12" s="33">
        <v>-15674100.609999999</v>
      </c>
      <c r="L12" s="33">
        <v>-13850176.460000001</v>
      </c>
      <c r="M12" s="33">
        <v>-14224209.15</v>
      </c>
      <c r="N12" s="34">
        <f t="shared" si="0"/>
        <v>-436036822.31999999</v>
      </c>
    </row>
    <row r="13" spans="1:14" ht="15.75" thickBot="1" x14ac:dyDescent="0.3">
      <c r="A13" s="39" t="s">
        <v>342</v>
      </c>
      <c r="B13" s="28">
        <v>-10.050000000000001</v>
      </c>
      <c r="C13" s="28">
        <v>7.22</v>
      </c>
      <c r="D13" s="28">
        <v>-348804.9</v>
      </c>
      <c r="E13" s="29">
        <v>-4155569.76</v>
      </c>
      <c r="F13" s="29">
        <v>-3183148.44</v>
      </c>
      <c r="G13" s="29">
        <v>1166562.7</v>
      </c>
      <c r="H13" s="29">
        <v>682971.43</v>
      </c>
      <c r="I13" s="29">
        <v>-1606843.52</v>
      </c>
      <c r="J13" s="29">
        <v>-308.58999999999997</v>
      </c>
      <c r="K13" s="29">
        <v>-41.46</v>
      </c>
      <c r="L13" s="29">
        <v>13.24</v>
      </c>
      <c r="M13" s="29">
        <v>118.91</v>
      </c>
      <c r="N13" s="30">
        <f t="shared" si="0"/>
        <v>-7445053.2199999997</v>
      </c>
    </row>
    <row r="14" spans="1:14" ht="15.75" thickBot="1" x14ac:dyDescent="0.3">
      <c r="A14" s="39" t="s">
        <v>343</v>
      </c>
      <c r="B14" s="40">
        <v>-344.16</v>
      </c>
      <c r="C14" s="40">
        <v>-347.66</v>
      </c>
      <c r="D14" s="40">
        <v>-337.47</v>
      </c>
      <c r="E14" s="33">
        <v>-382.4</v>
      </c>
      <c r="F14" s="33">
        <v>-589.53</v>
      </c>
      <c r="G14" s="33">
        <v>-607.05999999999995</v>
      </c>
      <c r="H14" s="33">
        <v>-811.66</v>
      </c>
      <c r="I14" s="33">
        <v>-727.19</v>
      </c>
      <c r="J14" s="33">
        <v>-785.21</v>
      </c>
      <c r="K14" s="33">
        <v>-847.66</v>
      </c>
      <c r="L14" s="33">
        <v>-908.54</v>
      </c>
      <c r="M14" s="33">
        <v>-953.76</v>
      </c>
      <c r="N14" s="34">
        <f t="shared" si="0"/>
        <v>-7642.2999999999993</v>
      </c>
    </row>
    <row r="15" spans="1:14" ht="15.75" thickBot="1" x14ac:dyDescent="0.3">
      <c r="A15" s="39" t="s">
        <v>344</v>
      </c>
      <c r="B15" s="28">
        <v>-15736799</v>
      </c>
      <c r="C15" s="28">
        <v>-23457127.809999999</v>
      </c>
      <c r="D15" s="28">
        <v>-32389212.73</v>
      </c>
      <c r="E15" s="29">
        <v>-36551851.600000001</v>
      </c>
      <c r="F15" s="29">
        <v>-31636902.050000001</v>
      </c>
      <c r="G15" s="29">
        <v>-29114337.640000001</v>
      </c>
      <c r="H15" s="29">
        <v>-21752772.489999998</v>
      </c>
      <c r="I15" s="29">
        <v>-13844883.859999999</v>
      </c>
      <c r="J15" s="29">
        <v>-4482384.93</v>
      </c>
      <c r="K15" s="29">
        <v>-9815947.4299999997</v>
      </c>
      <c r="L15" s="29">
        <v>-9342869.0700000003</v>
      </c>
      <c r="M15" s="29">
        <v>-9638953.4700000007</v>
      </c>
      <c r="N15" s="30">
        <f t="shared" si="0"/>
        <v>-237764042.08000007</v>
      </c>
    </row>
    <row r="16" spans="1:14" ht="15.75" thickBot="1" x14ac:dyDescent="0.3">
      <c r="A16" s="39" t="s">
        <v>345</v>
      </c>
      <c r="B16" s="32">
        <v>-210238.17</v>
      </c>
      <c r="C16" s="32">
        <v>-334255.71000000002</v>
      </c>
      <c r="D16" s="32">
        <v>-492582.31</v>
      </c>
      <c r="E16" s="33">
        <v>-568145.29</v>
      </c>
      <c r="F16" s="33">
        <v>-479415.9</v>
      </c>
      <c r="G16" s="33">
        <v>-431008.89</v>
      </c>
      <c r="H16" s="33">
        <v>-317544.18</v>
      </c>
      <c r="I16" s="33">
        <v>-189593</v>
      </c>
      <c r="J16" s="33">
        <v>-64567.78</v>
      </c>
      <c r="K16" s="33">
        <v>-133090.68</v>
      </c>
      <c r="L16" s="33">
        <v>-124628.55</v>
      </c>
      <c r="M16" s="33">
        <v>-128015.39</v>
      </c>
      <c r="N16" s="34">
        <f t="shared" si="0"/>
        <v>-3473085.85</v>
      </c>
    </row>
    <row r="17" spans="1:14" ht="15.75" thickBot="1" x14ac:dyDescent="0.3">
      <c r="A17" s="39" t="s">
        <v>346</v>
      </c>
      <c r="B17" s="28">
        <v>-59741.49</v>
      </c>
      <c r="C17" s="28">
        <v>-68884.47</v>
      </c>
      <c r="D17" s="28">
        <v>-70917.539999999994</v>
      </c>
      <c r="E17" s="29">
        <v>-75469.97</v>
      </c>
      <c r="F17" s="29">
        <v>-72787.37</v>
      </c>
      <c r="G17" s="29">
        <v>-67881.78</v>
      </c>
      <c r="H17" s="29">
        <v>-53369.599999999999</v>
      </c>
      <c r="I17" s="29">
        <v>-49297.919999999998</v>
      </c>
      <c r="J17" s="29">
        <v>-20790.849999999999</v>
      </c>
      <c r="K17" s="29">
        <v>-46849.39</v>
      </c>
      <c r="L17" s="29">
        <v>-46856.9</v>
      </c>
      <c r="M17" s="29">
        <v>-50065.3</v>
      </c>
      <c r="N17" s="30">
        <f t="shared" si="0"/>
        <v>-682912.58000000007</v>
      </c>
    </row>
    <row r="18" spans="1:14" ht="15.75" thickBot="1" x14ac:dyDescent="0.3">
      <c r="A18" s="39" t="s">
        <v>347</v>
      </c>
      <c r="B18" s="32">
        <v>-15466792.01</v>
      </c>
      <c r="C18" s="32">
        <v>-23053987.390000001</v>
      </c>
      <c r="D18" s="32">
        <v>-31771655.940000001</v>
      </c>
      <c r="E18" s="33">
        <v>-34867492.840000004</v>
      </c>
      <c r="F18" s="33">
        <v>-30274096.969999999</v>
      </c>
      <c r="G18" s="33">
        <v>-28932939.190000001</v>
      </c>
      <c r="H18" s="33">
        <v>-21606796.239999998</v>
      </c>
      <c r="I18" s="33">
        <v>-13297514.85</v>
      </c>
      <c r="J18" s="33">
        <v>-4396985.7300000004</v>
      </c>
      <c r="K18" s="33">
        <v>-9635829.1199999992</v>
      </c>
      <c r="L18" s="33">
        <v>-9171382.9900000002</v>
      </c>
      <c r="M18" s="33">
        <v>-9460825.1099999994</v>
      </c>
      <c r="N18" s="34">
        <f t="shared" si="0"/>
        <v>-231936298.38</v>
      </c>
    </row>
    <row r="19" spans="1:14" ht="15.75" thickBot="1" x14ac:dyDescent="0.3">
      <c r="A19" s="39" t="s">
        <v>348</v>
      </c>
      <c r="B19" s="28">
        <v>-27.33</v>
      </c>
      <c r="C19" s="28">
        <v>-0.24</v>
      </c>
      <c r="D19" s="28">
        <v>-54056.94</v>
      </c>
      <c r="E19" s="29">
        <v>-1040743.5</v>
      </c>
      <c r="F19" s="29">
        <v>-810601.81</v>
      </c>
      <c r="G19" s="29">
        <v>317492.21999999997</v>
      </c>
      <c r="H19" s="29">
        <v>224937.53</v>
      </c>
      <c r="I19" s="29">
        <v>-308478.09000000003</v>
      </c>
      <c r="J19" s="29">
        <v>-40.57</v>
      </c>
      <c r="K19" s="29">
        <v>-178.24</v>
      </c>
      <c r="L19" s="29">
        <v>-0.63</v>
      </c>
      <c r="M19" s="29">
        <v>-47.67</v>
      </c>
      <c r="N19" s="30">
        <f t="shared" si="0"/>
        <v>-1671745.27</v>
      </c>
    </row>
    <row r="20" spans="1:14" ht="15.75" thickBot="1" x14ac:dyDescent="0.3">
      <c r="A20" s="39" t="s">
        <v>349</v>
      </c>
      <c r="B20" s="32">
        <v>-21591908.129999999</v>
      </c>
      <c r="C20" s="32">
        <v>-13076067.16</v>
      </c>
      <c r="D20" s="32">
        <v>-2049726.89</v>
      </c>
      <c r="E20" s="33">
        <v>7301614.6799999997</v>
      </c>
      <c r="F20" s="33">
        <v>2352398.35</v>
      </c>
      <c r="G20" s="33">
        <v>4370993.05</v>
      </c>
      <c r="H20" s="33">
        <v>14512484.5</v>
      </c>
      <c r="I20" s="33">
        <v>7274548.79</v>
      </c>
      <c r="J20" s="33">
        <v>3946288.84</v>
      </c>
      <c r="K20" s="33">
        <v>2916763.06</v>
      </c>
      <c r="L20" s="33">
        <v>-1293409.3400000001</v>
      </c>
      <c r="M20" s="33">
        <v>-1096684.24</v>
      </c>
      <c r="N20" s="34">
        <f t="shared" si="0"/>
        <v>3567295.5100000016</v>
      </c>
    </row>
    <row r="21" spans="1:14" ht="15.75" thickBot="1" x14ac:dyDescent="0.3">
      <c r="A21" s="39" t="s">
        <v>350</v>
      </c>
      <c r="B21" s="28">
        <v>43464</v>
      </c>
      <c r="C21" s="28">
        <v>-123971</v>
      </c>
      <c r="D21" s="28">
        <v>-656</v>
      </c>
      <c r="E21" s="29">
        <v>10170</v>
      </c>
      <c r="F21" s="29">
        <v>-1107</v>
      </c>
      <c r="G21" s="29">
        <v>2589</v>
      </c>
      <c r="H21" s="29">
        <v>20733</v>
      </c>
      <c r="I21" s="29">
        <v>5897</v>
      </c>
      <c r="J21" s="29">
        <v>4511</v>
      </c>
      <c r="K21" s="29">
        <v>2820</v>
      </c>
      <c r="L21" s="29">
        <v>-762</v>
      </c>
      <c r="M21" s="29">
        <v>-1070</v>
      </c>
      <c r="N21" s="30">
        <f t="shared" si="0"/>
        <v>-37382</v>
      </c>
    </row>
    <row r="22" spans="1:14" ht="15.75" thickBot="1" x14ac:dyDescent="0.3">
      <c r="A22" s="39" t="s">
        <v>351</v>
      </c>
      <c r="B22" s="32">
        <v>249015</v>
      </c>
      <c r="C22" s="32">
        <v>-522905</v>
      </c>
      <c r="D22" s="32">
        <v>-1197</v>
      </c>
      <c r="E22" s="33">
        <v>8810</v>
      </c>
      <c r="F22" s="33">
        <v>-753</v>
      </c>
      <c r="G22" s="33">
        <v>2558</v>
      </c>
      <c r="H22" s="33">
        <v>17228</v>
      </c>
      <c r="I22" s="33">
        <v>4480</v>
      </c>
      <c r="J22" s="33">
        <v>3371</v>
      </c>
      <c r="K22" s="33">
        <v>2101</v>
      </c>
      <c r="L22" s="33">
        <v>-631</v>
      </c>
      <c r="M22" s="33">
        <v>-598</v>
      </c>
      <c r="N22" s="34">
        <f t="shared" si="0"/>
        <v>-238521</v>
      </c>
    </row>
    <row r="23" spans="1:14" ht="15.75" thickBot="1" x14ac:dyDescent="0.3">
      <c r="A23" s="39" t="s">
        <v>352</v>
      </c>
      <c r="B23" s="28"/>
      <c r="C23" s="28">
        <v>32769.379999999997</v>
      </c>
      <c r="D23" s="28">
        <v>-1807292.98</v>
      </c>
      <c r="E23" s="29">
        <v>-3913436.35</v>
      </c>
      <c r="F23" s="29">
        <v>-163583.23000000001</v>
      </c>
      <c r="G23" s="29">
        <v>1585082.8</v>
      </c>
      <c r="H23" s="29">
        <v>-2152607.4500000002</v>
      </c>
      <c r="I23" s="41"/>
      <c r="J23" s="41"/>
      <c r="K23" s="41"/>
      <c r="L23" s="41"/>
      <c r="M23" s="41"/>
      <c r="N23" s="30">
        <f t="shared" si="0"/>
        <v>-6419067.830000001</v>
      </c>
    </row>
    <row r="24" spans="1:14" ht="15.75" thickBot="1" x14ac:dyDescent="0.3">
      <c r="A24" s="39" t="s">
        <v>353</v>
      </c>
      <c r="B24" s="32"/>
      <c r="C24" s="32"/>
      <c r="D24" s="32">
        <v>-32769.379999999997</v>
      </c>
      <c r="E24" s="33">
        <v>1807292.98</v>
      </c>
      <c r="F24" s="33">
        <v>3913436.35</v>
      </c>
      <c r="G24" s="33">
        <v>163583.23000000001</v>
      </c>
      <c r="H24" s="33">
        <v>-1585082.8</v>
      </c>
      <c r="I24" s="33">
        <v>2152607.4500000002</v>
      </c>
      <c r="J24" s="42"/>
      <c r="K24" s="42"/>
      <c r="L24" s="42"/>
      <c r="M24" s="42"/>
      <c r="N24" s="34">
        <f t="shared" si="0"/>
        <v>6419067.830000001</v>
      </c>
    </row>
    <row r="25" spans="1:14" ht="15.75" thickBot="1" x14ac:dyDescent="0.3">
      <c r="A25" s="39" t="s">
        <v>354</v>
      </c>
      <c r="B25" s="28">
        <v>-38330462.899999999</v>
      </c>
      <c r="C25" s="28">
        <v>-53057346.759999998</v>
      </c>
      <c r="D25" s="28">
        <v>-53266771.789999999</v>
      </c>
      <c r="E25" s="29">
        <v>-43777938.409999996</v>
      </c>
      <c r="F25" s="29">
        <v>-45190669.549999997</v>
      </c>
      <c r="G25" s="29">
        <v>-42543585.210000001</v>
      </c>
      <c r="H25" s="29">
        <v>-24098297.210000001</v>
      </c>
      <c r="I25" s="29">
        <v>-18921600.780000001</v>
      </c>
      <c r="J25" s="29">
        <v>-14936916.630000001</v>
      </c>
      <c r="K25" s="29">
        <v>-11988754.800000001</v>
      </c>
      <c r="L25" s="29">
        <v>-13304212</v>
      </c>
      <c r="M25" s="29">
        <v>-14420702.43</v>
      </c>
      <c r="N25" s="30">
        <f t="shared" si="0"/>
        <v>-373837258.46999991</v>
      </c>
    </row>
    <row r="26" spans="1:14" ht="15.75" thickBot="1" x14ac:dyDescent="0.3">
      <c r="A26" s="39" t="s">
        <v>355</v>
      </c>
      <c r="B26" s="32">
        <v>17493466.699999999</v>
      </c>
      <c r="C26" s="32">
        <v>38330462.899999999</v>
      </c>
      <c r="D26" s="32">
        <v>53057346.759999998</v>
      </c>
      <c r="E26" s="33">
        <v>53266771.789999999</v>
      </c>
      <c r="F26" s="33">
        <v>43777938.399999999</v>
      </c>
      <c r="G26" s="33">
        <v>45190669.539999999</v>
      </c>
      <c r="H26" s="33">
        <v>42543585.200000003</v>
      </c>
      <c r="I26" s="33">
        <v>24098297.199999999</v>
      </c>
      <c r="J26" s="33">
        <v>18921600.780000001</v>
      </c>
      <c r="K26" s="33">
        <v>14936916.630000001</v>
      </c>
      <c r="L26" s="33">
        <v>11988754.800000001</v>
      </c>
      <c r="M26" s="33">
        <v>13304212</v>
      </c>
      <c r="N26" s="34">
        <f t="shared" si="0"/>
        <v>376910022.69999999</v>
      </c>
    </row>
    <row r="27" spans="1:14" ht="15.75" thickBot="1" x14ac:dyDescent="0.3">
      <c r="A27" s="39" t="s">
        <v>356</v>
      </c>
      <c r="B27" s="28">
        <v>-416739.93</v>
      </c>
      <c r="C27" s="28">
        <v>-294537.68</v>
      </c>
      <c r="D27" s="28">
        <v>-4188.5</v>
      </c>
      <c r="E27" s="29">
        <v>189776.67</v>
      </c>
      <c r="F27" s="29">
        <v>-28254.62</v>
      </c>
      <c r="G27" s="29">
        <v>52941.69</v>
      </c>
      <c r="H27" s="29">
        <v>368905.76</v>
      </c>
      <c r="I27" s="29">
        <v>103533.92</v>
      </c>
      <c r="J27" s="29">
        <v>79693.69</v>
      </c>
      <c r="K27" s="29">
        <v>58963.23</v>
      </c>
      <c r="L27" s="29">
        <v>-26309.14</v>
      </c>
      <c r="M27" s="29">
        <v>-22329.81</v>
      </c>
      <c r="N27" s="30">
        <f t="shared" si="0"/>
        <v>61455.280000000072</v>
      </c>
    </row>
    <row r="28" spans="1:14" ht="15.75" thickBot="1" x14ac:dyDescent="0.3">
      <c r="A28" s="39" t="s">
        <v>357</v>
      </c>
      <c r="B28" s="32">
        <v>-630651</v>
      </c>
      <c r="C28" s="32">
        <v>2559461</v>
      </c>
      <c r="D28" s="32">
        <v>5802</v>
      </c>
      <c r="E28" s="33">
        <v>-289832</v>
      </c>
      <c r="F28" s="33">
        <v>45391</v>
      </c>
      <c r="G28" s="33">
        <v>-82846</v>
      </c>
      <c r="H28" s="33">
        <v>-601980</v>
      </c>
      <c r="I28" s="33">
        <v>-168666</v>
      </c>
      <c r="J28" s="33">
        <v>-125971</v>
      </c>
      <c r="K28" s="33">
        <v>-95283</v>
      </c>
      <c r="L28" s="33">
        <v>49750</v>
      </c>
      <c r="M28" s="33">
        <v>43804</v>
      </c>
      <c r="N28" s="34">
        <f t="shared" si="0"/>
        <v>708979</v>
      </c>
    </row>
    <row r="29" spans="1:14" ht="15.75" thickBot="1" x14ac:dyDescent="0.3">
      <c r="A29" s="38" t="s">
        <v>358</v>
      </c>
      <c r="B29" s="28">
        <v>-3638108.11</v>
      </c>
      <c r="C29" s="28">
        <v>-3595522.24</v>
      </c>
      <c r="D29" s="28">
        <v>-3050749.06</v>
      </c>
      <c r="E29" s="29">
        <v>-3492084.3</v>
      </c>
      <c r="F29" s="29">
        <v>-3462736.14</v>
      </c>
      <c r="G29" s="29">
        <v>-3530644.06</v>
      </c>
      <c r="H29" s="29">
        <v>-3251429.18</v>
      </c>
      <c r="I29" s="29">
        <v>-3186044.69</v>
      </c>
      <c r="J29" s="29">
        <v>-3165424.59</v>
      </c>
      <c r="K29" s="29">
        <v>-3141603.07</v>
      </c>
      <c r="L29" s="29">
        <v>-3160968.05</v>
      </c>
      <c r="M29" s="29">
        <v>-3212223.84</v>
      </c>
      <c r="N29" s="30">
        <f t="shared" si="0"/>
        <v>-39887537.329999998</v>
      </c>
    </row>
    <row r="30" spans="1:14" ht="15.75" thickBot="1" x14ac:dyDescent="0.3">
      <c r="A30" s="39" t="s">
        <v>359</v>
      </c>
      <c r="B30" s="32">
        <v>-33321.69</v>
      </c>
      <c r="C30" s="32">
        <v>-32648.61</v>
      </c>
      <c r="D30" s="32">
        <v>-32113.27</v>
      </c>
      <c r="E30" s="33">
        <v>-33891.75</v>
      </c>
      <c r="F30" s="33">
        <v>-32971.550000000003</v>
      </c>
      <c r="G30" s="33">
        <v>-32350.75</v>
      </c>
      <c r="H30" s="33">
        <v>-27497.45</v>
      </c>
      <c r="I30" s="33">
        <v>-27600.09</v>
      </c>
      <c r="J30" s="33">
        <v>-29389.5</v>
      </c>
      <c r="K30" s="33">
        <v>-27854.65</v>
      </c>
      <c r="L30" s="33">
        <v>-28244.97</v>
      </c>
      <c r="M30" s="33">
        <v>-29377.37</v>
      </c>
      <c r="N30" s="34">
        <f t="shared" si="0"/>
        <v>-367261.65</v>
      </c>
    </row>
    <row r="31" spans="1:14" ht="15.75" thickBot="1" x14ac:dyDescent="0.3">
      <c r="A31" s="39" t="s">
        <v>360</v>
      </c>
      <c r="B31" s="43">
        <v>-1605173</v>
      </c>
      <c r="C31" s="43">
        <v>-1605173</v>
      </c>
      <c r="D31" s="43">
        <v>-928367</v>
      </c>
      <c r="E31" s="29">
        <v>-1512126</v>
      </c>
      <c r="F31" s="29">
        <v>-1512126</v>
      </c>
      <c r="G31" s="29">
        <v>-1512126</v>
      </c>
      <c r="H31" s="29">
        <v>-1512126</v>
      </c>
      <c r="I31" s="29">
        <v>-1512126</v>
      </c>
      <c r="J31" s="29">
        <v>-1512126</v>
      </c>
      <c r="K31" s="29">
        <v>-1512126</v>
      </c>
      <c r="L31" s="29">
        <v>-1512126</v>
      </c>
      <c r="M31" s="29">
        <v>-1512126</v>
      </c>
      <c r="N31" s="30">
        <f t="shared" si="0"/>
        <v>-17747847</v>
      </c>
    </row>
    <row r="32" spans="1:14" ht="15.75" thickBot="1" x14ac:dyDescent="0.3">
      <c r="A32" s="39" t="s">
        <v>361</v>
      </c>
      <c r="B32" s="40">
        <v>-116693</v>
      </c>
      <c r="C32" s="40">
        <v>-116693</v>
      </c>
      <c r="D32" s="40">
        <v>-116693</v>
      </c>
      <c r="E32" s="33">
        <v>-110000</v>
      </c>
      <c r="F32" s="33">
        <v>-110000</v>
      </c>
      <c r="G32" s="33">
        <v>-110000</v>
      </c>
      <c r="H32" s="33">
        <v>-110000</v>
      </c>
      <c r="I32" s="33">
        <v>-110000</v>
      </c>
      <c r="J32" s="33">
        <v>-110000</v>
      </c>
      <c r="K32" s="33">
        <v>-110000</v>
      </c>
      <c r="L32" s="33">
        <v>-110000</v>
      </c>
      <c r="M32" s="33">
        <v>-110000</v>
      </c>
      <c r="N32" s="34">
        <f t="shared" si="0"/>
        <v>-1340079</v>
      </c>
    </row>
    <row r="33" spans="1:14" ht="15.75" thickBot="1" x14ac:dyDescent="0.3">
      <c r="A33" s="39" t="s">
        <v>362</v>
      </c>
      <c r="B33" s="43">
        <v>-8251</v>
      </c>
      <c r="C33" s="43">
        <v>-8251</v>
      </c>
      <c r="D33" s="43">
        <v>51635</v>
      </c>
      <c r="E33" s="41"/>
      <c r="F33" s="41"/>
      <c r="G33" s="41"/>
      <c r="H33" s="41"/>
      <c r="I33" s="41"/>
      <c r="J33" s="41"/>
      <c r="K33" s="41"/>
      <c r="L33" s="41"/>
      <c r="M33" s="41"/>
      <c r="N33" s="44">
        <f t="shared" si="0"/>
        <v>35133</v>
      </c>
    </row>
    <row r="34" spans="1:14" ht="15.75" thickBot="1" x14ac:dyDescent="0.3">
      <c r="A34" s="39" t="s">
        <v>363</v>
      </c>
      <c r="B34" s="40">
        <v>34288</v>
      </c>
      <c r="C34" s="40">
        <v>34288</v>
      </c>
      <c r="D34" s="40">
        <v>-214577</v>
      </c>
      <c r="E34" s="42"/>
      <c r="F34" s="42"/>
      <c r="G34" s="42"/>
      <c r="H34" s="42"/>
      <c r="I34" s="42"/>
      <c r="J34" s="42"/>
      <c r="K34" s="42"/>
      <c r="L34" s="42"/>
      <c r="M34" s="42"/>
      <c r="N34" s="45">
        <f t="shared" si="0"/>
        <v>-146001</v>
      </c>
    </row>
    <row r="35" spans="1:14" ht="15.75" thickBot="1" x14ac:dyDescent="0.3">
      <c r="A35" s="39" t="s">
        <v>364</v>
      </c>
      <c r="B35" s="28">
        <v>-1908957.42</v>
      </c>
      <c r="C35" s="28">
        <v>-1867044.63</v>
      </c>
      <c r="D35" s="28">
        <v>-1810633.79</v>
      </c>
      <c r="E35" s="29">
        <v>-1836066.55</v>
      </c>
      <c r="F35" s="29">
        <v>-1807638.59</v>
      </c>
      <c r="G35" s="29">
        <v>-1876167.31</v>
      </c>
      <c r="H35" s="29">
        <v>-1601805.73</v>
      </c>
      <c r="I35" s="29">
        <v>-1536318.6</v>
      </c>
      <c r="J35" s="29">
        <v>-1513909.09</v>
      </c>
      <c r="K35" s="29">
        <v>-1491622.42</v>
      </c>
      <c r="L35" s="29">
        <v>-1510597.08</v>
      </c>
      <c r="M35" s="29">
        <v>-1560720.47</v>
      </c>
      <c r="N35" s="30">
        <f t="shared" si="0"/>
        <v>-20321481.68</v>
      </c>
    </row>
    <row r="36" spans="1:14" ht="15.75" thickBot="1" x14ac:dyDescent="0.3">
      <c r="A36" s="38" t="s">
        <v>365</v>
      </c>
      <c r="B36" s="32">
        <v>8805765.5999999996</v>
      </c>
      <c r="C36" s="32">
        <v>1521287.28</v>
      </c>
      <c r="D36" s="32">
        <v>-262320.49</v>
      </c>
      <c r="E36" s="33">
        <v>4425777.18</v>
      </c>
      <c r="F36" s="33">
        <v>2537028.66</v>
      </c>
      <c r="G36" s="33">
        <v>-328678.09999999998</v>
      </c>
      <c r="H36" s="33">
        <v>-303975.92</v>
      </c>
      <c r="I36" s="33">
        <v>-2046966</v>
      </c>
      <c r="J36" s="33">
        <v>-15033267.550000001</v>
      </c>
      <c r="K36" s="33">
        <v>-1188937.55</v>
      </c>
      <c r="L36" s="33">
        <v>95081.600000000006</v>
      </c>
      <c r="M36" s="33">
        <v>-142122.26999999999</v>
      </c>
      <c r="N36" s="34">
        <f t="shared" si="0"/>
        <v>-1921327.5600000035</v>
      </c>
    </row>
    <row r="37" spans="1:14" ht="15.75" thickBot="1" x14ac:dyDescent="0.3">
      <c r="A37" s="39" t="s">
        <v>366</v>
      </c>
      <c r="B37" s="28">
        <v>110797.32</v>
      </c>
      <c r="C37" s="28"/>
      <c r="D37" s="28"/>
      <c r="E37" s="41"/>
      <c r="F37" s="41"/>
      <c r="G37" s="41"/>
      <c r="H37" s="41"/>
      <c r="I37" s="41"/>
      <c r="J37" s="41"/>
      <c r="K37" s="41"/>
      <c r="L37" s="41"/>
      <c r="M37" s="41"/>
      <c r="N37" s="44">
        <f t="shared" si="0"/>
        <v>110797.32</v>
      </c>
    </row>
    <row r="38" spans="1:14" ht="15.75" thickBot="1" x14ac:dyDescent="0.3">
      <c r="A38" s="39" t="s">
        <v>367</v>
      </c>
      <c r="B38" s="40"/>
      <c r="C38" s="40"/>
      <c r="D38" s="40"/>
      <c r="E38" s="42"/>
      <c r="F38" s="42"/>
      <c r="G38" s="42"/>
      <c r="H38" s="42"/>
      <c r="I38" s="42"/>
      <c r="J38" s="33">
        <v>-15470857.529999999</v>
      </c>
      <c r="K38" s="33">
        <v>-1499422.7</v>
      </c>
      <c r="L38" s="42"/>
      <c r="M38" s="42"/>
      <c r="N38" s="34">
        <f t="shared" si="0"/>
        <v>-16970280.23</v>
      </c>
    </row>
    <row r="39" spans="1:14" ht="15.75" thickBot="1" x14ac:dyDescent="0.3">
      <c r="A39" s="39" t="s">
        <v>368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4">
        <f t="shared" si="0"/>
        <v>0</v>
      </c>
    </row>
    <row r="40" spans="1:14" ht="15.75" thickBot="1" x14ac:dyDescent="0.3">
      <c r="A40" s="39" t="s">
        <v>369</v>
      </c>
      <c r="B40" s="43"/>
      <c r="C40" s="43"/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5">
        <f t="shared" si="0"/>
        <v>0</v>
      </c>
    </row>
    <row r="41" spans="1:14" ht="15.75" thickBot="1" x14ac:dyDescent="0.3">
      <c r="A41" s="39" t="s">
        <v>370</v>
      </c>
      <c r="B41" s="40"/>
      <c r="C41" s="40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4">
        <f t="shared" si="0"/>
        <v>0</v>
      </c>
    </row>
    <row r="42" spans="1:14" ht="15.75" thickBot="1" x14ac:dyDescent="0.3">
      <c r="A42" s="39" t="s">
        <v>371</v>
      </c>
      <c r="B42" s="28">
        <v>7541366.04</v>
      </c>
      <c r="C42" s="28">
        <v>223071.13</v>
      </c>
      <c r="D42" s="28">
        <v>-1108107.0900000001</v>
      </c>
      <c r="E42" s="33">
        <v>4488131.01</v>
      </c>
      <c r="F42" s="33">
        <v>2490050.75</v>
      </c>
      <c r="G42" s="33">
        <v>-873425.38</v>
      </c>
      <c r="H42" s="33">
        <v>-673324.54</v>
      </c>
      <c r="I42" s="33">
        <v>-1566241.34</v>
      </c>
      <c r="J42" s="33">
        <v>228217.39</v>
      </c>
      <c r="K42" s="33">
        <v>121290.3</v>
      </c>
      <c r="L42" s="33">
        <v>-97847.31</v>
      </c>
      <c r="M42" s="33">
        <v>-336110.58</v>
      </c>
      <c r="N42" s="34">
        <f t="shared" si="0"/>
        <v>10437070.379999999</v>
      </c>
    </row>
    <row r="43" spans="1:14" ht="15.75" thickBot="1" x14ac:dyDescent="0.3">
      <c r="A43" s="39" t="s">
        <v>372</v>
      </c>
      <c r="B43" s="32">
        <v>416216.99</v>
      </c>
      <c r="C43" s="32">
        <v>421745.25</v>
      </c>
      <c r="D43" s="32">
        <v>-77070.740000000005</v>
      </c>
      <c r="E43" s="29">
        <v>-84930.96</v>
      </c>
      <c r="F43" s="29">
        <v>-69064.929999999993</v>
      </c>
      <c r="G43" s="29">
        <v>-65032.07</v>
      </c>
      <c r="H43" s="29">
        <v>-50779.91</v>
      </c>
      <c r="I43" s="29">
        <v>-26413.78</v>
      </c>
      <c r="J43" s="29">
        <v>-20903.39</v>
      </c>
      <c r="K43" s="29">
        <v>-14807.43</v>
      </c>
      <c r="L43" s="29">
        <v>-11120.26</v>
      </c>
      <c r="M43" s="29">
        <v>-11690.51</v>
      </c>
      <c r="N43" s="30">
        <f t="shared" si="0"/>
        <v>406148.26000000007</v>
      </c>
    </row>
    <row r="44" spans="1:14" ht="15.75" thickBot="1" x14ac:dyDescent="0.3">
      <c r="A44" s="39" t="s">
        <v>373</v>
      </c>
      <c r="B44" s="28">
        <v>125518.98</v>
      </c>
      <c r="C44" s="28">
        <v>195318.34</v>
      </c>
      <c r="D44" s="28">
        <v>211660.69</v>
      </c>
      <c r="E44" s="33">
        <v>236059.82</v>
      </c>
      <c r="F44" s="33">
        <v>196004.66</v>
      </c>
      <c r="G44" s="33">
        <v>189600.41</v>
      </c>
      <c r="H44" s="33">
        <v>143969.04999999999</v>
      </c>
      <c r="I44" s="33">
        <v>77725.78</v>
      </c>
      <c r="J44" s="33">
        <v>59979.19</v>
      </c>
      <c r="K44" s="33">
        <v>46430.98</v>
      </c>
      <c r="L44" s="33">
        <v>36784.46</v>
      </c>
      <c r="M44" s="33">
        <v>38729.75</v>
      </c>
      <c r="N44" s="34">
        <f t="shared" si="0"/>
        <v>1557782.11</v>
      </c>
    </row>
    <row r="45" spans="1:14" ht="15.75" thickBot="1" x14ac:dyDescent="0.3">
      <c r="A45" s="39" t="s">
        <v>374</v>
      </c>
      <c r="B45" s="32">
        <v>42.61</v>
      </c>
      <c r="C45" s="32">
        <v>46.76</v>
      </c>
      <c r="D45" s="32">
        <v>-3987.25</v>
      </c>
      <c r="E45" s="29">
        <v>-542729.79</v>
      </c>
      <c r="F45" s="29">
        <v>-427653.49</v>
      </c>
      <c r="G45" s="29">
        <v>116442.02</v>
      </c>
      <c r="H45" s="29">
        <v>101987.23</v>
      </c>
      <c r="I45" s="29">
        <v>-700830.35</v>
      </c>
      <c r="J45" s="29">
        <v>-364.82</v>
      </c>
      <c r="K45" s="29">
        <v>236.45</v>
      </c>
      <c r="L45" s="29">
        <v>70.95</v>
      </c>
      <c r="M45" s="29">
        <v>199.21</v>
      </c>
      <c r="N45" s="30">
        <f t="shared" si="0"/>
        <v>-1456540.4700000002</v>
      </c>
    </row>
    <row r="46" spans="1:14" ht="15.75" thickBot="1" x14ac:dyDescent="0.3">
      <c r="A46" s="39" t="s">
        <v>375</v>
      </c>
      <c r="B46" s="28">
        <v>62156.800000000003</v>
      </c>
      <c r="C46" s="28">
        <v>42462.7</v>
      </c>
      <c r="D46" s="28">
        <v>-93814.2</v>
      </c>
      <c r="E46" s="33">
        <v>-102095.59</v>
      </c>
      <c r="F46" s="33">
        <v>-84911.41</v>
      </c>
      <c r="G46" s="33">
        <v>-80915.289999999994</v>
      </c>
      <c r="H46" s="33">
        <v>-62314.93</v>
      </c>
      <c r="I46" s="33">
        <v>-33059.26</v>
      </c>
      <c r="J46" s="33">
        <v>-25080.55</v>
      </c>
      <c r="K46" s="33">
        <v>-18226.86</v>
      </c>
      <c r="L46" s="33">
        <v>-13826.7</v>
      </c>
      <c r="M46" s="33">
        <v>-14370.61</v>
      </c>
      <c r="N46" s="34">
        <f t="shared" si="0"/>
        <v>-423995.89999999997</v>
      </c>
    </row>
    <row r="47" spans="1:14" ht="15.75" thickBot="1" x14ac:dyDescent="0.3">
      <c r="A47" s="39" t="s">
        <v>376</v>
      </c>
      <c r="B47" s="32">
        <v>13576.07</v>
      </c>
      <c r="C47" s="32">
        <v>28322.89</v>
      </c>
      <c r="D47" s="32">
        <v>43099.09</v>
      </c>
      <c r="E47" s="29">
        <v>46123.95</v>
      </c>
      <c r="F47" s="29">
        <v>39709.300000000003</v>
      </c>
      <c r="G47" s="29">
        <v>39381.33</v>
      </c>
      <c r="H47" s="29">
        <v>31855.39</v>
      </c>
      <c r="I47" s="29">
        <v>21519.25</v>
      </c>
      <c r="J47" s="29">
        <v>19070.47</v>
      </c>
      <c r="K47" s="29">
        <v>16519.810000000001</v>
      </c>
      <c r="L47" s="29">
        <v>15451.47</v>
      </c>
      <c r="M47" s="29">
        <v>14478.38</v>
      </c>
      <c r="N47" s="30">
        <f t="shared" si="0"/>
        <v>329107.39999999997</v>
      </c>
    </row>
    <row r="48" spans="1:14" ht="15.75" thickBot="1" x14ac:dyDescent="0.3">
      <c r="A48" s="39" t="s">
        <v>377</v>
      </c>
      <c r="B48" s="28">
        <v>14284.96</v>
      </c>
      <c r="C48" s="28">
        <v>19166.48</v>
      </c>
      <c r="D48" s="28">
        <v>20030.12</v>
      </c>
      <c r="E48" s="33">
        <v>21789.9</v>
      </c>
      <c r="F48" s="33">
        <v>18365.71</v>
      </c>
      <c r="G48" s="33">
        <v>17540.45</v>
      </c>
      <c r="H48" s="33">
        <v>13424.37</v>
      </c>
      <c r="I48" s="33">
        <v>7458.71</v>
      </c>
      <c r="J48" s="33">
        <v>5884.05</v>
      </c>
      <c r="K48" s="33">
        <v>4582.1400000000003</v>
      </c>
      <c r="L48" s="33">
        <v>3722.79</v>
      </c>
      <c r="M48" s="33">
        <v>3833.35</v>
      </c>
      <c r="N48" s="34">
        <f t="shared" si="0"/>
        <v>150083.03</v>
      </c>
    </row>
    <row r="49" spans="1:14" ht="15.75" thickBot="1" x14ac:dyDescent="0.3">
      <c r="A49" s="39" t="s">
        <v>378</v>
      </c>
      <c r="B49" s="32">
        <v>497780.77</v>
      </c>
      <c r="C49" s="32">
        <v>338441.75</v>
      </c>
      <c r="D49" s="32">
        <v>158809.57</v>
      </c>
      <c r="E49" s="29">
        <v>166388.24</v>
      </c>
      <c r="F49" s="29">
        <v>169855</v>
      </c>
      <c r="G49" s="29">
        <v>168999.32</v>
      </c>
      <c r="H49" s="29">
        <v>135322.13</v>
      </c>
      <c r="I49" s="29">
        <v>123156.97</v>
      </c>
      <c r="J49" s="29">
        <v>131118.70000000001</v>
      </c>
      <c r="K49" s="29">
        <v>123449.7</v>
      </c>
      <c r="L49" s="29">
        <v>121812.74</v>
      </c>
      <c r="M49" s="29">
        <v>121650.09</v>
      </c>
      <c r="N49" s="30">
        <f t="shared" si="0"/>
        <v>2256784.98</v>
      </c>
    </row>
    <row r="50" spans="1:14" ht="15.75" thickBot="1" x14ac:dyDescent="0.3">
      <c r="A50" s="39" t="s">
        <v>379</v>
      </c>
      <c r="B50" s="28">
        <v>4565.3999999999996</v>
      </c>
      <c r="C50" s="28">
        <v>-80665.210000000006</v>
      </c>
      <c r="D50" s="28">
        <v>-295877.58</v>
      </c>
      <c r="E50" s="33">
        <v>-328564.84999999998</v>
      </c>
      <c r="F50" s="33">
        <v>-274534.59000000003</v>
      </c>
      <c r="G50" s="33">
        <v>-266677.12</v>
      </c>
      <c r="H50" s="33">
        <v>-202877.07</v>
      </c>
      <c r="I50" s="33">
        <v>-112948.82</v>
      </c>
      <c r="J50" s="33">
        <v>-88579.04</v>
      </c>
      <c r="K50" s="33">
        <v>-70639.38</v>
      </c>
      <c r="L50" s="33">
        <v>-58028.65</v>
      </c>
      <c r="M50" s="33">
        <v>-60819.12</v>
      </c>
      <c r="N50" s="34">
        <f t="shared" si="0"/>
        <v>-1835646.0300000003</v>
      </c>
    </row>
    <row r="51" spans="1:14" ht="15.75" thickBot="1" x14ac:dyDescent="0.3">
      <c r="A51" s="39" t="s">
        <v>380</v>
      </c>
      <c r="B51" s="32">
        <v>19459.66</v>
      </c>
      <c r="C51" s="32">
        <v>31913.68</v>
      </c>
      <c r="D51" s="32">
        <v>39295.120000000003</v>
      </c>
      <c r="E51" s="29">
        <v>43773.04</v>
      </c>
      <c r="F51" s="29">
        <v>36432.239999999998</v>
      </c>
      <c r="G51" s="29">
        <v>35269.46</v>
      </c>
      <c r="H51" s="29">
        <v>26833.68</v>
      </c>
      <c r="I51" s="29">
        <v>14566.1</v>
      </c>
      <c r="J51" s="29">
        <v>11270.29</v>
      </c>
      <c r="K51" s="29">
        <v>8796.02</v>
      </c>
      <c r="L51" s="29">
        <v>7017.7</v>
      </c>
      <c r="M51" s="29">
        <v>7381.59</v>
      </c>
      <c r="N51" s="30">
        <f t="shared" si="0"/>
        <v>282008.58</v>
      </c>
    </row>
    <row r="52" spans="1:14" ht="15.75" thickBot="1" x14ac:dyDescent="0.3">
      <c r="A52" s="39" t="s">
        <v>381</v>
      </c>
      <c r="B52" s="32"/>
      <c r="C52" s="32">
        <v>3444.56</v>
      </c>
      <c r="D52" s="32">
        <v>5252.93</v>
      </c>
      <c r="E52" s="33">
        <v>12307.69</v>
      </c>
      <c r="F52" s="33">
        <v>912686.44</v>
      </c>
      <c r="G52" s="33">
        <v>2249.56</v>
      </c>
      <c r="H52" s="33">
        <v>2460.7199999999998</v>
      </c>
      <c r="I52" s="33">
        <v>2795.84</v>
      </c>
      <c r="J52" s="33">
        <v>34439.370000000003</v>
      </c>
      <c r="K52" s="33">
        <v>852375.62</v>
      </c>
      <c r="L52" s="33">
        <v>2395.2399999999998</v>
      </c>
      <c r="M52" s="33">
        <v>22774.7</v>
      </c>
      <c r="N52" s="34">
        <f t="shared" si="0"/>
        <v>1853182.67</v>
      </c>
    </row>
    <row r="53" spans="1:14" ht="15.75" thickBot="1" x14ac:dyDescent="0.3">
      <c r="A53" s="39" t="s">
        <v>382</v>
      </c>
      <c r="B53" s="32"/>
      <c r="C53" s="32">
        <v>298018.95</v>
      </c>
      <c r="D53" s="32">
        <v>368761.49</v>
      </c>
      <c r="E53" s="29">
        <v>351491.15</v>
      </c>
      <c r="F53" s="29">
        <v>-570762.22</v>
      </c>
      <c r="G53" s="29">
        <v>300148.3</v>
      </c>
      <c r="H53" s="29">
        <v>163987.5</v>
      </c>
      <c r="I53" s="29">
        <v>102523.13</v>
      </c>
      <c r="J53" s="29">
        <v>52928.57</v>
      </c>
      <c r="K53" s="29">
        <v>-783342.7</v>
      </c>
      <c r="L53" s="29">
        <v>64965.9</v>
      </c>
      <c r="M53" s="29">
        <v>46366.28</v>
      </c>
      <c r="N53" s="30">
        <f t="shared" si="0"/>
        <v>395086.35</v>
      </c>
    </row>
    <row r="54" spans="1:14" ht="15.75" thickBot="1" x14ac:dyDescent="0.3">
      <c r="A54" s="39" t="s">
        <v>383</v>
      </c>
      <c r="B54" s="43"/>
      <c r="C54" s="43"/>
      <c r="D54" s="43"/>
      <c r="E54" s="42"/>
      <c r="F54" s="42"/>
      <c r="G54" s="42"/>
      <c r="H54" s="42"/>
      <c r="I54" s="42"/>
      <c r="J54" s="42"/>
      <c r="K54" s="42"/>
      <c r="L54" s="42"/>
      <c r="M54" s="42"/>
      <c r="N54" s="45">
        <f t="shared" si="0"/>
        <v>0</v>
      </c>
    </row>
    <row r="55" spans="1:14" ht="15.75" thickBot="1" x14ac:dyDescent="0.3">
      <c r="A55" s="39" t="s">
        <v>384</v>
      </c>
      <c r="B55" s="43"/>
      <c r="C55" s="43"/>
      <c r="D55" s="43">
        <v>469627.36</v>
      </c>
      <c r="E55" s="29">
        <v>118033.57</v>
      </c>
      <c r="F55" s="29">
        <v>100851.2</v>
      </c>
      <c r="G55" s="29">
        <v>87740.91</v>
      </c>
      <c r="H55" s="29">
        <v>65480.46</v>
      </c>
      <c r="I55" s="29">
        <v>42781.77</v>
      </c>
      <c r="J55" s="29">
        <v>29609.75</v>
      </c>
      <c r="K55" s="29">
        <v>23820.5</v>
      </c>
      <c r="L55" s="29">
        <v>23683.27</v>
      </c>
      <c r="M55" s="29">
        <v>25455.200000000001</v>
      </c>
      <c r="N55" s="30">
        <f t="shared" si="0"/>
        <v>987083.98999999987</v>
      </c>
    </row>
    <row r="56" spans="1:14" ht="15.75" thickBot="1" x14ac:dyDescent="0.3">
      <c r="A56" s="39" t="s">
        <v>385</v>
      </c>
      <c r="B56" s="40"/>
      <c r="C56" s="40"/>
      <c r="D56" s="40"/>
      <c r="E56" s="42"/>
      <c r="F56" s="42"/>
      <c r="G56" s="42"/>
      <c r="H56" s="42"/>
      <c r="I56" s="42"/>
      <c r="J56" s="42"/>
      <c r="K56" s="42"/>
      <c r="L56" s="42"/>
      <c r="M56" s="42"/>
      <c r="N56" s="45">
        <f t="shared" si="0"/>
        <v>0</v>
      </c>
    </row>
    <row r="57" spans="1:14" ht="15.75" thickBot="1" x14ac:dyDescent="0.3">
      <c r="A57" s="38" t="s">
        <v>386</v>
      </c>
      <c r="B57" s="43">
        <v>-201513.11</v>
      </c>
      <c r="C57" s="43">
        <v>-232005.93</v>
      </c>
      <c r="D57" s="43">
        <v>-353088.39</v>
      </c>
      <c r="E57" s="29">
        <v>-439630.47</v>
      </c>
      <c r="F57" s="29">
        <v>-497515.21</v>
      </c>
      <c r="G57" s="29">
        <v>-285077.15999999997</v>
      </c>
      <c r="H57" s="29">
        <v>-73186.55</v>
      </c>
      <c r="I57" s="29">
        <v>-62383.75</v>
      </c>
      <c r="J57" s="29">
        <v>-60092</v>
      </c>
      <c r="K57" s="29">
        <v>-57104.32</v>
      </c>
      <c r="L57" s="29">
        <v>-57601.93</v>
      </c>
      <c r="M57" s="29">
        <v>-54328.03</v>
      </c>
      <c r="N57" s="30">
        <f t="shared" si="0"/>
        <v>-2373526.8499999996</v>
      </c>
    </row>
    <row r="58" spans="1:14" ht="15.75" thickBot="1" x14ac:dyDescent="0.3">
      <c r="A58" s="39" t="s">
        <v>387</v>
      </c>
      <c r="B58" s="32">
        <v>-81188.11</v>
      </c>
      <c r="C58" s="32">
        <v>-116240.55</v>
      </c>
      <c r="D58" s="32">
        <v>-215818.56</v>
      </c>
      <c r="E58" s="33">
        <v>-279992.58</v>
      </c>
      <c r="F58" s="33">
        <v>-301730.92</v>
      </c>
      <c r="G58" s="33">
        <v>-122968.12</v>
      </c>
      <c r="H58" s="33">
        <v>1402.57</v>
      </c>
      <c r="I58" s="33">
        <v>1161.31</v>
      </c>
      <c r="J58" s="33">
        <v>299.08</v>
      </c>
      <c r="K58" s="33">
        <v>70.95</v>
      </c>
      <c r="L58" s="33">
        <v>62.07</v>
      </c>
      <c r="M58" s="33">
        <v>80.69</v>
      </c>
      <c r="N58" s="34">
        <f t="shared" si="0"/>
        <v>-1114862.1699999997</v>
      </c>
    </row>
    <row r="59" spans="1:14" ht="15.75" thickBot="1" x14ac:dyDescent="0.3">
      <c r="A59" s="39" t="s">
        <v>388</v>
      </c>
      <c r="B59" s="28">
        <v>-944.85</v>
      </c>
      <c r="C59" s="28">
        <v>-885.74</v>
      </c>
      <c r="D59" s="28">
        <v>-842.6</v>
      </c>
      <c r="E59" s="29">
        <v>-901.66</v>
      </c>
      <c r="F59" s="29">
        <v>-865.66</v>
      </c>
      <c r="G59" s="29">
        <v>-865.66</v>
      </c>
      <c r="H59" s="29">
        <v>-865.66</v>
      </c>
      <c r="I59" s="29">
        <v>-865.66</v>
      </c>
      <c r="J59" s="29">
        <v>-865.66</v>
      </c>
      <c r="K59" s="29">
        <v>-865.66</v>
      </c>
      <c r="L59" s="29">
        <v>-865.66</v>
      </c>
      <c r="M59" s="29">
        <v>-865.66</v>
      </c>
      <c r="N59" s="30">
        <f t="shared" si="0"/>
        <v>-10500.13</v>
      </c>
    </row>
    <row r="60" spans="1:14" ht="15.75" thickBot="1" x14ac:dyDescent="0.3">
      <c r="A60" s="39" t="s">
        <v>389</v>
      </c>
      <c r="B60" s="32">
        <v>-937.5</v>
      </c>
      <c r="C60" s="32"/>
      <c r="D60" s="32">
        <v>-468.75</v>
      </c>
      <c r="E60" s="33">
        <v>-906.25</v>
      </c>
      <c r="F60" s="33">
        <v>-2468.75</v>
      </c>
      <c r="G60" s="33">
        <v>-592.5</v>
      </c>
      <c r="H60" s="42"/>
      <c r="I60" s="42"/>
      <c r="J60" s="42"/>
      <c r="K60" s="42"/>
      <c r="L60" s="33">
        <v>-1083.3599999999999</v>
      </c>
      <c r="M60" s="42"/>
      <c r="N60" s="34">
        <f t="shared" si="0"/>
        <v>-6457.11</v>
      </c>
    </row>
    <row r="61" spans="1:14" ht="15.75" thickBot="1" x14ac:dyDescent="0.3">
      <c r="A61" s="39" t="s">
        <v>390</v>
      </c>
      <c r="B61" s="28">
        <v>-2315</v>
      </c>
      <c r="C61" s="28">
        <v>-2137.5</v>
      </c>
      <c r="D61" s="28">
        <v>-2620</v>
      </c>
      <c r="E61" s="29">
        <v>-3252.5</v>
      </c>
      <c r="F61" s="29">
        <v>-3875</v>
      </c>
      <c r="G61" s="29">
        <v>-3690</v>
      </c>
      <c r="H61" s="29">
        <v>-1635</v>
      </c>
      <c r="I61" s="29">
        <v>-1247.5</v>
      </c>
      <c r="J61" s="29">
        <v>-1100</v>
      </c>
      <c r="K61" s="29">
        <v>-1362.5</v>
      </c>
      <c r="L61" s="29">
        <v>-1362.5</v>
      </c>
      <c r="M61" s="29">
        <v>-1032.5</v>
      </c>
      <c r="N61" s="30">
        <f t="shared" si="0"/>
        <v>-25630</v>
      </c>
    </row>
    <row r="62" spans="1:14" ht="15.75" thickBot="1" x14ac:dyDescent="0.3">
      <c r="A62" s="39" t="s">
        <v>391</v>
      </c>
      <c r="B62" s="32">
        <v>-12780</v>
      </c>
      <c r="C62" s="32">
        <v>-13315</v>
      </c>
      <c r="D62" s="32">
        <v>-23075</v>
      </c>
      <c r="E62" s="33">
        <v>-31545</v>
      </c>
      <c r="F62" s="33">
        <v>-40535</v>
      </c>
      <c r="G62" s="33">
        <v>-32365</v>
      </c>
      <c r="H62" s="33">
        <v>-135</v>
      </c>
      <c r="I62" s="33">
        <v>15</v>
      </c>
      <c r="J62" s="46">
        <v>0</v>
      </c>
      <c r="K62" s="33">
        <v>-20</v>
      </c>
      <c r="L62" s="46">
        <v>0</v>
      </c>
      <c r="M62" s="46">
        <v>0</v>
      </c>
      <c r="N62" s="34">
        <f t="shared" si="0"/>
        <v>-153755</v>
      </c>
    </row>
    <row r="63" spans="1:14" ht="15.75" thickBot="1" x14ac:dyDescent="0.3">
      <c r="A63" s="39" t="s">
        <v>392</v>
      </c>
      <c r="B63" s="28">
        <v>-3504.09</v>
      </c>
      <c r="C63" s="28">
        <v>335.19</v>
      </c>
      <c r="D63" s="28">
        <v>-2694.46</v>
      </c>
      <c r="E63" s="29">
        <v>-1589.87</v>
      </c>
      <c r="F63" s="29">
        <v>-13301.14</v>
      </c>
      <c r="G63" s="29">
        <v>-5068.1400000000003</v>
      </c>
      <c r="H63" s="29">
        <v>-1090.8499999999999</v>
      </c>
      <c r="I63" s="29">
        <v>-2687.22</v>
      </c>
      <c r="J63" s="29">
        <v>-4239.43</v>
      </c>
      <c r="K63" s="29">
        <v>-2663.17</v>
      </c>
      <c r="L63" s="29">
        <v>-1773.02</v>
      </c>
      <c r="M63" s="29">
        <v>192.41</v>
      </c>
      <c r="N63" s="30">
        <f t="shared" si="0"/>
        <v>-38083.789999999986</v>
      </c>
    </row>
    <row r="64" spans="1:14" ht="15.75" thickBot="1" x14ac:dyDescent="0.3">
      <c r="A64" s="39" t="s">
        <v>393</v>
      </c>
      <c r="B64" s="32">
        <v>-1980</v>
      </c>
      <c r="C64" s="32">
        <v>-1860</v>
      </c>
      <c r="D64" s="32">
        <v>-2390</v>
      </c>
      <c r="E64" s="33">
        <v>-4550</v>
      </c>
      <c r="F64" s="33">
        <v>-4680</v>
      </c>
      <c r="G64" s="33">
        <v>-3510</v>
      </c>
      <c r="H64" s="33">
        <v>-550</v>
      </c>
      <c r="I64" s="33">
        <v>50</v>
      </c>
      <c r="J64" s="42"/>
      <c r="K64" s="42"/>
      <c r="L64" s="42"/>
      <c r="M64" s="42"/>
      <c r="N64" s="34">
        <f t="shared" si="0"/>
        <v>-19470</v>
      </c>
    </row>
    <row r="65" spans="1:14" ht="15.75" thickBot="1" x14ac:dyDescent="0.3">
      <c r="A65" s="39" t="s">
        <v>394</v>
      </c>
      <c r="B65" s="28">
        <v>-20280</v>
      </c>
      <c r="C65" s="28">
        <v>-19265</v>
      </c>
      <c r="D65" s="28">
        <v>-16474.13</v>
      </c>
      <c r="E65" s="29">
        <v>-17605</v>
      </c>
      <c r="F65" s="29">
        <v>-22965</v>
      </c>
      <c r="G65" s="29">
        <v>-20885</v>
      </c>
      <c r="H65" s="29">
        <v>-4480</v>
      </c>
      <c r="I65" s="29">
        <v>-890</v>
      </c>
      <c r="J65" s="29">
        <v>-570</v>
      </c>
      <c r="K65" s="29">
        <v>-150</v>
      </c>
      <c r="L65" s="29">
        <v>-295</v>
      </c>
      <c r="M65" s="29">
        <v>-180</v>
      </c>
      <c r="N65" s="30">
        <f t="shared" si="0"/>
        <v>-124039.13</v>
      </c>
    </row>
    <row r="66" spans="1:14" ht="15.75" thickBot="1" x14ac:dyDescent="0.3">
      <c r="A66" s="39" t="s">
        <v>395</v>
      </c>
      <c r="B66" s="32">
        <v>-50</v>
      </c>
      <c r="C66" s="32">
        <v>-50</v>
      </c>
      <c r="D66" s="32">
        <v>-100</v>
      </c>
      <c r="E66" s="33">
        <v>-300</v>
      </c>
      <c r="F66" s="33">
        <v>-600</v>
      </c>
      <c r="G66" s="33">
        <v>-250</v>
      </c>
      <c r="H66" s="42"/>
      <c r="I66" s="42"/>
      <c r="J66" s="42"/>
      <c r="K66" s="42"/>
      <c r="L66" s="42"/>
      <c r="M66" s="42"/>
      <c r="N66" s="34">
        <f t="shared" si="0"/>
        <v>-1350</v>
      </c>
    </row>
    <row r="67" spans="1:14" ht="15.75" thickBot="1" x14ac:dyDescent="0.3">
      <c r="A67" s="39" t="s">
        <v>396</v>
      </c>
      <c r="B67" s="28">
        <v>-1595</v>
      </c>
      <c r="C67" s="28">
        <v>-2635</v>
      </c>
      <c r="D67" s="28">
        <v>-1265</v>
      </c>
      <c r="E67" s="29">
        <v>-565</v>
      </c>
      <c r="F67" s="29">
        <v>-145</v>
      </c>
      <c r="G67" s="29">
        <v>-300</v>
      </c>
      <c r="H67" s="29">
        <v>-320</v>
      </c>
      <c r="I67" s="29">
        <v>-240</v>
      </c>
      <c r="J67" s="29">
        <v>-265</v>
      </c>
      <c r="K67" s="29">
        <v>-420</v>
      </c>
      <c r="L67" s="29">
        <v>-210</v>
      </c>
      <c r="M67" s="29">
        <v>-150</v>
      </c>
      <c r="N67" s="30">
        <f t="shared" si="0"/>
        <v>-8110</v>
      </c>
    </row>
    <row r="68" spans="1:14" ht="15.75" thickBot="1" x14ac:dyDescent="0.3">
      <c r="A68" s="39" t="s">
        <v>397</v>
      </c>
      <c r="B68" s="32">
        <v>-14700</v>
      </c>
      <c r="C68" s="32">
        <v>-15850</v>
      </c>
      <c r="D68" s="32">
        <v>-24800</v>
      </c>
      <c r="E68" s="33">
        <v>-31598</v>
      </c>
      <c r="F68" s="33">
        <v>-38450</v>
      </c>
      <c r="G68" s="33">
        <v>-28600</v>
      </c>
      <c r="H68" s="33">
        <v>-2300</v>
      </c>
      <c r="I68" s="33">
        <v>-100</v>
      </c>
      <c r="J68" s="33">
        <v>-100</v>
      </c>
      <c r="K68" s="33">
        <v>-100</v>
      </c>
      <c r="L68" s="33">
        <v>-100</v>
      </c>
      <c r="M68" s="46">
        <v>0</v>
      </c>
      <c r="N68" s="34">
        <f t="shared" si="0"/>
        <v>-156698</v>
      </c>
    </row>
    <row r="69" spans="1:14" ht="15.75" thickBot="1" x14ac:dyDescent="0.3">
      <c r="A69" s="39" t="s">
        <v>398</v>
      </c>
      <c r="B69" s="28">
        <v>-1100</v>
      </c>
      <c r="C69" s="28">
        <v>-1300</v>
      </c>
      <c r="D69" s="28">
        <v>-900</v>
      </c>
      <c r="E69" s="29">
        <v>-1100</v>
      </c>
      <c r="F69" s="29">
        <v>-2800</v>
      </c>
      <c r="G69" s="29">
        <v>-2400</v>
      </c>
      <c r="H69" s="41"/>
      <c r="I69" s="41"/>
      <c r="J69" s="41"/>
      <c r="K69" s="41"/>
      <c r="L69" s="41"/>
      <c r="M69" s="29">
        <v>-100</v>
      </c>
      <c r="N69" s="30">
        <f t="shared" si="0"/>
        <v>-9700</v>
      </c>
    </row>
    <row r="70" spans="1:14" ht="15.75" thickBot="1" x14ac:dyDescent="0.3">
      <c r="A70" s="39" t="s">
        <v>399</v>
      </c>
      <c r="B70" s="32">
        <v>-9435</v>
      </c>
      <c r="C70" s="32">
        <v>-9645</v>
      </c>
      <c r="D70" s="32">
        <v>-11445</v>
      </c>
      <c r="E70" s="33">
        <v>-14504.04</v>
      </c>
      <c r="F70" s="33">
        <v>-15450</v>
      </c>
      <c r="G70" s="33">
        <v>-12555</v>
      </c>
      <c r="H70" s="33">
        <v>-10920</v>
      </c>
      <c r="I70" s="33">
        <v>-7995</v>
      </c>
      <c r="J70" s="33">
        <v>-6870</v>
      </c>
      <c r="K70" s="33">
        <v>-6405</v>
      </c>
      <c r="L70" s="33">
        <v>-6825</v>
      </c>
      <c r="M70" s="33">
        <v>-6330</v>
      </c>
      <c r="N70" s="34">
        <f t="shared" ref="N70:N133" si="1">SUM(B70:M70)</f>
        <v>-118379.04000000001</v>
      </c>
    </row>
    <row r="71" spans="1:14" ht="15.75" thickBot="1" x14ac:dyDescent="0.3">
      <c r="A71" s="39" t="s">
        <v>400</v>
      </c>
      <c r="B71" s="28">
        <v>-1003</v>
      </c>
      <c r="C71" s="28">
        <v>-963</v>
      </c>
      <c r="D71" s="28">
        <v>-1055</v>
      </c>
      <c r="E71" s="29">
        <v>-951</v>
      </c>
      <c r="F71" s="29">
        <v>-1825</v>
      </c>
      <c r="G71" s="29">
        <v>-1094</v>
      </c>
      <c r="H71" s="29">
        <v>-1036</v>
      </c>
      <c r="I71" s="29">
        <v>-2264</v>
      </c>
      <c r="J71" s="29">
        <v>-1171</v>
      </c>
      <c r="K71" s="29">
        <v>-1474</v>
      </c>
      <c r="L71" s="29">
        <v>-1278</v>
      </c>
      <c r="M71" s="29">
        <v>-1177</v>
      </c>
      <c r="N71" s="30">
        <f t="shared" si="1"/>
        <v>-15291</v>
      </c>
    </row>
    <row r="72" spans="1:14" ht="15.75" thickBot="1" x14ac:dyDescent="0.3">
      <c r="A72" s="39" t="s">
        <v>401</v>
      </c>
      <c r="B72" s="32">
        <v>-18249.689999999999</v>
      </c>
      <c r="C72" s="32">
        <v>-18249.689999999999</v>
      </c>
      <c r="D72" s="32">
        <v>-18249.689999999999</v>
      </c>
      <c r="E72" s="33">
        <v>-18249.689999999999</v>
      </c>
      <c r="F72" s="33">
        <v>-18249.689999999999</v>
      </c>
      <c r="G72" s="33">
        <v>-17181.89</v>
      </c>
      <c r="H72" s="33">
        <v>-17181.89</v>
      </c>
      <c r="I72" s="33">
        <v>-17181.89</v>
      </c>
      <c r="J72" s="33">
        <v>-17181.89</v>
      </c>
      <c r="K72" s="33">
        <v>-17181.89</v>
      </c>
      <c r="L72" s="33">
        <v>-17181.89</v>
      </c>
      <c r="M72" s="33">
        <v>-17181.89</v>
      </c>
      <c r="N72" s="34">
        <f t="shared" si="1"/>
        <v>-211521.68000000005</v>
      </c>
    </row>
    <row r="73" spans="1:14" ht="15.75" thickBot="1" x14ac:dyDescent="0.3">
      <c r="A73" s="39" t="s">
        <v>402</v>
      </c>
      <c r="B73" s="28">
        <v>-9398.16</v>
      </c>
      <c r="C73" s="28">
        <v>-9398.16</v>
      </c>
      <c r="D73" s="28">
        <v>-9898.16</v>
      </c>
      <c r="E73" s="29">
        <v>-9398.16</v>
      </c>
      <c r="F73" s="29">
        <v>-9398.16</v>
      </c>
      <c r="G73" s="29">
        <v>-9398.16</v>
      </c>
      <c r="H73" s="29">
        <v>-9432.5</v>
      </c>
      <c r="I73" s="29">
        <v>-9313.75</v>
      </c>
      <c r="J73" s="29">
        <v>-5803.75</v>
      </c>
      <c r="K73" s="29">
        <v>-5932.5</v>
      </c>
      <c r="L73" s="29">
        <v>-5932.5</v>
      </c>
      <c r="M73" s="29">
        <v>-5932.5</v>
      </c>
      <c r="N73" s="30">
        <f t="shared" si="1"/>
        <v>-99236.46</v>
      </c>
    </row>
    <row r="74" spans="1:14" ht="15.75" thickBot="1" x14ac:dyDescent="0.3">
      <c r="A74" s="39" t="s">
        <v>403</v>
      </c>
      <c r="B74" s="28"/>
      <c r="C74" s="28"/>
      <c r="D74" s="28"/>
      <c r="E74" s="42"/>
      <c r="F74" s="42"/>
      <c r="G74" s="42"/>
      <c r="H74" s="42"/>
      <c r="I74" s="42"/>
      <c r="J74" s="42"/>
      <c r="K74" s="42"/>
      <c r="L74" s="42"/>
      <c r="M74" s="42"/>
      <c r="N74" s="45">
        <f t="shared" si="1"/>
        <v>0</v>
      </c>
    </row>
    <row r="75" spans="1:14" ht="15.75" thickBot="1" x14ac:dyDescent="0.3">
      <c r="A75" s="39" t="s">
        <v>404</v>
      </c>
      <c r="B75" s="32">
        <v>-15396.77</v>
      </c>
      <c r="C75" s="32">
        <v>-15991.99</v>
      </c>
      <c r="D75" s="32">
        <v>-15653.45</v>
      </c>
      <c r="E75" s="29">
        <v>-15890.23</v>
      </c>
      <c r="F75" s="29">
        <v>-15753.4</v>
      </c>
      <c r="G75" s="29">
        <v>-15772.2</v>
      </c>
      <c r="H75" s="29">
        <v>-15919.33</v>
      </c>
      <c r="I75" s="29">
        <v>-16208.73</v>
      </c>
      <c r="J75" s="29">
        <v>-15832.76</v>
      </c>
      <c r="K75" s="29">
        <v>-15384.96</v>
      </c>
      <c r="L75" s="29">
        <v>-15721.48</v>
      </c>
      <c r="M75" s="29">
        <v>-15527.99</v>
      </c>
      <c r="N75" s="30">
        <f t="shared" si="1"/>
        <v>-189053.28999999998</v>
      </c>
    </row>
    <row r="76" spans="1:14" ht="15.75" thickBot="1" x14ac:dyDescent="0.3">
      <c r="A76" s="39" t="s">
        <v>405</v>
      </c>
      <c r="B76" s="28">
        <v>-71.69</v>
      </c>
      <c r="C76" s="28">
        <v>-71.69</v>
      </c>
      <c r="D76" s="28">
        <v>-71.69</v>
      </c>
      <c r="E76" s="33">
        <v>-71.69</v>
      </c>
      <c r="F76" s="33">
        <v>-71.69</v>
      </c>
      <c r="G76" s="33">
        <v>-71.69</v>
      </c>
      <c r="H76" s="33">
        <v>-71.69</v>
      </c>
      <c r="I76" s="33">
        <v>-71.69</v>
      </c>
      <c r="J76" s="33">
        <v>-71.69</v>
      </c>
      <c r="K76" s="33">
        <v>-71.69</v>
      </c>
      <c r="L76" s="33">
        <v>-71.69</v>
      </c>
      <c r="M76" s="33">
        <v>-71.69</v>
      </c>
      <c r="N76" s="34">
        <f t="shared" si="1"/>
        <v>-860.2800000000002</v>
      </c>
    </row>
    <row r="77" spans="1:14" ht="15.75" thickBot="1" x14ac:dyDescent="0.3">
      <c r="A77" s="39" t="s">
        <v>406</v>
      </c>
      <c r="B77" s="32">
        <v>-1000</v>
      </c>
      <c r="C77" s="32">
        <v>-600</v>
      </c>
      <c r="D77" s="32">
        <v>-700</v>
      </c>
      <c r="E77" s="29">
        <v>-1300</v>
      </c>
      <c r="F77" s="29">
        <v>-600</v>
      </c>
      <c r="G77" s="29">
        <v>-2400</v>
      </c>
      <c r="H77" s="29">
        <v>-5138.3999999999996</v>
      </c>
      <c r="I77" s="29">
        <v>-1997.82</v>
      </c>
      <c r="J77" s="29">
        <v>-400</v>
      </c>
      <c r="K77" s="29">
        <v>-1400</v>
      </c>
      <c r="L77" s="29">
        <v>-600</v>
      </c>
      <c r="M77" s="29">
        <v>-600</v>
      </c>
      <c r="N77" s="30">
        <f t="shared" si="1"/>
        <v>-16736.22</v>
      </c>
    </row>
    <row r="78" spans="1:14" ht="15.75" thickBot="1" x14ac:dyDescent="0.3">
      <c r="A78" s="39" t="s">
        <v>407</v>
      </c>
      <c r="B78" s="28">
        <v>-5186</v>
      </c>
      <c r="C78" s="28">
        <v>-3286</v>
      </c>
      <c r="D78" s="28">
        <v>-4089</v>
      </c>
      <c r="E78" s="33">
        <v>-4935</v>
      </c>
      <c r="F78" s="33">
        <v>-3326</v>
      </c>
      <c r="G78" s="33">
        <v>-4685</v>
      </c>
      <c r="H78" s="33">
        <v>-3088</v>
      </c>
      <c r="I78" s="33">
        <v>-2122</v>
      </c>
      <c r="J78" s="33">
        <v>-5098</v>
      </c>
      <c r="K78" s="33">
        <v>-3266</v>
      </c>
      <c r="L78" s="33">
        <v>-3886</v>
      </c>
      <c r="M78" s="33">
        <v>-4974</v>
      </c>
      <c r="N78" s="34">
        <f t="shared" si="1"/>
        <v>-47941</v>
      </c>
    </row>
    <row r="79" spans="1:14" ht="15.75" thickBot="1" x14ac:dyDescent="0.3">
      <c r="A79" s="39" t="s">
        <v>408</v>
      </c>
      <c r="B79" s="40"/>
      <c r="C79" s="40"/>
      <c r="D79" s="40"/>
      <c r="E79" s="41"/>
      <c r="F79" s="41"/>
      <c r="G79" s="41"/>
      <c r="H79" s="41"/>
      <c r="I79" s="41"/>
      <c r="J79" s="41"/>
      <c r="K79" s="41"/>
      <c r="L79" s="41"/>
      <c r="M79" s="41"/>
      <c r="N79" s="44">
        <f t="shared" si="1"/>
        <v>0</v>
      </c>
    </row>
    <row r="80" spans="1:14" ht="15.75" thickBot="1" x14ac:dyDescent="0.3">
      <c r="A80" s="39" t="s">
        <v>409</v>
      </c>
      <c r="B80" s="43"/>
      <c r="C80" s="43"/>
      <c r="D80" s="43"/>
      <c r="E80" s="42"/>
      <c r="F80" s="42"/>
      <c r="G80" s="42"/>
      <c r="H80" s="42"/>
      <c r="I80" s="42"/>
      <c r="J80" s="42"/>
      <c r="K80" s="42"/>
      <c r="L80" s="42"/>
      <c r="M80" s="42"/>
      <c r="N80" s="45">
        <f t="shared" si="1"/>
        <v>0</v>
      </c>
    </row>
    <row r="81" spans="1:14" ht="15.75" thickBot="1" x14ac:dyDescent="0.3">
      <c r="A81" s="39" t="s">
        <v>410</v>
      </c>
      <c r="B81" s="40"/>
      <c r="C81" s="40">
        <v>-172</v>
      </c>
      <c r="D81" s="40"/>
      <c r="E81" s="41"/>
      <c r="F81" s="41"/>
      <c r="G81" s="41"/>
      <c r="H81" s="41"/>
      <c r="I81" s="41"/>
      <c r="J81" s="29">
        <v>-344</v>
      </c>
      <c r="K81" s="41"/>
      <c r="L81" s="41"/>
      <c r="M81" s="41"/>
      <c r="N81" s="30">
        <f t="shared" si="1"/>
        <v>-516</v>
      </c>
    </row>
    <row r="82" spans="1:14" ht="15.75" thickBot="1" x14ac:dyDescent="0.3">
      <c r="A82" s="39" t="s">
        <v>411</v>
      </c>
      <c r="B82" s="28">
        <v>-398.25</v>
      </c>
      <c r="C82" s="28">
        <v>-424.8</v>
      </c>
      <c r="D82" s="28">
        <v>-477.9</v>
      </c>
      <c r="E82" s="33">
        <v>-424.8</v>
      </c>
      <c r="F82" s="33">
        <v>-424.8</v>
      </c>
      <c r="G82" s="33">
        <v>-424.8</v>
      </c>
      <c r="H82" s="33">
        <v>-424.8</v>
      </c>
      <c r="I82" s="33">
        <v>-424.8</v>
      </c>
      <c r="J82" s="33">
        <v>-477.9</v>
      </c>
      <c r="K82" s="33">
        <v>-477.9</v>
      </c>
      <c r="L82" s="33">
        <v>-477.9</v>
      </c>
      <c r="M82" s="33">
        <v>-477.9</v>
      </c>
      <c r="N82" s="34">
        <f t="shared" si="1"/>
        <v>-5336.5499999999993</v>
      </c>
    </row>
    <row r="83" spans="1:14" ht="15.75" thickBot="1" x14ac:dyDescent="0.3">
      <c r="A83" s="37" t="s">
        <v>412</v>
      </c>
      <c r="B83" s="32">
        <v>52495781.310000002</v>
      </c>
      <c r="C83" s="32">
        <v>59138763.009999998</v>
      </c>
      <c r="D83" s="32">
        <v>73829604.560000002</v>
      </c>
      <c r="E83" s="29">
        <v>71054780.450000003</v>
      </c>
      <c r="F83" s="29">
        <v>67376938.510000005</v>
      </c>
      <c r="G83" s="29">
        <v>70122082.810000002</v>
      </c>
      <c r="H83" s="29">
        <v>48140267.340000004</v>
      </c>
      <c r="I83" s="29">
        <v>40549961.289999999</v>
      </c>
      <c r="J83" s="29">
        <v>36085497.590000004</v>
      </c>
      <c r="K83" s="29">
        <v>35956127.950000003</v>
      </c>
      <c r="L83" s="29">
        <v>34540381.719999999</v>
      </c>
      <c r="M83" s="29">
        <v>33883347</v>
      </c>
      <c r="N83" s="30">
        <f t="shared" si="1"/>
        <v>623173533.54000008</v>
      </c>
    </row>
    <row r="84" spans="1:14" ht="15.75" thickBot="1" x14ac:dyDescent="0.3">
      <c r="A84" s="38" t="s">
        <v>413</v>
      </c>
      <c r="B84" s="28">
        <v>22707467.23</v>
      </c>
      <c r="C84" s="28">
        <v>29501996.300000001</v>
      </c>
      <c r="D84" s="28">
        <v>39590664.280000001</v>
      </c>
      <c r="E84" s="33">
        <v>38876763.020000003</v>
      </c>
      <c r="F84" s="33">
        <v>36490262.640000001</v>
      </c>
      <c r="G84" s="33">
        <v>33227513.629999999</v>
      </c>
      <c r="H84" s="33">
        <v>18714284.629999999</v>
      </c>
      <c r="I84" s="33">
        <v>12548156.98</v>
      </c>
      <c r="J84" s="33">
        <v>10002722.33</v>
      </c>
      <c r="K84" s="33">
        <v>7855645.8499999996</v>
      </c>
      <c r="L84" s="33">
        <v>7880627.8200000003</v>
      </c>
      <c r="M84" s="33">
        <v>8060606.3300000001</v>
      </c>
      <c r="N84" s="34">
        <f t="shared" si="1"/>
        <v>265456711.04000002</v>
      </c>
    </row>
    <row r="85" spans="1:14" ht="15.75" thickBot="1" x14ac:dyDescent="0.3">
      <c r="A85" s="39" t="s">
        <v>414</v>
      </c>
      <c r="B85" s="32">
        <v>58257.14</v>
      </c>
      <c r="C85" s="32">
        <v>60167.23</v>
      </c>
      <c r="D85" s="32">
        <v>-32121.52</v>
      </c>
      <c r="E85" s="29">
        <v>97588.4</v>
      </c>
      <c r="F85" s="29">
        <v>68291.08</v>
      </c>
      <c r="G85" s="29">
        <v>59248.160000000003</v>
      </c>
      <c r="H85" s="29">
        <v>45892.97</v>
      </c>
      <c r="I85" s="29">
        <v>71128.83</v>
      </c>
      <c r="J85" s="29">
        <v>72682.36</v>
      </c>
      <c r="K85" s="29">
        <v>58596.75</v>
      </c>
      <c r="L85" s="29">
        <v>56381.89</v>
      </c>
      <c r="M85" s="29">
        <v>22250.67</v>
      </c>
      <c r="N85" s="30">
        <f t="shared" si="1"/>
        <v>638363.96</v>
      </c>
    </row>
    <row r="86" spans="1:14" ht="15.75" thickBot="1" x14ac:dyDescent="0.3">
      <c r="A86" s="39" t="s">
        <v>415</v>
      </c>
      <c r="B86" s="28">
        <v>1514520.81</v>
      </c>
      <c r="C86" s="28">
        <v>1400318.57</v>
      </c>
      <c r="D86" s="28">
        <v>1112318.04</v>
      </c>
      <c r="E86" s="33">
        <v>1024516.42</v>
      </c>
      <c r="F86" s="33">
        <v>1256316.76</v>
      </c>
      <c r="G86" s="33">
        <v>1435076.55</v>
      </c>
      <c r="H86" s="33">
        <v>1416784.88</v>
      </c>
      <c r="I86" s="33">
        <v>1359174.82</v>
      </c>
      <c r="J86" s="33">
        <v>1727876.08</v>
      </c>
      <c r="K86" s="33">
        <v>1718999.66</v>
      </c>
      <c r="L86" s="33">
        <v>1742933.37</v>
      </c>
      <c r="M86" s="33">
        <v>1316301.96</v>
      </c>
      <c r="N86" s="34">
        <f t="shared" si="1"/>
        <v>17025137.920000002</v>
      </c>
    </row>
    <row r="87" spans="1:14" ht="15.75" thickBot="1" x14ac:dyDescent="0.3">
      <c r="A87" s="39" t="s">
        <v>416</v>
      </c>
      <c r="B87" s="32">
        <v>184477</v>
      </c>
      <c r="C87" s="32">
        <v>-309181.23</v>
      </c>
      <c r="D87" s="32">
        <v>-608897.73</v>
      </c>
      <c r="E87" s="29">
        <v>-665720.15</v>
      </c>
      <c r="F87" s="29">
        <v>-88258.23</v>
      </c>
      <c r="G87" s="29">
        <v>375285.85</v>
      </c>
      <c r="H87" s="29">
        <v>327938.3</v>
      </c>
      <c r="I87" s="29">
        <v>90126.73</v>
      </c>
      <c r="J87" s="29">
        <v>330915.3</v>
      </c>
      <c r="K87" s="29">
        <v>136281.73000000001</v>
      </c>
      <c r="L87" s="29">
        <v>109139.73</v>
      </c>
      <c r="M87" s="29">
        <v>45209.3</v>
      </c>
      <c r="N87" s="30">
        <f t="shared" si="1"/>
        <v>-72683.399999999732</v>
      </c>
    </row>
    <row r="88" spans="1:14" ht="15.75" thickBot="1" x14ac:dyDescent="0.3">
      <c r="A88" s="39" t="s">
        <v>417</v>
      </c>
      <c r="B88" s="28">
        <v>-230000</v>
      </c>
      <c r="C88" s="28">
        <v>390000</v>
      </c>
      <c r="D88" s="28">
        <v>977000</v>
      </c>
      <c r="E88" s="33">
        <v>1107000</v>
      </c>
      <c r="F88" s="33">
        <v>578000</v>
      </c>
      <c r="G88" s="33">
        <v>310000</v>
      </c>
      <c r="H88" s="33">
        <v>49000</v>
      </c>
      <c r="I88" s="33">
        <v>-327000</v>
      </c>
      <c r="J88" s="33">
        <v>-704000</v>
      </c>
      <c r="K88" s="33">
        <v>-718000</v>
      </c>
      <c r="L88" s="33">
        <v>-716000</v>
      </c>
      <c r="M88" s="33">
        <v>-716000</v>
      </c>
      <c r="N88" s="34">
        <f t="shared" si="1"/>
        <v>0</v>
      </c>
    </row>
    <row r="89" spans="1:14" ht="15.75" thickBot="1" x14ac:dyDescent="0.3">
      <c r="A89" s="39" t="s">
        <v>418</v>
      </c>
      <c r="B89" s="40"/>
      <c r="C89" s="40"/>
      <c r="D89" s="40"/>
      <c r="E89" s="41"/>
      <c r="F89" s="41"/>
      <c r="G89" s="41"/>
      <c r="H89" s="41"/>
      <c r="I89" s="41"/>
      <c r="J89" s="41"/>
      <c r="K89" s="41"/>
      <c r="L89" s="41"/>
      <c r="M89" s="41"/>
      <c r="N89" s="44">
        <f t="shared" si="1"/>
        <v>0</v>
      </c>
    </row>
    <row r="90" spans="1:14" ht="15.75" thickBot="1" x14ac:dyDescent="0.3">
      <c r="A90" s="39" t="s">
        <v>419</v>
      </c>
      <c r="B90" s="28">
        <v>-1303909</v>
      </c>
      <c r="C90" s="28">
        <v>2006440</v>
      </c>
      <c r="D90" s="28">
        <v>4626666</v>
      </c>
      <c r="E90" s="33">
        <v>4393746</v>
      </c>
      <c r="F90" s="33">
        <v>3071205</v>
      </c>
      <c r="G90" s="33">
        <v>1313242</v>
      </c>
      <c r="H90" s="33">
        <v>-187228</v>
      </c>
      <c r="I90" s="33">
        <v>-1839863</v>
      </c>
      <c r="J90" s="33">
        <v>-2747826</v>
      </c>
      <c r="K90" s="33">
        <v>-3240606</v>
      </c>
      <c r="L90" s="33">
        <v>-3233120</v>
      </c>
      <c r="M90" s="33">
        <v>-2858747</v>
      </c>
      <c r="N90" s="34">
        <f t="shared" si="1"/>
        <v>0</v>
      </c>
    </row>
    <row r="91" spans="1:14" ht="15.75" thickBot="1" x14ac:dyDescent="0.3">
      <c r="A91" s="47" t="s">
        <v>420</v>
      </c>
      <c r="B91" s="40"/>
      <c r="C91" s="40"/>
      <c r="D91" s="40"/>
      <c r="E91" s="33"/>
      <c r="F91" s="33"/>
      <c r="G91" s="33"/>
      <c r="H91" s="33"/>
      <c r="I91" s="33"/>
      <c r="J91" s="33"/>
      <c r="K91" s="33"/>
      <c r="L91" s="33"/>
      <c r="M91" s="33"/>
      <c r="N91" s="34">
        <f t="shared" si="1"/>
        <v>0</v>
      </c>
    </row>
    <row r="92" spans="1:14" ht="15.75" thickBot="1" x14ac:dyDescent="0.3">
      <c r="A92" s="39" t="s">
        <v>421</v>
      </c>
      <c r="B92" s="28">
        <v>6609598.5599999996</v>
      </c>
      <c r="C92" s="28">
        <v>6530833.0999999996</v>
      </c>
      <c r="D92" s="28">
        <v>6712735.4199999999</v>
      </c>
      <c r="E92" s="29">
        <v>6724900.4900000002</v>
      </c>
      <c r="F92" s="29">
        <v>6315057.8200000003</v>
      </c>
      <c r="G92" s="29">
        <v>6661708.7699999996</v>
      </c>
      <c r="H92" s="29">
        <v>6282963.6799999997</v>
      </c>
      <c r="I92" s="29">
        <v>6478529.5099999998</v>
      </c>
      <c r="J92" s="29">
        <v>6256360.2000000002</v>
      </c>
      <c r="K92" s="29">
        <v>6352582.3700000001</v>
      </c>
      <c r="L92" s="29">
        <v>6476711.79</v>
      </c>
      <c r="M92" s="29">
        <v>6214405.9400000004</v>
      </c>
      <c r="N92" s="30">
        <f t="shared" si="1"/>
        <v>77616387.649999991</v>
      </c>
    </row>
    <row r="93" spans="1:14" ht="15.75" thickBot="1" x14ac:dyDescent="0.3">
      <c r="A93" s="39" t="s">
        <v>422</v>
      </c>
      <c r="B93" s="32">
        <v>286048.03000000003</v>
      </c>
      <c r="C93" s="32">
        <v>371976.26</v>
      </c>
      <c r="D93" s="32">
        <v>90.02</v>
      </c>
      <c r="E93" s="33">
        <v>-163383.74</v>
      </c>
      <c r="F93" s="33">
        <v>59998.09</v>
      </c>
      <c r="G93" s="33">
        <v>-63393.19</v>
      </c>
      <c r="H93" s="33">
        <v>-316385.32</v>
      </c>
      <c r="I93" s="33">
        <v>352867.43</v>
      </c>
      <c r="J93" s="33">
        <v>-447385.93</v>
      </c>
      <c r="K93" s="33">
        <v>-196466.15</v>
      </c>
      <c r="L93" s="33">
        <v>30653.95</v>
      </c>
      <c r="M93" s="33">
        <v>199448.65</v>
      </c>
      <c r="N93" s="34">
        <f t="shared" si="1"/>
        <v>114068.10000000008</v>
      </c>
    </row>
    <row r="94" spans="1:14" ht="15.75" thickBot="1" x14ac:dyDescent="0.3">
      <c r="A94" s="39" t="s">
        <v>423</v>
      </c>
      <c r="B94" s="28">
        <v>13322154.17</v>
      </c>
      <c r="C94" s="28">
        <v>24152439.350000001</v>
      </c>
      <c r="D94" s="28">
        <v>26434560.309999999</v>
      </c>
      <c r="E94" s="29">
        <v>21568043.120000001</v>
      </c>
      <c r="F94" s="29">
        <v>19827967.620000001</v>
      </c>
      <c r="G94" s="29">
        <v>17166057.149999999</v>
      </c>
      <c r="H94" s="29">
        <v>8545449.6999999993</v>
      </c>
      <c r="I94" s="29">
        <v>5851081.7199999997</v>
      </c>
      <c r="J94" s="29">
        <v>5303746.4800000004</v>
      </c>
      <c r="K94" s="29">
        <v>4143109.73</v>
      </c>
      <c r="L94" s="29">
        <v>4847949.74</v>
      </c>
      <c r="M94" s="29">
        <v>4887500.9800000004</v>
      </c>
      <c r="N94" s="30">
        <f t="shared" si="1"/>
        <v>156050060.06999999</v>
      </c>
    </row>
    <row r="95" spans="1:14" ht="15.75" thickBot="1" x14ac:dyDescent="0.3">
      <c r="A95" s="39" t="s">
        <v>424</v>
      </c>
      <c r="B95" s="32">
        <v>235360</v>
      </c>
      <c r="C95" s="32">
        <v>36369</v>
      </c>
      <c r="D95" s="32">
        <v>-105276</v>
      </c>
      <c r="E95" s="33">
        <v>-179998</v>
      </c>
      <c r="F95" s="33">
        <v>-98425</v>
      </c>
      <c r="G95" s="33">
        <v>64820</v>
      </c>
      <c r="H95" s="33">
        <v>318050</v>
      </c>
      <c r="I95" s="33">
        <v>116971</v>
      </c>
      <c r="J95" s="33">
        <v>-23895</v>
      </c>
      <c r="K95" s="33">
        <v>-104003</v>
      </c>
      <c r="L95" s="33">
        <v>-99715</v>
      </c>
      <c r="M95" s="33">
        <v>-63060</v>
      </c>
      <c r="N95" s="34">
        <f t="shared" si="1"/>
        <v>97198</v>
      </c>
    </row>
    <row r="96" spans="1:14" ht="15.75" thickBot="1" x14ac:dyDescent="0.3">
      <c r="A96" s="39" t="s">
        <v>425</v>
      </c>
      <c r="B96" s="28">
        <v>-1095259.3</v>
      </c>
      <c r="C96" s="28">
        <v>-150404.07999999999</v>
      </c>
      <c r="D96" s="28">
        <v>2845156.79</v>
      </c>
      <c r="E96" s="29">
        <v>3096589.89</v>
      </c>
      <c r="F96" s="29">
        <v>2622038.83</v>
      </c>
      <c r="G96" s="29">
        <v>2504805.86</v>
      </c>
      <c r="H96" s="29">
        <v>1913998.2</v>
      </c>
      <c r="I96" s="29">
        <v>1078212.8500000001</v>
      </c>
      <c r="J96" s="29">
        <v>869639.22</v>
      </c>
      <c r="K96" s="29">
        <v>681671.48</v>
      </c>
      <c r="L96" s="29">
        <v>561266.96</v>
      </c>
      <c r="M96" s="29">
        <v>575752.07999999996</v>
      </c>
      <c r="N96" s="30">
        <f t="shared" si="1"/>
        <v>15503468.779999999</v>
      </c>
    </row>
    <row r="97" spans="1:14" ht="15.75" thickBot="1" x14ac:dyDescent="0.3">
      <c r="A97" s="39" t="s">
        <v>426</v>
      </c>
      <c r="B97" s="32">
        <v>-223398.03</v>
      </c>
      <c r="C97" s="32">
        <v>-218735.85</v>
      </c>
      <c r="D97" s="32">
        <v>72877.759999999995</v>
      </c>
      <c r="E97" s="33">
        <v>80849.86</v>
      </c>
      <c r="F97" s="33">
        <v>67823.59</v>
      </c>
      <c r="G97" s="33">
        <v>65641.17</v>
      </c>
      <c r="H97" s="33">
        <v>50094.81</v>
      </c>
      <c r="I97" s="33">
        <v>27968.9</v>
      </c>
      <c r="J97" s="33">
        <v>21953.93</v>
      </c>
      <c r="K97" s="33">
        <v>17728.939999999999</v>
      </c>
      <c r="L97" s="33">
        <v>14498.31</v>
      </c>
      <c r="M97" s="33">
        <v>15172.32</v>
      </c>
      <c r="N97" s="34">
        <f t="shared" si="1"/>
        <v>-7524.2900000000154</v>
      </c>
    </row>
    <row r="98" spans="1:14" ht="15.75" thickBot="1" x14ac:dyDescent="0.3">
      <c r="A98" s="39" t="s">
        <v>427</v>
      </c>
      <c r="B98" s="28">
        <v>19123.240000000002</v>
      </c>
      <c r="C98" s="28">
        <v>67086.42</v>
      </c>
      <c r="D98" s="28">
        <v>68209.600000000006</v>
      </c>
      <c r="E98" s="29">
        <v>-10670.31</v>
      </c>
      <c r="F98" s="29">
        <v>106231.39</v>
      </c>
      <c r="G98" s="29">
        <v>83691.149999999994</v>
      </c>
      <c r="H98" s="29">
        <v>81516.88</v>
      </c>
      <c r="I98" s="29">
        <v>64793.78</v>
      </c>
      <c r="J98" s="29">
        <v>105194.44</v>
      </c>
      <c r="K98" s="29">
        <v>176886.61</v>
      </c>
      <c r="L98" s="29">
        <v>66411.8</v>
      </c>
      <c r="M98" s="29">
        <v>142533.5</v>
      </c>
      <c r="N98" s="30">
        <f t="shared" si="1"/>
        <v>971008.50000000012</v>
      </c>
    </row>
    <row r="99" spans="1:14" ht="15.75" thickBot="1" x14ac:dyDescent="0.3">
      <c r="A99" s="39" t="s">
        <v>428</v>
      </c>
      <c r="B99" s="32">
        <v>1855504.46</v>
      </c>
      <c r="C99" s="32">
        <v>334203.39</v>
      </c>
      <c r="D99" s="32">
        <v>-833188.92</v>
      </c>
      <c r="E99" s="33">
        <v>-839664.13</v>
      </c>
      <c r="F99" s="33">
        <v>230776.45</v>
      </c>
      <c r="G99" s="33">
        <v>569472.15</v>
      </c>
      <c r="H99" s="33">
        <v>-1238483.3999999999</v>
      </c>
      <c r="I99" s="33">
        <v>-596022.77</v>
      </c>
      <c r="J99" s="33">
        <v>-78110.23</v>
      </c>
      <c r="K99" s="33">
        <v>-68772.87</v>
      </c>
      <c r="L99" s="33">
        <v>-15792.67</v>
      </c>
      <c r="M99" s="33">
        <v>-105147.5</v>
      </c>
      <c r="N99" s="34">
        <f t="shared" si="1"/>
        <v>-785226.03999999957</v>
      </c>
    </row>
    <row r="100" spans="1:14" ht="15.75" thickBot="1" x14ac:dyDescent="0.3">
      <c r="A100" s="39" t="s">
        <v>429</v>
      </c>
      <c r="B100" s="43"/>
      <c r="C100" s="43"/>
      <c r="D100" s="43"/>
      <c r="E100" s="41"/>
      <c r="F100" s="41"/>
      <c r="G100" s="41"/>
      <c r="H100" s="41"/>
      <c r="I100" s="41"/>
      <c r="J100" s="41"/>
      <c r="K100" s="41"/>
      <c r="L100" s="41"/>
      <c r="M100" s="41"/>
      <c r="N100" s="44">
        <f t="shared" si="1"/>
        <v>0</v>
      </c>
    </row>
    <row r="101" spans="1:14" ht="15.75" thickBot="1" x14ac:dyDescent="0.3">
      <c r="A101" s="39" t="s">
        <v>430</v>
      </c>
      <c r="B101" s="32">
        <v>1066800.68</v>
      </c>
      <c r="C101" s="32">
        <v>-2427424.21</v>
      </c>
      <c r="D101" s="32">
        <v>-1830973.46</v>
      </c>
      <c r="E101" s="33">
        <v>365086.54</v>
      </c>
      <c r="F101" s="33">
        <v>888932.51</v>
      </c>
      <c r="G101" s="33">
        <v>1706456.3</v>
      </c>
      <c r="H101" s="33">
        <v>1666266.29</v>
      </c>
      <c r="I101" s="33">
        <v>193857.03</v>
      </c>
      <c r="J101" s="33">
        <v>-190294.66</v>
      </c>
      <c r="K101" s="33">
        <v>-730264.77</v>
      </c>
      <c r="L101" s="33">
        <v>-917735.5</v>
      </c>
      <c r="M101" s="33">
        <v>-661037.52</v>
      </c>
      <c r="N101" s="34">
        <f t="shared" si="1"/>
        <v>-870330.77</v>
      </c>
    </row>
    <row r="102" spans="1:14" ht="15.75" thickBot="1" x14ac:dyDescent="0.3">
      <c r="A102" s="39" t="s">
        <v>431</v>
      </c>
      <c r="B102" s="28">
        <v>78463.850000000006</v>
      </c>
      <c r="C102" s="28">
        <v>285392.28999999998</v>
      </c>
      <c r="D102" s="28">
        <v>505627.68</v>
      </c>
      <c r="E102" s="29">
        <v>486852.79</v>
      </c>
      <c r="F102" s="29">
        <v>461891.37</v>
      </c>
      <c r="G102" s="29">
        <v>291570.07</v>
      </c>
      <c r="H102" s="29">
        <v>-123859.55</v>
      </c>
      <c r="I102" s="29">
        <v>-346952.27</v>
      </c>
      <c r="J102" s="29">
        <v>-381568.34</v>
      </c>
      <c r="K102" s="29">
        <v>-451539.05</v>
      </c>
      <c r="L102" s="29">
        <v>-468050.75</v>
      </c>
      <c r="M102" s="29">
        <v>-437517.13</v>
      </c>
      <c r="N102" s="30">
        <f t="shared" si="1"/>
        <v>-99689.040000000386</v>
      </c>
    </row>
    <row r="103" spans="1:14" ht="15.75" thickBot="1" x14ac:dyDescent="0.3">
      <c r="A103" s="39" t="s">
        <v>432</v>
      </c>
      <c r="B103" s="32">
        <v>164080.03</v>
      </c>
      <c r="C103" s="32">
        <v>-484578.31</v>
      </c>
      <c r="D103" s="32">
        <v>-728482.49</v>
      </c>
      <c r="E103" s="33">
        <v>-338852.23</v>
      </c>
      <c r="F103" s="33">
        <v>20154.04</v>
      </c>
      <c r="G103" s="33">
        <v>188263.82</v>
      </c>
      <c r="H103" s="33">
        <v>293940.53999999998</v>
      </c>
      <c r="I103" s="33">
        <v>109023.62</v>
      </c>
      <c r="J103" s="33">
        <v>141885.01999999999</v>
      </c>
      <c r="K103" s="33">
        <v>99528.15</v>
      </c>
      <c r="L103" s="33">
        <v>58301.16</v>
      </c>
      <c r="M103" s="33">
        <v>-23984.1</v>
      </c>
      <c r="N103" s="34">
        <f t="shared" si="1"/>
        <v>-500720.74999999977</v>
      </c>
    </row>
    <row r="104" spans="1:14" ht="15.75" thickBot="1" x14ac:dyDescent="0.3">
      <c r="A104" s="47" t="s">
        <v>433</v>
      </c>
      <c r="B104" s="43"/>
      <c r="C104" s="43"/>
      <c r="D104" s="43"/>
      <c r="E104" s="33"/>
      <c r="F104" s="33"/>
      <c r="G104" s="33"/>
      <c r="H104" s="33"/>
      <c r="I104" s="33"/>
      <c r="J104" s="33"/>
      <c r="K104" s="33"/>
      <c r="L104" s="33"/>
      <c r="M104" s="33"/>
      <c r="N104" s="34">
        <f t="shared" si="1"/>
        <v>0</v>
      </c>
    </row>
    <row r="105" spans="1:14" ht="15.75" thickBot="1" x14ac:dyDescent="0.3">
      <c r="A105" s="39" t="s">
        <v>434</v>
      </c>
      <c r="B105" s="32">
        <v>0.01</v>
      </c>
      <c r="C105" s="32">
        <v>0.01</v>
      </c>
      <c r="D105" s="32">
        <v>0.01</v>
      </c>
      <c r="E105" s="29">
        <v>0.01</v>
      </c>
      <c r="F105" s="29">
        <v>0.01</v>
      </c>
      <c r="G105" s="29">
        <v>0.01</v>
      </c>
      <c r="H105" s="29">
        <v>0.01</v>
      </c>
      <c r="I105" s="29">
        <v>0.01</v>
      </c>
      <c r="J105" s="41"/>
      <c r="K105" s="41"/>
      <c r="L105" s="41"/>
      <c r="M105" s="41"/>
      <c r="N105" s="30">
        <f t="shared" si="1"/>
        <v>0.08</v>
      </c>
    </row>
    <row r="106" spans="1:14" ht="15.75" thickBot="1" x14ac:dyDescent="0.3">
      <c r="A106" s="39" t="s">
        <v>435</v>
      </c>
      <c r="B106" s="43">
        <v>-86082.12</v>
      </c>
      <c r="C106" s="43">
        <v>-123913.93</v>
      </c>
      <c r="D106" s="43">
        <v>-54222</v>
      </c>
      <c r="E106" s="33">
        <v>-64173</v>
      </c>
      <c r="F106" s="42"/>
      <c r="G106" s="42"/>
      <c r="H106" s="33">
        <v>-55100.54</v>
      </c>
      <c r="I106" s="42"/>
      <c r="J106" s="42"/>
      <c r="K106" s="33">
        <v>-88275.35</v>
      </c>
      <c r="L106" s="33">
        <v>-119447.48</v>
      </c>
      <c r="M106" s="33">
        <v>-398422.72</v>
      </c>
      <c r="N106" s="34">
        <f t="shared" si="1"/>
        <v>-989637.1399999999</v>
      </c>
    </row>
    <row r="107" spans="1:14" ht="15.75" thickBot="1" x14ac:dyDescent="0.3">
      <c r="A107" s="39" t="s">
        <v>436</v>
      </c>
      <c r="B107" s="40"/>
      <c r="C107" s="40">
        <v>-2528078.09</v>
      </c>
      <c r="D107" s="40"/>
      <c r="E107" s="41"/>
      <c r="F107" s="41"/>
      <c r="G107" s="41"/>
      <c r="H107" s="29">
        <v>-265998.57</v>
      </c>
      <c r="I107" s="29">
        <v>-101057.04</v>
      </c>
      <c r="J107" s="29">
        <v>-37474.089999999997</v>
      </c>
      <c r="K107" s="29">
        <v>-17058.37</v>
      </c>
      <c r="L107" s="29">
        <v>-506184.85</v>
      </c>
      <c r="M107" s="29">
        <v>-4268.1099999999997</v>
      </c>
      <c r="N107" s="30">
        <f t="shared" si="1"/>
        <v>-3460119.1199999996</v>
      </c>
    </row>
    <row r="108" spans="1:14" ht="15.75" thickBot="1" x14ac:dyDescent="0.3">
      <c r="A108" s="39" t="s">
        <v>437</v>
      </c>
      <c r="B108" s="28">
        <v>238476</v>
      </c>
      <c r="C108" s="28">
        <v>140153.94</v>
      </c>
      <c r="D108" s="28"/>
      <c r="E108" s="33">
        <v>378614.1</v>
      </c>
      <c r="F108" s="42"/>
      <c r="G108" s="33">
        <v>276662.45</v>
      </c>
      <c r="H108" s="42"/>
      <c r="I108" s="42"/>
      <c r="J108" s="42"/>
      <c r="K108" s="42"/>
      <c r="L108" s="42"/>
      <c r="M108" s="42"/>
      <c r="N108" s="34">
        <f t="shared" si="1"/>
        <v>1033906.49</v>
      </c>
    </row>
    <row r="109" spans="1:14" ht="15.75" thickBot="1" x14ac:dyDescent="0.3">
      <c r="A109" s="39" t="s">
        <v>438</v>
      </c>
      <c r="B109" s="32">
        <v>355262.73</v>
      </c>
      <c r="C109" s="32"/>
      <c r="D109" s="32">
        <v>355823.72</v>
      </c>
      <c r="E109" s="29">
        <v>1742142.08</v>
      </c>
      <c r="F109" s="29">
        <v>539396.47</v>
      </c>
      <c r="G109" s="29">
        <v>24284.33</v>
      </c>
      <c r="H109" s="41"/>
      <c r="I109" s="41"/>
      <c r="J109" s="41"/>
      <c r="K109" s="41"/>
      <c r="L109" s="41"/>
      <c r="M109" s="41"/>
      <c r="N109" s="30">
        <f t="shared" si="1"/>
        <v>3016909.33</v>
      </c>
    </row>
    <row r="110" spans="1:14" ht="15.75" thickBot="1" x14ac:dyDescent="0.3">
      <c r="A110" s="39" t="s">
        <v>439</v>
      </c>
      <c r="B110" s="28">
        <v>28471.77</v>
      </c>
      <c r="C110" s="28">
        <v>70605.91</v>
      </c>
      <c r="D110" s="28">
        <v>17446.12</v>
      </c>
      <c r="E110" s="33">
        <v>7170.91</v>
      </c>
      <c r="F110" s="33">
        <v>1704.78</v>
      </c>
      <c r="G110" s="33">
        <v>1353.42</v>
      </c>
      <c r="H110" s="42"/>
      <c r="I110" s="33">
        <v>63240.4</v>
      </c>
      <c r="J110" s="33">
        <v>33146.300000000003</v>
      </c>
      <c r="K110" s="33">
        <v>27879.62</v>
      </c>
      <c r="L110" s="33">
        <v>33617.71</v>
      </c>
      <c r="M110" s="33">
        <v>2318.89</v>
      </c>
      <c r="N110" s="34">
        <f t="shared" si="1"/>
        <v>286955.83</v>
      </c>
    </row>
    <row r="111" spans="1:14" ht="15.75" thickBot="1" x14ac:dyDescent="0.3">
      <c r="A111" s="39" t="s">
        <v>440</v>
      </c>
      <c r="B111" s="40">
        <v>-389650.4</v>
      </c>
      <c r="C111" s="40">
        <v>-161926.35999999999</v>
      </c>
      <c r="D111" s="40"/>
      <c r="E111" s="41"/>
      <c r="F111" s="41"/>
      <c r="G111" s="41"/>
      <c r="H111" s="29">
        <v>-120616.2</v>
      </c>
      <c r="I111" s="29">
        <v>-140219.32999999999</v>
      </c>
      <c r="J111" s="29">
        <v>-272487.51</v>
      </c>
      <c r="K111" s="29">
        <v>-4092.55</v>
      </c>
      <c r="L111" s="41"/>
      <c r="M111" s="41"/>
      <c r="N111" s="30">
        <f t="shared" si="1"/>
        <v>-1088992.3499999999</v>
      </c>
    </row>
    <row r="112" spans="1:14" ht="15.75" thickBot="1" x14ac:dyDescent="0.3">
      <c r="A112" s="47" t="s">
        <v>441</v>
      </c>
      <c r="B112" s="43"/>
      <c r="C112" s="43"/>
      <c r="D112" s="43"/>
      <c r="E112" s="41"/>
      <c r="F112" s="41"/>
      <c r="G112" s="41"/>
      <c r="H112" s="29"/>
      <c r="I112" s="29"/>
      <c r="J112" s="29"/>
      <c r="K112" s="29"/>
      <c r="L112" s="41"/>
      <c r="M112" s="41"/>
      <c r="N112" s="30">
        <f t="shared" si="1"/>
        <v>0</v>
      </c>
    </row>
    <row r="113" spans="1:14" ht="15.75" thickBot="1" x14ac:dyDescent="0.3">
      <c r="A113" s="47" t="s">
        <v>441</v>
      </c>
      <c r="B113" s="40"/>
      <c r="C113" s="40"/>
      <c r="D113" s="40"/>
      <c r="E113" s="41"/>
      <c r="F113" s="41"/>
      <c r="G113" s="41"/>
      <c r="H113" s="29"/>
      <c r="I113" s="29"/>
      <c r="J113" s="29"/>
      <c r="K113" s="29"/>
      <c r="L113" s="41"/>
      <c r="M113" s="41"/>
      <c r="N113" s="30">
        <f t="shared" si="1"/>
        <v>0</v>
      </c>
    </row>
    <row r="114" spans="1:14" ht="15.75" thickBot="1" x14ac:dyDescent="0.3">
      <c r="A114" s="39" t="s">
        <v>442</v>
      </c>
      <c r="B114" s="43">
        <v>-1103.51</v>
      </c>
      <c r="C114" s="43"/>
      <c r="D114" s="43"/>
      <c r="E114" s="42"/>
      <c r="F114" s="42"/>
      <c r="G114" s="33">
        <v>-28.68</v>
      </c>
      <c r="H114" s="33">
        <v>-4942.6400000000003</v>
      </c>
      <c r="I114" s="42"/>
      <c r="J114" s="42"/>
      <c r="K114" s="42"/>
      <c r="L114" s="33">
        <v>-82629.88</v>
      </c>
      <c r="M114" s="33">
        <v>-73375.509999999995</v>
      </c>
      <c r="N114" s="34">
        <f t="shared" si="1"/>
        <v>-162080.22</v>
      </c>
    </row>
    <row r="115" spans="1:14" ht="15.75" thickBot="1" x14ac:dyDescent="0.3">
      <c r="A115" s="39" t="s">
        <v>443</v>
      </c>
      <c r="B115" s="32">
        <v>6306.84</v>
      </c>
      <c r="C115" s="32">
        <v>44633.24</v>
      </c>
      <c r="D115" s="32">
        <v>42986.76</v>
      </c>
      <c r="E115" s="29">
        <v>54779.66</v>
      </c>
      <c r="F115" s="29">
        <v>551780.99</v>
      </c>
      <c r="G115" s="29">
        <v>181546.78</v>
      </c>
      <c r="H115" s="29">
        <v>26114.5</v>
      </c>
      <c r="I115" s="29">
        <v>28348.94</v>
      </c>
      <c r="J115" s="29">
        <v>6605.51</v>
      </c>
      <c r="K115" s="29">
        <v>44269.21</v>
      </c>
      <c r="L115" s="29">
        <v>40409.839999999997</v>
      </c>
      <c r="M115" s="29">
        <v>64713.39</v>
      </c>
      <c r="N115" s="30">
        <f t="shared" si="1"/>
        <v>1092495.6599999999</v>
      </c>
    </row>
    <row r="116" spans="1:14" ht="15.75" thickBot="1" x14ac:dyDescent="0.3">
      <c r="A116" s="47" t="s">
        <v>444</v>
      </c>
      <c r="B116" s="43"/>
      <c r="C116" s="43"/>
      <c r="D116" s="43"/>
      <c r="E116" s="29"/>
      <c r="F116" s="29"/>
      <c r="G116" s="29"/>
      <c r="H116" s="29"/>
      <c r="I116" s="29"/>
      <c r="J116" s="29"/>
      <c r="K116" s="29"/>
      <c r="L116" s="29"/>
      <c r="M116" s="29"/>
      <c r="N116" s="30">
        <f t="shared" si="1"/>
        <v>0</v>
      </c>
    </row>
    <row r="117" spans="1:14" ht="15.75" thickBot="1" x14ac:dyDescent="0.3">
      <c r="A117" s="39" t="s">
        <v>445</v>
      </c>
      <c r="B117" s="32">
        <v>17476.79</v>
      </c>
      <c r="C117" s="32">
        <v>22898.17</v>
      </c>
      <c r="D117" s="32">
        <v>23879.27</v>
      </c>
      <c r="E117" s="33">
        <v>26168.880000000001</v>
      </c>
      <c r="F117" s="33">
        <v>21100.06</v>
      </c>
      <c r="G117" s="33">
        <v>22733.77</v>
      </c>
      <c r="H117" s="33">
        <v>17828.900000000001</v>
      </c>
      <c r="I117" s="33">
        <v>18558.04</v>
      </c>
      <c r="J117" s="33">
        <v>17906.29</v>
      </c>
      <c r="K117" s="33">
        <v>18884.21</v>
      </c>
      <c r="L117" s="33">
        <v>2276.4</v>
      </c>
      <c r="M117" s="33">
        <v>646.48</v>
      </c>
      <c r="N117" s="34">
        <f t="shared" si="1"/>
        <v>210357.26</v>
      </c>
    </row>
    <row r="118" spans="1:14" ht="15.75" thickBot="1" x14ac:dyDescent="0.3">
      <c r="A118" s="47" t="s">
        <v>446</v>
      </c>
      <c r="B118" s="43"/>
      <c r="C118" s="43"/>
      <c r="D118" s="43"/>
      <c r="E118" s="33"/>
      <c r="F118" s="33"/>
      <c r="G118" s="33"/>
      <c r="H118" s="33"/>
      <c r="I118" s="33"/>
      <c r="J118" s="33"/>
      <c r="K118" s="33"/>
      <c r="L118" s="33"/>
      <c r="M118" s="33"/>
      <c r="N118" s="34">
        <f t="shared" si="1"/>
        <v>0</v>
      </c>
    </row>
    <row r="119" spans="1:14" ht="15.75" thickBot="1" x14ac:dyDescent="0.3">
      <c r="A119" s="39" t="s">
        <v>447</v>
      </c>
      <c r="B119" s="40"/>
      <c r="C119" s="40"/>
      <c r="D119" s="40"/>
      <c r="E119" s="41"/>
      <c r="F119" s="41"/>
      <c r="G119" s="41"/>
      <c r="H119" s="41"/>
      <c r="I119" s="41"/>
      <c r="J119" s="33"/>
      <c r="K119" s="33"/>
      <c r="L119" s="33"/>
      <c r="M119" s="33"/>
      <c r="N119" s="34">
        <f t="shared" si="1"/>
        <v>0</v>
      </c>
    </row>
    <row r="120" spans="1:14" ht="15.75" thickBot="1" x14ac:dyDescent="0.3">
      <c r="A120" s="47" t="s">
        <v>448</v>
      </c>
      <c r="B120" s="43"/>
      <c r="C120" s="43"/>
      <c r="D120" s="43"/>
      <c r="E120" s="41"/>
      <c r="F120" s="41"/>
      <c r="G120" s="41"/>
      <c r="H120" s="41"/>
      <c r="I120" s="41"/>
      <c r="J120" s="33"/>
      <c r="K120" s="33"/>
      <c r="L120" s="33"/>
      <c r="M120" s="33"/>
      <c r="N120" s="34">
        <f t="shared" si="1"/>
        <v>0</v>
      </c>
    </row>
    <row r="121" spans="1:14" ht="15.75" thickBot="1" x14ac:dyDescent="0.3">
      <c r="A121" s="39" t="s">
        <v>449</v>
      </c>
      <c r="B121" s="32">
        <v>-3512.52</v>
      </c>
      <c r="C121" s="32">
        <v>-7278.52</v>
      </c>
      <c r="D121" s="32">
        <v>-11551.1</v>
      </c>
      <c r="E121" s="33">
        <v>-14824.57</v>
      </c>
      <c r="F121" s="33">
        <v>-11720.99</v>
      </c>
      <c r="G121" s="33">
        <v>-10984.26</v>
      </c>
      <c r="H121" s="33">
        <v>-8940.81</v>
      </c>
      <c r="I121" s="33">
        <v>-4612.22</v>
      </c>
      <c r="J121" s="29">
        <v>-2147.04</v>
      </c>
      <c r="K121" s="29">
        <v>-1694.5</v>
      </c>
      <c r="L121" s="29">
        <v>-1248.7</v>
      </c>
      <c r="M121" s="29">
        <v>-84088.24</v>
      </c>
      <c r="N121" s="30">
        <f t="shared" si="1"/>
        <v>-162603.47</v>
      </c>
    </row>
    <row r="122" spans="1:14" ht="15.75" thickBot="1" x14ac:dyDescent="0.3">
      <c r="A122" s="48" t="s">
        <v>450</v>
      </c>
      <c r="B122" s="28">
        <v>14401881.939999999</v>
      </c>
      <c r="C122" s="28">
        <v>14804011.34</v>
      </c>
      <c r="D122" s="28">
        <v>18445715.870000001</v>
      </c>
      <c r="E122" s="49">
        <v>15872330.24</v>
      </c>
      <c r="F122" s="49">
        <v>15140873.050000001</v>
      </c>
      <c r="G122" s="49">
        <v>19551362.280000001</v>
      </c>
      <c r="H122" s="49">
        <v>15840285.550000001</v>
      </c>
      <c r="I122" s="49">
        <v>14854287.49</v>
      </c>
      <c r="J122" s="49">
        <v>14014429.23</v>
      </c>
      <c r="K122" s="49">
        <v>15450071.140000001</v>
      </c>
      <c r="L122" s="49">
        <v>13906829.470000001</v>
      </c>
      <c r="M122" s="49">
        <v>12979430.01</v>
      </c>
      <c r="N122" s="50">
        <f t="shared" si="1"/>
        <v>185261507.60999998</v>
      </c>
    </row>
    <row r="123" spans="1:14" ht="15.75" thickBot="1" x14ac:dyDescent="0.3">
      <c r="A123" s="39" t="s">
        <v>451</v>
      </c>
      <c r="B123" s="32">
        <v>3604.63</v>
      </c>
      <c r="C123" s="32">
        <v>27720.959999999999</v>
      </c>
      <c r="D123" s="32">
        <v>14596.63</v>
      </c>
      <c r="E123" s="33">
        <v>7568.67</v>
      </c>
      <c r="F123" s="33">
        <v>3674.75</v>
      </c>
      <c r="G123" s="33">
        <v>6005.49</v>
      </c>
      <c r="H123" s="33">
        <v>7213.44</v>
      </c>
      <c r="I123" s="33">
        <v>3669.75</v>
      </c>
      <c r="J123" s="29">
        <v>3669.75</v>
      </c>
      <c r="K123" s="29">
        <v>17892.93</v>
      </c>
      <c r="L123" s="29">
        <v>4337.53</v>
      </c>
      <c r="M123" s="29">
        <v>6790.59</v>
      </c>
      <c r="N123" s="30">
        <f t="shared" si="1"/>
        <v>106745.12</v>
      </c>
    </row>
    <row r="124" spans="1:14" ht="15.75" thickBot="1" x14ac:dyDescent="0.3">
      <c r="A124" s="39" t="s">
        <v>452</v>
      </c>
      <c r="B124" s="28">
        <v>10163.200000000001</v>
      </c>
      <c r="C124" s="28">
        <v>16249.32</v>
      </c>
      <c r="D124" s="28">
        <v>29389.93</v>
      </c>
      <c r="E124" s="29">
        <v>8609.0499999999993</v>
      </c>
      <c r="F124" s="29">
        <v>28672.27</v>
      </c>
      <c r="G124" s="29">
        <v>5455.65</v>
      </c>
      <c r="H124" s="29">
        <v>14591.12</v>
      </c>
      <c r="I124" s="29">
        <v>3966.77</v>
      </c>
      <c r="J124" s="33">
        <v>3583.77</v>
      </c>
      <c r="K124" s="33">
        <v>18463.68</v>
      </c>
      <c r="L124" s="33">
        <v>4255.55</v>
      </c>
      <c r="M124" s="33">
        <v>5154.29</v>
      </c>
      <c r="N124" s="34">
        <f t="shared" si="1"/>
        <v>148554.6</v>
      </c>
    </row>
    <row r="125" spans="1:14" ht="15.75" thickBot="1" x14ac:dyDescent="0.3">
      <c r="A125" s="39" t="s">
        <v>453</v>
      </c>
      <c r="B125" s="40">
        <v>1235</v>
      </c>
      <c r="C125" s="40"/>
      <c r="D125" s="40">
        <v>2199</v>
      </c>
      <c r="E125" s="33">
        <v>2813.59</v>
      </c>
      <c r="F125" s="33">
        <v>-335</v>
      </c>
      <c r="G125" s="42"/>
      <c r="H125" s="33">
        <v>682.5</v>
      </c>
      <c r="I125" s="42"/>
      <c r="J125" s="41"/>
      <c r="K125" s="29">
        <v>4879.8999999999996</v>
      </c>
      <c r="L125" s="41"/>
      <c r="M125" s="41"/>
      <c r="N125" s="30">
        <f t="shared" si="1"/>
        <v>11474.99</v>
      </c>
    </row>
    <row r="126" spans="1:14" ht="15.75" thickBot="1" x14ac:dyDescent="0.3">
      <c r="A126" s="39" t="s">
        <v>454</v>
      </c>
      <c r="B126" s="28">
        <v>5580.9</v>
      </c>
      <c r="C126" s="28">
        <v>15832.65</v>
      </c>
      <c r="D126" s="28">
        <v>28973.26</v>
      </c>
      <c r="E126" s="29">
        <v>6941.84</v>
      </c>
      <c r="F126" s="29">
        <v>28707.61</v>
      </c>
      <c r="G126" s="29">
        <v>5918.53</v>
      </c>
      <c r="H126" s="29">
        <v>6679.47</v>
      </c>
      <c r="I126" s="29">
        <v>3550.11</v>
      </c>
      <c r="J126" s="33">
        <v>3167.1</v>
      </c>
      <c r="K126" s="33">
        <v>13047</v>
      </c>
      <c r="L126" s="33">
        <v>3167.1</v>
      </c>
      <c r="M126" s="33">
        <v>3167.1</v>
      </c>
      <c r="N126" s="34">
        <f t="shared" si="1"/>
        <v>124732.67000000001</v>
      </c>
    </row>
    <row r="127" spans="1:14" ht="15.75" thickBot="1" x14ac:dyDescent="0.3">
      <c r="A127" s="39" t="s">
        <v>455</v>
      </c>
      <c r="B127" s="32">
        <v>3764.28</v>
      </c>
      <c r="C127" s="32">
        <v>6198.47</v>
      </c>
      <c r="D127" s="32">
        <v>9125.2800000000007</v>
      </c>
      <c r="E127" s="33">
        <v>6127.72</v>
      </c>
      <c r="F127" s="33">
        <v>6687.6</v>
      </c>
      <c r="G127" s="33">
        <v>4037.16</v>
      </c>
      <c r="H127" s="33">
        <v>4620.9799999999996</v>
      </c>
      <c r="I127" s="33">
        <v>2574.98</v>
      </c>
      <c r="J127" s="29">
        <v>2574.98</v>
      </c>
      <c r="K127" s="29">
        <v>10454.879999999999</v>
      </c>
      <c r="L127" s="29">
        <v>2574.98</v>
      </c>
      <c r="M127" s="29">
        <v>2574.98</v>
      </c>
      <c r="N127" s="30">
        <f t="shared" si="1"/>
        <v>61316.29</v>
      </c>
    </row>
    <row r="128" spans="1:14" ht="15.75" thickBot="1" x14ac:dyDescent="0.3">
      <c r="A128" s="39" t="s">
        <v>456</v>
      </c>
      <c r="B128" s="43">
        <v>2470</v>
      </c>
      <c r="C128" s="43"/>
      <c r="D128" s="43">
        <v>4397</v>
      </c>
      <c r="E128" s="29">
        <v>2740.98</v>
      </c>
      <c r="F128" s="29">
        <v>116</v>
      </c>
      <c r="G128" s="29">
        <v>462.28</v>
      </c>
      <c r="H128" s="29">
        <v>682.5</v>
      </c>
      <c r="I128" s="41"/>
      <c r="J128" s="42"/>
      <c r="K128" s="33">
        <v>4879.91</v>
      </c>
      <c r="L128" s="42"/>
      <c r="M128" s="42"/>
      <c r="N128" s="34">
        <f t="shared" si="1"/>
        <v>15748.67</v>
      </c>
    </row>
    <row r="129" spans="1:14" ht="15.75" thickBot="1" x14ac:dyDescent="0.3">
      <c r="A129" s="39" t="s">
        <v>457</v>
      </c>
      <c r="B129" s="40">
        <v>1235</v>
      </c>
      <c r="C129" s="40"/>
      <c r="D129" s="40"/>
      <c r="E129" s="42"/>
      <c r="F129" s="42"/>
      <c r="G129" s="42"/>
      <c r="H129" s="42"/>
      <c r="I129" s="42"/>
      <c r="J129" s="41"/>
      <c r="K129" s="29">
        <v>6479.91</v>
      </c>
      <c r="L129" s="41"/>
      <c r="M129" s="41"/>
      <c r="N129" s="30">
        <f t="shared" si="1"/>
        <v>7714.91</v>
      </c>
    </row>
    <row r="130" spans="1:14" ht="15.75" thickBot="1" x14ac:dyDescent="0.3">
      <c r="A130" s="39" t="s">
        <v>458</v>
      </c>
      <c r="B130" s="43">
        <v>1235</v>
      </c>
      <c r="C130" s="43"/>
      <c r="D130" s="43">
        <v>2199</v>
      </c>
      <c r="E130" s="29">
        <v>2019.53</v>
      </c>
      <c r="F130" s="29">
        <v>-56</v>
      </c>
      <c r="G130" s="41"/>
      <c r="H130" s="29">
        <v>682.5</v>
      </c>
      <c r="I130" s="41"/>
      <c r="J130" s="42"/>
      <c r="K130" s="33">
        <v>4879.91</v>
      </c>
      <c r="L130" s="42"/>
      <c r="M130" s="42"/>
      <c r="N130" s="34">
        <f t="shared" si="1"/>
        <v>10959.939999999999</v>
      </c>
    </row>
    <row r="131" spans="1:14" ht="15.75" thickBot="1" x14ac:dyDescent="0.3">
      <c r="A131" s="39" t="s">
        <v>459</v>
      </c>
      <c r="B131" s="40">
        <v>11502.44</v>
      </c>
      <c r="C131" s="40">
        <v>4432.4399999999996</v>
      </c>
      <c r="D131" s="40">
        <v>18910.939999999999</v>
      </c>
      <c r="E131" s="33">
        <v>1927.12</v>
      </c>
      <c r="F131" s="33">
        <v>13358.12</v>
      </c>
      <c r="G131" s="33">
        <v>3885.87</v>
      </c>
      <c r="H131" s="33">
        <v>9137.52</v>
      </c>
      <c r="I131" s="33">
        <v>3194.67</v>
      </c>
      <c r="J131" s="29">
        <v>6528.29</v>
      </c>
      <c r="K131" s="29">
        <v>25525.67</v>
      </c>
      <c r="L131" s="29">
        <v>3694.67</v>
      </c>
      <c r="M131" s="29">
        <v>3194.67</v>
      </c>
      <c r="N131" s="30">
        <f t="shared" si="1"/>
        <v>105292.42</v>
      </c>
    </row>
    <row r="132" spans="1:14" ht="15.75" thickBot="1" x14ac:dyDescent="0.3">
      <c r="A132" s="39" t="s">
        <v>460</v>
      </c>
      <c r="B132" s="28"/>
      <c r="C132" s="28"/>
      <c r="D132" s="28"/>
      <c r="E132" s="41"/>
      <c r="F132" s="29">
        <v>11580</v>
      </c>
      <c r="G132" s="29">
        <v>-11580</v>
      </c>
      <c r="H132" s="41"/>
      <c r="I132" s="41"/>
      <c r="J132" s="42"/>
      <c r="K132" s="42"/>
      <c r="L132" s="42"/>
      <c r="M132" s="42"/>
      <c r="N132" s="51">
        <f t="shared" si="1"/>
        <v>0</v>
      </c>
    </row>
    <row r="133" spans="1:14" ht="15.75" thickBot="1" x14ac:dyDescent="0.3">
      <c r="A133" s="39" t="s">
        <v>460</v>
      </c>
      <c r="B133" s="32"/>
      <c r="C133" s="32"/>
      <c r="D133" s="32"/>
      <c r="E133" s="42"/>
      <c r="F133" s="42"/>
      <c r="G133" s="42"/>
      <c r="H133" s="42"/>
      <c r="I133" s="42"/>
      <c r="J133" s="41"/>
      <c r="K133" s="41"/>
      <c r="L133" s="41"/>
      <c r="M133" s="41"/>
      <c r="N133" s="44">
        <f t="shared" si="1"/>
        <v>0</v>
      </c>
    </row>
    <row r="134" spans="1:14" ht="15.75" thickBot="1" x14ac:dyDescent="0.3">
      <c r="A134" s="39" t="s">
        <v>460</v>
      </c>
      <c r="B134" s="28"/>
      <c r="C134" s="28">
        <v>200</v>
      </c>
      <c r="D134" s="28">
        <v>0</v>
      </c>
      <c r="E134" s="41"/>
      <c r="F134" s="41"/>
      <c r="G134" s="41"/>
      <c r="H134" s="41"/>
      <c r="I134" s="41"/>
      <c r="J134" s="42"/>
      <c r="K134" s="42"/>
      <c r="L134" s="33">
        <v>36257.93</v>
      </c>
      <c r="M134" s="46">
        <v>0</v>
      </c>
      <c r="N134" s="34">
        <f t="shared" ref="N134:N197" si="2">SUM(B134:M134)</f>
        <v>36457.93</v>
      </c>
    </row>
    <row r="135" spans="1:14" ht="15.75" thickBot="1" x14ac:dyDescent="0.3">
      <c r="A135" s="39" t="s">
        <v>460</v>
      </c>
      <c r="B135" s="32">
        <v>-51627.5</v>
      </c>
      <c r="C135" s="32">
        <v>27338.5</v>
      </c>
      <c r="D135" s="32">
        <v>27338.5</v>
      </c>
      <c r="E135" s="33">
        <v>5600</v>
      </c>
      <c r="F135" s="33">
        <v>9110</v>
      </c>
      <c r="G135" s="33">
        <v>18283.18</v>
      </c>
      <c r="H135" s="33">
        <v>27393.18</v>
      </c>
      <c r="I135" s="33">
        <v>-17127.7</v>
      </c>
      <c r="J135" s="29">
        <v>17172.11</v>
      </c>
      <c r="K135" s="29">
        <v>18419.38</v>
      </c>
      <c r="L135" s="29">
        <v>15376.29</v>
      </c>
      <c r="M135" s="29">
        <v>1996.86</v>
      </c>
      <c r="N135" s="30">
        <f t="shared" si="2"/>
        <v>99272.8</v>
      </c>
    </row>
    <row r="136" spans="1:14" ht="15.75" thickBot="1" x14ac:dyDescent="0.3">
      <c r="A136" s="39" t="s">
        <v>461</v>
      </c>
      <c r="B136" s="32"/>
      <c r="C136" s="32">
        <v>22441</v>
      </c>
      <c r="D136" s="32"/>
      <c r="E136" s="41"/>
      <c r="F136" s="41"/>
      <c r="G136" s="41"/>
      <c r="H136" s="41"/>
      <c r="I136" s="41"/>
      <c r="J136" s="42"/>
      <c r="K136" s="42"/>
      <c r="L136" s="42"/>
      <c r="M136" s="42"/>
      <c r="N136" s="45">
        <f t="shared" si="2"/>
        <v>22441</v>
      </c>
    </row>
    <row r="137" spans="1:14" ht="15.75" thickBot="1" x14ac:dyDescent="0.3">
      <c r="A137" s="39" t="s">
        <v>462</v>
      </c>
      <c r="B137" s="43">
        <v>0.01</v>
      </c>
      <c r="C137" s="43">
        <v>0.01</v>
      </c>
      <c r="D137" s="43">
        <v>0.01</v>
      </c>
      <c r="E137" s="33">
        <v>0.01</v>
      </c>
      <c r="F137" s="33">
        <v>0.01</v>
      </c>
      <c r="G137" s="33">
        <v>0.01</v>
      </c>
      <c r="H137" s="33">
        <v>0.01</v>
      </c>
      <c r="I137" s="33">
        <v>0.01</v>
      </c>
      <c r="J137" s="29">
        <v>0.01</v>
      </c>
      <c r="K137" s="29">
        <v>0.01</v>
      </c>
      <c r="L137" s="29">
        <v>0.01</v>
      </c>
      <c r="M137" s="29">
        <v>0.01</v>
      </c>
      <c r="N137" s="30">
        <f t="shared" si="2"/>
        <v>0.11999999999999998</v>
      </c>
    </row>
    <row r="138" spans="1:14" ht="15.75" thickBot="1" x14ac:dyDescent="0.3">
      <c r="A138" s="39" t="s">
        <v>463</v>
      </c>
      <c r="B138" s="32">
        <v>240219.67</v>
      </c>
      <c r="C138" s="32">
        <v>191717.62</v>
      </c>
      <c r="D138" s="32">
        <v>222555.84</v>
      </c>
      <c r="E138" s="29">
        <v>239078.82</v>
      </c>
      <c r="F138" s="29">
        <v>149110.1</v>
      </c>
      <c r="G138" s="29">
        <v>210389.36</v>
      </c>
      <c r="H138" s="29">
        <v>214467.64</v>
      </c>
      <c r="I138" s="29">
        <v>204464.18</v>
      </c>
      <c r="J138" s="33">
        <v>269526.69</v>
      </c>
      <c r="K138" s="33">
        <v>259887.18</v>
      </c>
      <c r="L138" s="33">
        <v>115411.13</v>
      </c>
      <c r="M138" s="33">
        <v>136050.06</v>
      </c>
      <c r="N138" s="34">
        <f t="shared" si="2"/>
        <v>2452878.2899999996</v>
      </c>
    </row>
    <row r="139" spans="1:14" ht="15.75" thickBot="1" x14ac:dyDescent="0.3">
      <c r="A139" s="47" t="s">
        <v>464</v>
      </c>
      <c r="B139" s="43"/>
      <c r="C139" s="43"/>
      <c r="D139" s="43"/>
      <c r="E139" s="29"/>
      <c r="F139" s="29"/>
      <c r="G139" s="29"/>
      <c r="H139" s="29"/>
      <c r="I139" s="29"/>
      <c r="J139" s="33"/>
      <c r="K139" s="33"/>
      <c r="L139" s="33"/>
      <c r="M139" s="33"/>
      <c r="N139" s="34">
        <f t="shared" si="2"/>
        <v>0</v>
      </c>
    </row>
    <row r="140" spans="1:14" ht="15.75" thickBot="1" x14ac:dyDescent="0.3">
      <c r="A140" s="39" t="s">
        <v>465</v>
      </c>
      <c r="B140" s="40">
        <v>26288.400000000001</v>
      </c>
      <c r="C140" s="40">
        <v>92274.45</v>
      </c>
      <c r="D140" s="40">
        <v>31790.46</v>
      </c>
      <c r="E140" s="33">
        <v>52079.73</v>
      </c>
      <c r="F140" s="33">
        <v>38223.269999999997</v>
      </c>
      <c r="G140" s="33">
        <v>68374.600000000006</v>
      </c>
      <c r="H140" s="33">
        <v>68366.070000000007</v>
      </c>
      <c r="I140" s="33">
        <v>48457.95</v>
      </c>
      <c r="J140" s="29">
        <v>24861.19</v>
      </c>
      <c r="K140" s="29">
        <v>64168.160000000003</v>
      </c>
      <c r="L140" s="29">
        <v>43996.02</v>
      </c>
      <c r="M140" s="29">
        <v>109793.64</v>
      </c>
      <c r="N140" s="30">
        <f t="shared" si="2"/>
        <v>668673.94000000006</v>
      </c>
    </row>
    <row r="141" spans="1:14" ht="15.75" thickBot="1" x14ac:dyDescent="0.3">
      <c r="A141" s="39" t="s">
        <v>466</v>
      </c>
      <c r="B141" s="43"/>
      <c r="C141" s="43"/>
      <c r="D141" s="43"/>
      <c r="E141" s="41"/>
      <c r="F141" s="41"/>
      <c r="G141" s="41"/>
      <c r="H141" s="41"/>
      <c r="I141" s="29">
        <v>23453.61</v>
      </c>
      <c r="J141" s="33">
        <v>15760.96</v>
      </c>
      <c r="K141" s="33">
        <v>22445.56</v>
      </c>
      <c r="L141" s="33">
        <v>-16091.57</v>
      </c>
      <c r="M141" s="33">
        <v>24794.240000000002</v>
      </c>
      <c r="N141" s="34">
        <f t="shared" si="2"/>
        <v>70362.8</v>
      </c>
    </row>
    <row r="142" spans="1:14" ht="15.75" thickBot="1" x14ac:dyDescent="0.3">
      <c r="A142" s="39" t="s">
        <v>467</v>
      </c>
      <c r="B142" s="32">
        <v>12272.61</v>
      </c>
      <c r="C142" s="32">
        <v>30693.56</v>
      </c>
      <c r="D142" s="32">
        <v>18701.169999999998</v>
      </c>
      <c r="E142" s="33">
        <v>11119.81</v>
      </c>
      <c r="F142" s="33">
        <v>18126.490000000002</v>
      </c>
      <c r="G142" s="33">
        <v>18125.919999999998</v>
      </c>
      <c r="H142" s="33">
        <v>26124.720000000001</v>
      </c>
      <c r="I142" s="33">
        <v>18593.32</v>
      </c>
      <c r="J142" s="29">
        <v>13973.48</v>
      </c>
      <c r="K142" s="29">
        <v>13991.04</v>
      </c>
      <c r="L142" s="29">
        <v>21097.599999999999</v>
      </c>
      <c r="M142" s="29">
        <v>1221.44</v>
      </c>
      <c r="N142" s="30">
        <f t="shared" si="2"/>
        <v>204041.16000000003</v>
      </c>
    </row>
    <row r="143" spans="1:14" ht="15.75" thickBot="1" x14ac:dyDescent="0.3">
      <c r="A143" s="39" t="s">
        <v>468</v>
      </c>
      <c r="B143" s="43">
        <v>1988</v>
      </c>
      <c r="C143" s="43">
        <v>994.47</v>
      </c>
      <c r="D143" s="43">
        <v>4122.62</v>
      </c>
      <c r="E143" s="29">
        <v>4731.67</v>
      </c>
      <c r="F143" s="29">
        <v>4839.24</v>
      </c>
      <c r="G143" s="29">
        <v>4441.6000000000004</v>
      </c>
      <c r="H143" s="29">
        <v>5329.92</v>
      </c>
      <c r="I143" s="29">
        <v>4441.6000000000004</v>
      </c>
      <c r="J143" s="33">
        <v>3331.2</v>
      </c>
      <c r="K143" s="33">
        <v>4219.5200000000004</v>
      </c>
      <c r="L143" s="33">
        <v>6662.4</v>
      </c>
      <c r="M143" s="42"/>
      <c r="N143" s="34">
        <f t="shared" si="2"/>
        <v>45102.239999999998</v>
      </c>
    </row>
    <row r="144" spans="1:14" ht="15.75" thickBot="1" x14ac:dyDescent="0.3">
      <c r="A144" s="39" t="s">
        <v>469</v>
      </c>
      <c r="B144" s="32">
        <v>22575.39</v>
      </c>
      <c r="C144" s="32">
        <v>45915.44</v>
      </c>
      <c r="D144" s="32">
        <v>50747.79</v>
      </c>
      <c r="E144" s="33">
        <v>53944.59</v>
      </c>
      <c r="F144" s="33">
        <v>51994.84</v>
      </c>
      <c r="G144" s="33">
        <v>55253.79</v>
      </c>
      <c r="H144" s="33">
        <v>55353.75</v>
      </c>
      <c r="I144" s="33">
        <v>55457.45</v>
      </c>
      <c r="J144" s="29">
        <v>57928.46</v>
      </c>
      <c r="K144" s="29">
        <v>58039.199999999997</v>
      </c>
      <c r="L144" s="29">
        <v>60440.86</v>
      </c>
      <c r="M144" s="29">
        <v>61265.68</v>
      </c>
      <c r="N144" s="30">
        <f t="shared" si="2"/>
        <v>628917.24000000011</v>
      </c>
    </row>
    <row r="145" spans="1:14" ht="15.75" thickBot="1" x14ac:dyDescent="0.3">
      <c r="A145" s="39" t="s">
        <v>470</v>
      </c>
      <c r="B145" s="32"/>
      <c r="C145" s="32">
        <v>1041.3800000000001</v>
      </c>
      <c r="D145" s="32">
        <v>287.75</v>
      </c>
      <c r="E145" s="29">
        <v>265.2</v>
      </c>
      <c r="F145" s="29">
        <v>5931.22</v>
      </c>
      <c r="G145" s="29">
        <v>7759.2</v>
      </c>
      <c r="H145" s="41"/>
      <c r="I145" s="29">
        <v>1066.8699999999999</v>
      </c>
      <c r="J145" s="33">
        <v>6798.36</v>
      </c>
      <c r="K145" s="33">
        <v>354.96</v>
      </c>
      <c r="L145" s="33">
        <v>2704</v>
      </c>
      <c r="M145" s="33">
        <v>356.18</v>
      </c>
      <c r="N145" s="34">
        <f t="shared" si="2"/>
        <v>26565.119999999999</v>
      </c>
    </row>
    <row r="146" spans="1:14" ht="15.75" thickBot="1" x14ac:dyDescent="0.3">
      <c r="A146" s="39" t="s">
        <v>471</v>
      </c>
      <c r="B146" s="28">
        <v>9399.4599999999991</v>
      </c>
      <c r="C146" s="28">
        <v>7883.41</v>
      </c>
      <c r="D146" s="28">
        <v>18729.419999999998</v>
      </c>
      <c r="E146" s="33">
        <v>16054.11</v>
      </c>
      <c r="F146" s="33">
        <v>8954.56</v>
      </c>
      <c r="G146" s="33">
        <v>12746.76</v>
      </c>
      <c r="H146" s="33">
        <v>3544.08</v>
      </c>
      <c r="I146" s="33">
        <v>2800.85</v>
      </c>
      <c r="J146" s="29">
        <v>5851.01</v>
      </c>
      <c r="K146" s="29">
        <v>8587.2099999999991</v>
      </c>
      <c r="L146" s="29">
        <v>4577.08</v>
      </c>
      <c r="M146" s="29">
        <v>6961.56</v>
      </c>
      <c r="N146" s="30">
        <f t="shared" si="2"/>
        <v>106089.51</v>
      </c>
    </row>
    <row r="147" spans="1:14" ht="15.75" thickBot="1" x14ac:dyDescent="0.3">
      <c r="A147" s="47" t="s">
        <v>472</v>
      </c>
      <c r="B147" s="40"/>
      <c r="C147" s="40"/>
      <c r="D147" s="40"/>
      <c r="E147" s="33"/>
      <c r="F147" s="33"/>
      <c r="G147" s="33"/>
      <c r="H147" s="33"/>
      <c r="I147" s="33"/>
      <c r="J147" s="29"/>
      <c r="K147" s="29"/>
      <c r="L147" s="29"/>
      <c r="M147" s="29"/>
      <c r="N147" s="30">
        <f t="shared" si="2"/>
        <v>0</v>
      </c>
    </row>
    <row r="148" spans="1:14" ht="15.75" thickBot="1" x14ac:dyDescent="0.3">
      <c r="A148" s="39" t="s">
        <v>473</v>
      </c>
      <c r="B148" s="43"/>
      <c r="C148" s="43"/>
      <c r="D148" s="43"/>
      <c r="E148" s="41"/>
      <c r="F148" s="41"/>
      <c r="G148" s="41"/>
      <c r="H148" s="41"/>
      <c r="I148" s="41"/>
      <c r="J148" s="42"/>
      <c r="K148" s="42"/>
      <c r="L148" s="42"/>
      <c r="M148" s="42"/>
      <c r="N148" s="45">
        <f t="shared" si="2"/>
        <v>0</v>
      </c>
    </row>
    <row r="149" spans="1:14" ht="15.75" thickBot="1" x14ac:dyDescent="0.3">
      <c r="A149" s="47" t="s">
        <v>474</v>
      </c>
      <c r="B149" s="40"/>
      <c r="C149" s="40"/>
      <c r="D149" s="40"/>
      <c r="E149" s="41"/>
      <c r="F149" s="41"/>
      <c r="G149" s="41"/>
      <c r="H149" s="41"/>
      <c r="I149" s="41"/>
      <c r="J149" s="42"/>
      <c r="K149" s="42"/>
      <c r="L149" s="42"/>
      <c r="M149" s="42"/>
      <c r="N149" s="45">
        <f t="shared" si="2"/>
        <v>0</v>
      </c>
    </row>
    <row r="150" spans="1:14" ht="15.75" thickBot="1" x14ac:dyDescent="0.3">
      <c r="A150" s="47" t="s">
        <v>475</v>
      </c>
      <c r="B150" s="43"/>
      <c r="C150" s="43"/>
      <c r="D150" s="43"/>
      <c r="E150" s="41"/>
      <c r="F150" s="41"/>
      <c r="G150" s="41"/>
      <c r="H150" s="41"/>
      <c r="I150" s="41"/>
      <c r="J150" s="42"/>
      <c r="K150" s="42"/>
      <c r="L150" s="42"/>
      <c r="M150" s="42"/>
      <c r="N150" s="45">
        <f t="shared" si="2"/>
        <v>0</v>
      </c>
    </row>
    <row r="151" spans="1:14" ht="15.75" thickBot="1" x14ac:dyDescent="0.3">
      <c r="A151" s="39" t="s">
        <v>476</v>
      </c>
      <c r="B151" s="32">
        <v>56221.33</v>
      </c>
      <c r="C151" s="32">
        <v>6774.67</v>
      </c>
      <c r="D151" s="32">
        <v>27219.82</v>
      </c>
      <c r="E151" s="33">
        <v>24851.040000000001</v>
      </c>
      <c r="F151" s="33">
        <v>31161.78</v>
      </c>
      <c r="G151" s="33">
        <v>20758.96</v>
      </c>
      <c r="H151" s="33">
        <v>24608.77</v>
      </c>
      <c r="I151" s="33">
        <v>43336.46</v>
      </c>
      <c r="J151" s="29">
        <v>20104.990000000002</v>
      </c>
      <c r="K151" s="29">
        <v>31932.98</v>
      </c>
      <c r="L151" s="29">
        <v>70511.929999999993</v>
      </c>
      <c r="M151" s="29">
        <v>81711.509999999995</v>
      </c>
      <c r="N151" s="30">
        <f t="shared" si="2"/>
        <v>439194.24</v>
      </c>
    </row>
    <row r="152" spans="1:14" ht="15.75" thickBot="1" x14ac:dyDescent="0.3">
      <c r="A152" s="39" t="s">
        <v>477</v>
      </c>
      <c r="B152" s="28">
        <v>82628.2</v>
      </c>
      <c r="C152" s="28">
        <v>150570.19</v>
      </c>
      <c r="D152" s="28">
        <v>100454.87</v>
      </c>
      <c r="E152" s="29">
        <v>103352.07</v>
      </c>
      <c r="F152" s="29">
        <v>107908.25</v>
      </c>
      <c r="G152" s="29">
        <v>76659.600000000006</v>
      </c>
      <c r="H152" s="29">
        <v>96311.01</v>
      </c>
      <c r="I152" s="29">
        <v>113801.65</v>
      </c>
      <c r="J152" s="33">
        <v>144801.20000000001</v>
      </c>
      <c r="K152" s="33">
        <v>115167.07</v>
      </c>
      <c r="L152" s="33">
        <v>82171.95</v>
      </c>
      <c r="M152" s="33">
        <v>101579.87</v>
      </c>
      <c r="N152" s="34">
        <f t="shared" si="2"/>
        <v>1275405.9300000002</v>
      </c>
    </row>
    <row r="153" spans="1:14" ht="15.75" thickBot="1" x14ac:dyDescent="0.3">
      <c r="A153" s="39" t="s">
        <v>478</v>
      </c>
      <c r="B153" s="32">
        <v>11975.56</v>
      </c>
      <c r="C153" s="32">
        <v>4751.45</v>
      </c>
      <c r="D153" s="32">
        <v>8781.9599999999991</v>
      </c>
      <c r="E153" s="33">
        <v>7783.09</v>
      </c>
      <c r="F153" s="33">
        <v>4897.0200000000004</v>
      </c>
      <c r="G153" s="33">
        <v>8469.02</v>
      </c>
      <c r="H153" s="33">
        <v>598.6</v>
      </c>
      <c r="I153" s="33">
        <v>549.15</v>
      </c>
      <c r="J153" s="29">
        <v>5261.61</v>
      </c>
      <c r="K153" s="29">
        <v>3970.21</v>
      </c>
      <c r="L153" s="29">
        <v>4308.43</v>
      </c>
      <c r="M153" s="29">
        <v>2979.57</v>
      </c>
      <c r="N153" s="30">
        <f t="shared" si="2"/>
        <v>64325.670000000006</v>
      </c>
    </row>
    <row r="154" spans="1:14" ht="15.75" thickBot="1" x14ac:dyDescent="0.3">
      <c r="A154" s="39" t="s">
        <v>479</v>
      </c>
      <c r="B154" s="28">
        <v>9829.9599999999991</v>
      </c>
      <c r="C154" s="28">
        <v>5318.63</v>
      </c>
      <c r="D154" s="28">
        <v>9385.41</v>
      </c>
      <c r="E154" s="29">
        <v>7235.16</v>
      </c>
      <c r="F154" s="29">
        <v>6936.4</v>
      </c>
      <c r="G154" s="29">
        <v>5019.79</v>
      </c>
      <c r="H154" s="29">
        <v>2784.49</v>
      </c>
      <c r="I154" s="29">
        <v>2149.46</v>
      </c>
      <c r="J154" s="33">
        <v>5644.04</v>
      </c>
      <c r="K154" s="33">
        <v>7679.53</v>
      </c>
      <c r="L154" s="33">
        <v>2456.13</v>
      </c>
      <c r="M154" s="33">
        <v>6369.27</v>
      </c>
      <c r="N154" s="34">
        <f t="shared" si="2"/>
        <v>70808.26999999999</v>
      </c>
    </row>
    <row r="155" spans="1:14" ht="15.75" thickBot="1" x14ac:dyDescent="0.3">
      <c r="A155" s="39" t="s">
        <v>480</v>
      </c>
      <c r="B155" s="40">
        <v>-25215.3</v>
      </c>
      <c r="C155" s="40">
        <v>-9198.35</v>
      </c>
      <c r="D155" s="40"/>
      <c r="E155" s="42"/>
      <c r="F155" s="42"/>
      <c r="G155" s="42"/>
      <c r="H155" s="33">
        <v>-11957.79</v>
      </c>
      <c r="I155" s="33">
        <v>-12679.88</v>
      </c>
      <c r="J155" s="29">
        <v>-26375.73</v>
      </c>
      <c r="K155" s="29">
        <v>-368.81</v>
      </c>
      <c r="L155" s="41"/>
      <c r="M155" s="41"/>
      <c r="N155" s="30">
        <f t="shared" si="2"/>
        <v>-85795.86</v>
      </c>
    </row>
    <row r="156" spans="1:14" ht="15.75" thickBot="1" x14ac:dyDescent="0.3">
      <c r="A156" s="39" t="s">
        <v>481</v>
      </c>
      <c r="B156" s="28">
        <v>56262.18</v>
      </c>
      <c r="C156" s="28">
        <v>43787.07</v>
      </c>
      <c r="D156" s="28">
        <v>56375.81</v>
      </c>
      <c r="E156" s="29">
        <v>60124.13</v>
      </c>
      <c r="F156" s="29">
        <v>55986.07</v>
      </c>
      <c r="G156" s="29">
        <v>54659.91</v>
      </c>
      <c r="H156" s="29">
        <v>57637.97</v>
      </c>
      <c r="I156" s="29">
        <v>49606.03</v>
      </c>
      <c r="J156" s="33">
        <v>33203.56</v>
      </c>
      <c r="K156" s="33">
        <v>55379.19</v>
      </c>
      <c r="L156" s="33">
        <v>33640.33</v>
      </c>
      <c r="M156" s="33">
        <v>26779.94</v>
      </c>
      <c r="N156" s="34">
        <f t="shared" si="2"/>
        <v>583442.18999999994</v>
      </c>
    </row>
    <row r="157" spans="1:14" ht="15.75" thickBot="1" x14ac:dyDescent="0.3">
      <c r="A157" s="39" t="s">
        <v>482</v>
      </c>
      <c r="B157" s="32">
        <v>80080.289999999994</v>
      </c>
      <c r="C157" s="32">
        <v>42706.69</v>
      </c>
      <c r="D157" s="32">
        <v>36133.18</v>
      </c>
      <c r="E157" s="33">
        <v>32486.23</v>
      </c>
      <c r="F157" s="33">
        <v>65343.35</v>
      </c>
      <c r="G157" s="33">
        <v>51686.5</v>
      </c>
      <c r="H157" s="33">
        <v>60432.49</v>
      </c>
      <c r="I157" s="33">
        <v>55583.74</v>
      </c>
      <c r="J157" s="29">
        <v>52858.76</v>
      </c>
      <c r="K157" s="29">
        <v>44999.72</v>
      </c>
      <c r="L157" s="29">
        <v>47271.360000000001</v>
      </c>
      <c r="M157" s="29">
        <v>41466.400000000001</v>
      </c>
      <c r="N157" s="30">
        <f t="shared" si="2"/>
        <v>611048.71</v>
      </c>
    </row>
    <row r="158" spans="1:14" ht="15.75" thickBot="1" x14ac:dyDescent="0.3">
      <c r="A158" s="39" t="s">
        <v>483</v>
      </c>
      <c r="B158" s="43">
        <v>11066.69</v>
      </c>
      <c r="C158" s="43">
        <v>24398.5</v>
      </c>
      <c r="D158" s="43">
        <v>24341.19</v>
      </c>
      <c r="E158" s="41"/>
      <c r="F158" s="41"/>
      <c r="G158" s="41"/>
      <c r="H158" s="41"/>
      <c r="I158" s="41"/>
      <c r="J158" s="33">
        <v>595.48</v>
      </c>
      <c r="K158" s="33">
        <v>3923.44</v>
      </c>
      <c r="L158" s="42"/>
      <c r="M158" s="42"/>
      <c r="N158" s="34">
        <f t="shared" si="2"/>
        <v>64325.30000000001</v>
      </c>
    </row>
    <row r="159" spans="1:14" ht="15.75" thickBot="1" x14ac:dyDescent="0.3">
      <c r="A159" s="39" t="s">
        <v>484</v>
      </c>
      <c r="B159" s="40"/>
      <c r="C159" s="40"/>
      <c r="D159" s="40">
        <v>1158.01</v>
      </c>
      <c r="E159" s="33">
        <v>661.93</v>
      </c>
      <c r="F159" s="33">
        <v>661.93</v>
      </c>
      <c r="G159" s="42"/>
      <c r="H159" s="33">
        <v>7.95</v>
      </c>
      <c r="I159" s="42"/>
      <c r="J159" s="41"/>
      <c r="K159" s="41"/>
      <c r="L159" s="41"/>
      <c r="M159" s="41"/>
      <c r="N159" s="30">
        <f t="shared" si="2"/>
        <v>2489.8199999999997</v>
      </c>
    </row>
    <row r="160" spans="1:14" ht="15.75" thickBot="1" x14ac:dyDescent="0.3">
      <c r="A160" s="39" t="s">
        <v>485</v>
      </c>
      <c r="B160" s="28"/>
      <c r="C160" s="28">
        <v>1669.25</v>
      </c>
      <c r="D160" s="28">
        <v>224.75</v>
      </c>
      <c r="E160" s="29">
        <v>157.36000000000001</v>
      </c>
      <c r="F160" s="41"/>
      <c r="G160" s="29">
        <v>282.31</v>
      </c>
      <c r="H160" s="29">
        <v>393.25</v>
      </c>
      <c r="I160" s="29">
        <v>7975</v>
      </c>
      <c r="J160" s="33">
        <v>3300</v>
      </c>
      <c r="K160" s="42"/>
      <c r="L160" s="42"/>
      <c r="M160" s="33">
        <v>-2885.4</v>
      </c>
      <c r="N160" s="34">
        <f t="shared" si="2"/>
        <v>11116.52</v>
      </c>
    </row>
    <row r="161" spans="1:14" ht="15.75" thickBot="1" x14ac:dyDescent="0.3">
      <c r="A161" s="39" t="s">
        <v>486</v>
      </c>
      <c r="B161" s="32">
        <v>5568.95</v>
      </c>
      <c r="C161" s="32">
        <v>5467.59</v>
      </c>
      <c r="D161" s="32">
        <v>7081.53</v>
      </c>
      <c r="E161" s="33">
        <v>10289.379999999999</v>
      </c>
      <c r="F161" s="33">
        <v>8707.93</v>
      </c>
      <c r="G161" s="33">
        <v>6322.03</v>
      </c>
      <c r="H161" s="33">
        <v>-54.44</v>
      </c>
      <c r="I161" s="33">
        <v>3255.46</v>
      </c>
      <c r="J161" s="29">
        <v>5045.93</v>
      </c>
      <c r="K161" s="29">
        <v>5836.62</v>
      </c>
      <c r="L161" s="29">
        <v>4740.0600000000004</v>
      </c>
      <c r="M161" s="29">
        <v>2815.9</v>
      </c>
      <c r="N161" s="30">
        <f t="shared" si="2"/>
        <v>65076.939999999995</v>
      </c>
    </row>
    <row r="162" spans="1:14" ht="15.75" thickBot="1" x14ac:dyDescent="0.3">
      <c r="A162" s="39" t="s">
        <v>487</v>
      </c>
      <c r="B162" s="28">
        <v>37730.78</v>
      </c>
      <c r="C162" s="28">
        <v>15484.94</v>
      </c>
      <c r="D162" s="28">
        <v>260911.03</v>
      </c>
      <c r="E162" s="29">
        <v>158643.79999999999</v>
      </c>
      <c r="F162" s="29">
        <v>56609.45</v>
      </c>
      <c r="G162" s="29">
        <v>81237.63</v>
      </c>
      <c r="H162" s="29">
        <v>364375.99</v>
      </c>
      <c r="I162" s="29">
        <v>295598.63</v>
      </c>
      <c r="J162" s="33">
        <v>168163.74</v>
      </c>
      <c r="K162" s="33">
        <v>72219.67</v>
      </c>
      <c r="L162" s="33">
        <v>126554.42</v>
      </c>
      <c r="M162" s="33">
        <v>53979.7</v>
      </c>
      <c r="N162" s="34">
        <f t="shared" si="2"/>
        <v>1691509.7799999998</v>
      </c>
    </row>
    <row r="163" spans="1:14" ht="15.75" thickBot="1" x14ac:dyDescent="0.3">
      <c r="A163" s="39" t="s">
        <v>488</v>
      </c>
      <c r="B163" s="40">
        <v>27439.71</v>
      </c>
      <c r="C163" s="40">
        <v>1434.34</v>
      </c>
      <c r="D163" s="40">
        <v>89226.63</v>
      </c>
      <c r="E163" s="33">
        <v>510.83</v>
      </c>
      <c r="F163" s="42"/>
      <c r="G163" s="33">
        <v>1970.35</v>
      </c>
      <c r="H163" s="33">
        <v>3502.84</v>
      </c>
      <c r="I163" s="33">
        <v>1605.47</v>
      </c>
      <c r="J163" s="29">
        <v>5314.79</v>
      </c>
      <c r="K163" s="29">
        <v>45121.96</v>
      </c>
      <c r="L163" s="29">
        <v>37898.379999999997</v>
      </c>
      <c r="M163" s="29">
        <v>595.48</v>
      </c>
      <c r="N163" s="30">
        <f t="shared" si="2"/>
        <v>214620.78000000003</v>
      </c>
    </row>
    <row r="164" spans="1:14" ht="15.75" thickBot="1" x14ac:dyDescent="0.3">
      <c r="A164" s="39" t="s">
        <v>489</v>
      </c>
      <c r="B164" s="28">
        <v>33398.17</v>
      </c>
      <c r="C164" s="28">
        <v>26112.06</v>
      </c>
      <c r="D164" s="28">
        <v>43874.45</v>
      </c>
      <c r="E164" s="29">
        <v>24522.75</v>
      </c>
      <c r="F164" s="29">
        <v>38511.11</v>
      </c>
      <c r="G164" s="29">
        <v>30307.23</v>
      </c>
      <c r="H164" s="29">
        <v>35147.35</v>
      </c>
      <c r="I164" s="29">
        <v>23269.72</v>
      </c>
      <c r="J164" s="33">
        <v>31066.38</v>
      </c>
      <c r="K164" s="33">
        <v>21217.35</v>
      </c>
      <c r="L164" s="33">
        <v>7965.87</v>
      </c>
      <c r="M164" s="33">
        <v>9073.7999999999993</v>
      </c>
      <c r="N164" s="34">
        <f t="shared" si="2"/>
        <v>324466.23999999993</v>
      </c>
    </row>
    <row r="165" spans="1:14" ht="15.75" thickBot="1" x14ac:dyDescent="0.3">
      <c r="A165" s="39" t="s">
        <v>490</v>
      </c>
      <c r="B165" s="40">
        <v>2816.89</v>
      </c>
      <c r="C165" s="40">
        <v>6371.23</v>
      </c>
      <c r="D165" s="40">
        <v>2037.62</v>
      </c>
      <c r="E165" s="42"/>
      <c r="F165" s="42"/>
      <c r="G165" s="42"/>
      <c r="H165" s="42"/>
      <c r="I165" s="42"/>
      <c r="J165" s="41"/>
      <c r="K165" s="29">
        <v>313.83999999999997</v>
      </c>
      <c r="L165" s="41"/>
      <c r="M165" s="41"/>
      <c r="N165" s="30">
        <f t="shared" si="2"/>
        <v>11539.579999999998</v>
      </c>
    </row>
    <row r="166" spans="1:14" ht="15.75" thickBot="1" x14ac:dyDescent="0.3">
      <c r="A166" s="47" t="s">
        <v>491</v>
      </c>
      <c r="B166" s="43"/>
      <c r="C166" s="43"/>
      <c r="D166" s="43"/>
      <c r="E166" s="42"/>
      <c r="F166" s="42"/>
      <c r="G166" s="42"/>
      <c r="H166" s="42"/>
      <c r="I166" s="42"/>
      <c r="J166" s="41"/>
      <c r="K166" s="29"/>
      <c r="L166" s="41"/>
      <c r="M166" s="41"/>
      <c r="N166" s="30">
        <f t="shared" si="2"/>
        <v>0</v>
      </c>
    </row>
    <row r="167" spans="1:14" ht="15.75" thickBot="1" x14ac:dyDescent="0.3">
      <c r="A167" s="39" t="s">
        <v>492</v>
      </c>
      <c r="B167" s="32">
        <v>2866.25</v>
      </c>
      <c r="C167" s="32">
        <v>-49054.38</v>
      </c>
      <c r="D167" s="32">
        <v>1445.24</v>
      </c>
      <c r="E167" s="29">
        <v>675.92</v>
      </c>
      <c r="F167" s="29">
        <v>477.3</v>
      </c>
      <c r="G167" s="29">
        <v>854.81</v>
      </c>
      <c r="H167" s="29">
        <v>1096.05</v>
      </c>
      <c r="I167" s="29">
        <v>493.1</v>
      </c>
      <c r="J167" s="33">
        <v>2553.5</v>
      </c>
      <c r="K167" s="33">
        <v>3233.24</v>
      </c>
      <c r="L167" s="33">
        <v>649.1</v>
      </c>
      <c r="M167" s="33">
        <v>806.01</v>
      </c>
      <c r="N167" s="34">
        <f t="shared" si="2"/>
        <v>-33903.86</v>
      </c>
    </row>
    <row r="168" spans="1:14" ht="15.75" thickBot="1" x14ac:dyDescent="0.3">
      <c r="A168" s="39" t="s">
        <v>493</v>
      </c>
      <c r="B168" s="43"/>
      <c r="C168" s="43"/>
      <c r="D168" s="43"/>
      <c r="E168" s="42"/>
      <c r="F168" s="42"/>
      <c r="G168" s="42"/>
      <c r="H168" s="42"/>
      <c r="I168" s="42"/>
      <c r="J168" s="41"/>
      <c r="K168" s="41"/>
      <c r="L168" s="41"/>
      <c r="M168" s="41"/>
      <c r="N168" s="44">
        <f t="shared" si="2"/>
        <v>0</v>
      </c>
    </row>
    <row r="169" spans="1:14" ht="15.75" thickBot="1" x14ac:dyDescent="0.3">
      <c r="A169" s="39" t="s">
        <v>494</v>
      </c>
      <c r="B169" s="40">
        <v>190.78</v>
      </c>
      <c r="C169" s="40">
        <v>93.01</v>
      </c>
      <c r="D169" s="40">
        <v>109.72</v>
      </c>
      <c r="E169" s="29">
        <v>113.66</v>
      </c>
      <c r="F169" s="29">
        <v>111.66</v>
      </c>
      <c r="G169" s="29">
        <v>83.15</v>
      </c>
      <c r="H169" s="29">
        <v>77.290000000000006</v>
      </c>
      <c r="I169" s="41"/>
      <c r="J169" s="33">
        <v>111.42</v>
      </c>
      <c r="K169" s="33">
        <v>68.739999999999995</v>
      </c>
      <c r="L169" s="33">
        <v>64.180000000000007</v>
      </c>
      <c r="M169" s="33">
        <v>69.02</v>
      </c>
      <c r="N169" s="34">
        <f t="shared" si="2"/>
        <v>1092.6299999999999</v>
      </c>
    </row>
    <row r="170" spans="1:14" ht="15.75" thickBot="1" x14ac:dyDescent="0.3">
      <c r="A170" s="47" t="s">
        <v>495</v>
      </c>
      <c r="B170" s="43"/>
      <c r="C170" s="43"/>
      <c r="D170" s="43"/>
      <c r="E170" s="29"/>
      <c r="F170" s="29"/>
      <c r="G170" s="29"/>
      <c r="H170" s="29"/>
      <c r="I170" s="41"/>
      <c r="J170" s="33"/>
      <c r="K170" s="33"/>
      <c r="L170" s="33"/>
      <c r="M170" s="33"/>
      <c r="N170" s="34">
        <f t="shared" si="2"/>
        <v>0</v>
      </c>
    </row>
    <row r="171" spans="1:14" ht="15.75" thickBot="1" x14ac:dyDescent="0.3">
      <c r="A171" s="39" t="s">
        <v>496</v>
      </c>
      <c r="B171" s="32">
        <v>188375.14</v>
      </c>
      <c r="C171" s="32">
        <v>177393.21</v>
      </c>
      <c r="D171" s="32">
        <v>193594.33</v>
      </c>
      <c r="E171" s="33">
        <v>188863.91</v>
      </c>
      <c r="F171" s="33">
        <v>189024.34</v>
      </c>
      <c r="G171" s="33">
        <v>189939.78</v>
      </c>
      <c r="H171" s="33">
        <v>198273.64</v>
      </c>
      <c r="I171" s="33">
        <v>185314.62</v>
      </c>
      <c r="J171" s="29">
        <v>190001.93</v>
      </c>
      <c r="K171" s="29">
        <v>175358.61</v>
      </c>
      <c r="L171" s="29">
        <v>170901.4</v>
      </c>
      <c r="M171" s="29">
        <v>83729.850000000006</v>
      </c>
      <c r="N171" s="30">
        <f t="shared" si="2"/>
        <v>2130770.7600000002</v>
      </c>
    </row>
    <row r="172" spans="1:14" ht="15.75" thickBot="1" x14ac:dyDescent="0.3">
      <c r="A172" s="39" t="s">
        <v>497</v>
      </c>
      <c r="B172" s="43"/>
      <c r="C172" s="43"/>
      <c r="D172" s="43"/>
      <c r="E172" s="41"/>
      <c r="F172" s="41"/>
      <c r="G172" s="41"/>
      <c r="H172" s="41"/>
      <c r="I172" s="41"/>
      <c r="J172" s="42"/>
      <c r="K172" s="42"/>
      <c r="L172" s="42"/>
      <c r="M172" s="42"/>
      <c r="N172" s="45">
        <f t="shared" si="2"/>
        <v>0</v>
      </c>
    </row>
    <row r="173" spans="1:14" ht="15.75" thickBot="1" x14ac:dyDescent="0.3">
      <c r="A173" s="39" t="s">
        <v>498</v>
      </c>
      <c r="B173" s="40"/>
      <c r="C173" s="40"/>
      <c r="D173" s="40"/>
      <c r="E173" s="42"/>
      <c r="F173" s="42"/>
      <c r="G173" s="42"/>
      <c r="H173" s="42"/>
      <c r="I173" s="42"/>
      <c r="J173" s="41"/>
      <c r="K173" s="41"/>
      <c r="L173" s="42"/>
      <c r="M173" s="42"/>
      <c r="N173" s="45">
        <f t="shared" si="2"/>
        <v>0</v>
      </c>
    </row>
    <row r="174" spans="1:14" ht="15.75" thickBot="1" x14ac:dyDescent="0.3">
      <c r="A174" s="39" t="s">
        <v>499</v>
      </c>
      <c r="B174" s="28">
        <v>87659.63</v>
      </c>
      <c r="C174" s="28">
        <v>89802.53</v>
      </c>
      <c r="D174" s="28">
        <v>103690.8</v>
      </c>
      <c r="E174" s="29">
        <v>111553.11</v>
      </c>
      <c r="F174" s="29">
        <v>121054.58</v>
      </c>
      <c r="G174" s="29">
        <v>104827.2</v>
      </c>
      <c r="H174" s="29">
        <v>85956.09</v>
      </c>
      <c r="I174" s="29">
        <v>89612.66</v>
      </c>
      <c r="J174" s="33">
        <v>86871.47</v>
      </c>
      <c r="K174" s="33">
        <v>125491.94</v>
      </c>
      <c r="L174" s="29">
        <v>83709.100000000006</v>
      </c>
      <c r="M174" s="29">
        <v>79034.289999999994</v>
      </c>
      <c r="N174" s="30">
        <f t="shared" si="2"/>
        <v>1169263.4000000001</v>
      </c>
    </row>
    <row r="175" spans="1:14" ht="15.75" thickBot="1" x14ac:dyDescent="0.3">
      <c r="A175" s="39" t="s">
        <v>500</v>
      </c>
      <c r="B175" s="32">
        <v>96344.81</v>
      </c>
      <c r="C175" s="32">
        <v>101930.23</v>
      </c>
      <c r="D175" s="32">
        <v>98303.91</v>
      </c>
      <c r="E175" s="33">
        <v>107811.83</v>
      </c>
      <c r="F175" s="33">
        <v>109500.07</v>
      </c>
      <c r="G175" s="33">
        <v>116885.37</v>
      </c>
      <c r="H175" s="33">
        <v>117980.51</v>
      </c>
      <c r="I175" s="33">
        <v>114143.52</v>
      </c>
      <c r="J175" s="29">
        <v>104879.83</v>
      </c>
      <c r="K175" s="29">
        <v>103270.3</v>
      </c>
      <c r="L175" s="33">
        <v>99676.69</v>
      </c>
      <c r="M175" s="33">
        <v>90273.75</v>
      </c>
      <c r="N175" s="34">
        <f t="shared" si="2"/>
        <v>1261000.8199999998</v>
      </c>
    </row>
    <row r="176" spans="1:14" ht="15.75" thickBot="1" x14ac:dyDescent="0.3">
      <c r="A176" s="39" t="s">
        <v>501</v>
      </c>
      <c r="B176" s="28">
        <v>4697.42</v>
      </c>
      <c r="C176" s="28">
        <v>11138.29</v>
      </c>
      <c r="D176" s="28">
        <v>13372.01</v>
      </c>
      <c r="E176" s="29">
        <v>9491.16</v>
      </c>
      <c r="F176" s="29">
        <v>7595.5</v>
      </c>
      <c r="G176" s="29">
        <v>11961.49</v>
      </c>
      <c r="H176" s="29">
        <v>4517.17</v>
      </c>
      <c r="I176" s="29">
        <v>8112.02</v>
      </c>
      <c r="J176" s="33">
        <v>7995.7</v>
      </c>
      <c r="K176" s="33">
        <v>13723.08</v>
      </c>
      <c r="L176" s="29">
        <v>5904.28</v>
      </c>
      <c r="M176" s="29">
        <v>11403.35</v>
      </c>
      <c r="N176" s="30">
        <f t="shared" si="2"/>
        <v>109911.47</v>
      </c>
    </row>
    <row r="177" spans="1:14" ht="15.75" thickBot="1" x14ac:dyDescent="0.3">
      <c r="A177" s="39" t="s">
        <v>501</v>
      </c>
      <c r="B177" s="32">
        <v>522100.5</v>
      </c>
      <c r="C177" s="32">
        <v>447271.36</v>
      </c>
      <c r="D177" s="32">
        <v>458604.1</v>
      </c>
      <c r="E177" s="33">
        <v>392133.98</v>
      </c>
      <c r="F177" s="33">
        <v>425660.05</v>
      </c>
      <c r="G177" s="33">
        <v>490651.36</v>
      </c>
      <c r="H177" s="33">
        <v>535937.80000000005</v>
      </c>
      <c r="I177" s="33">
        <v>368191.57</v>
      </c>
      <c r="J177" s="29">
        <v>639674.78</v>
      </c>
      <c r="K177" s="29">
        <v>420075.18</v>
      </c>
      <c r="L177" s="33">
        <v>511826.81</v>
      </c>
      <c r="M177" s="33">
        <v>500911.33</v>
      </c>
      <c r="N177" s="34">
        <f t="shared" si="2"/>
        <v>5713038.8199999984</v>
      </c>
    </row>
    <row r="178" spans="1:14" ht="15.75" thickBot="1" x14ac:dyDescent="0.3">
      <c r="A178" s="39" t="s">
        <v>502</v>
      </c>
      <c r="B178" s="28">
        <v>75436.69</v>
      </c>
      <c r="C178" s="28">
        <v>50744.37</v>
      </c>
      <c r="D178" s="28">
        <v>56240.15</v>
      </c>
      <c r="E178" s="29">
        <v>168204.41</v>
      </c>
      <c r="F178" s="29">
        <v>14265.76</v>
      </c>
      <c r="G178" s="29">
        <v>84728.33</v>
      </c>
      <c r="H178" s="29">
        <v>67911.39</v>
      </c>
      <c r="I178" s="29">
        <v>37564.47</v>
      </c>
      <c r="J178" s="33">
        <v>82759.960000000006</v>
      </c>
      <c r="K178" s="33">
        <v>258080.71</v>
      </c>
      <c r="L178" s="29">
        <v>48270.12</v>
      </c>
      <c r="M178" s="29">
        <v>70850.559999999998</v>
      </c>
      <c r="N178" s="30">
        <f t="shared" si="2"/>
        <v>1015056.9199999999</v>
      </c>
    </row>
    <row r="179" spans="1:14" ht="15.75" thickBot="1" x14ac:dyDescent="0.3">
      <c r="A179" s="39" t="s">
        <v>503</v>
      </c>
      <c r="B179" s="32">
        <v>194660.34</v>
      </c>
      <c r="C179" s="32">
        <v>229902.33</v>
      </c>
      <c r="D179" s="32">
        <v>424908.2</v>
      </c>
      <c r="E179" s="33">
        <v>135292.15</v>
      </c>
      <c r="F179" s="33">
        <v>224907.68</v>
      </c>
      <c r="G179" s="33">
        <v>217524.11</v>
      </c>
      <c r="H179" s="33">
        <v>186606.85</v>
      </c>
      <c r="I179" s="33">
        <v>210047.55</v>
      </c>
      <c r="J179" s="29">
        <v>232550.34</v>
      </c>
      <c r="K179" s="29">
        <v>292899.53999999998</v>
      </c>
      <c r="L179" s="33">
        <v>264302.98</v>
      </c>
      <c r="M179" s="33">
        <v>203615</v>
      </c>
      <c r="N179" s="34">
        <f t="shared" si="2"/>
        <v>2817217.0700000003</v>
      </c>
    </row>
    <row r="180" spans="1:14" ht="15.75" thickBot="1" x14ac:dyDescent="0.3">
      <c r="A180" s="39" t="s">
        <v>504</v>
      </c>
      <c r="B180" s="28">
        <v>18383.189999999999</v>
      </c>
      <c r="C180" s="28">
        <v>22658.67</v>
      </c>
      <c r="D180" s="28">
        <v>29747.35</v>
      </c>
      <c r="E180" s="29">
        <v>43183.56</v>
      </c>
      <c r="F180" s="29">
        <v>36773.79</v>
      </c>
      <c r="G180" s="29">
        <v>27618.85</v>
      </c>
      <c r="H180" s="29">
        <v>533.16</v>
      </c>
      <c r="I180" s="29">
        <v>13917.49</v>
      </c>
      <c r="J180" s="33">
        <v>21909.87</v>
      </c>
      <c r="K180" s="33">
        <v>24427.69</v>
      </c>
      <c r="L180" s="29">
        <v>19863.689999999999</v>
      </c>
      <c r="M180" s="29">
        <v>12458.12</v>
      </c>
      <c r="N180" s="30">
        <f t="shared" si="2"/>
        <v>271475.43</v>
      </c>
    </row>
    <row r="181" spans="1:14" ht="15.75" thickBot="1" x14ac:dyDescent="0.3">
      <c r="A181" s="39" t="s">
        <v>505</v>
      </c>
      <c r="B181" s="32">
        <v>4597.6400000000003</v>
      </c>
      <c r="C181" s="32"/>
      <c r="D181" s="32"/>
      <c r="E181" s="33">
        <v>28388.46</v>
      </c>
      <c r="F181" s="33">
        <v>18781.03</v>
      </c>
      <c r="G181" s="33">
        <v>26417.7</v>
      </c>
      <c r="H181" s="33">
        <v>11000.3</v>
      </c>
      <c r="I181" s="33">
        <v>911.07</v>
      </c>
      <c r="J181" s="29">
        <v>3868.26</v>
      </c>
      <c r="K181" s="29">
        <v>6204.67</v>
      </c>
      <c r="L181" s="33">
        <v>3217.24</v>
      </c>
      <c r="M181" s="33">
        <v>76.599999999999994</v>
      </c>
      <c r="N181" s="34">
        <f t="shared" si="2"/>
        <v>103462.97000000002</v>
      </c>
    </row>
    <row r="182" spans="1:14" ht="15.75" thickBot="1" x14ac:dyDescent="0.3">
      <c r="A182" s="39" t="s">
        <v>506</v>
      </c>
      <c r="B182" s="43"/>
      <c r="C182" s="43"/>
      <c r="D182" s="43"/>
      <c r="E182" s="41"/>
      <c r="F182" s="41"/>
      <c r="G182" s="41"/>
      <c r="H182" s="41"/>
      <c r="I182" s="41"/>
      <c r="J182" s="42"/>
      <c r="K182" s="42"/>
      <c r="L182" s="33"/>
      <c r="M182" s="33"/>
      <c r="N182" s="34">
        <f t="shared" si="2"/>
        <v>0</v>
      </c>
    </row>
    <row r="183" spans="1:14" ht="15.75" thickBot="1" x14ac:dyDescent="0.3">
      <c r="A183" s="39" t="s">
        <v>507</v>
      </c>
      <c r="B183" s="32">
        <v>21887.34</v>
      </c>
      <c r="C183" s="32">
        <v>16149.07</v>
      </c>
      <c r="D183" s="32">
        <v>-57323.11</v>
      </c>
      <c r="E183" s="33">
        <v>27446.11</v>
      </c>
      <c r="F183" s="33">
        <v>124014.73</v>
      </c>
      <c r="G183" s="33">
        <v>208545.5</v>
      </c>
      <c r="H183" s="33">
        <v>163845.68</v>
      </c>
      <c r="I183" s="33">
        <v>101624.18</v>
      </c>
      <c r="J183" s="29">
        <v>33836.21</v>
      </c>
      <c r="K183" s="29">
        <v>19761.52</v>
      </c>
      <c r="L183" s="29">
        <v>735.4</v>
      </c>
      <c r="M183" s="29">
        <v>155</v>
      </c>
      <c r="N183" s="30">
        <f t="shared" si="2"/>
        <v>660677.63</v>
      </c>
    </row>
    <row r="184" spans="1:14" ht="15.75" thickBot="1" x14ac:dyDescent="0.3">
      <c r="A184" s="39" t="s">
        <v>508</v>
      </c>
      <c r="B184" s="28">
        <v>69159.820000000007</v>
      </c>
      <c r="C184" s="28">
        <v>125675.58</v>
      </c>
      <c r="D184" s="28">
        <v>322459.34000000003</v>
      </c>
      <c r="E184" s="29">
        <v>67112.740000000005</v>
      </c>
      <c r="F184" s="29">
        <v>42721.95</v>
      </c>
      <c r="G184" s="29">
        <v>74368.479999999996</v>
      </c>
      <c r="H184" s="29">
        <v>108062.96</v>
      </c>
      <c r="I184" s="29">
        <v>115020.98</v>
      </c>
      <c r="J184" s="33">
        <v>65177.84</v>
      </c>
      <c r="K184" s="33">
        <v>175416.51</v>
      </c>
      <c r="L184" s="33">
        <v>162461.14000000001</v>
      </c>
      <c r="M184" s="33">
        <v>198626.91</v>
      </c>
      <c r="N184" s="34">
        <f t="shared" si="2"/>
        <v>1526264.2499999998</v>
      </c>
    </row>
    <row r="185" spans="1:14" ht="15.75" thickBot="1" x14ac:dyDescent="0.3">
      <c r="A185" s="39" t="s">
        <v>509</v>
      </c>
      <c r="B185" s="40"/>
      <c r="C185" s="40"/>
      <c r="D185" s="40"/>
      <c r="E185" s="42"/>
      <c r="F185" s="42"/>
      <c r="G185" s="42"/>
      <c r="H185" s="42"/>
      <c r="I185" s="42"/>
      <c r="J185" s="29">
        <v>700</v>
      </c>
      <c r="K185" s="41"/>
      <c r="L185" s="41"/>
      <c r="M185" s="41"/>
      <c r="N185" s="30">
        <f t="shared" si="2"/>
        <v>700</v>
      </c>
    </row>
    <row r="186" spans="1:14" ht="15.75" thickBot="1" x14ac:dyDescent="0.3">
      <c r="A186" s="47" t="s">
        <v>510</v>
      </c>
      <c r="B186" s="43"/>
      <c r="C186" s="43"/>
      <c r="D186" s="43"/>
      <c r="E186" s="42"/>
      <c r="F186" s="42"/>
      <c r="G186" s="42"/>
      <c r="H186" s="42"/>
      <c r="I186" s="42"/>
      <c r="J186" s="29"/>
      <c r="K186" s="41"/>
      <c r="L186" s="41"/>
      <c r="M186" s="41"/>
      <c r="N186" s="30">
        <f t="shared" si="2"/>
        <v>0</v>
      </c>
    </row>
    <row r="187" spans="1:14" ht="15.75" thickBot="1" x14ac:dyDescent="0.3">
      <c r="A187" s="39" t="s">
        <v>511</v>
      </c>
      <c r="B187" s="32">
        <v>1771.41</v>
      </c>
      <c r="C187" s="32">
        <v>1357.26</v>
      </c>
      <c r="D187" s="32">
        <v>1496.88</v>
      </c>
      <c r="E187" s="29">
        <v>1730.16</v>
      </c>
      <c r="F187" s="29">
        <v>1598.13</v>
      </c>
      <c r="G187" s="29">
        <v>1834.54</v>
      </c>
      <c r="H187" s="29">
        <v>1894.59</v>
      </c>
      <c r="I187" s="29">
        <v>1789.63</v>
      </c>
      <c r="J187" s="33">
        <v>1990.1</v>
      </c>
      <c r="K187" s="33">
        <v>1637.6</v>
      </c>
      <c r="L187" s="33">
        <v>1851.89</v>
      </c>
      <c r="M187" s="33">
        <v>1794.96</v>
      </c>
      <c r="N187" s="34">
        <f t="shared" si="2"/>
        <v>20747.150000000001</v>
      </c>
    </row>
    <row r="188" spans="1:14" ht="15.75" thickBot="1" x14ac:dyDescent="0.3">
      <c r="A188" s="39" t="s">
        <v>512</v>
      </c>
      <c r="B188" s="28"/>
      <c r="C188" s="28"/>
      <c r="D188" s="28"/>
      <c r="E188" s="42"/>
      <c r="F188" s="42"/>
      <c r="G188" s="42"/>
      <c r="H188" s="42"/>
      <c r="I188" s="42"/>
      <c r="J188" s="41"/>
      <c r="K188" s="41"/>
      <c r="L188" s="41"/>
      <c r="M188" s="41"/>
      <c r="N188" s="44">
        <f t="shared" si="2"/>
        <v>0</v>
      </c>
    </row>
    <row r="189" spans="1:14" ht="15.75" thickBot="1" x14ac:dyDescent="0.3">
      <c r="A189" s="47" t="s">
        <v>513</v>
      </c>
      <c r="B189" s="40"/>
      <c r="C189" s="40"/>
      <c r="D189" s="40"/>
      <c r="E189" s="42"/>
      <c r="F189" s="42"/>
      <c r="G189" s="42"/>
      <c r="H189" s="42"/>
      <c r="I189" s="42"/>
      <c r="J189" s="41"/>
      <c r="K189" s="41"/>
      <c r="L189" s="41"/>
      <c r="M189" s="41"/>
      <c r="N189" s="44">
        <f t="shared" si="2"/>
        <v>0</v>
      </c>
    </row>
    <row r="190" spans="1:14" ht="15.75" thickBot="1" x14ac:dyDescent="0.3">
      <c r="A190" s="39" t="s">
        <v>514</v>
      </c>
      <c r="B190" s="28">
        <v>3486.07</v>
      </c>
      <c r="C190" s="28">
        <v>6212.89</v>
      </c>
      <c r="D190" s="28">
        <v>20251.38</v>
      </c>
      <c r="E190" s="29">
        <v>24318.03</v>
      </c>
      <c r="F190" s="29">
        <v>19404.23</v>
      </c>
      <c r="G190" s="29">
        <v>30407.66</v>
      </c>
      <c r="H190" s="29">
        <v>7080.81</v>
      </c>
      <c r="I190" s="29">
        <v>10184.61</v>
      </c>
      <c r="J190" s="33">
        <v>3193.19</v>
      </c>
      <c r="K190" s="33">
        <v>11059.12</v>
      </c>
      <c r="L190" s="33">
        <v>10571.91</v>
      </c>
      <c r="M190" s="33">
        <v>14349.99</v>
      </c>
      <c r="N190" s="34">
        <f t="shared" si="2"/>
        <v>160519.89000000001</v>
      </c>
    </row>
    <row r="191" spans="1:14" ht="15.75" thickBot="1" x14ac:dyDescent="0.3">
      <c r="A191" s="39" t="s">
        <v>515</v>
      </c>
      <c r="B191" s="32">
        <v>6958.64</v>
      </c>
      <c r="C191" s="32">
        <v>5337.12</v>
      </c>
      <c r="D191" s="32">
        <v>8178.52</v>
      </c>
      <c r="E191" s="33">
        <v>8994.24</v>
      </c>
      <c r="F191" s="33">
        <v>7369.56</v>
      </c>
      <c r="G191" s="33">
        <v>7045.66</v>
      </c>
      <c r="H191" s="33">
        <v>6611.38</v>
      </c>
      <c r="I191" s="33">
        <v>6870.33</v>
      </c>
      <c r="J191" s="29">
        <v>6579.96</v>
      </c>
      <c r="K191" s="29">
        <v>7831.37</v>
      </c>
      <c r="L191" s="29">
        <v>6799.15</v>
      </c>
      <c r="M191" s="29">
        <v>4055.04</v>
      </c>
      <c r="N191" s="30">
        <f t="shared" si="2"/>
        <v>82630.969999999972</v>
      </c>
    </row>
    <row r="192" spans="1:14" ht="15.75" thickBot="1" x14ac:dyDescent="0.3">
      <c r="A192" s="39" t="s">
        <v>516</v>
      </c>
      <c r="B192" s="28">
        <v>1340.08</v>
      </c>
      <c r="C192" s="28">
        <v>1416.99</v>
      </c>
      <c r="D192" s="28">
        <v>4298.12</v>
      </c>
      <c r="E192" s="29">
        <v>428.12</v>
      </c>
      <c r="F192" s="29">
        <v>2126.25</v>
      </c>
      <c r="G192" s="29">
        <v>1833.8</v>
      </c>
      <c r="H192" s="29">
        <v>1775.01</v>
      </c>
      <c r="I192" s="29">
        <v>3664.73</v>
      </c>
      <c r="J192" s="33">
        <v>2680.68</v>
      </c>
      <c r="K192" s="33">
        <v>2297.59</v>
      </c>
      <c r="L192" s="33">
        <v>1456.8</v>
      </c>
      <c r="M192" s="33">
        <v>3202.57</v>
      </c>
      <c r="N192" s="34">
        <f t="shared" si="2"/>
        <v>26520.739999999998</v>
      </c>
    </row>
    <row r="193" spans="1:14" ht="15.75" thickBot="1" x14ac:dyDescent="0.3">
      <c r="A193" s="39" t="s">
        <v>517</v>
      </c>
      <c r="B193" s="32">
        <v>5125.38</v>
      </c>
      <c r="C193" s="32">
        <v>1697.78</v>
      </c>
      <c r="D193" s="32">
        <v>7180.45</v>
      </c>
      <c r="E193" s="33">
        <v>11013.5</v>
      </c>
      <c r="F193" s="33">
        <v>7160.34</v>
      </c>
      <c r="G193" s="33">
        <v>9394.5300000000007</v>
      </c>
      <c r="H193" s="33">
        <v>10117.280000000001</v>
      </c>
      <c r="I193" s="33">
        <v>8058.6</v>
      </c>
      <c r="J193" s="29">
        <v>7812.81</v>
      </c>
      <c r="K193" s="29">
        <v>13660.82</v>
      </c>
      <c r="L193" s="29">
        <v>813.37</v>
      </c>
      <c r="M193" s="29">
        <v>5510.81</v>
      </c>
      <c r="N193" s="30">
        <f t="shared" si="2"/>
        <v>87545.669999999984</v>
      </c>
    </row>
    <row r="194" spans="1:14" ht="15.75" thickBot="1" x14ac:dyDescent="0.3">
      <c r="A194" s="39" t="s">
        <v>518</v>
      </c>
      <c r="B194" s="28">
        <v>9873.68</v>
      </c>
      <c r="C194" s="28">
        <v>17501.68</v>
      </c>
      <c r="D194" s="28">
        <v>21235.91</v>
      </c>
      <c r="E194" s="29">
        <v>19816.93</v>
      </c>
      <c r="F194" s="29">
        <v>14946.54</v>
      </c>
      <c r="G194" s="29">
        <v>18935.89</v>
      </c>
      <c r="H194" s="29">
        <v>29866.73</v>
      </c>
      <c r="I194" s="29">
        <v>9045.52</v>
      </c>
      <c r="J194" s="33">
        <v>12969.63</v>
      </c>
      <c r="K194" s="33">
        <v>16013.35</v>
      </c>
      <c r="L194" s="33">
        <v>10720.03</v>
      </c>
      <c r="M194" s="33">
        <v>11424.56</v>
      </c>
      <c r="N194" s="34">
        <f t="shared" si="2"/>
        <v>192350.45</v>
      </c>
    </row>
    <row r="195" spans="1:14" ht="15.75" thickBot="1" x14ac:dyDescent="0.3">
      <c r="A195" s="39" t="s">
        <v>519</v>
      </c>
      <c r="B195" s="32">
        <v>21137.97</v>
      </c>
      <c r="C195" s="32">
        <v>23531.42</v>
      </c>
      <c r="D195" s="32">
        <v>30144.400000000001</v>
      </c>
      <c r="E195" s="33">
        <v>30453.45</v>
      </c>
      <c r="F195" s="33">
        <v>32922.239999999998</v>
      </c>
      <c r="G195" s="33">
        <v>24388.71</v>
      </c>
      <c r="H195" s="33">
        <v>13509.35</v>
      </c>
      <c r="I195" s="33">
        <v>11284.99</v>
      </c>
      <c r="J195" s="29">
        <v>8905.3799999999992</v>
      </c>
      <c r="K195" s="29">
        <v>8305.25</v>
      </c>
      <c r="L195" s="29">
        <v>8532.93</v>
      </c>
      <c r="M195" s="29">
        <v>8973.35</v>
      </c>
      <c r="N195" s="30">
        <f t="shared" si="2"/>
        <v>222089.44</v>
      </c>
    </row>
    <row r="196" spans="1:14" ht="15.75" thickBot="1" x14ac:dyDescent="0.3">
      <c r="A196" s="39" t="s">
        <v>520</v>
      </c>
      <c r="B196" s="43"/>
      <c r="C196" s="43"/>
      <c r="D196" s="43"/>
      <c r="E196" s="29">
        <v>415.23</v>
      </c>
      <c r="F196" s="41"/>
      <c r="G196" s="29">
        <v>207.44</v>
      </c>
      <c r="H196" s="52">
        <v>0</v>
      </c>
      <c r="I196" s="41"/>
      <c r="J196" s="33">
        <v>763.03</v>
      </c>
      <c r="K196" s="42"/>
      <c r="L196" s="33">
        <v>3734.12</v>
      </c>
      <c r="M196" s="42"/>
      <c r="N196" s="34">
        <f t="shared" si="2"/>
        <v>5119.82</v>
      </c>
    </row>
    <row r="197" spans="1:14" ht="15.75" thickBot="1" x14ac:dyDescent="0.3">
      <c r="A197" s="39" t="s">
        <v>521</v>
      </c>
      <c r="B197" s="32">
        <v>5011.96</v>
      </c>
      <c r="C197" s="32">
        <v>6575.91</v>
      </c>
      <c r="D197" s="32">
        <v>7562.32</v>
      </c>
      <c r="E197" s="33">
        <v>8995.83</v>
      </c>
      <c r="F197" s="33">
        <v>4307.93</v>
      </c>
      <c r="G197" s="33">
        <v>6427.46</v>
      </c>
      <c r="H197" s="33">
        <v>6132.84</v>
      </c>
      <c r="I197" s="33">
        <v>9367.5499999999993</v>
      </c>
      <c r="J197" s="29">
        <v>7282.31</v>
      </c>
      <c r="K197" s="29">
        <v>6756.56</v>
      </c>
      <c r="L197" s="29">
        <v>7022.4</v>
      </c>
      <c r="M197" s="29">
        <v>7413.03</v>
      </c>
      <c r="N197" s="30">
        <f t="shared" si="2"/>
        <v>82856.099999999991</v>
      </c>
    </row>
    <row r="198" spans="1:14" ht="15.75" thickBot="1" x14ac:dyDescent="0.3">
      <c r="A198" s="39" t="s">
        <v>522</v>
      </c>
      <c r="B198" s="43"/>
      <c r="C198" s="43"/>
      <c r="D198" s="43">
        <v>32.75</v>
      </c>
      <c r="E198" s="41"/>
      <c r="F198" s="41"/>
      <c r="G198" s="29">
        <v>83.54</v>
      </c>
      <c r="H198" s="41"/>
      <c r="I198" s="41"/>
      <c r="J198" s="33">
        <v>41.74</v>
      </c>
      <c r="K198" s="33">
        <v>35.369999999999997</v>
      </c>
      <c r="L198" s="42"/>
      <c r="M198" s="33">
        <v>69.84</v>
      </c>
      <c r="N198" s="34">
        <f t="shared" ref="N198:N261" si="3">SUM(B198:M198)</f>
        <v>263.24</v>
      </c>
    </row>
    <row r="199" spans="1:14" ht="15.75" thickBot="1" x14ac:dyDescent="0.3">
      <c r="A199" s="39" t="s">
        <v>522</v>
      </c>
      <c r="B199" s="32"/>
      <c r="C199" s="32">
        <v>440.86</v>
      </c>
      <c r="D199" s="32"/>
      <c r="E199" s="33">
        <v>995.33</v>
      </c>
      <c r="F199" s="33">
        <v>438.93</v>
      </c>
      <c r="G199" s="42"/>
      <c r="H199" s="42"/>
      <c r="I199" s="42"/>
      <c r="J199" s="29">
        <v>422.95</v>
      </c>
      <c r="K199" s="29">
        <v>560.62</v>
      </c>
      <c r="L199" s="41"/>
      <c r="M199" s="41"/>
      <c r="N199" s="30">
        <f t="shared" si="3"/>
        <v>2858.69</v>
      </c>
    </row>
    <row r="200" spans="1:14" ht="15.75" thickBot="1" x14ac:dyDescent="0.3">
      <c r="A200" s="39" t="s">
        <v>523</v>
      </c>
      <c r="B200" s="43"/>
      <c r="C200" s="43">
        <v>440.72</v>
      </c>
      <c r="D200" s="43"/>
      <c r="E200" s="41"/>
      <c r="F200" s="41"/>
      <c r="G200" s="41"/>
      <c r="H200" s="29">
        <v>329.2</v>
      </c>
      <c r="I200" s="29">
        <v>585.24</v>
      </c>
      <c r="J200" s="42"/>
      <c r="K200" s="42"/>
      <c r="L200" s="42"/>
      <c r="M200" s="42"/>
      <c r="N200" s="34">
        <f t="shared" si="3"/>
        <v>1355.16</v>
      </c>
    </row>
    <row r="201" spans="1:14" ht="15.75" thickBot="1" x14ac:dyDescent="0.3">
      <c r="A201" s="39" t="s">
        <v>523</v>
      </c>
      <c r="B201" s="40"/>
      <c r="C201" s="40"/>
      <c r="D201" s="40"/>
      <c r="E201" s="42"/>
      <c r="F201" s="42"/>
      <c r="G201" s="33">
        <v>23.43</v>
      </c>
      <c r="H201" s="33">
        <v>290.32</v>
      </c>
      <c r="I201" s="42"/>
      <c r="J201" s="41"/>
      <c r="K201" s="41"/>
      <c r="L201" s="41"/>
      <c r="M201" s="41"/>
      <c r="N201" s="30">
        <f t="shared" si="3"/>
        <v>313.75</v>
      </c>
    </row>
    <row r="202" spans="1:14" ht="15.75" thickBot="1" x14ac:dyDescent="0.3">
      <c r="A202" s="39" t="s">
        <v>524</v>
      </c>
      <c r="B202" s="43"/>
      <c r="C202" s="43"/>
      <c r="D202" s="43"/>
      <c r="E202" s="41"/>
      <c r="F202" s="41"/>
      <c r="G202" s="41"/>
      <c r="H202" s="41"/>
      <c r="I202" s="41"/>
      <c r="J202" s="33">
        <v>158.47999999999999</v>
      </c>
      <c r="K202" s="42"/>
      <c r="L202" s="42"/>
      <c r="M202" s="42"/>
      <c r="N202" s="34">
        <f t="shared" si="3"/>
        <v>158.47999999999999</v>
      </c>
    </row>
    <row r="203" spans="1:14" ht="15.75" thickBot="1" x14ac:dyDescent="0.3">
      <c r="A203" s="39" t="s">
        <v>525</v>
      </c>
      <c r="B203" s="40">
        <v>1196.26</v>
      </c>
      <c r="C203" s="40"/>
      <c r="D203" s="40"/>
      <c r="E203" s="42"/>
      <c r="F203" s="42"/>
      <c r="G203" s="42"/>
      <c r="H203" s="33">
        <v>526.71</v>
      </c>
      <c r="I203" s="33">
        <v>3107.54</v>
      </c>
      <c r="J203" s="41"/>
      <c r="K203" s="41"/>
      <c r="L203" s="41"/>
      <c r="M203" s="41"/>
      <c r="N203" s="30">
        <f t="shared" si="3"/>
        <v>4830.51</v>
      </c>
    </row>
    <row r="204" spans="1:14" ht="15.75" thickBot="1" x14ac:dyDescent="0.3">
      <c r="A204" s="47" t="s">
        <v>525</v>
      </c>
      <c r="B204" s="43"/>
      <c r="C204" s="43"/>
      <c r="D204" s="43"/>
      <c r="E204" s="42"/>
      <c r="F204" s="42"/>
      <c r="G204" s="42"/>
      <c r="H204" s="33"/>
      <c r="I204" s="33"/>
      <c r="J204" s="41"/>
      <c r="K204" s="41"/>
      <c r="L204" s="41"/>
      <c r="M204" s="41"/>
      <c r="N204" s="30">
        <f t="shared" si="3"/>
        <v>0</v>
      </c>
    </row>
    <row r="205" spans="1:14" ht="15.75" thickBot="1" x14ac:dyDescent="0.3">
      <c r="A205" s="39" t="s">
        <v>526</v>
      </c>
      <c r="B205" s="40"/>
      <c r="C205" s="40"/>
      <c r="D205" s="40"/>
      <c r="E205" s="41"/>
      <c r="F205" s="29">
        <v>135.71</v>
      </c>
      <c r="G205" s="29">
        <v>795.09</v>
      </c>
      <c r="H205" s="41"/>
      <c r="I205" s="29">
        <v>353.6</v>
      </c>
      <c r="J205" s="33">
        <v>33.51</v>
      </c>
      <c r="K205" s="33">
        <v>507.91</v>
      </c>
      <c r="L205" s="33">
        <v>1398.44</v>
      </c>
      <c r="M205" s="33">
        <v>81752.78</v>
      </c>
      <c r="N205" s="34">
        <f t="shared" si="3"/>
        <v>84977.04</v>
      </c>
    </row>
    <row r="206" spans="1:14" ht="15.75" thickBot="1" x14ac:dyDescent="0.3">
      <c r="A206" s="47" t="s">
        <v>526</v>
      </c>
      <c r="B206" s="28">
        <v>1697.3</v>
      </c>
      <c r="C206" s="28">
        <v>989.38</v>
      </c>
      <c r="D206" s="28">
        <v>538.80999999999995</v>
      </c>
      <c r="E206" s="41"/>
      <c r="F206" s="29"/>
      <c r="G206" s="29"/>
      <c r="H206" s="41"/>
      <c r="I206" s="29"/>
      <c r="J206" s="33"/>
      <c r="K206" s="33"/>
      <c r="L206" s="33"/>
      <c r="M206" s="33"/>
      <c r="N206" s="34">
        <f t="shared" si="3"/>
        <v>3225.49</v>
      </c>
    </row>
    <row r="207" spans="1:14" ht="15.75" thickBot="1" x14ac:dyDescent="0.3">
      <c r="A207" s="39" t="s">
        <v>527</v>
      </c>
      <c r="B207" s="32">
        <v>1619.96</v>
      </c>
      <c r="C207" s="32">
        <v>3201.15</v>
      </c>
      <c r="D207" s="32">
        <v>2373.52</v>
      </c>
      <c r="E207" s="33">
        <v>2280.62</v>
      </c>
      <c r="F207" s="33">
        <v>2279.7399999999998</v>
      </c>
      <c r="G207" s="33">
        <v>2185.84</v>
      </c>
      <c r="H207" s="33">
        <v>407.45</v>
      </c>
      <c r="I207" s="33">
        <v>1421.83</v>
      </c>
      <c r="J207" s="29">
        <v>602.83000000000004</v>
      </c>
      <c r="K207" s="29">
        <v>251.82</v>
      </c>
      <c r="L207" s="29">
        <v>709</v>
      </c>
      <c r="M207" s="29">
        <v>84.43</v>
      </c>
      <c r="N207" s="30">
        <f t="shared" si="3"/>
        <v>17418.190000000002</v>
      </c>
    </row>
    <row r="208" spans="1:14" ht="15.75" thickBot="1" x14ac:dyDescent="0.3">
      <c r="A208" s="47" t="s">
        <v>528</v>
      </c>
      <c r="B208" s="43"/>
      <c r="C208" s="43"/>
      <c r="D208" s="43"/>
      <c r="E208" s="33"/>
      <c r="F208" s="33"/>
      <c r="G208" s="33"/>
      <c r="H208" s="33"/>
      <c r="I208" s="33"/>
      <c r="J208" s="29"/>
      <c r="K208" s="29"/>
      <c r="L208" s="29"/>
      <c r="M208" s="29"/>
      <c r="N208" s="30">
        <f t="shared" si="3"/>
        <v>0</v>
      </c>
    </row>
    <row r="209" spans="1:14" ht="15.75" thickBot="1" x14ac:dyDescent="0.3">
      <c r="A209" s="39" t="s">
        <v>529</v>
      </c>
      <c r="B209" s="32">
        <v>334880.87</v>
      </c>
      <c r="C209" s="32">
        <v>288699.31</v>
      </c>
      <c r="D209" s="32">
        <v>361071.69</v>
      </c>
      <c r="E209" s="29">
        <v>417827.31</v>
      </c>
      <c r="F209" s="29">
        <v>402742.85</v>
      </c>
      <c r="G209" s="29">
        <v>406720.71</v>
      </c>
      <c r="H209" s="29">
        <v>344001.28000000003</v>
      </c>
      <c r="I209" s="29">
        <v>501092.02</v>
      </c>
      <c r="J209" s="33">
        <v>481911.33</v>
      </c>
      <c r="K209" s="33">
        <v>438355.93</v>
      </c>
      <c r="L209" s="33">
        <v>401760.2</v>
      </c>
      <c r="M209" s="33">
        <v>-229376.38</v>
      </c>
      <c r="N209" s="34">
        <f t="shared" si="3"/>
        <v>4149687.12</v>
      </c>
    </row>
    <row r="210" spans="1:14" ht="15.75" thickBot="1" x14ac:dyDescent="0.3">
      <c r="A210" s="39" t="s">
        <v>530</v>
      </c>
      <c r="B210" s="28">
        <v>180048.89</v>
      </c>
      <c r="C210" s="28">
        <v>169573.24</v>
      </c>
      <c r="D210" s="28">
        <v>178972.95</v>
      </c>
      <c r="E210" s="33">
        <v>198147.46</v>
      </c>
      <c r="F210" s="33">
        <v>203157.79</v>
      </c>
      <c r="G210" s="33">
        <v>204174.64</v>
      </c>
      <c r="H210" s="33">
        <v>209397.6</v>
      </c>
      <c r="I210" s="33">
        <v>200019.43</v>
      </c>
      <c r="J210" s="29">
        <v>218101.91</v>
      </c>
      <c r="K210" s="29">
        <v>220338.02</v>
      </c>
      <c r="L210" s="29">
        <v>205468.14</v>
      </c>
      <c r="M210" s="29">
        <v>213261.89</v>
      </c>
      <c r="N210" s="30">
        <f t="shared" si="3"/>
        <v>2400661.9600000004</v>
      </c>
    </row>
    <row r="211" spans="1:14" ht="15.75" thickBot="1" x14ac:dyDescent="0.3">
      <c r="A211" s="39" t="s">
        <v>531</v>
      </c>
      <c r="B211" s="32">
        <v>140.12</v>
      </c>
      <c r="C211" s="32">
        <v>3634.69</v>
      </c>
      <c r="D211" s="32">
        <v>1243.69</v>
      </c>
      <c r="E211" s="41"/>
      <c r="F211" s="29">
        <v>248.83</v>
      </c>
      <c r="G211" s="29">
        <v>1949.19</v>
      </c>
      <c r="H211" s="29">
        <v>82.94</v>
      </c>
      <c r="I211" s="29">
        <v>414.72</v>
      </c>
      <c r="J211" s="33">
        <v>589.53</v>
      </c>
      <c r="K211" s="33">
        <v>1368.12</v>
      </c>
      <c r="L211" s="33">
        <v>338.36</v>
      </c>
      <c r="M211" s="33">
        <v>1607.21</v>
      </c>
      <c r="N211" s="34">
        <f t="shared" si="3"/>
        <v>11617.400000000001</v>
      </c>
    </row>
    <row r="212" spans="1:14" ht="15.75" thickBot="1" x14ac:dyDescent="0.3">
      <c r="A212" s="39" t="s">
        <v>532</v>
      </c>
      <c r="B212" s="43">
        <v>35.700000000000003</v>
      </c>
      <c r="C212" s="43"/>
      <c r="D212" s="43"/>
      <c r="E212" s="42"/>
      <c r="F212" s="42"/>
      <c r="G212" s="42"/>
      <c r="H212" s="42"/>
      <c r="I212" s="42"/>
      <c r="J212" s="41"/>
      <c r="K212" s="41"/>
      <c r="L212" s="41"/>
      <c r="M212" s="41"/>
      <c r="N212" s="44">
        <f t="shared" si="3"/>
        <v>35.700000000000003</v>
      </c>
    </row>
    <row r="213" spans="1:14" ht="15.75" thickBot="1" x14ac:dyDescent="0.3">
      <c r="A213" s="47" t="s">
        <v>533</v>
      </c>
      <c r="B213" s="40"/>
      <c r="C213" s="40"/>
      <c r="D213" s="40"/>
      <c r="E213" s="42"/>
      <c r="F213" s="42"/>
      <c r="G213" s="42"/>
      <c r="H213" s="42"/>
      <c r="I213" s="42"/>
      <c r="J213" s="41"/>
      <c r="K213" s="41"/>
      <c r="L213" s="41"/>
      <c r="M213" s="41"/>
      <c r="N213" s="44">
        <f t="shared" si="3"/>
        <v>0</v>
      </c>
    </row>
    <row r="214" spans="1:14" ht="15.75" thickBot="1" x14ac:dyDescent="0.3">
      <c r="A214" s="39" t="s">
        <v>534</v>
      </c>
      <c r="B214" s="28">
        <v>214233.83</v>
      </c>
      <c r="C214" s="28">
        <v>249021.85</v>
      </c>
      <c r="D214" s="28">
        <v>230838.23</v>
      </c>
      <c r="E214" s="29">
        <v>211983.95</v>
      </c>
      <c r="F214" s="29">
        <v>237160.58</v>
      </c>
      <c r="G214" s="29">
        <v>203765.83</v>
      </c>
      <c r="H214" s="29">
        <v>231775.56</v>
      </c>
      <c r="I214" s="29">
        <v>241264.66</v>
      </c>
      <c r="J214" s="33">
        <v>219724.35</v>
      </c>
      <c r="K214" s="33">
        <v>178356.07</v>
      </c>
      <c r="L214" s="33">
        <v>226705.29</v>
      </c>
      <c r="M214" s="33">
        <v>224077.03</v>
      </c>
      <c r="N214" s="34">
        <f t="shared" si="3"/>
        <v>2668907.23</v>
      </c>
    </row>
    <row r="215" spans="1:14" ht="15.75" thickBot="1" x14ac:dyDescent="0.3">
      <c r="A215" s="39" t="s">
        <v>535</v>
      </c>
      <c r="B215" s="40">
        <v>25.45</v>
      </c>
      <c r="C215" s="40"/>
      <c r="D215" s="40"/>
      <c r="E215" s="42"/>
      <c r="F215" s="42"/>
      <c r="G215" s="42"/>
      <c r="H215" s="33">
        <v>46.12</v>
      </c>
      <c r="I215" s="42"/>
      <c r="J215" s="41"/>
      <c r="K215" s="41"/>
      <c r="L215" s="41"/>
      <c r="M215" s="41"/>
      <c r="N215" s="30">
        <f t="shared" si="3"/>
        <v>71.569999999999993</v>
      </c>
    </row>
    <row r="216" spans="1:14" ht="15.75" thickBot="1" x14ac:dyDescent="0.3">
      <c r="A216" s="47" t="s">
        <v>536</v>
      </c>
      <c r="B216" s="43"/>
      <c r="C216" s="43"/>
      <c r="D216" s="43"/>
      <c r="E216" s="42"/>
      <c r="F216" s="42"/>
      <c r="G216" s="42"/>
      <c r="H216" s="33"/>
      <c r="I216" s="42"/>
      <c r="J216" s="41"/>
      <c r="K216" s="41"/>
      <c r="L216" s="41"/>
      <c r="M216" s="41"/>
      <c r="N216" s="30">
        <f t="shared" si="3"/>
        <v>0</v>
      </c>
    </row>
    <row r="217" spans="1:14" ht="15.75" thickBot="1" x14ac:dyDescent="0.3">
      <c r="A217" s="39" t="s">
        <v>537</v>
      </c>
      <c r="B217" s="32">
        <v>722974.61</v>
      </c>
      <c r="C217" s="32">
        <v>700570.21</v>
      </c>
      <c r="D217" s="32">
        <v>808147.59</v>
      </c>
      <c r="E217" s="29">
        <v>772361.23</v>
      </c>
      <c r="F217" s="29">
        <v>560838.79</v>
      </c>
      <c r="G217" s="29">
        <v>648017.43000000005</v>
      </c>
      <c r="H217" s="29">
        <v>584060.06000000006</v>
      </c>
      <c r="I217" s="29">
        <v>604865.35</v>
      </c>
      <c r="J217" s="33">
        <v>571231.93999999994</v>
      </c>
      <c r="K217" s="33">
        <v>593345.15</v>
      </c>
      <c r="L217" s="33">
        <v>644040.04</v>
      </c>
      <c r="M217" s="33">
        <v>776055.26</v>
      </c>
      <c r="N217" s="34">
        <f t="shared" si="3"/>
        <v>7986507.6599999992</v>
      </c>
    </row>
    <row r="218" spans="1:14" ht="15.75" thickBot="1" x14ac:dyDescent="0.3">
      <c r="A218" s="39" t="s">
        <v>537</v>
      </c>
      <c r="B218" s="28">
        <v>53165.47</v>
      </c>
      <c r="C218" s="28">
        <v>44226.89</v>
      </c>
      <c r="D218" s="28">
        <v>46254.89</v>
      </c>
      <c r="E218" s="33">
        <v>53234.33</v>
      </c>
      <c r="F218" s="33">
        <v>46882.15</v>
      </c>
      <c r="G218" s="33">
        <v>50101.33</v>
      </c>
      <c r="H218" s="33">
        <v>53810.17</v>
      </c>
      <c r="I218" s="33">
        <v>48410.28</v>
      </c>
      <c r="J218" s="29">
        <v>43541.89</v>
      </c>
      <c r="K218" s="29">
        <v>50548.31</v>
      </c>
      <c r="L218" s="29">
        <v>47629.73</v>
      </c>
      <c r="M218" s="29">
        <v>51117.43</v>
      </c>
      <c r="N218" s="30">
        <f t="shared" si="3"/>
        <v>588922.87000000011</v>
      </c>
    </row>
    <row r="219" spans="1:14" ht="15.75" thickBot="1" x14ac:dyDescent="0.3">
      <c r="A219" s="39" t="s">
        <v>538</v>
      </c>
      <c r="B219" s="32">
        <v>411.23</v>
      </c>
      <c r="C219" s="32">
        <v>341.7</v>
      </c>
      <c r="D219" s="32">
        <v>956.1</v>
      </c>
      <c r="E219" s="29">
        <v>4260.3</v>
      </c>
      <c r="F219" s="29">
        <v>1358.88</v>
      </c>
      <c r="G219" s="29">
        <v>237.5</v>
      </c>
      <c r="H219" s="29">
        <v>82</v>
      </c>
      <c r="I219" s="29">
        <v>363.52</v>
      </c>
      <c r="J219" s="33">
        <v>619.22</v>
      </c>
      <c r="K219" s="42"/>
      <c r="L219" s="42"/>
      <c r="M219" s="42"/>
      <c r="N219" s="34">
        <f t="shared" si="3"/>
        <v>8630.4499999999989</v>
      </c>
    </row>
    <row r="220" spans="1:14" ht="15.75" thickBot="1" x14ac:dyDescent="0.3">
      <c r="A220" s="47" t="s">
        <v>539</v>
      </c>
      <c r="B220" s="43"/>
      <c r="C220" s="43"/>
      <c r="D220" s="43"/>
      <c r="E220" s="29"/>
      <c r="F220" s="29"/>
      <c r="G220" s="29"/>
      <c r="H220" s="29"/>
      <c r="I220" s="29"/>
      <c r="J220" s="33"/>
      <c r="K220" s="42"/>
      <c r="L220" s="42"/>
      <c r="M220" s="42"/>
      <c r="N220" s="34">
        <f t="shared" si="3"/>
        <v>0</v>
      </c>
    </row>
    <row r="221" spans="1:14" ht="15.75" thickBot="1" x14ac:dyDescent="0.3">
      <c r="A221" s="39" t="s">
        <v>540</v>
      </c>
      <c r="B221" s="40"/>
      <c r="C221" s="40"/>
      <c r="D221" s="40"/>
      <c r="E221" s="42"/>
      <c r="F221" s="42"/>
      <c r="G221" s="42"/>
      <c r="H221" s="42"/>
      <c r="I221" s="42"/>
      <c r="J221" s="41"/>
      <c r="K221" s="41"/>
      <c r="L221" s="41"/>
      <c r="M221" s="41"/>
      <c r="N221" s="44">
        <f t="shared" si="3"/>
        <v>0</v>
      </c>
    </row>
    <row r="222" spans="1:14" ht="15.75" thickBot="1" x14ac:dyDescent="0.3">
      <c r="A222" s="47" t="s">
        <v>541</v>
      </c>
      <c r="B222" s="43"/>
      <c r="C222" s="43"/>
      <c r="D222" s="43"/>
      <c r="E222" s="42"/>
      <c r="F222" s="42"/>
      <c r="G222" s="42"/>
      <c r="H222" s="42"/>
      <c r="I222" s="42"/>
      <c r="J222" s="41"/>
      <c r="K222" s="41"/>
      <c r="L222" s="41"/>
      <c r="M222" s="41"/>
      <c r="N222" s="44">
        <f t="shared" si="3"/>
        <v>0</v>
      </c>
    </row>
    <row r="223" spans="1:14" ht="15.75" thickBot="1" x14ac:dyDescent="0.3">
      <c r="A223" s="47" t="s">
        <v>542</v>
      </c>
      <c r="B223" s="40"/>
      <c r="C223" s="40"/>
      <c r="D223" s="40"/>
      <c r="E223" s="42"/>
      <c r="F223" s="42"/>
      <c r="G223" s="42"/>
      <c r="H223" s="42"/>
      <c r="I223" s="42"/>
      <c r="J223" s="41"/>
      <c r="K223" s="41"/>
      <c r="L223" s="41"/>
      <c r="M223" s="41"/>
      <c r="N223" s="44">
        <f t="shared" si="3"/>
        <v>0</v>
      </c>
    </row>
    <row r="224" spans="1:14" ht="15.75" thickBot="1" x14ac:dyDescent="0.3">
      <c r="A224" s="39" t="s">
        <v>543</v>
      </c>
      <c r="B224" s="28">
        <v>9071.32</v>
      </c>
      <c r="C224" s="28">
        <v>6953.6</v>
      </c>
      <c r="D224" s="28">
        <v>7680.92</v>
      </c>
      <c r="E224" s="29">
        <v>8871.89</v>
      </c>
      <c r="F224" s="29">
        <v>8184.57</v>
      </c>
      <c r="G224" s="29">
        <v>9415.0400000000009</v>
      </c>
      <c r="H224" s="29">
        <v>9702.5</v>
      </c>
      <c r="I224" s="29">
        <v>9155.9699999999993</v>
      </c>
      <c r="J224" s="33">
        <v>10179.02</v>
      </c>
      <c r="K224" s="33">
        <v>8391.4</v>
      </c>
      <c r="L224" s="33">
        <v>9455.07</v>
      </c>
      <c r="M224" s="33">
        <v>9174.93</v>
      </c>
      <c r="N224" s="34">
        <f t="shared" si="3"/>
        <v>106236.22999999998</v>
      </c>
    </row>
    <row r="225" spans="1:14" ht="15.75" thickBot="1" x14ac:dyDescent="0.3">
      <c r="A225" s="39" t="s">
        <v>544</v>
      </c>
      <c r="B225" s="32">
        <v>152.94999999999999</v>
      </c>
      <c r="C225" s="32"/>
      <c r="D225" s="32"/>
      <c r="E225" s="33">
        <v>1315.37</v>
      </c>
      <c r="F225" s="33">
        <v>1073.31</v>
      </c>
      <c r="G225" s="33">
        <v>884.27</v>
      </c>
      <c r="H225" s="33">
        <v>3986.4</v>
      </c>
      <c r="I225" s="33">
        <v>1168.93</v>
      </c>
      <c r="J225" s="29">
        <v>833.63</v>
      </c>
      <c r="K225" s="29">
        <v>2707.35</v>
      </c>
      <c r="L225" s="29">
        <v>1660.58</v>
      </c>
      <c r="M225" s="29">
        <v>254.1</v>
      </c>
      <c r="N225" s="30">
        <f t="shared" si="3"/>
        <v>14036.89</v>
      </c>
    </row>
    <row r="226" spans="1:14" ht="15.75" thickBot="1" x14ac:dyDescent="0.3">
      <c r="A226" s="39" t="s">
        <v>545</v>
      </c>
      <c r="B226" s="28">
        <v>24597.66</v>
      </c>
      <c r="C226" s="28">
        <v>1304.76</v>
      </c>
      <c r="D226" s="28">
        <v>762.61</v>
      </c>
      <c r="E226" s="29">
        <v>3202.76</v>
      </c>
      <c r="F226" s="29">
        <v>2403.19</v>
      </c>
      <c r="G226" s="29">
        <v>1377.62</v>
      </c>
      <c r="H226" s="29">
        <v>1684.75</v>
      </c>
      <c r="I226" s="29">
        <v>2507.9499999999998</v>
      </c>
      <c r="J226" s="33">
        <v>3954.71</v>
      </c>
      <c r="K226" s="33">
        <v>3697.09</v>
      </c>
      <c r="L226" s="33">
        <v>1754.1</v>
      </c>
      <c r="M226" s="33">
        <v>1234.17</v>
      </c>
      <c r="N226" s="34">
        <f t="shared" si="3"/>
        <v>48481.369999999988</v>
      </c>
    </row>
    <row r="227" spans="1:14" ht="15.75" thickBot="1" x14ac:dyDescent="0.3">
      <c r="A227" s="39" t="s">
        <v>546</v>
      </c>
      <c r="B227" s="40"/>
      <c r="C227" s="40"/>
      <c r="D227" s="40"/>
      <c r="E227" s="42"/>
      <c r="F227" s="42"/>
      <c r="G227" s="42"/>
      <c r="H227" s="42"/>
      <c r="I227" s="42"/>
      <c r="J227" s="41"/>
      <c r="K227" s="41"/>
      <c r="L227" s="41"/>
      <c r="M227" s="41"/>
      <c r="N227" s="44">
        <f t="shared" si="3"/>
        <v>0</v>
      </c>
    </row>
    <row r="228" spans="1:14" ht="15.75" thickBot="1" x14ac:dyDescent="0.3">
      <c r="A228" s="39" t="s">
        <v>547</v>
      </c>
      <c r="B228" s="28">
        <v>76483.210000000006</v>
      </c>
      <c r="C228" s="28">
        <v>94327.96</v>
      </c>
      <c r="D228" s="28">
        <v>63726.080000000002</v>
      </c>
      <c r="E228" s="29">
        <v>109274.71</v>
      </c>
      <c r="F228" s="29">
        <v>98045.48</v>
      </c>
      <c r="G228" s="29">
        <v>59346.04</v>
      </c>
      <c r="H228" s="29">
        <v>50681.120000000003</v>
      </c>
      <c r="I228" s="29">
        <v>90838.69</v>
      </c>
      <c r="J228" s="33">
        <v>78208.570000000007</v>
      </c>
      <c r="K228" s="33">
        <v>17939.900000000001</v>
      </c>
      <c r="L228" s="33">
        <v>67569.759999999995</v>
      </c>
      <c r="M228" s="33">
        <v>98356.05</v>
      </c>
      <c r="N228" s="34">
        <f t="shared" si="3"/>
        <v>904797.57000000018</v>
      </c>
    </row>
    <row r="229" spans="1:14" ht="15.75" thickBot="1" x14ac:dyDescent="0.3">
      <c r="A229" s="39" t="s">
        <v>548</v>
      </c>
      <c r="B229" s="32">
        <v>4212.17</v>
      </c>
      <c r="C229" s="32">
        <v>10832.79</v>
      </c>
      <c r="D229" s="32">
        <v>8467.92</v>
      </c>
      <c r="E229" s="33">
        <v>3732.39</v>
      </c>
      <c r="F229" s="33">
        <v>5535.68</v>
      </c>
      <c r="G229" s="33">
        <v>6795.73</v>
      </c>
      <c r="H229" s="33">
        <v>4132.67</v>
      </c>
      <c r="I229" s="33">
        <v>3406.9</v>
      </c>
      <c r="J229" s="29">
        <v>3475.63</v>
      </c>
      <c r="K229" s="29">
        <v>8336.7900000000009</v>
      </c>
      <c r="L229" s="29">
        <v>16295.97</v>
      </c>
      <c r="M229" s="29">
        <v>17569.41</v>
      </c>
      <c r="N229" s="30">
        <f t="shared" si="3"/>
        <v>92794.049999999988</v>
      </c>
    </row>
    <row r="230" spans="1:14" ht="15.75" thickBot="1" x14ac:dyDescent="0.3">
      <c r="A230" s="39" t="s">
        <v>549</v>
      </c>
      <c r="B230" s="28">
        <v>3932.58</v>
      </c>
      <c r="C230" s="28">
        <v>903.53</v>
      </c>
      <c r="D230" s="28">
        <v>2391.4</v>
      </c>
      <c r="E230" s="29">
        <v>-180.04</v>
      </c>
      <c r="F230" s="29">
        <v>-2199.58</v>
      </c>
      <c r="G230" s="29">
        <v>-3026.72</v>
      </c>
      <c r="H230" s="29">
        <v>-775.3</v>
      </c>
      <c r="I230" s="29">
        <v>29282.21</v>
      </c>
      <c r="J230" s="33">
        <v>8687.82</v>
      </c>
      <c r="K230" s="33">
        <v>6559.73</v>
      </c>
      <c r="L230" s="33">
        <v>-11394.08</v>
      </c>
      <c r="M230" s="33">
        <v>-24859.96</v>
      </c>
      <c r="N230" s="34">
        <f t="shared" si="3"/>
        <v>9321.5899999999892</v>
      </c>
    </row>
    <row r="231" spans="1:14" ht="15.75" thickBot="1" x14ac:dyDescent="0.3">
      <c r="A231" s="39" t="s">
        <v>550</v>
      </c>
      <c r="B231" s="32">
        <v>13595.52</v>
      </c>
      <c r="C231" s="32">
        <v>25155.35</v>
      </c>
      <c r="D231" s="32">
        <v>4673.63</v>
      </c>
      <c r="E231" s="33">
        <v>2674.95</v>
      </c>
      <c r="F231" s="33">
        <v>23367.65</v>
      </c>
      <c r="G231" s="33">
        <v>17650.36</v>
      </c>
      <c r="H231" s="33">
        <v>2166.52</v>
      </c>
      <c r="I231" s="33">
        <v>4919.0200000000004</v>
      </c>
      <c r="J231" s="29">
        <v>28450.99</v>
      </c>
      <c r="K231" s="29">
        <v>-16306.51</v>
      </c>
      <c r="L231" s="29">
        <v>13631.75</v>
      </c>
      <c r="M231" s="29">
        <v>-2343</v>
      </c>
      <c r="N231" s="30">
        <f t="shared" si="3"/>
        <v>117636.23000000001</v>
      </c>
    </row>
    <row r="232" spans="1:14" ht="15.75" thickBot="1" x14ac:dyDescent="0.3">
      <c r="A232" s="39" t="s">
        <v>551</v>
      </c>
      <c r="B232" s="28">
        <v>8384.02</v>
      </c>
      <c r="C232" s="28">
        <v>6497.66</v>
      </c>
      <c r="D232" s="28">
        <v>2320.44</v>
      </c>
      <c r="E232" s="29">
        <v>4132.6899999999996</v>
      </c>
      <c r="F232" s="29">
        <v>13580.1</v>
      </c>
      <c r="G232" s="29">
        <v>-2358.56</v>
      </c>
      <c r="H232" s="29">
        <v>1167</v>
      </c>
      <c r="I232" s="29">
        <v>1962.9</v>
      </c>
      <c r="J232" s="33">
        <v>6158.79</v>
      </c>
      <c r="K232" s="33">
        <v>1502.79</v>
      </c>
      <c r="L232" s="33">
        <v>4543.2700000000004</v>
      </c>
      <c r="M232" s="33">
        <v>2596.42</v>
      </c>
      <c r="N232" s="34">
        <f t="shared" si="3"/>
        <v>50487.51999999999</v>
      </c>
    </row>
    <row r="233" spans="1:14" ht="15.75" thickBot="1" x14ac:dyDescent="0.3">
      <c r="A233" s="39" t="s">
        <v>552</v>
      </c>
      <c r="B233" s="32">
        <v>458.85</v>
      </c>
      <c r="C233" s="32">
        <v>7735.94</v>
      </c>
      <c r="D233" s="32">
        <v>8.7899999999999991</v>
      </c>
      <c r="E233" s="42"/>
      <c r="F233" s="33">
        <v>3215.6</v>
      </c>
      <c r="G233" s="33">
        <v>3552.02</v>
      </c>
      <c r="H233" s="33">
        <v>238.2</v>
      </c>
      <c r="I233" s="33">
        <v>843.8</v>
      </c>
      <c r="J233" s="29">
        <v>15372.98</v>
      </c>
      <c r="K233" s="29">
        <v>1505.12</v>
      </c>
      <c r="L233" s="29">
        <v>2214.73</v>
      </c>
      <c r="M233" s="29">
        <v>526.12</v>
      </c>
      <c r="N233" s="30">
        <f t="shared" si="3"/>
        <v>35672.150000000009</v>
      </c>
    </row>
    <row r="234" spans="1:14" ht="15.75" thickBot="1" x14ac:dyDescent="0.3">
      <c r="A234" s="39" t="s">
        <v>553</v>
      </c>
      <c r="B234" s="28">
        <v>5292.24</v>
      </c>
      <c r="C234" s="28">
        <v>4451.24</v>
      </c>
      <c r="D234" s="28">
        <v>3797.48</v>
      </c>
      <c r="E234" s="29">
        <v>4257.1099999999997</v>
      </c>
      <c r="F234" s="29">
        <v>3434.37</v>
      </c>
      <c r="G234" s="29">
        <v>4065.33</v>
      </c>
      <c r="H234" s="29">
        <v>4241.88</v>
      </c>
      <c r="I234" s="29">
        <v>4013</v>
      </c>
      <c r="J234" s="33">
        <v>4502.5200000000004</v>
      </c>
      <c r="K234" s="33">
        <v>4297.8599999999997</v>
      </c>
      <c r="L234" s="42"/>
      <c r="M234" s="42"/>
      <c r="N234" s="34">
        <f t="shared" si="3"/>
        <v>42353.03</v>
      </c>
    </row>
    <row r="235" spans="1:14" ht="15.75" thickBot="1" x14ac:dyDescent="0.3">
      <c r="A235" s="39" t="s">
        <v>554</v>
      </c>
      <c r="B235" s="32">
        <v>1058.28</v>
      </c>
      <c r="C235" s="32">
        <v>-141.27000000000001</v>
      </c>
      <c r="D235" s="32">
        <v>540.79999999999995</v>
      </c>
      <c r="E235" s="33">
        <v>659.03</v>
      </c>
      <c r="F235" s="33">
        <v>-6.22</v>
      </c>
      <c r="G235" s="33">
        <v>1924.14</v>
      </c>
      <c r="H235" s="33">
        <v>1877.54</v>
      </c>
      <c r="I235" s="33">
        <v>-937.88</v>
      </c>
      <c r="J235" s="29">
        <v>3100.61</v>
      </c>
      <c r="K235" s="29">
        <v>1826.71</v>
      </c>
      <c r="L235" s="29">
        <v>1572.86</v>
      </c>
      <c r="M235" s="29">
        <v>1889.46</v>
      </c>
      <c r="N235" s="30">
        <f t="shared" si="3"/>
        <v>13364.060000000001</v>
      </c>
    </row>
    <row r="236" spans="1:14" ht="15.75" thickBot="1" x14ac:dyDescent="0.3">
      <c r="A236" s="47" t="s">
        <v>555</v>
      </c>
      <c r="B236" s="43"/>
      <c r="C236" s="43"/>
      <c r="D236" s="43"/>
      <c r="E236" s="33"/>
      <c r="F236" s="33"/>
      <c r="G236" s="33"/>
      <c r="H236" s="33"/>
      <c r="I236" s="33"/>
      <c r="J236" s="29"/>
      <c r="K236" s="29"/>
      <c r="L236" s="29"/>
      <c r="M236" s="29"/>
      <c r="N236" s="30">
        <f t="shared" si="3"/>
        <v>0</v>
      </c>
    </row>
    <row r="237" spans="1:14" ht="15.75" thickBot="1" x14ac:dyDescent="0.3">
      <c r="A237" s="39" t="s">
        <v>556</v>
      </c>
      <c r="B237" s="32">
        <v>33937.919999999998</v>
      </c>
      <c r="C237" s="32">
        <v>15187.99</v>
      </c>
      <c r="D237" s="32">
        <v>3433.23</v>
      </c>
      <c r="E237" s="29">
        <v>22141.279999999999</v>
      </c>
      <c r="F237" s="29">
        <v>10082.66</v>
      </c>
      <c r="G237" s="29">
        <v>3046.64</v>
      </c>
      <c r="H237" s="29">
        <v>24405.38</v>
      </c>
      <c r="I237" s="29">
        <v>2697.41</v>
      </c>
      <c r="J237" s="33">
        <v>30568.76</v>
      </c>
      <c r="K237" s="33">
        <v>21327.65</v>
      </c>
      <c r="L237" s="33">
        <v>7716.71</v>
      </c>
      <c r="M237" s="33">
        <v>17565.45</v>
      </c>
      <c r="N237" s="34">
        <f t="shared" si="3"/>
        <v>192111.08000000002</v>
      </c>
    </row>
    <row r="238" spans="1:14" ht="15.75" thickBot="1" x14ac:dyDescent="0.3">
      <c r="A238" s="39" t="s">
        <v>557</v>
      </c>
      <c r="B238" s="28">
        <v>73598.09</v>
      </c>
      <c r="C238" s="28">
        <v>92581.8</v>
      </c>
      <c r="D238" s="28">
        <v>91128.33</v>
      </c>
      <c r="E238" s="33">
        <v>71183.820000000007</v>
      </c>
      <c r="F238" s="33">
        <v>96831.39</v>
      </c>
      <c r="G238" s="33">
        <v>85370.32</v>
      </c>
      <c r="H238" s="33">
        <v>82020.94</v>
      </c>
      <c r="I238" s="33">
        <v>84649.35</v>
      </c>
      <c r="J238" s="29">
        <v>74569.69</v>
      </c>
      <c r="K238" s="29">
        <v>76185.240000000005</v>
      </c>
      <c r="L238" s="29">
        <v>89451.38</v>
      </c>
      <c r="M238" s="29">
        <v>87059.03</v>
      </c>
      <c r="N238" s="30">
        <f t="shared" si="3"/>
        <v>1004629.38</v>
      </c>
    </row>
    <row r="239" spans="1:14" ht="15.75" thickBot="1" x14ac:dyDescent="0.3">
      <c r="A239" s="39" t="s">
        <v>558</v>
      </c>
      <c r="B239" s="40">
        <v>575.41</v>
      </c>
      <c r="C239" s="40"/>
      <c r="D239" s="40">
        <v>557.16</v>
      </c>
      <c r="E239" s="41"/>
      <c r="F239" s="41"/>
      <c r="G239" s="41"/>
      <c r="H239" s="41"/>
      <c r="I239" s="41"/>
      <c r="J239" s="42"/>
      <c r="K239" s="42"/>
      <c r="L239" s="42"/>
      <c r="M239" s="42"/>
      <c r="N239" s="45">
        <f t="shared" si="3"/>
        <v>1132.57</v>
      </c>
    </row>
    <row r="240" spans="1:14" ht="15.75" thickBot="1" x14ac:dyDescent="0.3">
      <c r="A240" s="39" t="s">
        <v>559</v>
      </c>
      <c r="B240" s="43"/>
      <c r="C240" s="43"/>
      <c r="D240" s="43"/>
      <c r="E240" s="41"/>
      <c r="F240" s="41"/>
      <c r="G240" s="41"/>
      <c r="H240" s="41"/>
      <c r="I240" s="41"/>
      <c r="J240" s="42"/>
      <c r="K240" s="41"/>
      <c r="L240" s="29">
        <v>55.6</v>
      </c>
      <c r="M240" s="52">
        <v>0</v>
      </c>
      <c r="N240" s="30">
        <f t="shared" si="3"/>
        <v>55.6</v>
      </c>
    </row>
    <row r="241" spans="1:14" ht="15.75" thickBot="1" x14ac:dyDescent="0.3">
      <c r="A241" s="39" t="s">
        <v>560</v>
      </c>
      <c r="B241" s="32">
        <v>86844.32</v>
      </c>
      <c r="C241" s="32">
        <v>84697.18</v>
      </c>
      <c r="D241" s="32">
        <v>79795.490000000005</v>
      </c>
      <c r="E241" s="33">
        <v>101008.44</v>
      </c>
      <c r="F241" s="33">
        <v>101611.88</v>
      </c>
      <c r="G241" s="33">
        <v>88642.57</v>
      </c>
      <c r="H241" s="33">
        <v>58749.06</v>
      </c>
      <c r="I241" s="33">
        <v>74466.990000000005</v>
      </c>
      <c r="J241" s="29">
        <v>74882.899999999994</v>
      </c>
      <c r="K241" s="33">
        <v>70758.31</v>
      </c>
      <c r="L241" s="33">
        <v>72894.399999999994</v>
      </c>
      <c r="M241" s="33">
        <v>73148.78</v>
      </c>
      <c r="N241" s="34">
        <f t="shared" si="3"/>
        <v>967500.32</v>
      </c>
    </row>
    <row r="242" spans="1:14" ht="15.75" thickBot="1" x14ac:dyDescent="0.3">
      <c r="A242" s="39" t="s">
        <v>561</v>
      </c>
      <c r="B242" s="43"/>
      <c r="C242" s="43"/>
      <c r="D242" s="43"/>
      <c r="E242" s="41"/>
      <c r="F242" s="41"/>
      <c r="G242" s="41"/>
      <c r="H242" s="41"/>
      <c r="I242" s="41"/>
      <c r="J242" s="42"/>
      <c r="K242" s="41"/>
      <c r="L242" s="41"/>
      <c r="M242" s="41"/>
      <c r="N242" s="44">
        <f t="shared" si="3"/>
        <v>0</v>
      </c>
    </row>
    <row r="243" spans="1:14" ht="15.75" thickBot="1" x14ac:dyDescent="0.3">
      <c r="A243" s="39" t="s">
        <v>562</v>
      </c>
      <c r="B243" s="32">
        <v>82099.06</v>
      </c>
      <c r="C243" s="32">
        <v>229615.8</v>
      </c>
      <c r="D243" s="32">
        <v>183279.49</v>
      </c>
      <c r="E243" s="33">
        <v>145043.54</v>
      </c>
      <c r="F243" s="33">
        <v>153865.14000000001</v>
      </c>
      <c r="G243" s="33">
        <v>138969.97</v>
      </c>
      <c r="H243" s="33">
        <v>163336.57999999999</v>
      </c>
      <c r="I243" s="33">
        <v>217022.53</v>
      </c>
      <c r="J243" s="29">
        <v>274550.34000000003</v>
      </c>
      <c r="K243" s="33">
        <v>154397.57</v>
      </c>
      <c r="L243" s="33">
        <v>107668.81</v>
      </c>
      <c r="M243" s="33">
        <v>65710.42</v>
      </c>
      <c r="N243" s="34">
        <f t="shared" si="3"/>
        <v>1915559.2500000002</v>
      </c>
    </row>
    <row r="244" spans="1:14" ht="15.75" thickBot="1" x14ac:dyDescent="0.3">
      <c r="A244" s="47" t="s">
        <v>563</v>
      </c>
      <c r="B244" s="43"/>
      <c r="C244" s="43"/>
      <c r="D244" s="43"/>
      <c r="E244" s="33"/>
      <c r="F244" s="33"/>
      <c r="G244" s="33"/>
      <c r="H244" s="33"/>
      <c r="I244" s="33"/>
      <c r="J244" s="29"/>
      <c r="K244" s="33"/>
      <c r="L244" s="33"/>
      <c r="M244" s="33"/>
      <c r="N244" s="34">
        <f t="shared" si="3"/>
        <v>0</v>
      </c>
    </row>
    <row r="245" spans="1:14" ht="15.75" thickBot="1" x14ac:dyDescent="0.3">
      <c r="A245" s="39" t="s">
        <v>564</v>
      </c>
      <c r="B245" s="32">
        <v>176349.18</v>
      </c>
      <c r="C245" s="32">
        <v>223161.09</v>
      </c>
      <c r="D245" s="32">
        <v>183011.23</v>
      </c>
      <c r="E245" s="29">
        <v>169353.71</v>
      </c>
      <c r="F245" s="29">
        <v>257119.04</v>
      </c>
      <c r="G245" s="29">
        <v>92847.65</v>
      </c>
      <c r="H245" s="29">
        <v>219545.48</v>
      </c>
      <c r="I245" s="29">
        <v>124467.34</v>
      </c>
      <c r="J245" s="33">
        <v>224209.38</v>
      </c>
      <c r="K245" s="29">
        <v>162762.73000000001</v>
      </c>
      <c r="L245" s="29">
        <v>189649.85</v>
      </c>
      <c r="M245" s="29">
        <v>264940.78999999998</v>
      </c>
      <c r="N245" s="30">
        <f t="shared" si="3"/>
        <v>2287417.4700000002</v>
      </c>
    </row>
    <row r="246" spans="1:14" ht="15.75" thickBot="1" x14ac:dyDescent="0.3">
      <c r="A246" s="39" t="s">
        <v>564</v>
      </c>
      <c r="B246" s="28">
        <v>-3776.1</v>
      </c>
      <c r="C246" s="28">
        <v>4390.68</v>
      </c>
      <c r="D246" s="28">
        <v>7293.28</v>
      </c>
      <c r="E246" s="33">
        <v>7431.79</v>
      </c>
      <c r="F246" s="33">
        <v>13054.8</v>
      </c>
      <c r="G246" s="33">
        <v>-1878.23</v>
      </c>
      <c r="H246" s="33">
        <v>-4405.68</v>
      </c>
      <c r="I246" s="33">
        <v>3034.72</v>
      </c>
      <c r="J246" s="29">
        <v>1130.8900000000001</v>
      </c>
      <c r="K246" s="33">
        <v>-2114.04</v>
      </c>
      <c r="L246" s="33">
        <v>-435.22</v>
      </c>
      <c r="M246" s="33">
        <v>2424.73</v>
      </c>
      <c r="N246" s="34">
        <f t="shared" si="3"/>
        <v>26151.62</v>
      </c>
    </row>
    <row r="247" spans="1:14" ht="15.75" thickBot="1" x14ac:dyDescent="0.3">
      <c r="A247" s="39" t="s">
        <v>565</v>
      </c>
      <c r="B247" s="32">
        <v>143.16</v>
      </c>
      <c r="C247" s="32">
        <v>322.11</v>
      </c>
      <c r="D247" s="32">
        <v>393.69</v>
      </c>
      <c r="E247" s="29">
        <v>572.72</v>
      </c>
      <c r="F247" s="41"/>
      <c r="G247" s="41"/>
      <c r="H247" s="41"/>
      <c r="I247" s="41"/>
      <c r="J247" s="42"/>
      <c r="K247" s="41"/>
      <c r="L247" s="41"/>
      <c r="M247" s="41"/>
      <c r="N247" s="30">
        <f t="shared" si="3"/>
        <v>1431.68</v>
      </c>
    </row>
    <row r="248" spans="1:14" ht="15.75" thickBot="1" x14ac:dyDescent="0.3">
      <c r="A248" s="47" t="s">
        <v>566</v>
      </c>
      <c r="B248" s="43"/>
      <c r="C248" s="43"/>
      <c r="D248" s="43"/>
      <c r="E248" s="29"/>
      <c r="F248" s="41"/>
      <c r="G248" s="41"/>
      <c r="H248" s="41"/>
      <c r="I248" s="41"/>
      <c r="J248" s="42"/>
      <c r="K248" s="41"/>
      <c r="L248" s="41"/>
      <c r="M248" s="41"/>
      <c r="N248" s="30">
        <f t="shared" si="3"/>
        <v>0</v>
      </c>
    </row>
    <row r="249" spans="1:14" ht="15.75" thickBot="1" x14ac:dyDescent="0.3">
      <c r="A249" s="39" t="s">
        <v>567</v>
      </c>
      <c r="B249" s="40"/>
      <c r="C249" s="40"/>
      <c r="D249" s="40">
        <v>2302.4299999999998</v>
      </c>
      <c r="E249" s="42"/>
      <c r="F249" s="42"/>
      <c r="G249" s="42"/>
      <c r="H249" s="42"/>
      <c r="I249" s="42"/>
      <c r="J249" s="41"/>
      <c r="K249" s="42"/>
      <c r="L249" s="42"/>
      <c r="M249" s="42"/>
      <c r="N249" s="45">
        <f t="shared" si="3"/>
        <v>2302.4299999999998</v>
      </c>
    </row>
    <row r="250" spans="1:14" ht="15.75" thickBot="1" x14ac:dyDescent="0.3">
      <c r="A250" s="39" t="s">
        <v>568</v>
      </c>
      <c r="B250" s="28">
        <v>128070.12</v>
      </c>
      <c r="C250" s="28">
        <v>100878.3</v>
      </c>
      <c r="D250" s="28">
        <v>85824.25</v>
      </c>
      <c r="E250" s="29">
        <v>145972.4</v>
      </c>
      <c r="F250" s="29">
        <v>124677.03</v>
      </c>
      <c r="G250" s="29">
        <v>158132.06</v>
      </c>
      <c r="H250" s="29">
        <v>123659.68</v>
      </c>
      <c r="I250" s="29">
        <v>126352.68</v>
      </c>
      <c r="J250" s="33">
        <v>125234.77</v>
      </c>
      <c r="K250" s="29">
        <v>147663.96</v>
      </c>
      <c r="L250" s="29">
        <v>143576.82</v>
      </c>
      <c r="M250" s="29">
        <v>124822.17</v>
      </c>
      <c r="N250" s="30">
        <f t="shared" si="3"/>
        <v>1534864.2399999998</v>
      </c>
    </row>
    <row r="251" spans="1:14" ht="15.75" thickBot="1" x14ac:dyDescent="0.3">
      <c r="A251" s="47" t="s">
        <v>569</v>
      </c>
      <c r="B251" s="40"/>
      <c r="C251" s="40"/>
      <c r="D251" s="40"/>
      <c r="E251" s="29"/>
      <c r="F251" s="29"/>
      <c r="G251" s="29"/>
      <c r="H251" s="29"/>
      <c r="I251" s="29"/>
      <c r="J251" s="33"/>
      <c r="K251" s="29"/>
      <c r="L251" s="29"/>
      <c r="M251" s="29"/>
      <c r="N251" s="30">
        <f t="shared" si="3"/>
        <v>0</v>
      </c>
    </row>
    <row r="252" spans="1:14" ht="15.75" thickBot="1" x14ac:dyDescent="0.3">
      <c r="A252" s="39" t="s">
        <v>570</v>
      </c>
      <c r="B252" s="28">
        <v>82208.89</v>
      </c>
      <c r="C252" s="28">
        <v>-15959.32</v>
      </c>
      <c r="D252" s="28">
        <v>-49281.02</v>
      </c>
      <c r="E252" s="33">
        <v>67651.25</v>
      </c>
      <c r="F252" s="33">
        <v>53463.79</v>
      </c>
      <c r="G252" s="33">
        <v>62541.08</v>
      </c>
      <c r="H252" s="33">
        <v>68887.03</v>
      </c>
      <c r="I252" s="33">
        <v>101257.21</v>
      </c>
      <c r="J252" s="29">
        <v>107919.19</v>
      </c>
      <c r="K252" s="33">
        <v>88680.67</v>
      </c>
      <c r="L252" s="33">
        <v>91577</v>
      </c>
      <c r="M252" s="33">
        <v>100670.53</v>
      </c>
      <c r="N252" s="34">
        <f t="shared" si="3"/>
        <v>759616.30000000016</v>
      </c>
    </row>
    <row r="253" spans="1:14" ht="15.75" thickBot="1" x14ac:dyDescent="0.3">
      <c r="A253" s="39" t="s">
        <v>571</v>
      </c>
      <c r="B253" s="40"/>
      <c r="C253" s="40"/>
      <c r="D253" s="40"/>
      <c r="E253" s="41"/>
      <c r="F253" s="41"/>
      <c r="G253" s="41"/>
      <c r="H253" s="41"/>
      <c r="I253" s="41"/>
      <c r="J253" s="42"/>
      <c r="K253" s="41"/>
      <c r="L253" s="41"/>
      <c r="M253" s="33"/>
      <c r="N253" s="34">
        <f t="shared" si="3"/>
        <v>0</v>
      </c>
    </row>
    <row r="254" spans="1:14" ht="15.75" thickBot="1" x14ac:dyDescent="0.3">
      <c r="A254" s="39" t="s">
        <v>572</v>
      </c>
      <c r="B254" s="43">
        <v>439.3</v>
      </c>
      <c r="C254" s="43"/>
      <c r="D254" s="43"/>
      <c r="E254" s="42"/>
      <c r="F254" s="42"/>
      <c r="G254" s="42"/>
      <c r="H254" s="42"/>
      <c r="I254" s="33">
        <v>906.55</v>
      </c>
      <c r="J254" s="41"/>
      <c r="K254" s="42"/>
      <c r="L254" s="42"/>
      <c r="M254" s="41"/>
      <c r="N254" s="30">
        <f t="shared" si="3"/>
        <v>1345.85</v>
      </c>
    </row>
    <row r="255" spans="1:14" ht="15.75" thickBot="1" x14ac:dyDescent="0.3">
      <c r="A255" s="39" t="s">
        <v>573</v>
      </c>
      <c r="B255" s="32">
        <v>20199.95</v>
      </c>
      <c r="C255" s="32">
        <v>32854.6</v>
      </c>
      <c r="D255" s="32">
        <v>-40443.25</v>
      </c>
      <c r="E255" s="29">
        <v>53077.87</v>
      </c>
      <c r="F255" s="29">
        <v>33003.71</v>
      </c>
      <c r="G255" s="29">
        <v>45813.37</v>
      </c>
      <c r="H255" s="29">
        <v>67462.31</v>
      </c>
      <c r="I255" s="29">
        <v>23250.9</v>
      </c>
      <c r="J255" s="33">
        <v>-48431.21</v>
      </c>
      <c r="K255" s="29">
        <v>15067.3</v>
      </c>
      <c r="L255" s="29">
        <v>23388.84</v>
      </c>
      <c r="M255" s="33">
        <v>15422.87</v>
      </c>
      <c r="N255" s="34">
        <f t="shared" si="3"/>
        <v>240667.25999999998</v>
      </c>
    </row>
    <row r="256" spans="1:14" ht="15.75" thickBot="1" x14ac:dyDescent="0.3">
      <c r="A256" s="47" t="s">
        <v>574</v>
      </c>
      <c r="B256" s="43"/>
      <c r="C256" s="43"/>
      <c r="D256" s="43"/>
      <c r="E256" s="29"/>
      <c r="F256" s="29"/>
      <c r="G256" s="29"/>
      <c r="H256" s="29"/>
      <c r="I256" s="29"/>
      <c r="J256" s="33"/>
      <c r="K256" s="29"/>
      <c r="L256" s="29"/>
      <c r="M256" s="33"/>
      <c r="N256" s="34">
        <f t="shared" si="3"/>
        <v>0</v>
      </c>
    </row>
    <row r="257" spans="1:14" ht="15.75" thickBot="1" x14ac:dyDescent="0.3">
      <c r="A257" s="39" t="s">
        <v>575</v>
      </c>
      <c r="B257" s="32">
        <v>5323.9</v>
      </c>
      <c r="C257" s="32">
        <v>3489.41</v>
      </c>
      <c r="D257" s="32">
        <v>22467.34</v>
      </c>
      <c r="E257" s="33">
        <v>2395.39</v>
      </c>
      <c r="F257" s="33">
        <v>4067.91</v>
      </c>
      <c r="G257" s="33">
        <v>2343.15</v>
      </c>
      <c r="H257" s="33">
        <v>4277.3599999999997</v>
      </c>
      <c r="I257" s="33">
        <v>5521.63</v>
      </c>
      <c r="J257" s="29">
        <v>7780.05</v>
      </c>
      <c r="K257" s="33">
        <v>3469.59</v>
      </c>
      <c r="L257" s="33">
        <v>11721.75</v>
      </c>
      <c r="M257" s="29">
        <v>6132.66</v>
      </c>
      <c r="N257" s="30">
        <f t="shared" si="3"/>
        <v>78990.14</v>
      </c>
    </row>
    <row r="258" spans="1:14" ht="15.75" thickBot="1" x14ac:dyDescent="0.3">
      <c r="A258" s="39" t="s">
        <v>576</v>
      </c>
      <c r="B258" s="28"/>
      <c r="C258" s="28"/>
      <c r="D258" s="28">
        <v>3042.86</v>
      </c>
      <c r="E258" s="41"/>
      <c r="F258" s="41"/>
      <c r="G258" s="29">
        <v>1977.72</v>
      </c>
      <c r="H258" s="41"/>
      <c r="I258" s="41"/>
      <c r="J258" s="33">
        <v>3614.92</v>
      </c>
      <c r="K258" s="41"/>
      <c r="L258" s="41"/>
      <c r="M258" s="33">
        <v>1792.85</v>
      </c>
      <c r="N258" s="34">
        <f t="shared" si="3"/>
        <v>10428.35</v>
      </c>
    </row>
    <row r="259" spans="1:14" ht="15.75" thickBot="1" x14ac:dyDescent="0.3">
      <c r="A259" s="39" t="s">
        <v>577</v>
      </c>
      <c r="B259" s="32">
        <v>19106.62</v>
      </c>
      <c r="C259" s="32">
        <v>18557.46</v>
      </c>
      <c r="D259" s="32">
        <v>-5264.48</v>
      </c>
      <c r="E259" s="33">
        <v>10285.6</v>
      </c>
      <c r="F259" s="33">
        <v>14954.88</v>
      </c>
      <c r="G259" s="33">
        <v>16903.41</v>
      </c>
      <c r="H259" s="33">
        <v>20682.38</v>
      </c>
      <c r="I259" s="33">
        <v>20786.939999999999</v>
      </c>
      <c r="J259" s="29">
        <v>6219.86</v>
      </c>
      <c r="K259" s="33">
        <v>8495.2900000000009</v>
      </c>
      <c r="L259" s="33">
        <v>15159.33</v>
      </c>
      <c r="M259" s="29">
        <v>717.29</v>
      </c>
      <c r="N259" s="30">
        <f t="shared" si="3"/>
        <v>146604.58000000002</v>
      </c>
    </row>
    <row r="260" spans="1:14" ht="15.75" thickBot="1" x14ac:dyDescent="0.3">
      <c r="A260" s="39" t="s">
        <v>578</v>
      </c>
      <c r="B260" s="43"/>
      <c r="C260" s="43"/>
      <c r="D260" s="43"/>
      <c r="E260" s="41"/>
      <c r="F260" s="41"/>
      <c r="G260" s="41"/>
      <c r="H260" s="41"/>
      <c r="I260" s="41"/>
      <c r="J260" s="42"/>
      <c r="K260" s="41"/>
      <c r="L260" s="41"/>
      <c r="M260" s="42"/>
      <c r="N260" s="45">
        <f t="shared" si="3"/>
        <v>0</v>
      </c>
    </row>
    <row r="261" spans="1:14" ht="15.75" thickBot="1" x14ac:dyDescent="0.3">
      <c r="A261" s="39" t="s">
        <v>579</v>
      </c>
      <c r="B261" s="40"/>
      <c r="C261" s="40"/>
      <c r="D261" s="40"/>
      <c r="E261" s="42"/>
      <c r="F261" s="42"/>
      <c r="G261" s="42"/>
      <c r="H261" s="42"/>
      <c r="I261" s="42"/>
      <c r="J261" s="41"/>
      <c r="K261" s="42"/>
      <c r="L261" s="42"/>
      <c r="M261" s="41"/>
      <c r="N261" s="44">
        <f t="shared" si="3"/>
        <v>0</v>
      </c>
    </row>
    <row r="262" spans="1:14" ht="15.75" thickBot="1" x14ac:dyDescent="0.3">
      <c r="A262" s="47" t="s">
        <v>580</v>
      </c>
      <c r="B262" s="43"/>
      <c r="C262" s="43"/>
      <c r="D262" s="43"/>
      <c r="E262" s="42"/>
      <c r="F262" s="42"/>
      <c r="G262" s="42"/>
      <c r="H262" s="42"/>
      <c r="I262" s="42"/>
      <c r="J262" s="41"/>
      <c r="K262" s="42"/>
      <c r="L262" s="42"/>
      <c r="M262" s="41"/>
      <c r="N262" s="44">
        <f t="shared" ref="N262:N325" si="4">SUM(B262:M262)</f>
        <v>0</v>
      </c>
    </row>
    <row r="263" spans="1:14" ht="15.75" thickBot="1" x14ac:dyDescent="0.3">
      <c r="A263" s="47" t="s">
        <v>581</v>
      </c>
      <c r="B263" s="40"/>
      <c r="C263" s="40"/>
      <c r="D263" s="40"/>
      <c r="E263" s="42"/>
      <c r="F263" s="42"/>
      <c r="G263" s="42"/>
      <c r="H263" s="42"/>
      <c r="I263" s="42"/>
      <c r="J263" s="41"/>
      <c r="K263" s="42"/>
      <c r="L263" s="42"/>
      <c r="M263" s="41"/>
      <c r="N263" s="44">
        <f t="shared" si="4"/>
        <v>0</v>
      </c>
    </row>
    <row r="264" spans="1:14" ht="15.75" thickBot="1" x14ac:dyDescent="0.3">
      <c r="A264" s="39" t="s">
        <v>582</v>
      </c>
      <c r="B264" s="43"/>
      <c r="C264" s="43"/>
      <c r="D264" s="43">
        <v>5918.65</v>
      </c>
      <c r="E264" s="41"/>
      <c r="F264" s="41"/>
      <c r="G264" s="41"/>
      <c r="H264" s="41"/>
      <c r="I264" s="41"/>
      <c r="J264" s="42"/>
      <c r="K264" s="41"/>
      <c r="L264" s="41"/>
      <c r="M264" s="42"/>
      <c r="N264" s="45">
        <f t="shared" si="4"/>
        <v>5918.65</v>
      </c>
    </row>
    <row r="265" spans="1:14" ht="15.75" thickBot="1" x14ac:dyDescent="0.3">
      <c r="A265" s="39" t="s">
        <v>583</v>
      </c>
      <c r="B265" s="32">
        <v>1808.74</v>
      </c>
      <c r="C265" s="32">
        <v>1386.39</v>
      </c>
      <c r="D265" s="32">
        <v>1531.1</v>
      </c>
      <c r="E265" s="33">
        <v>1768.65</v>
      </c>
      <c r="F265" s="33">
        <v>1631.87</v>
      </c>
      <c r="G265" s="33">
        <v>1876.75</v>
      </c>
      <c r="H265" s="33">
        <v>1934.53</v>
      </c>
      <c r="I265" s="33">
        <v>1825.8</v>
      </c>
      <c r="J265" s="29">
        <v>2029.9</v>
      </c>
      <c r="K265" s="33">
        <v>1673.01</v>
      </c>
      <c r="L265" s="33">
        <v>1885.94</v>
      </c>
      <c r="M265" s="29">
        <v>1829.82</v>
      </c>
      <c r="N265" s="30">
        <f t="shared" si="4"/>
        <v>21182.499999999996</v>
      </c>
    </row>
    <row r="266" spans="1:14" ht="15.75" thickBot="1" x14ac:dyDescent="0.3">
      <c r="A266" s="39" t="s">
        <v>584</v>
      </c>
      <c r="B266" s="28">
        <v>-528.97</v>
      </c>
      <c r="C266" s="28">
        <v>9069.14</v>
      </c>
      <c r="D266" s="28">
        <v>-17867.29</v>
      </c>
      <c r="E266" s="29">
        <v>-10494.94</v>
      </c>
      <c r="F266" s="41"/>
      <c r="G266" s="41"/>
      <c r="H266" s="41"/>
      <c r="I266" s="41"/>
      <c r="J266" s="42"/>
      <c r="K266" s="41"/>
      <c r="L266" s="41"/>
      <c r="M266" s="42"/>
      <c r="N266" s="34">
        <f t="shared" si="4"/>
        <v>-19822.060000000001</v>
      </c>
    </row>
    <row r="267" spans="1:14" ht="15.75" thickBot="1" x14ac:dyDescent="0.3">
      <c r="A267" s="47" t="s">
        <v>585</v>
      </c>
      <c r="B267" s="40"/>
      <c r="C267" s="40"/>
      <c r="D267" s="40"/>
      <c r="E267" s="29"/>
      <c r="F267" s="41"/>
      <c r="G267" s="41"/>
      <c r="H267" s="41"/>
      <c r="I267" s="41"/>
      <c r="J267" s="42"/>
      <c r="K267" s="41"/>
      <c r="L267" s="41"/>
      <c r="M267" s="42"/>
      <c r="N267" s="34">
        <f t="shared" si="4"/>
        <v>0</v>
      </c>
    </row>
    <row r="268" spans="1:14" ht="15.75" thickBot="1" x14ac:dyDescent="0.3">
      <c r="A268" s="47" t="s">
        <v>586</v>
      </c>
      <c r="B268" s="43"/>
      <c r="C268" s="43"/>
      <c r="D268" s="43"/>
      <c r="E268" s="29"/>
      <c r="F268" s="41"/>
      <c r="G268" s="41"/>
      <c r="H268" s="41"/>
      <c r="I268" s="41"/>
      <c r="J268" s="42"/>
      <c r="K268" s="41"/>
      <c r="L268" s="41"/>
      <c r="M268" s="42"/>
      <c r="N268" s="34">
        <f t="shared" si="4"/>
        <v>0</v>
      </c>
    </row>
    <row r="269" spans="1:14" ht="15.75" thickBot="1" x14ac:dyDescent="0.3">
      <c r="A269" s="39" t="s">
        <v>587</v>
      </c>
      <c r="B269" s="32">
        <v>88591.35</v>
      </c>
      <c r="C269" s="32">
        <v>67792.11</v>
      </c>
      <c r="D269" s="32">
        <v>74325.14</v>
      </c>
      <c r="E269" s="33">
        <v>80846.44</v>
      </c>
      <c r="F269" s="33">
        <v>84782.46</v>
      </c>
      <c r="G269" s="33">
        <v>145509.97</v>
      </c>
      <c r="H269" s="33">
        <v>94040.35</v>
      </c>
      <c r="I269" s="33">
        <v>86004.17</v>
      </c>
      <c r="J269" s="29">
        <v>110178.19</v>
      </c>
      <c r="K269" s="33">
        <v>120860.57</v>
      </c>
      <c r="L269" s="33">
        <v>83384.78</v>
      </c>
      <c r="M269" s="29">
        <v>104236.88</v>
      </c>
      <c r="N269" s="30">
        <f t="shared" si="4"/>
        <v>1140552.4100000001</v>
      </c>
    </row>
    <row r="270" spans="1:14" ht="15.75" thickBot="1" x14ac:dyDescent="0.3">
      <c r="A270" s="39" t="s">
        <v>588</v>
      </c>
      <c r="B270" s="28">
        <v>10816.69</v>
      </c>
      <c r="C270" s="28">
        <v>3080.05</v>
      </c>
      <c r="D270" s="28">
        <v>5047.54</v>
      </c>
      <c r="E270" s="29">
        <v>8832.5300000000007</v>
      </c>
      <c r="F270" s="29">
        <v>8062.39</v>
      </c>
      <c r="G270" s="29">
        <v>11020.59</v>
      </c>
      <c r="H270" s="29">
        <v>6658.33</v>
      </c>
      <c r="I270" s="29">
        <v>3188.64</v>
      </c>
      <c r="J270" s="33">
        <v>2702.28</v>
      </c>
      <c r="K270" s="29">
        <v>8036.8</v>
      </c>
      <c r="L270" s="29">
        <v>8170.32</v>
      </c>
      <c r="M270" s="33">
        <v>5026.82</v>
      </c>
      <c r="N270" s="34">
        <f t="shared" si="4"/>
        <v>80642.98000000001</v>
      </c>
    </row>
    <row r="271" spans="1:14" ht="15.75" thickBot="1" x14ac:dyDescent="0.3">
      <c r="A271" s="39" t="s">
        <v>589</v>
      </c>
      <c r="B271" s="32">
        <v>9398.17</v>
      </c>
      <c r="C271" s="32">
        <v>4847.6000000000004</v>
      </c>
      <c r="D271" s="32">
        <v>12792.56</v>
      </c>
      <c r="E271" s="33">
        <v>6135.54</v>
      </c>
      <c r="F271" s="33">
        <v>3605.15</v>
      </c>
      <c r="G271" s="33">
        <v>5936.99</v>
      </c>
      <c r="H271" s="33">
        <v>4933.1899999999996</v>
      </c>
      <c r="I271" s="33">
        <v>3465.16</v>
      </c>
      <c r="J271" s="29">
        <v>599.71</v>
      </c>
      <c r="K271" s="33">
        <v>9593.7800000000007</v>
      </c>
      <c r="L271" s="33">
        <v>17529.91</v>
      </c>
      <c r="M271" s="29">
        <v>5859.56</v>
      </c>
      <c r="N271" s="30">
        <f t="shared" si="4"/>
        <v>84697.319999999992</v>
      </c>
    </row>
    <row r="272" spans="1:14" ht="15.75" thickBot="1" x14ac:dyDescent="0.3">
      <c r="A272" s="39" t="s">
        <v>589</v>
      </c>
      <c r="B272" s="28">
        <v>3229.42</v>
      </c>
      <c r="C272" s="28">
        <v>2411.42</v>
      </c>
      <c r="D272" s="28"/>
      <c r="E272" s="29">
        <v>2016.16</v>
      </c>
      <c r="F272" s="29">
        <v>3484.67</v>
      </c>
      <c r="G272" s="29">
        <v>1048.8399999999999</v>
      </c>
      <c r="H272" s="29">
        <v>1011.14</v>
      </c>
      <c r="I272" s="29">
        <v>460.79</v>
      </c>
      <c r="J272" s="33">
        <v>1338.83</v>
      </c>
      <c r="K272" s="29">
        <v>1439.24</v>
      </c>
      <c r="L272" s="29">
        <v>307.37</v>
      </c>
      <c r="M272" s="33">
        <v>839.07</v>
      </c>
      <c r="N272" s="34">
        <f t="shared" si="4"/>
        <v>17586.95</v>
      </c>
    </row>
    <row r="273" spans="1:14" ht="15.75" thickBot="1" x14ac:dyDescent="0.3">
      <c r="A273" s="39" t="s">
        <v>589</v>
      </c>
      <c r="B273" s="40">
        <v>169.81</v>
      </c>
      <c r="C273" s="40"/>
      <c r="D273" s="40"/>
      <c r="E273" s="42"/>
      <c r="F273" s="42"/>
      <c r="G273" s="42"/>
      <c r="H273" s="42"/>
      <c r="I273" s="42"/>
      <c r="J273" s="41"/>
      <c r="K273" s="42"/>
      <c r="L273" s="42"/>
      <c r="M273" s="41"/>
      <c r="N273" s="44">
        <f t="shared" si="4"/>
        <v>169.81</v>
      </c>
    </row>
    <row r="274" spans="1:14" ht="15.75" thickBot="1" x14ac:dyDescent="0.3">
      <c r="A274" s="39" t="s">
        <v>589</v>
      </c>
      <c r="B274" s="28">
        <v>2212.59</v>
      </c>
      <c r="C274" s="28">
        <v>15595.45</v>
      </c>
      <c r="D274" s="28">
        <v>2246.4699999999998</v>
      </c>
      <c r="E274" s="29">
        <v>2553.75</v>
      </c>
      <c r="F274" s="29">
        <v>4494.3</v>
      </c>
      <c r="G274" s="29">
        <v>2381.48</v>
      </c>
      <c r="H274" s="29">
        <v>9949.6200000000008</v>
      </c>
      <c r="I274" s="29">
        <v>2460.56</v>
      </c>
      <c r="J274" s="33">
        <v>3068.34</v>
      </c>
      <c r="K274" s="29">
        <v>7320.82</v>
      </c>
      <c r="L274" s="29">
        <v>8578.09</v>
      </c>
      <c r="M274" s="33">
        <v>3638.32</v>
      </c>
      <c r="N274" s="34">
        <f t="shared" si="4"/>
        <v>64499.79</v>
      </c>
    </row>
    <row r="275" spans="1:14" ht="15.75" thickBot="1" x14ac:dyDescent="0.3">
      <c r="A275" s="39" t="s">
        <v>590</v>
      </c>
      <c r="B275" s="40"/>
      <c r="C275" s="40"/>
      <c r="D275" s="40"/>
      <c r="E275" s="42"/>
      <c r="F275" s="42"/>
      <c r="G275" s="42"/>
      <c r="H275" s="42"/>
      <c r="I275" s="42"/>
      <c r="J275" s="41"/>
      <c r="K275" s="42"/>
      <c r="L275" s="42"/>
      <c r="M275" s="41"/>
      <c r="N275" s="44">
        <f t="shared" si="4"/>
        <v>0</v>
      </c>
    </row>
    <row r="276" spans="1:14" ht="15.75" thickBot="1" x14ac:dyDescent="0.3">
      <c r="A276" s="39" t="s">
        <v>591</v>
      </c>
      <c r="B276" s="28">
        <v>24695.15</v>
      </c>
      <c r="C276" s="28">
        <v>24626.57</v>
      </c>
      <c r="D276" s="28">
        <v>31479.27</v>
      </c>
      <c r="E276" s="29">
        <v>24554.21</v>
      </c>
      <c r="F276" s="29">
        <v>29581.16</v>
      </c>
      <c r="G276" s="29">
        <v>20642.55</v>
      </c>
      <c r="H276" s="29">
        <v>22892.639999999999</v>
      </c>
      <c r="I276" s="29">
        <v>19093.68</v>
      </c>
      <c r="J276" s="33">
        <v>22584.18</v>
      </c>
      <c r="K276" s="29">
        <v>22689.97</v>
      </c>
      <c r="L276" s="29">
        <v>24331.73</v>
      </c>
      <c r="M276" s="33">
        <v>14452.24</v>
      </c>
      <c r="N276" s="34">
        <f t="shared" si="4"/>
        <v>281623.34999999998</v>
      </c>
    </row>
    <row r="277" spans="1:14" ht="15.75" thickBot="1" x14ac:dyDescent="0.3">
      <c r="A277" s="39" t="s">
        <v>592</v>
      </c>
      <c r="B277" s="32">
        <v>1755.9</v>
      </c>
      <c r="C277" s="32">
        <v>1345.14</v>
      </c>
      <c r="D277" s="32">
        <v>1482.67</v>
      </c>
      <c r="E277" s="33">
        <v>1714.16</v>
      </c>
      <c r="F277" s="33">
        <v>1584.11</v>
      </c>
      <c r="G277" s="33">
        <v>1817</v>
      </c>
      <c r="H277" s="33">
        <v>1878</v>
      </c>
      <c r="I277" s="33">
        <v>1774.6</v>
      </c>
      <c r="J277" s="29">
        <v>1973.56</v>
      </c>
      <c r="K277" s="33">
        <v>1622.89</v>
      </c>
      <c r="L277" s="33">
        <v>1837.74</v>
      </c>
      <c r="M277" s="29">
        <v>1780.47</v>
      </c>
      <c r="N277" s="30">
        <f t="shared" si="4"/>
        <v>20566.240000000002</v>
      </c>
    </row>
    <row r="278" spans="1:14" ht="15.75" thickBot="1" x14ac:dyDescent="0.3">
      <c r="A278" s="39" t="s">
        <v>593</v>
      </c>
      <c r="B278" s="28">
        <v>11961.3</v>
      </c>
      <c r="C278" s="28">
        <v>3966.71</v>
      </c>
      <c r="D278" s="28">
        <v>5519.43</v>
      </c>
      <c r="E278" s="29">
        <v>89466.02</v>
      </c>
      <c r="F278" s="29">
        <v>14387.2</v>
      </c>
      <c r="G278" s="29">
        <v>11349.84</v>
      </c>
      <c r="H278" s="29">
        <v>10520.78</v>
      </c>
      <c r="I278" s="29">
        <v>8051.98</v>
      </c>
      <c r="J278" s="33">
        <v>10427.4</v>
      </c>
      <c r="K278" s="29">
        <v>3058.27</v>
      </c>
      <c r="L278" s="29">
        <v>11720.72</v>
      </c>
      <c r="M278" s="33">
        <v>18578.39</v>
      </c>
      <c r="N278" s="34">
        <f t="shared" si="4"/>
        <v>199008.03999999998</v>
      </c>
    </row>
    <row r="279" spans="1:14" ht="15.75" thickBot="1" x14ac:dyDescent="0.3">
      <c r="A279" s="39" t="s">
        <v>594</v>
      </c>
      <c r="B279" s="32">
        <v>8115.44</v>
      </c>
      <c r="C279" s="32">
        <v>7057.07</v>
      </c>
      <c r="D279" s="32">
        <v>13527.22</v>
      </c>
      <c r="E279" s="33">
        <v>10613.2</v>
      </c>
      <c r="F279" s="33">
        <v>8701.33</v>
      </c>
      <c r="G279" s="33">
        <v>4756.78</v>
      </c>
      <c r="H279" s="33">
        <v>14010.4</v>
      </c>
      <c r="I279" s="33">
        <v>12141.61</v>
      </c>
      <c r="J279" s="29">
        <v>12047.8</v>
      </c>
      <c r="K279" s="33">
        <v>1018.92</v>
      </c>
      <c r="L279" s="33">
        <v>11004.79</v>
      </c>
      <c r="M279" s="29">
        <v>2392.3000000000002</v>
      </c>
      <c r="N279" s="30">
        <f t="shared" si="4"/>
        <v>105386.86</v>
      </c>
    </row>
    <row r="280" spans="1:14" ht="15.75" thickBot="1" x14ac:dyDescent="0.3">
      <c r="A280" s="39" t="s">
        <v>595</v>
      </c>
      <c r="B280" s="43"/>
      <c r="C280" s="43"/>
      <c r="D280" s="43"/>
      <c r="E280" s="41"/>
      <c r="F280" s="41"/>
      <c r="G280" s="41"/>
      <c r="H280" s="41"/>
      <c r="I280" s="41"/>
      <c r="J280" s="42"/>
      <c r="K280" s="41"/>
      <c r="L280" s="41"/>
      <c r="M280" s="42"/>
      <c r="N280" s="45">
        <f t="shared" si="4"/>
        <v>0</v>
      </c>
    </row>
    <row r="281" spans="1:14" ht="15.75" thickBot="1" x14ac:dyDescent="0.3">
      <c r="A281" s="47" t="s">
        <v>596</v>
      </c>
      <c r="B281" s="40"/>
      <c r="C281" s="40"/>
      <c r="D281" s="40"/>
      <c r="E281" s="41"/>
      <c r="F281" s="41"/>
      <c r="G281" s="41"/>
      <c r="H281" s="41"/>
      <c r="I281" s="41"/>
      <c r="J281" s="42"/>
      <c r="K281" s="41"/>
      <c r="L281" s="41"/>
      <c r="M281" s="42"/>
      <c r="N281" s="45">
        <f t="shared" si="4"/>
        <v>0</v>
      </c>
    </row>
    <row r="282" spans="1:14" ht="15.75" thickBot="1" x14ac:dyDescent="0.3">
      <c r="A282" s="39" t="s">
        <v>597</v>
      </c>
      <c r="B282" s="43"/>
      <c r="C282" s="43">
        <v>1587.82</v>
      </c>
      <c r="D282" s="43"/>
      <c r="E282" s="42"/>
      <c r="F282" s="42"/>
      <c r="G282" s="33">
        <v>87</v>
      </c>
      <c r="H282" s="42"/>
      <c r="I282" s="42"/>
      <c r="J282" s="41"/>
      <c r="K282" s="42"/>
      <c r="L282" s="42"/>
      <c r="M282" s="41"/>
      <c r="N282" s="30">
        <f t="shared" si="4"/>
        <v>1674.82</v>
      </c>
    </row>
    <row r="283" spans="1:14" ht="15.75" thickBot="1" x14ac:dyDescent="0.3">
      <c r="A283" s="39" t="s">
        <v>598</v>
      </c>
      <c r="B283" s="40"/>
      <c r="C283" s="40"/>
      <c r="D283" s="40"/>
      <c r="E283" s="41"/>
      <c r="F283" s="41"/>
      <c r="G283" s="41"/>
      <c r="H283" s="41"/>
      <c r="I283" s="29">
        <v>252.65</v>
      </c>
      <c r="J283" s="42"/>
      <c r="K283" s="41"/>
      <c r="L283" s="41"/>
      <c r="M283" s="42"/>
      <c r="N283" s="34">
        <f t="shared" si="4"/>
        <v>252.65</v>
      </c>
    </row>
    <row r="284" spans="1:14" ht="15.75" thickBot="1" x14ac:dyDescent="0.3">
      <c r="A284" s="39" t="s">
        <v>599</v>
      </c>
      <c r="B284" s="43"/>
      <c r="C284" s="43"/>
      <c r="D284" s="43">
        <v>1841.49</v>
      </c>
      <c r="E284" s="42"/>
      <c r="F284" s="42"/>
      <c r="G284" s="33">
        <v>2021.34</v>
      </c>
      <c r="H284" s="33">
        <v>5054.0600000000004</v>
      </c>
      <c r="I284" s="42"/>
      <c r="J284" s="29">
        <v>1466.19</v>
      </c>
      <c r="K284" s="42"/>
      <c r="L284" s="42"/>
      <c r="M284" s="29">
        <v>1832.74</v>
      </c>
      <c r="N284" s="30">
        <f t="shared" si="4"/>
        <v>12215.82</v>
      </c>
    </row>
    <row r="285" spans="1:14" ht="15.75" thickBot="1" x14ac:dyDescent="0.3">
      <c r="A285" s="39" t="s">
        <v>600</v>
      </c>
      <c r="B285" s="32">
        <v>26786.11</v>
      </c>
      <c r="C285" s="32">
        <v>21423.24</v>
      </c>
      <c r="D285" s="32">
        <v>-22660.49</v>
      </c>
      <c r="E285" s="29">
        <v>31205.79</v>
      </c>
      <c r="F285" s="29">
        <v>33788.92</v>
      </c>
      <c r="G285" s="29">
        <v>60860.34</v>
      </c>
      <c r="H285" s="29">
        <v>18833.16</v>
      </c>
      <c r="I285" s="29">
        <v>30041.82</v>
      </c>
      <c r="J285" s="33">
        <v>26003.72</v>
      </c>
      <c r="K285" s="29">
        <v>35372.589999999997</v>
      </c>
      <c r="L285" s="29">
        <v>35692.959999999999</v>
      </c>
      <c r="M285" s="33">
        <v>28647.11</v>
      </c>
      <c r="N285" s="34">
        <f t="shared" si="4"/>
        <v>325995.27</v>
      </c>
    </row>
    <row r="286" spans="1:14" ht="15.75" thickBot="1" x14ac:dyDescent="0.3">
      <c r="A286" s="39" t="s">
        <v>601</v>
      </c>
      <c r="B286" s="28">
        <v>45686.720000000001</v>
      </c>
      <c r="C286" s="28">
        <v>7533.17</v>
      </c>
      <c r="D286" s="28">
        <v>4663.18</v>
      </c>
      <c r="E286" s="33">
        <v>13035.35</v>
      </c>
      <c r="F286" s="33">
        <v>17526.43</v>
      </c>
      <c r="G286" s="33">
        <v>11635.38</v>
      </c>
      <c r="H286" s="33">
        <v>9509.43</v>
      </c>
      <c r="I286" s="33">
        <v>10464.870000000001</v>
      </c>
      <c r="J286" s="29">
        <v>6480.78</v>
      </c>
      <c r="K286" s="33">
        <v>23166.09</v>
      </c>
      <c r="L286" s="33">
        <v>10729.67</v>
      </c>
      <c r="M286" s="29">
        <v>501178.34</v>
      </c>
      <c r="N286" s="30">
        <f t="shared" si="4"/>
        <v>661609.41</v>
      </c>
    </row>
    <row r="287" spans="1:14" ht="15.75" thickBot="1" x14ac:dyDescent="0.3">
      <c r="A287" s="39" t="s">
        <v>602</v>
      </c>
      <c r="B287" s="40"/>
      <c r="C287" s="40"/>
      <c r="D287" s="40"/>
      <c r="E287" s="41"/>
      <c r="F287" s="41"/>
      <c r="G287" s="41"/>
      <c r="H287" s="41"/>
      <c r="I287" s="33"/>
      <c r="J287" s="29"/>
      <c r="K287" s="33"/>
      <c r="L287" s="33"/>
      <c r="M287" s="29"/>
      <c r="N287" s="30">
        <f t="shared" si="4"/>
        <v>0</v>
      </c>
    </row>
    <row r="288" spans="1:14" ht="15.75" thickBot="1" x14ac:dyDescent="0.3">
      <c r="A288" s="39" t="s">
        <v>603</v>
      </c>
      <c r="B288" s="43"/>
      <c r="C288" s="43"/>
      <c r="D288" s="43"/>
      <c r="E288" s="42"/>
      <c r="F288" s="42"/>
      <c r="G288" s="42"/>
      <c r="H288" s="42"/>
      <c r="I288" s="41"/>
      <c r="J288" s="42"/>
      <c r="K288" s="41"/>
      <c r="L288" s="41"/>
      <c r="M288" s="29"/>
      <c r="N288" s="30">
        <f t="shared" si="4"/>
        <v>0</v>
      </c>
    </row>
    <row r="289" spans="1:14" ht="15.75" thickBot="1" x14ac:dyDescent="0.3">
      <c r="A289" s="39" t="s">
        <v>604</v>
      </c>
      <c r="B289" s="32">
        <v>19213</v>
      </c>
      <c r="C289" s="32">
        <v>9978.4599999999991</v>
      </c>
      <c r="D289" s="32">
        <v>2731.27</v>
      </c>
      <c r="E289" s="29">
        <v>12618.83</v>
      </c>
      <c r="F289" s="29">
        <v>11682.74</v>
      </c>
      <c r="G289" s="29">
        <v>16205.86</v>
      </c>
      <c r="H289" s="29">
        <v>16565.62</v>
      </c>
      <c r="I289" s="33">
        <v>5243.61</v>
      </c>
      <c r="J289" s="29">
        <v>7283.37</v>
      </c>
      <c r="K289" s="33">
        <v>11122.64</v>
      </c>
      <c r="L289" s="33">
        <v>4994.3100000000004</v>
      </c>
      <c r="M289" s="33">
        <v>5427.37</v>
      </c>
      <c r="N289" s="34">
        <f t="shared" si="4"/>
        <v>123067.07999999999</v>
      </c>
    </row>
    <row r="290" spans="1:14" ht="15.75" thickBot="1" x14ac:dyDescent="0.3">
      <c r="A290" s="39" t="s">
        <v>605</v>
      </c>
      <c r="B290" s="43"/>
      <c r="C290" s="43">
        <v>1738.58</v>
      </c>
      <c r="D290" s="43"/>
      <c r="E290" s="42"/>
      <c r="F290" s="33">
        <v>19.809999999999999</v>
      </c>
      <c r="G290" s="42"/>
      <c r="H290" s="33">
        <v>849.9</v>
      </c>
      <c r="I290" s="41"/>
      <c r="J290" s="42"/>
      <c r="K290" s="41"/>
      <c r="L290" s="29">
        <v>27</v>
      </c>
      <c r="M290" s="29">
        <v>75.22</v>
      </c>
      <c r="N290" s="30">
        <f t="shared" si="4"/>
        <v>2710.5099999999998</v>
      </c>
    </row>
    <row r="291" spans="1:14" ht="15.75" thickBot="1" x14ac:dyDescent="0.3">
      <c r="A291" s="39" t="s">
        <v>606</v>
      </c>
      <c r="B291" s="32">
        <v>30388.29</v>
      </c>
      <c r="C291" s="32">
        <v>21173.73</v>
      </c>
      <c r="D291" s="32">
        <v>54697.279999999999</v>
      </c>
      <c r="E291" s="29">
        <v>35678.379999999997</v>
      </c>
      <c r="F291" s="29">
        <v>22890.15</v>
      </c>
      <c r="G291" s="29">
        <v>23099.69</v>
      </c>
      <c r="H291" s="29">
        <v>28697.89</v>
      </c>
      <c r="I291" s="33">
        <v>56949.57</v>
      </c>
      <c r="J291" s="29">
        <v>70613.48</v>
      </c>
      <c r="K291" s="33">
        <v>15814.26</v>
      </c>
      <c r="L291" s="33">
        <v>20339.34</v>
      </c>
      <c r="M291" s="33">
        <v>6987.01</v>
      </c>
      <c r="N291" s="34">
        <f t="shared" si="4"/>
        <v>387329.07</v>
      </c>
    </row>
    <row r="292" spans="1:14" ht="15.75" thickBot="1" x14ac:dyDescent="0.3">
      <c r="A292" s="39" t="s">
        <v>607</v>
      </c>
      <c r="B292" s="43">
        <v>147.87</v>
      </c>
      <c r="C292" s="43">
        <v>914.08</v>
      </c>
      <c r="D292" s="43"/>
      <c r="E292" s="42"/>
      <c r="F292" s="33">
        <v>580.57000000000005</v>
      </c>
      <c r="G292" s="33">
        <v>626.17999999999995</v>
      </c>
      <c r="H292" s="42"/>
      <c r="I292" s="41"/>
      <c r="J292" s="42"/>
      <c r="K292" s="41"/>
      <c r="L292" s="29">
        <v>3.65</v>
      </c>
      <c r="M292" s="41"/>
      <c r="N292" s="30">
        <f t="shared" si="4"/>
        <v>2272.35</v>
      </c>
    </row>
    <row r="293" spans="1:14" ht="15.75" thickBot="1" x14ac:dyDescent="0.3">
      <c r="A293" s="39" t="s">
        <v>607</v>
      </c>
      <c r="B293" s="32">
        <v>24301.63</v>
      </c>
      <c r="C293" s="32">
        <v>14048.99</v>
      </c>
      <c r="D293" s="32">
        <v>8495.17</v>
      </c>
      <c r="E293" s="29">
        <v>23945.77</v>
      </c>
      <c r="F293" s="29">
        <v>21004.59</v>
      </c>
      <c r="G293" s="29">
        <v>24223.52</v>
      </c>
      <c r="H293" s="29">
        <v>24105.42</v>
      </c>
      <c r="I293" s="33">
        <v>18518.41</v>
      </c>
      <c r="J293" s="29">
        <v>17613.7</v>
      </c>
      <c r="K293" s="33">
        <v>15642.37</v>
      </c>
      <c r="L293" s="33">
        <v>17852.689999999999</v>
      </c>
      <c r="M293" s="33">
        <v>9241.73</v>
      </c>
      <c r="N293" s="34">
        <f t="shared" si="4"/>
        <v>218993.99000000002</v>
      </c>
    </row>
    <row r="294" spans="1:14" ht="15.75" thickBot="1" x14ac:dyDescent="0.3">
      <c r="A294" s="39" t="s">
        <v>608</v>
      </c>
      <c r="B294" s="28"/>
      <c r="C294" s="28">
        <v>1995.94</v>
      </c>
      <c r="D294" s="28">
        <v>4224.9799999999996</v>
      </c>
      <c r="E294" s="42"/>
      <c r="F294" s="42"/>
      <c r="G294" s="33">
        <v>1138.76</v>
      </c>
      <c r="H294" s="42"/>
      <c r="I294" s="41"/>
      <c r="J294" s="33">
        <v>2838.5</v>
      </c>
      <c r="K294" s="29">
        <v>663.83</v>
      </c>
      <c r="L294" s="29">
        <v>3645.05</v>
      </c>
      <c r="M294" s="29">
        <v>663.83</v>
      </c>
      <c r="N294" s="30">
        <f t="shared" si="4"/>
        <v>15170.890000000001</v>
      </c>
    </row>
    <row r="295" spans="1:14" ht="15.75" thickBot="1" x14ac:dyDescent="0.3">
      <c r="A295" s="39" t="s">
        <v>609</v>
      </c>
      <c r="B295" s="32">
        <v>-477.95</v>
      </c>
      <c r="C295" s="32">
        <v>-15.39</v>
      </c>
      <c r="D295" s="32">
        <v>-25.03</v>
      </c>
      <c r="E295" s="29">
        <v>-275.27999999999997</v>
      </c>
      <c r="F295" s="29">
        <v>47.6</v>
      </c>
      <c r="G295" s="29">
        <v>-517.30999999999995</v>
      </c>
      <c r="H295" s="29">
        <v>-517.09</v>
      </c>
      <c r="I295" s="33">
        <v>-204.99</v>
      </c>
      <c r="J295" s="29">
        <v>708.49</v>
      </c>
      <c r="K295" s="33">
        <v>1526.86</v>
      </c>
      <c r="L295" s="33">
        <v>3097.29</v>
      </c>
      <c r="M295" s="33">
        <v>4073.63</v>
      </c>
      <c r="N295" s="34">
        <f t="shared" si="4"/>
        <v>7420.83</v>
      </c>
    </row>
    <row r="296" spans="1:14" ht="15.75" thickBot="1" x14ac:dyDescent="0.3">
      <c r="A296" s="39" t="s">
        <v>610</v>
      </c>
      <c r="B296" s="28">
        <v>25544.42</v>
      </c>
      <c r="C296" s="28">
        <v>23243.84</v>
      </c>
      <c r="D296" s="28">
        <v>23973.26</v>
      </c>
      <c r="E296" s="33">
        <v>27832.82</v>
      </c>
      <c r="F296" s="33">
        <v>27787.77</v>
      </c>
      <c r="G296" s="33">
        <v>53700.18</v>
      </c>
      <c r="H296" s="33">
        <v>61262.12</v>
      </c>
      <c r="I296" s="29">
        <v>56505.5</v>
      </c>
      <c r="J296" s="33">
        <v>162709.48000000001</v>
      </c>
      <c r="K296" s="29">
        <v>91958.11</v>
      </c>
      <c r="L296" s="29">
        <v>60714.48</v>
      </c>
      <c r="M296" s="29">
        <v>70007.990000000005</v>
      </c>
      <c r="N296" s="30">
        <f t="shared" si="4"/>
        <v>685239.97</v>
      </c>
    </row>
    <row r="297" spans="1:14" ht="15.75" thickBot="1" x14ac:dyDescent="0.3">
      <c r="A297" s="39" t="s">
        <v>611</v>
      </c>
      <c r="B297" s="32">
        <v>10395.67</v>
      </c>
      <c r="C297" s="32">
        <v>9052.93</v>
      </c>
      <c r="D297" s="32">
        <v>5300.38</v>
      </c>
      <c r="E297" s="29">
        <v>896.86</v>
      </c>
      <c r="F297" s="29">
        <v>-2232.37</v>
      </c>
      <c r="G297" s="29">
        <v>-1515.26</v>
      </c>
      <c r="H297" s="29">
        <v>-3030.6</v>
      </c>
      <c r="I297" s="33">
        <v>1438.11</v>
      </c>
      <c r="J297" s="29">
        <v>-194.07</v>
      </c>
      <c r="K297" s="33">
        <v>19512.310000000001</v>
      </c>
      <c r="L297" s="33">
        <v>4232.1000000000004</v>
      </c>
      <c r="M297" s="33">
        <v>2504.7199999999998</v>
      </c>
      <c r="N297" s="34">
        <f t="shared" si="4"/>
        <v>46360.780000000006</v>
      </c>
    </row>
    <row r="298" spans="1:14" ht="15.75" thickBot="1" x14ac:dyDescent="0.3">
      <c r="A298" s="39" t="s">
        <v>612</v>
      </c>
      <c r="B298" s="28">
        <v>13412.9</v>
      </c>
      <c r="C298" s="28">
        <v>5120.75</v>
      </c>
      <c r="D298" s="28">
        <v>8490.99</v>
      </c>
      <c r="E298" s="33">
        <v>4648.58</v>
      </c>
      <c r="F298" s="33">
        <v>3438.81</v>
      </c>
      <c r="G298" s="33">
        <v>3923.01</v>
      </c>
      <c r="H298" s="33">
        <v>2680.22</v>
      </c>
      <c r="I298" s="29">
        <v>952.1</v>
      </c>
      <c r="J298" s="33">
        <v>1417.1</v>
      </c>
      <c r="K298" s="29">
        <v>3200.34</v>
      </c>
      <c r="L298" s="29">
        <v>3346.7</v>
      </c>
      <c r="M298" s="29">
        <v>1239.1400000000001</v>
      </c>
      <c r="N298" s="30">
        <f t="shared" si="4"/>
        <v>51870.64</v>
      </c>
    </row>
    <row r="299" spans="1:14" ht="15.75" thickBot="1" x14ac:dyDescent="0.3">
      <c r="A299" s="39" t="s">
        <v>613</v>
      </c>
      <c r="B299" s="32">
        <v>1264.43</v>
      </c>
      <c r="C299" s="32">
        <v>588.1</v>
      </c>
      <c r="D299" s="32">
        <v>2487.9299999999998</v>
      </c>
      <c r="E299" s="29">
        <v>299.8</v>
      </c>
      <c r="F299" s="29">
        <v>269.82</v>
      </c>
      <c r="G299" s="29">
        <v>1487.16</v>
      </c>
      <c r="H299" s="29">
        <v>299.8</v>
      </c>
      <c r="I299" s="33">
        <v>299.8</v>
      </c>
      <c r="J299" s="29">
        <v>574.98</v>
      </c>
      <c r="K299" s="33">
        <v>556.72</v>
      </c>
      <c r="L299" s="33">
        <v>489.2</v>
      </c>
      <c r="M299" s="42"/>
      <c r="N299" s="34">
        <f t="shared" si="4"/>
        <v>8617.74</v>
      </c>
    </row>
    <row r="300" spans="1:14" ht="15.75" thickBot="1" x14ac:dyDescent="0.3">
      <c r="A300" s="39" t="s">
        <v>613</v>
      </c>
      <c r="B300" s="28">
        <v>4528.41</v>
      </c>
      <c r="C300" s="28">
        <v>4646.01</v>
      </c>
      <c r="D300" s="28">
        <v>1318.9</v>
      </c>
      <c r="E300" s="33">
        <v>299.8</v>
      </c>
      <c r="F300" s="33">
        <v>2728.18</v>
      </c>
      <c r="G300" s="33">
        <v>4194.88</v>
      </c>
      <c r="H300" s="33">
        <v>9226.0400000000009</v>
      </c>
      <c r="I300" s="29">
        <v>4150.72</v>
      </c>
      <c r="J300" s="33">
        <v>2966.91</v>
      </c>
      <c r="K300" s="29">
        <v>3267.14</v>
      </c>
      <c r="L300" s="41"/>
      <c r="M300" s="41"/>
      <c r="N300" s="30">
        <f t="shared" si="4"/>
        <v>37326.990000000005</v>
      </c>
    </row>
    <row r="301" spans="1:14" ht="15.75" thickBot="1" x14ac:dyDescent="0.3">
      <c r="A301" s="39" t="s">
        <v>613</v>
      </c>
      <c r="B301" s="28"/>
      <c r="C301" s="28"/>
      <c r="D301" s="28"/>
      <c r="E301" s="33"/>
      <c r="F301" s="33"/>
      <c r="G301" s="33"/>
      <c r="H301" s="33"/>
      <c r="I301" s="29"/>
      <c r="J301" s="33"/>
      <c r="K301" s="33">
        <v>4766.75</v>
      </c>
      <c r="L301" s="46">
        <v>0</v>
      </c>
      <c r="M301" s="33">
        <v>-4766.75</v>
      </c>
      <c r="N301" s="51">
        <f t="shared" si="4"/>
        <v>0</v>
      </c>
    </row>
    <row r="302" spans="1:14" ht="15.75" thickBot="1" x14ac:dyDescent="0.3">
      <c r="A302" s="39" t="s">
        <v>614</v>
      </c>
      <c r="B302" s="32">
        <v>1574.94</v>
      </c>
      <c r="C302" s="32">
        <v>248.03</v>
      </c>
      <c r="D302" s="32">
        <v>2572.63</v>
      </c>
      <c r="E302" s="29">
        <v>2717.52</v>
      </c>
      <c r="F302" s="29">
        <v>2476.15</v>
      </c>
      <c r="G302" s="29">
        <v>2372.2800000000002</v>
      </c>
      <c r="H302" s="29">
        <v>2762</v>
      </c>
      <c r="I302" s="33">
        <v>2034.1</v>
      </c>
      <c r="J302" s="29">
        <v>1452.14</v>
      </c>
      <c r="K302" s="29">
        <v>2434.69</v>
      </c>
      <c r="L302" s="29">
        <v>2139.4299999999998</v>
      </c>
      <c r="M302" s="29">
        <v>2443.7399999999998</v>
      </c>
      <c r="N302" s="30">
        <f t="shared" si="4"/>
        <v>25227.65</v>
      </c>
    </row>
    <row r="303" spans="1:14" ht="15.75" thickBot="1" x14ac:dyDescent="0.3">
      <c r="A303" s="39" t="s">
        <v>615</v>
      </c>
      <c r="B303" s="28">
        <v>25.71</v>
      </c>
      <c r="C303" s="28">
        <v>927.68</v>
      </c>
      <c r="D303" s="28"/>
      <c r="E303" s="42"/>
      <c r="F303" s="33">
        <v>438.89</v>
      </c>
      <c r="G303" s="33">
        <v>6113.77</v>
      </c>
      <c r="H303" s="33">
        <v>5612.72</v>
      </c>
      <c r="I303" s="29">
        <v>209.67</v>
      </c>
      <c r="J303" s="33">
        <v>7570.26</v>
      </c>
      <c r="K303" s="33">
        <v>5772.58</v>
      </c>
      <c r="L303" s="33">
        <v>3797.48</v>
      </c>
      <c r="M303" s="33">
        <v>1910.02</v>
      </c>
      <c r="N303" s="34">
        <f t="shared" si="4"/>
        <v>32378.78</v>
      </c>
    </row>
    <row r="304" spans="1:14" ht="15.75" thickBot="1" x14ac:dyDescent="0.3">
      <c r="A304" s="39" t="s">
        <v>616</v>
      </c>
      <c r="B304" s="32">
        <v>37364.26</v>
      </c>
      <c r="C304" s="32">
        <v>34748.76</v>
      </c>
      <c r="D304" s="32">
        <v>15819.03</v>
      </c>
      <c r="E304" s="29">
        <v>31404.69</v>
      </c>
      <c r="F304" s="29">
        <v>19283.57</v>
      </c>
      <c r="G304" s="29">
        <v>27407.06</v>
      </c>
      <c r="H304" s="29">
        <v>27466.15</v>
      </c>
      <c r="I304" s="33">
        <v>10869.8</v>
      </c>
      <c r="J304" s="29">
        <v>40060.49</v>
      </c>
      <c r="K304" s="29">
        <v>16325.89</v>
      </c>
      <c r="L304" s="29">
        <v>18439.75</v>
      </c>
      <c r="M304" s="29">
        <v>13500.56</v>
      </c>
      <c r="N304" s="30">
        <f t="shared" si="4"/>
        <v>292690.00999999995</v>
      </c>
    </row>
    <row r="305" spans="1:14" ht="15.75" thickBot="1" x14ac:dyDescent="0.3">
      <c r="A305" s="39" t="s">
        <v>617</v>
      </c>
      <c r="B305" s="28">
        <v>504.2</v>
      </c>
      <c r="C305" s="28">
        <v>117.55</v>
      </c>
      <c r="D305" s="28"/>
      <c r="E305" s="33">
        <v>1389.8</v>
      </c>
      <c r="F305" s="33">
        <v>404.28</v>
      </c>
      <c r="G305" s="33">
        <v>2381.1799999999998</v>
      </c>
      <c r="H305" s="33">
        <v>527.66</v>
      </c>
      <c r="I305" s="29">
        <v>813.64</v>
      </c>
      <c r="J305" s="33">
        <v>2945.51</v>
      </c>
      <c r="K305" s="33">
        <v>137.49</v>
      </c>
      <c r="L305" s="42"/>
      <c r="M305" s="33">
        <v>3963.64</v>
      </c>
      <c r="N305" s="34">
        <f t="shared" si="4"/>
        <v>13184.949999999999</v>
      </c>
    </row>
    <row r="306" spans="1:14" ht="15.75" thickBot="1" x14ac:dyDescent="0.3">
      <c r="A306" s="39" t="s">
        <v>618</v>
      </c>
      <c r="B306" s="32">
        <v>432.28</v>
      </c>
      <c r="C306" s="32">
        <v>1066.75</v>
      </c>
      <c r="D306" s="32">
        <v>3074.98</v>
      </c>
      <c r="E306" s="29">
        <v>368.12</v>
      </c>
      <c r="F306" s="29">
        <v>2255.91</v>
      </c>
      <c r="G306" s="29">
        <v>161.97999999999999</v>
      </c>
      <c r="H306" s="29">
        <v>-2383.85</v>
      </c>
      <c r="I306" s="33">
        <v>7996.72</v>
      </c>
      <c r="J306" s="29">
        <v>7391.36</v>
      </c>
      <c r="K306" s="29">
        <v>20493.669999999998</v>
      </c>
      <c r="L306" s="29">
        <v>8292.81</v>
      </c>
      <c r="M306" s="29">
        <v>23490.34</v>
      </c>
      <c r="N306" s="30">
        <f t="shared" si="4"/>
        <v>72641.069999999992</v>
      </c>
    </row>
    <row r="307" spans="1:14" ht="15.75" thickBot="1" x14ac:dyDescent="0.3">
      <c r="A307" s="39" t="s">
        <v>618</v>
      </c>
      <c r="B307" s="28">
        <v>141.15</v>
      </c>
      <c r="C307" s="28">
        <v>81.52</v>
      </c>
      <c r="D307" s="28">
        <v>3183.36</v>
      </c>
      <c r="E307" s="33">
        <v>641.85</v>
      </c>
      <c r="F307" s="33">
        <v>288.36</v>
      </c>
      <c r="G307" s="33">
        <v>304.82</v>
      </c>
      <c r="H307" s="33">
        <v>6306.77</v>
      </c>
      <c r="I307" s="29">
        <v>39.79</v>
      </c>
      <c r="J307" s="33">
        <v>41.81</v>
      </c>
      <c r="K307" s="33">
        <v>35.5</v>
      </c>
      <c r="L307" s="33">
        <v>1057.92</v>
      </c>
      <c r="M307" s="33">
        <v>13338.57</v>
      </c>
      <c r="N307" s="34">
        <f t="shared" si="4"/>
        <v>25461.42</v>
      </c>
    </row>
    <row r="308" spans="1:14" ht="15.75" thickBot="1" x14ac:dyDescent="0.3">
      <c r="A308" s="39" t="s">
        <v>618</v>
      </c>
      <c r="B308" s="40"/>
      <c r="C308" s="40"/>
      <c r="D308" s="40"/>
      <c r="E308" s="33"/>
      <c r="F308" s="33"/>
      <c r="G308" s="33"/>
      <c r="H308" s="33"/>
      <c r="I308" s="29"/>
      <c r="J308" s="33"/>
      <c r="K308" s="29">
        <v>1772.64</v>
      </c>
      <c r="L308" s="41"/>
      <c r="M308" s="41"/>
      <c r="N308" s="30">
        <f t="shared" si="4"/>
        <v>1772.64</v>
      </c>
    </row>
    <row r="309" spans="1:14" ht="15.75" thickBot="1" x14ac:dyDescent="0.3">
      <c r="A309" s="39" t="s">
        <v>619</v>
      </c>
      <c r="B309" s="28">
        <v>144403.01</v>
      </c>
      <c r="C309" s="28">
        <v>132354.98000000001</v>
      </c>
      <c r="D309" s="28">
        <v>148256.95999999999</v>
      </c>
      <c r="E309" s="29">
        <v>152907.15</v>
      </c>
      <c r="F309" s="29">
        <v>145569.18</v>
      </c>
      <c r="G309" s="29">
        <v>212396.79999999999</v>
      </c>
      <c r="H309" s="29">
        <v>249259.78</v>
      </c>
      <c r="I309" s="33">
        <v>180671.4</v>
      </c>
      <c r="J309" s="29">
        <v>174938.25</v>
      </c>
      <c r="K309" s="33">
        <v>176054.45</v>
      </c>
      <c r="L309" s="33">
        <v>168330.82</v>
      </c>
      <c r="M309" s="33">
        <v>147167.70000000001</v>
      </c>
      <c r="N309" s="34">
        <f t="shared" si="4"/>
        <v>2032310.48</v>
      </c>
    </row>
    <row r="310" spans="1:14" ht="15.75" thickBot="1" x14ac:dyDescent="0.3">
      <c r="A310" s="39" t="s">
        <v>620</v>
      </c>
      <c r="B310" s="32">
        <v>138.74</v>
      </c>
      <c r="C310" s="32">
        <v>40.51</v>
      </c>
      <c r="D310" s="32">
        <v>1060.02</v>
      </c>
      <c r="E310" s="33">
        <v>594.09</v>
      </c>
      <c r="F310" s="33">
        <v>1074.8</v>
      </c>
      <c r="G310" s="33">
        <v>1184.93</v>
      </c>
      <c r="H310" s="33">
        <v>807.93</v>
      </c>
      <c r="I310" s="29">
        <v>697.81</v>
      </c>
      <c r="J310" s="33">
        <v>212.23</v>
      </c>
      <c r="K310" s="29">
        <v>684.46</v>
      </c>
      <c r="L310" s="29">
        <v>2627.59</v>
      </c>
      <c r="M310" s="29">
        <v>333.09</v>
      </c>
      <c r="N310" s="30">
        <f t="shared" si="4"/>
        <v>9456.2000000000007</v>
      </c>
    </row>
    <row r="311" spans="1:14" ht="15.75" thickBot="1" x14ac:dyDescent="0.3">
      <c r="A311" s="39" t="s">
        <v>621</v>
      </c>
      <c r="B311" s="43"/>
      <c r="C311" s="43"/>
      <c r="D311" s="43"/>
      <c r="E311" s="41"/>
      <c r="F311" s="41"/>
      <c r="G311" s="41"/>
      <c r="H311" s="41"/>
      <c r="I311" s="42"/>
      <c r="J311" s="41"/>
      <c r="K311" s="42"/>
      <c r="L311" s="42"/>
      <c r="M311" s="42"/>
      <c r="N311" s="45">
        <f t="shared" si="4"/>
        <v>0</v>
      </c>
    </row>
    <row r="312" spans="1:14" ht="15.75" thickBot="1" x14ac:dyDescent="0.3">
      <c r="A312" s="39" t="s">
        <v>622</v>
      </c>
      <c r="B312" s="40"/>
      <c r="C312" s="40">
        <v>468.75</v>
      </c>
      <c r="D312" s="40">
        <v>906.25</v>
      </c>
      <c r="E312" s="33">
        <v>2468.75</v>
      </c>
      <c r="F312" s="33">
        <v>592.5</v>
      </c>
      <c r="G312" s="42"/>
      <c r="H312" s="42"/>
      <c r="I312" s="41"/>
      <c r="J312" s="42"/>
      <c r="K312" s="29">
        <v>1083.3599999999999</v>
      </c>
      <c r="L312" s="41"/>
      <c r="M312" s="29">
        <v>5222.87</v>
      </c>
      <c r="N312" s="30">
        <f t="shared" si="4"/>
        <v>10742.48</v>
      </c>
    </row>
    <row r="313" spans="1:14" ht="15.75" thickBot="1" x14ac:dyDescent="0.3">
      <c r="A313" s="47" t="s">
        <v>623</v>
      </c>
      <c r="B313" s="43"/>
      <c r="C313" s="43"/>
      <c r="D313" s="43"/>
      <c r="E313" s="33"/>
      <c r="F313" s="33"/>
      <c r="G313" s="42"/>
      <c r="H313" s="42"/>
      <c r="I313" s="41"/>
      <c r="J313" s="42"/>
      <c r="K313" s="29"/>
      <c r="L313" s="41"/>
      <c r="M313" s="29"/>
      <c r="N313" s="30">
        <f t="shared" si="4"/>
        <v>0</v>
      </c>
    </row>
    <row r="314" spans="1:14" ht="15.75" thickBot="1" x14ac:dyDescent="0.3">
      <c r="A314" s="39" t="s">
        <v>624</v>
      </c>
      <c r="B314" s="32">
        <v>1666.54</v>
      </c>
      <c r="C314" s="32">
        <v>1275.3499999999999</v>
      </c>
      <c r="D314" s="32">
        <v>1400.75</v>
      </c>
      <c r="E314" s="29">
        <v>1622.01</v>
      </c>
      <c r="F314" s="29">
        <v>1503.33</v>
      </c>
      <c r="G314" s="29">
        <v>1715.93</v>
      </c>
      <c r="H314" s="29">
        <v>1782.39</v>
      </c>
      <c r="I314" s="33">
        <v>1687.98</v>
      </c>
      <c r="J314" s="29">
        <v>1878.27</v>
      </c>
      <c r="K314" s="33">
        <v>1538.1</v>
      </c>
      <c r="L314" s="33">
        <v>1756.21</v>
      </c>
      <c r="M314" s="33">
        <v>1697.01</v>
      </c>
      <c r="N314" s="34">
        <f t="shared" si="4"/>
        <v>19523.87</v>
      </c>
    </row>
    <row r="315" spans="1:14" ht="15.75" thickBot="1" x14ac:dyDescent="0.3">
      <c r="A315" s="47" t="s">
        <v>625</v>
      </c>
      <c r="B315" s="43"/>
      <c r="C315" s="43"/>
      <c r="D315" s="43"/>
      <c r="E315" s="29"/>
      <c r="F315" s="29"/>
      <c r="G315" s="29"/>
      <c r="H315" s="29"/>
      <c r="I315" s="33"/>
      <c r="J315" s="29"/>
      <c r="K315" s="33"/>
      <c r="L315" s="33"/>
      <c r="M315" s="33"/>
      <c r="N315" s="34">
        <f t="shared" si="4"/>
        <v>0</v>
      </c>
    </row>
    <row r="316" spans="1:14" ht="15.75" thickBot="1" x14ac:dyDescent="0.3">
      <c r="A316" s="39" t="s">
        <v>626</v>
      </c>
      <c r="B316" s="32">
        <v>171919.52</v>
      </c>
      <c r="C316" s="32">
        <v>158019.76</v>
      </c>
      <c r="D316" s="32">
        <v>158088.4</v>
      </c>
      <c r="E316" s="33">
        <v>159317.21</v>
      </c>
      <c r="F316" s="33">
        <v>163132.26999999999</v>
      </c>
      <c r="G316" s="33">
        <v>175040.23</v>
      </c>
      <c r="H316" s="33">
        <v>178131.31</v>
      </c>
      <c r="I316" s="29">
        <v>177394.87</v>
      </c>
      <c r="J316" s="33">
        <v>170334.64</v>
      </c>
      <c r="K316" s="29">
        <v>157308.51</v>
      </c>
      <c r="L316" s="29">
        <v>155710.01</v>
      </c>
      <c r="M316" s="29">
        <v>151072.23000000001</v>
      </c>
      <c r="N316" s="30">
        <f t="shared" si="4"/>
        <v>1975468.96</v>
      </c>
    </row>
    <row r="317" spans="1:14" ht="15.75" thickBot="1" x14ac:dyDescent="0.3">
      <c r="A317" s="39" t="s">
        <v>627</v>
      </c>
      <c r="B317" s="28">
        <v>86530.880000000005</v>
      </c>
      <c r="C317" s="28">
        <v>70648.539999999994</v>
      </c>
      <c r="D317" s="28">
        <v>81437.600000000006</v>
      </c>
      <c r="E317" s="29">
        <v>89670.81</v>
      </c>
      <c r="F317" s="29">
        <v>72139.289999999994</v>
      </c>
      <c r="G317" s="29">
        <v>88820.2</v>
      </c>
      <c r="H317" s="29">
        <v>88915.79</v>
      </c>
      <c r="I317" s="33">
        <v>74086.34</v>
      </c>
      <c r="J317" s="29">
        <v>77679.679999999993</v>
      </c>
      <c r="K317" s="33">
        <v>79480.19</v>
      </c>
      <c r="L317" s="33">
        <v>71010.649999999994</v>
      </c>
      <c r="M317" s="33">
        <v>70993.600000000006</v>
      </c>
      <c r="N317" s="34">
        <f t="shared" si="4"/>
        <v>951413.56999999983</v>
      </c>
    </row>
    <row r="318" spans="1:14" ht="15.75" thickBot="1" x14ac:dyDescent="0.3">
      <c r="A318" s="39" t="s">
        <v>627</v>
      </c>
      <c r="B318" s="32">
        <v>6886.53</v>
      </c>
      <c r="C318" s="32">
        <v>6232.02</v>
      </c>
      <c r="D318" s="32">
        <v>6346.29</v>
      </c>
      <c r="E318" s="33">
        <v>6833.78</v>
      </c>
      <c r="F318" s="33">
        <v>4951.1400000000003</v>
      </c>
      <c r="G318" s="33">
        <v>5682.94</v>
      </c>
      <c r="H318" s="33">
        <v>6440.25</v>
      </c>
      <c r="I318" s="29">
        <v>6791.28</v>
      </c>
      <c r="J318" s="33">
        <v>6921.56</v>
      </c>
      <c r="K318" s="29">
        <v>6788.13</v>
      </c>
      <c r="L318" s="29">
        <v>8974.39</v>
      </c>
      <c r="M318" s="29">
        <v>3469.28</v>
      </c>
      <c r="N318" s="30">
        <f t="shared" si="4"/>
        <v>76317.59</v>
      </c>
    </row>
    <row r="319" spans="1:14" ht="15.75" thickBot="1" x14ac:dyDescent="0.3">
      <c r="A319" s="39" t="s">
        <v>628</v>
      </c>
      <c r="B319" s="43"/>
      <c r="C319" s="43"/>
      <c r="D319" s="43"/>
      <c r="E319" s="41"/>
      <c r="F319" s="41"/>
      <c r="G319" s="41"/>
      <c r="H319" s="41"/>
      <c r="I319" s="42"/>
      <c r="J319" s="41"/>
      <c r="K319" s="42"/>
      <c r="L319" s="42"/>
      <c r="M319" s="29"/>
      <c r="N319" s="30">
        <f t="shared" si="4"/>
        <v>0</v>
      </c>
    </row>
    <row r="320" spans="1:14" ht="15.75" thickBot="1" x14ac:dyDescent="0.3">
      <c r="A320" s="39" t="s">
        <v>629</v>
      </c>
      <c r="B320" s="32">
        <v>32121.73</v>
      </c>
      <c r="C320" s="32">
        <v>30668.04</v>
      </c>
      <c r="D320" s="32">
        <v>31591.78</v>
      </c>
      <c r="E320" s="33">
        <v>35383.35</v>
      </c>
      <c r="F320" s="33">
        <v>33830.559999999998</v>
      </c>
      <c r="G320" s="33">
        <v>36572.980000000003</v>
      </c>
      <c r="H320" s="33">
        <v>37827.54</v>
      </c>
      <c r="I320" s="29">
        <v>35399.24</v>
      </c>
      <c r="J320" s="33">
        <v>37029.050000000003</v>
      </c>
      <c r="K320" s="29">
        <v>34333.879999999997</v>
      </c>
      <c r="L320" s="29">
        <v>34044.400000000001</v>
      </c>
      <c r="M320" s="33">
        <v>35491.760000000002</v>
      </c>
      <c r="N320" s="34">
        <f t="shared" si="4"/>
        <v>414294.31000000006</v>
      </c>
    </row>
    <row r="321" spans="1:14" ht="15.75" thickBot="1" x14ac:dyDescent="0.3">
      <c r="A321" s="39" t="s">
        <v>629</v>
      </c>
      <c r="B321" s="28">
        <v>336333.04</v>
      </c>
      <c r="C321" s="28">
        <v>325002.03999999998</v>
      </c>
      <c r="D321" s="28">
        <v>346110.07</v>
      </c>
      <c r="E321" s="29">
        <v>303547.08</v>
      </c>
      <c r="F321" s="29">
        <v>330445.71999999997</v>
      </c>
      <c r="G321" s="29">
        <v>373146.01</v>
      </c>
      <c r="H321" s="29">
        <v>341828.35</v>
      </c>
      <c r="I321" s="33">
        <v>340370.69</v>
      </c>
      <c r="J321" s="29">
        <v>306501.03999999998</v>
      </c>
      <c r="K321" s="33">
        <v>326684.36</v>
      </c>
      <c r="L321" s="33">
        <v>315295.67</v>
      </c>
      <c r="M321" s="29">
        <v>316496.74</v>
      </c>
      <c r="N321" s="30">
        <f t="shared" si="4"/>
        <v>3961760.8099999996</v>
      </c>
    </row>
    <row r="322" spans="1:14" ht="15.75" thickBot="1" x14ac:dyDescent="0.3">
      <c r="A322" s="39" t="s">
        <v>630</v>
      </c>
      <c r="B322" s="40">
        <v>65.959999999999994</v>
      </c>
      <c r="C322" s="40">
        <v>37.1</v>
      </c>
      <c r="D322" s="40"/>
      <c r="E322" s="42"/>
      <c r="F322" s="33">
        <v>87.98</v>
      </c>
      <c r="G322" s="42"/>
      <c r="H322" s="42"/>
      <c r="I322" s="41"/>
      <c r="J322" s="42"/>
      <c r="K322" s="41"/>
      <c r="L322" s="41"/>
      <c r="M322" s="42"/>
      <c r="N322" s="34">
        <f t="shared" si="4"/>
        <v>191.04000000000002</v>
      </c>
    </row>
    <row r="323" spans="1:14" ht="15.75" thickBot="1" x14ac:dyDescent="0.3">
      <c r="A323" s="39" t="s">
        <v>631</v>
      </c>
      <c r="B323" s="43"/>
      <c r="C323" s="43"/>
      <c r="D323" s="43"/>
      <c r="E323" s="41"/>
      <c r="F323" s="41"/>
      <c r="G323" s="41"/>
      <c r="H323" s="41"/>
      <c r="I323" s="42"/>
      <c r="J323" s="41"/>
      <c r="K323" s="42"/>
      <c r="L323" s="42"/>
      <c r="M323" s="41"/>
      <c r="N323" s="44">
        <f t="shared" si="4"/>
        <v>0</v>
      </c>
    </row>
    <row r="324" spans="1:14" ht="15.75" thickBot="1" x14ac:dyDescent="0.3">
      <c r="A324" s="39" t="s">
        <v>632</v>
      </c>
      <c r="B324" s="32">
        <v>49401.95</v>
      </c>
      <c r="C324" s="32">
        <v>50242.25</v>
      </c>
      <c r="D324" s="32">
        <v>52036.06</v>
      </c>
      <c r="E324" s="33">
        <v>101427.89</v>
      </c>
      <c r="F324" s="33">
        <v>52051.46</v>
      </c>
      <c r="G324" s="33">
        <v>63030.36</v>
      </c>
      <c r="H324" s="33">
        <v>64713.08</v>
      </c>
      <c r="I324" s="29">
        <v>76693.19</v>
      </c>
      <c r="J324" s="33">
        <v>40841.93</v>
      </c>
      <c r="K324" s="29">
        <v>57964.71</v>
      </c>
      <c r="L324" s="29">
        <v>52887.46</v>
      </c>
      <c r="M324" s="33">
        <v>49103.87</v>
      </c>
      <c r="N324" s="34">
        <f t="shared" si="4"/>
        <v>710394.21</v>
      </c>
    </row>
    <row r="325" spans="1:14" ht="15.75" thickBot="1" x14ac:dyDescent="0.3">
      <c r="A325" s="39" t="s">
        <v>633</v>
      </c>
      <c r="B325" s="28">
        <v>111973.8</v>
      </c>
      <c r="C325" s="28">
        <v>100990.64</v>
      </c>
      <c r="D325" s="28">
        <v>127810.8</v>
      </c>
      <c r="E325" s="29">
        <v>159884.68</v>
      </c>
      <c r="F325" s="29">
        <v>185309.65</v>
      </c>
      <c r="G325" s="29">
        <v>132077.73000000001</v>
      </c>
      <c r="H325" s="29">
        <v>6598.2</v>
      </c>
      <c r="I325" s="33">
        <v>5629.23</v>
      </c>
      <c r="J325" s="29">
        <v>5696.38</v>
      </c>
      <c r="K325" s="33">
        <v>2486.23</v>
      </c>
      <c r="L325" s="33">
        <v>2096.62</v>
      </c>
      <c r="M325" s="29">
        <v>637.16999999999996</v>
      </c>
      <c r="N325" s="30">
        <f t="shared" si="4"/>
        <v>841191.12999999989</v>
      </c>
    </row>
    <row r="326" spans="1:14" ht="15.75" thickBot="1" x14ac:dyDescent="0.3">
      <c r="A326" s="39" t="s">
        <v>634</v>
      </c>
      <c r="B326" s="40"/>
      <c r="C326" s="40"/>
      <c r="D326" s="40"/>
      <c r="E326" s="42"/>
      <c r="F326" s="42"/>
      <c r="G326" s="42"/>
      <c r="H326" s="42"/>
      <c r="I326" s="41"/>
      <c r="J326" s="42"/>
      <c r="K326" s="33"/>
      <c r="L326" s="33"/>
      <c r="M326" s="29"/>
      <c r="N326" s="30">
        <f t="shared" ref="N326:N389" si="5">SUM(B326:M326)</f>
        <v>0</v>
      </c>
    </row>
    <row r="327" spans="1:14" ht="15.75" thickBot="1" x14ac:dyDescent="0.3">
      <c r="A327" s="39" t="s">
        <v>635</v>
      </c>
      <c r="B327" s="28">
        <v>938239.11</v>
      </c>
      <c r="C327" s="28">
        <v>986118.04</v>
      </c>
      <c r="D327" s="28">
        <v>891062.65</v>
      </c>
      <c r="E327" s="29">
        <v>889206.37</v>
      </c>
      <c r="F327" s="29">
        <v>875687.53</v>
      </c>
      <c r="G327" s="29">
        <v>890747.89</v>
      </c>
      <c r="H327" s="29">
        <v>837497.95</v>
      </c>
      <c r="I327" s="33">
        <v>815441.81</v>
      </c>
      <c r="J327" s="29">
        <v>846926.12</v>
      </c>
      <c r="K327" s="29">
        <v>859298.08</v>
      </c>
      <c r="L327" s="29">
        <v>787388.4</v>
      </c>
      <c r="M327" s="33">
        <v>822708.84</v>
      </c>
      <c r="N327" s="34">
        <f t="shared" si="5"/>
        <v>10440322.789999999</v>
      </c>
    </row>
    <row r="328" spans="1:14" ht="15.75" thickBot="1" x14ac:dyDescent="0.3">
      <c r="A328" s="39" t="s">
        <v>636</v>
      </c>
      <c r="B328" s="32">
        <v>35192.910000000003</v>
      </c>
      <c r="C328" s="32">
        <v>60345.77</v>
      </c>
      <c r="D328" s="32">
        <v>171568.46</v>
      </c>
      <c r="E328" s="33">
        <v>94673.52</v>
      </c>
      <c r="F328" s="33">
        <v>78865.460000000006</v>
      </c>
      <c r="G328" s="33">
        <v>271790.69</v>
      </c>
      <c r="H328" s="33">
        <v>57431.519999999997</v>
      </c>
      <c r="I328" s="29">
        <v>35680.93</v>
      </c>
      <c r="J328" s="33">
        <v>278303.62</v>
      </c>
      <c r="K328" s="33">
        <v>19905.509999999998</v>
      </c>
      <c r="L328" s="33">
        <v>17406.330000000002</v>
      </c>
      <c r="M328" s="29">
        <v>-347889.21</v>
      </c>
      <c r="N328" s="30">
        <f t="shared" si="5"/>
        <v>773275.51000000024</v>
      </c>
    </row>
    <row r="329" spans="1:14" ht="15.75" thickBot="1" x14ac:dyDescent="0.3">
      <c r="A329" s="39" t="s">
        <v>637</v>
      </c>
      <c r="B329" s="28">
        <v>5526.32</v>
      </c>
      <c r="C329" s="28">
        <v>8874.7099999999991</v>
      </c>
      <c r="D329" s="28">
        <v>32964.36</v>
      </c>
      <c r="E329" s="29">
        <v>17359.82</v>
      </c>
      <c r="F329" s="29">
        <v>14767.15</v>
      </c>
      <c r="G329" s="29">
        <v>187586.63</v>
      </c>
      <c r="H329" s="29">
        <v>9976.18</v>
      </c>
      <c r="I329" s="33">
        <v>5845.2</v>
      </c>
      <c r="J329" s="29">
        <v>113853.55</v>
      </c>
      <c r="K329" s="29">
        <v>3764.41</v>
      </c>
      <c r="L329" s="29">
        <v>3482.02</v>
      </c>
      <c r="M329" s="33">
        <v>-211959.21</v>
      </c>
      <c r="N329" s="34">
        <f t="shared" si="5"/>
        <v>192041.13999999998</v>
      </c>
    </row>
    <row r="330" spans="1:14" ht="15.75" thickBot="1" x14ac:dyDescent="0.3">
      <c r="A330" s="39" t="s">
        <v>638</v>
      </c>
      <c r="B330" s="32">
        <v>1093.1300000000001</v>
      </c>
      <c r="C330" s="32">
        <v>1206.9000000000001</v>
      </c>
      <c r="D330" s="32">
        <v>34167.589999999997</v>
      </c>
      <c r="E330" s="33">
        <v>1819.16</v>
      </c>
      <c r="F330" s="33">
        <v>1761.19</v>
      </c>
      <c r="G330" s="33">
        <v>18711.990000000002</v>
      </c>
      <c r="H330" s="33">
        <v>1540.76</v>
      </c>
      <c r="I330" s="29">
        <v>1356.1</v>
      </c>
      <c r="J330" s="33">
        <v>873.02</v>
      </c>
      <c r="K330" s="33">
        <v>1255.31</v>
      </c>
      <c r="L330" s="33">
        <v>1230.24</v>
      </c>
      <c r="M330" s="29">
        <v>-13243.83</v>
      </c>
      <c r="N330" s="30">
        <f t="shared" si="5"/>
        <v>51771.56</v>
      </c>
    </row>
    <row r="331" spans="1:14" ht="15.75" thickBot="1" x14ac:dyDescent="0.3">
      <c r="A331" s="39" t="s">
        <v>638</v>
      </c>
      <c r="B331" s="28">
        <v>981.3</v>
      </c>
      <c r="C331" s="28">
        <v>1047.4000000000001</v>
      </c>
      <c r="D331" s="28">
        <v>1106.3399999999999</v>
      </c>
      <c r="E331" s="29">
        <v>1584.86</v>
      </c>
      <c r="F331" s="29">
        <v>1484.09</v>
      </c>
      <c r="G331" s="29">
        <v>1602.05</v>
      </c>
      <c r="H331" s="29">
        <v>1168.69</v>
      </c>
      <c r="I331" s="33">
        <v>1116.47</v>
      </c>
      <c r="J331" s="29">
        <v>601.29</v>
      </c>
      <c r="K331" s="29">
        <v>1070.83</v>
      </c>
      <c r="L331" s="29">
        <v>1094.33</v>
      </c>
      <c r="M331" s="33">
        <v>1108.78</v>
      </c>
      <c r="N331" s="34">
        <f t="shared" si="5"/>
        <v>13966.429999999998</v>
      </c>
    </row>
    <row r="332" spans="1:14" ht="15.75" thickBot="1" x14ac:dyDescent="0.3">
      <c r="A332" s="39" t="s">
        <v>639</v>
      </c>
      <c r="B332" s="40"/>
      <c r="C332" s="40"/>
      <c r="D332" s="40">
        <v>-24000</v>
      </c>
      <c r="E332" s="42"/>
      <c r="F332" s="42"/>
      <c r="G332" s="33">
        <v>17200</v>
      </c>
      <c r="H332" s="42"/>
      <c r="I332" s="41"/>
      <c r="J332" s="33">
        <v>57000</v>
      </c>
      <c r="K332" s="42"/>
      <c r="L332" s="42"/>
      <c r="M332" s="29">
        <v>25000</v>
      </c>
      <c r="N332" s="30">
        <f t="shared" si="5"/>
        <v>75200</v>
      </c>
    </row>
    <row r="333" spans="1:14" ht="15.75" thickBot="1" x14ac:dyDescent="0.3">
      <c r="A333" s="39" t="s">
        <v>640</v>
      </c>
      <c r="B333" s="28"/>
      <c r="C333" s="28">
        <v>-34.409999999999997</v>
      </c>
      <c r="D333" s="28">
        <v>1932.07</v>
      </c>
      <c r="E333" s="29">
        <v>2211.4499999999998</v>
      </c>
      <c r="F333" s="29">
        <v>-3937.35</v>
      </c>
      <c r="G333" s="29">
        <v>-1836.1</v>
      </c>
      <c r="H333" s="29">
        <v>3924.57</v>
      </c>
      <c r="I333" s="33">
        <v>-2260.2399999999998</v>
      </c>
      <c r="J333" s="41"/>
      <c r="K333" s="41"/>
      <c r="L333" s="41"/>
      <c r="M333" s="42"/>
      <c r="N333" s="34">
        <f t="shared" si="5"/>
        <v>-9.9999999997635314E-3</v>
      </c>
    </row>
    <row r="334" spans="1:14" ht="15.75" thickBot="1" x14ac:dyDescent="0.3">
      <c r="A334" s="39" t="s">
        <v>641</v>
      </c>
      <c r="B334" s="28"/>
      <c r="C334" s="28"/>
      <c r="D334" s="28"/>
      <c r="E334" s="29"/>
      <c r="F334" s="29"/>
      <c r="G334" s="29"/>
      <c r="H334" s="29"/>
      <c r="I334" s="33"/>
      <c r="J334" s="41"/>
      <c r="K334" s="42"/>
      <c r="L334" s="33">
        <v>423.67</v>
      </c>
      <c r="M334" s="29">
        <v>515.07000000000005</v>
      </c>
      <c r="N334" s="30">
        <f t="shared" si="5"/>
        <v>938.74</v>
      </c>
    </row>
    <row r="335" spans="1:14" ht="15.75" thickBot="1" x14ac:dyDescent="0.3">
      <c r="A335" s="39" t="s">
        <v>642</v>
      </c>
      <c r="B335" s="32">
        <v>22712</v>
      </c>
      <c r="C335" s="32">
        <v>13930</v>
      </c>
      <c r="D335" s="32">
        <v>220</v>
      </c>
      <c r="E335" s="33">
        <v>-9963</v>
      </c>
      <c r="F335" s="33">
        <v>1483</v>
      </c>
      <c r="G335" s="33">
        <v>-2779</v>
      </c>
      <c r="H335" s="33">
        <v>-19368</v>
      </c>
      <c r="I335" s="29">
        <v>-5436</v>
      </c>
      <c r="J335" s="33">
        <v>-4184</v>
      </c>
      <c r="K335" s="29">
        <v>-3096</v>
      </c>
      <c r="L335" s="29">
        <v>1381</v>
      </c>
      <c r="M335" s="33">
        <v>1172</v>
      </c>
      <c r="N335" s="34">
        <f t="shared" si="5"/>
        <v>-3928</v>
      </c>
    </row>
    <row r="336" spans="1:14" ht="15.75" thickBot="1" x14ac:dyDescent="0.3">
      <c r="A336" s="39" t="s">
        <v>643</v>
      </c>
      <c r="B336" s="28">
        <v>127.89</v>
      </c>
      <c r="C336" s="28">
        <v>1234.19</v>
      </c>
      <c r="D336" s="28">
        <v>1461.32</v>
      </c>
      <c r="E336" s="29">
        <v>162</v>
      </c>
      <c r="F336" s="29">
        <v>93.95</v>
      </c>
      <c r="G336" s="41"/>
      <c r="H336" s="41"/>
      <c r="I336" s="42"/>
      <c r="J336" s="41"/>
      <c r="K336" s="42"/>
      <c r="L336" s="42"/>
      <c r="M336" s="41"/>
      <c r="N336" s="30">
        <f t="shared" si="5"/>
        <v>3079.35</v>
      </c>
    </row>
    <row r="337" spans="1:14" ht="15.75" thickBot="1" x14ac:dyDescent="0.3">
      <c r="A337" s="39" t="s">
        <v>644</v>
      </c>
      <c r="B337" s="40"/>
      <c r="C337" s="40"/>
      <c r="D337" s="40"/>
      <c r="E337" s="42"/>
      <c r="F337" s="42"/>
      <c r="G337" s="42"/>
      <c r="H337" s="42"/>
      <c r="I337" s="41"/>
      <c r="J337" s="42"/>
      <c r="K337" s="41"/>
      <c r="L337" s="41"/>
      <c r="M337" s="42"/>
      <c r="N337" s="45">
        <f t="shared" si="5"/>
        <v>0</v>
      </c>
    </row>
    <row r="338" spans="1:14" ht="15.75" thickBot="1" x14ac:dyDescent="0.3">
      <c r="A338" s="39" t="s">
        <v>645</v>
      </c>
      <c r="B338" s="28">
        <v>9233.7099999999991</v>
      </c>
      <c r="C338" s="28">
        <v>13523.46</v>
      </c>
      <c r="D338" s="28">
        <v>16606.55</v>
      </c>
      <c r="E338" s="29">
        <v>11660.12</v>
      </c>
      <c r="F338" s="29">
        <v>21425.32</v>
      </c>
      <c r="G338" s="29">
        <v>8366.82</v>
      </c>
      <c r="H338" s="29">
        <v>12693.7</v>
      </c>
      <c r="I338" s="33">
        <v>9690.34</v>
      </c>
      <c r="J338" s="29">
        <v>8004.1</v>
      </c>
      <c r="K338" s="33">
        <v>39633.279999999999</v>
      </c>
      <c r="L338" s="33">
        <v>14148.14</v>
      </c>
      <c r="M338" s="29">
        <v>24680.02</v>
      </c>
      <c r="N338" s="30">
        <f t="shared" si="5"/>
        <v>189665.56000000003</v>
      </c>
    </row>
    <row r="339" spans="1:14" ht="15.75" thickBot="1" x14ac:dyDescent="0.3">
      <c r="A339" s="39" t="s">
        <v>646</v>
      </c>
      <c r="B339" s="40"/>
      <c r="C339" s="40"/>
      <c r="D339" s="40"/>
      <c r="E339" s="42"/>
      <c r="F339" s="42"/>
      <c r="G339" s="42"/>
      <c r="H339" s="42"/>
      <c r="I339" s="41"/>
      <c r="J339" s="42"/>
      <c r="K339" s="41"/>
      <c r="L339" s="41"/>
      <c r="M339" s="42"/>
      <c r="N339" s="45">
        <f t="shared" si="5"/>
        <v>0</v>
      </c>
    </row>
    <row r="340" spans="1:14" ht="15.75" thickBot="1" x14ac:dyDescent="0.3">
      <c r="A340" s="47" t="s">
        <v>647</v>
      </c>
      <c r="B340" s="43"/>
      <c r="C340" s="43"/>
      <c r="D340" s="43"/>
      <c r="E340" s="42"/>
      <c r="F340" s="42"/>
      <c r="G340" s="42"/>
      <c r="H340" s="42"/>
      <c r="I340" s="41"/>
      <c r="J340" s="42"/>
      <c r="K340" s="41"/>
      <c r="L340" s="41"/>
      <c r="M340" s="42"/>
      <c r="N340" s="45">
        <f t="shared" si="5"/>
        <v>0</v>
      </c>
    </row>
    <row r="341" spans="1:14" ht="15.75" thickBot="1" x14ac:dyDescent="0.3">
      <c r="A341" s="39" t="s">
        <v>648</v>
      </c>
      <c r="B341" s="40"/>
      <c r="C341" s="40"/>
      <c r="D341" s="40">
        <v>5000</v>
      </c>
      <c r="E341" s="41"/>
      <c r="F341" s="41"/>
      <c r="G341" s="41"/>
      <c r="H341" s="41"/>
      <c r="I341" s="42"/>
      <c r="J341" s="41"/>
      <c r="K341" s="42"/>
      <c r="L341" s="42"/>
      <c r="M341" s="41"/>
      <c r="N341" s="44">
        <f t="shared" si="5"/>
        <v>5000</v>
      </c>
    </row>
    <row r="342" spans="1:14" ht="15.75" thickBot="1" x14ac:dyDescent="0.3">
      <c r="A342" s="39" t="s">
        <v>649</v>
      </c>
      <c r="B342" s="28">
        <v>90123.22</v>
      </c>
      <c r="C342" s="28">
        <v>89958.54</v>
      </c>
      <c r="D342" s="28">
        <v>111164.63</v>
      </c>
      <c r="E342" s="33">
        <v>76418.789999999994</v>
      </c>
      <c r="F342" s="33">
        <v>69430.899999999994</v>
      </c>
      <c r="G342" s="33">
        <v>79681.259999999995</v>
      </c>
      <c r="H342" s="33">
        <v>73890.710000000006</v>
      </c>
      <c r="I342" s="29">
        <v>68067.44</v>
      </c>
      <c r="J342" s="33">
        <v>94008.84</v>
      </c>
      <c r="K342" s="29">
        <v>99989.58</v>
      </c>
      <c r="L342" s="29">
        <v>87931.64</v>
      </c>
      <c r="M342" s="33">
        <v>77812.52</v>
      </c>
      <c r="N342" s="34">
        <f t="shared" si="5"/>
        <v>1018478.07</v>
      </c>
    </row>
    <row r="343" spans="1:14" ht="15.75" thickBot="1" x14ac:dyDescent="0.3">
      <c r="A343" s="39" t="s">
        <v>650</v>
      </c>
      <c r="B343" s="32">
        <v>114048.03</v>
      </c>
      <c r="C343" s="32">
        <v>88629.54</v>
      </c>
      <c r="D343" s="32">
        <v>102820.24</v>
      </c>
      <c r="E343" s="29">
        <v>68385.899999999994</v>
      </c>
      <c r="F343" s="29">
        <v>124987.15</v>
      </c>
      <c r="G343" s="29">
        <v>76850.149999999994</v>
      </c>
      <c r="H343" s="29">
        <v>96347.22</v>
      </c>
      <c r="I343" s="33">
        <v>72208.94</v>
      </c>
      <c r="J343" s="29">
        <v>74674.05</v>
      </c>
      <c r="K343" s="33">
        <v>67564.66</v>
      </c>
      <c r="L343" s="33">
        <v>66436.240000000005</v>
      </c>
      <c r="M343" s="29">
        <v>74560.92</v>
      </c>
      <c r="N343" s="30">
        <f t="shared" si="5"/>
        <v>1027513.04</v>
      </c>
    </row>
    <row r="344" spans="1:14" ht="15.75" thickBot="1" x14ac:dyDescent="0.3">
      <c r="A344" s="39" t="s">
        <v>651</v>
      </c>
      <c r="B344" s="28">
        <v>21710.25</v>
      </c>
      <c r="C344" s="28">
        <v>29708</v>
      </c>
      <c r="D344" s="28">
        <v>29465.37</v>
      </c>
      <c r="E344" s="33">
        <v>32464.74</v>
      </c>
      <c r="F344" s="33">
        <v>30395.79</v>
      </c>
      <c r="G344" s="33">
        <v>31615.43</v>
      </c>
      <c r="H344" s="33">
        <v>53335.32</v>
      </c>
      <c r="I344" s="29">
        <v>39261.96</v>
      </c>
      <c r="J344" s="33">
        <v>40824.769999999997</v>
      </c>
      <c r="K344" s="29">
        <v>51679.71</v>
      </c>
      <c r="L344" s="29">
        <v>73924.92</v>
      </c>
      <c r="M344" s="33">
        <v>47258.19</v>
      </c>
      <c r="N344" s="34">
        <f t="shared" si="5"/>
        <v>481644.45</v>
      </c>
    </row>
    <row r="345" spans="1:14" ht="15.75" thickBot="1" x14ac:dyDescent="0.3">
      <c r="A345" s="47" t="s">
        <v>652</v>
      </c>
      <c r="B345" s="40"/>
      <c r="C345" s="40"/>
      <c r="D345" s="40"/>
      <c r="E345" s="33"/>
      <c r="F345" s="33"/>
      <c r="G345" s="33"/>
      <c r="H345" s="33"/>
      <c r="I345" s="29"/>
      <c r="J345" s="33"/>
      <c r="K345" s="29"/>
      <c r="L345" s="29"/>
      <c r="M345" s="33"/>
      <c r="N345" s="34">
        <f t="shared" si="5"/>
        <v>0</v>
      </c>
    </row>
    <row r="346" spans="1:14" ht="15.75" thickBot="1" x14ac:dyDescent="0.3">
      <c r="A346" s="39" t="s">
        <v>653</v>
      </c>
      <c r="B346" s="28">
        <v>14257.85</v>
      </c>
      <c r="C346" s="28">
        <v>133287.91</v>
      </c>
      <c r="D346" s="28">
        <v>135276.25</v>
      </c>
      <c r="E346" s="29">
        <v>38.99</v>
      </c>
      <c r="F346" s="29">
        <v>463.89</v>
      </c>
      <c r="G346" s="29">
        <v>998.23</v>
      </c>
      <c r="H346" s="29">
        <v>2792.51</v>
      </c>
      <c r="I346" s="33">
        <v>38.99</v>
      </c>
      <c r="J346" s="29">
        <v>514.99</v>
      </c>
      <c r="K346" s="33">
        <v>1768.76</v>
      </c>
      <c r="L346" s="46">
        <v>0</v>
      </c>
      <c r="M346" s="41"/>
      <c r="N346" s="30">
        <f t="shared" si="5"/>
        <v>289438.37</v>
      </c>
    </row>
    <row r="347" spans="1:14" ht="15.75" thickBot="1" x14ac:dyDescent="0.3">
      <c r="A347" s="39" t="s">
        <v>654</v>
      </c>
      <c r="B347" s="40"/>
      <c r="C347" s="40"/>
      <c r="D347" s="40"/>
      <c r="E347" s="42"/>
      <c r="F347" s="42"/>
      <c r="G347" s="42"/>
      <c r="H347" s="42"/>
      <c r="I347" s="41"/>
      <c r="J347" s="42"/>
      <c r="K347" s="41"/>
      <c r="L347" s="41"/>
      <c r="M347" s="42"/>
      <c r="N347" s="45">
        <f t="shared" si="5"/>
        <v>0</v>
      </c>
    </row>
    <row r="348" spans="1:14" ht="15.75" thickBot="1" x14ac:dyDescent="0.3">
      <c r="A348" s="39" t="s">
        <v>655</v>
      </c>
      <c r="B348" s="43"/>
      <c r="C348" s="43"/>
      <c r="D348" s="43">
        <v>37957.75</v>
      </c>
      <c r="E348" s="41"/>
      <c r="F348" s="41"/>
      <c r="G348" s="41"/>
      <c r="H348" s="41"/>
      <c r="I348" s="42"/>
      <c r="J348" s="41"/>
      <c r="K348" s="42"/>
      <c r="L348" s="42"/>
      <c r="M348" s="41"/>
      <c r="N348" s="44">
        <f t="shared" si="5"/>
        <v>37957.75</v>
      </c>
    </row>
    <row r="349" spans="1:14" ht="15.75" thickBot="1" x14ac:dyDescent="0.3">
      <c r="A349" s="39" t="s">
        <v>656</v>
      </c>
      <c r="B349" s="32">
        <v>57747.3</v>
      </c>
      <c r="C349" s="32">
        <v>78657.91</v>
      </c>
      <c r="D349" s="32">
        <v>66496.44</v>
      </c>
      <c r="E349" s="33">
        <v>66809.19</v>
      </c>
      <c r="F349" s="33">
        <v>69822.58</v>
      </c>
      <c r="G349" s="33">
        <v>80453.240000000005</v>
      </c>
      <c r="H349" s="33">
        <v>64366.46</v>
      </c>
      <c r="I349" s="29">
        <v>77573.490000000005</v>
      </c>
      <c r="J349" s="33">
        <v>70375.679999999993</v>
      </c>
      <c r="K349" s="29">
        <v>82394.399999999994</v>
      </c>
      <c r="L349" s="29">
        <v>78488.72</v>
      </c>
      <c r="M349" s="33">
        <v>81042.64</v>
      </c>
      <c r="N349" s="34">
        <f t="shared" si="5"/>
        <v>874228.05</v>
      </c>
    </row>
    <row r="350" spans="1:14" ht="15.75" thickBot="1" x14ac:dyDescent="0.3">
      <c r="A350" s="39" t="s">
        <v>657</v>
      </c>
      <c r="B350" s="28">
        <v>23626.42</v>
      </c>
      <c r="C350" s="28">
        <v>58761.74</v>
      </c>
      <c r="D350" s="28">
        <v>25712.94</v>
      </c>
      <c r="E350" s="29">
        <v>59651.83</v>
      </c>
      <c r="F350" s="29">
        <v>32940.47</v>
      </c>
      <c r="G350" s="29">
        <v>47796.58</v>
      </c>
      <c r="H350" s="29">
        <v>33330.1</v>
      </c>
      <c r="I350" s="33">
        <v>55974.2</v>
      </c>
      <c r="J350" s="29">
        <v>26039.08</v>
      </c>
      <c r="K350" s="33">
        <v>45840.56</v>
      </c>
      <c r="L350" s="33">
        <v>47128.69</v>
      </c>
      <c r="M350" s="29">
        <v>39447.019999999997</v>
      </c>
      <c r="N350" s="30">
        <f t="shared" si="5"/>
        <v>496249.63</v>
      </c>
    </row>
    <row r="351" spans="1:14" ht="15.75" thickBot="1" x14ac:dyDescent="0.3">
      <c r="A351" s="39" t="s">
        <v>658</v>
      </c>
      <c r="B351" s="32">
        <v>4653.54</v>
      </c>
      <c r="C351" s="32">
        <v>2534.4499999999998</v>
      </c>
      <c r="D351" s="32">
        <v>3830.09</v>
      </c>
      <c r="E351" s="33">
        <v>6132.67</v>
      </c>
      <c r="F351" s="33">
        <v>8002.75</v>
      </c>
      <c r="G351" s="33">
        <v>7093.64</v>
      </c>
      <c r="H351" s="33">
        <v>5844.68</v>
      </c>
      <c r="I351" s="29">
        <v>4078.42</v>
      </c>
      <c r="J351" s="33">
        <v>3634.56</v>
      </c>
      <c r="K351" s="29">
        <v>3530.22</v>
      </c>
      <c r="L351" s="29">
        <v>2229.67</v>
      </c>
      <c r="M351" s="33">
        <v>6082.74</v>
      </c>
      <c r="N351" s="34">
        <f t="shared" si="5"/>
        <v>57647.429999999993</v>
      </c>
    </row>
    <row r="352" spans="1:14" ht="15.75" thickBot="1" x14ac:dyDescent="0.3">
      <c r="A352" s="39" t="s">
        <v>659</v>
      </c>
      <c r="B352" s="28">
        <v>195196.97</v>
      </c>
      <c r="C352" s="28">
        <v>204880.82</v>
      </c>
      <c r="D352" s="28">
        <v>91127.62</v>
      </c>
      <c r="E352" s="29">
        <v>115782.33</v>
      </c>
      <c r="F352" s="29">
        <v>70398.61</v>
      </c>
      <c r="G352" s="29">
        <v>331489.17</v>
      </c>
      <c r="H352" s="29">
        <v>240922.69</v>
      </c>
      <c r="I352" s="33">
        <v>119951.83</v>
      </c>
      <c r="J352" s="29">
        <v>41120.300000000003</v>
      </c>
      <c r="K352" s="33">
        <v>31900.1</v>
      </c>
      <c r="L352" s="33">
        <v>30470.18</v>
      </c>
      <c r="M352" s="29">
        <v>158380.48000000001</v>
      </c>
      <c r="N352" s="30">
        <f t="shared" si="5"/>
        <v>1631621.1</v>
      </c>
    </row>
    <row r="353" spans="1:14" ht="15.75" thickBot="1" x14ac:dyDescent="0.3">
      <c r="A353" s="39" t="s">
        <v>660</v>
      </c>
      <c r="B353" s="32">
        <v>28130.25</v>
      </c>
      <c r="C353" s="32">
        <v>29734.6</v>
      </c>
      <c r="D353" s="32">
        <v>8850</v>
      </c>
      <c r="E353" s="33">
        <v>14049.44</v>
      </c>
      <c r="F353" s="33">
        <v>6450</v>
      </c>
      <c r="G353" s="33">
        <v>27000</v>
      </c>
      <c r="H353" s="33">
        <v>22061.91</v>
      </c>
      <c r="I353" s="29">
        <v>5700</v>
      </c>
      <c r="J353" s="33">
        <v>4850</v>
      </c>
      <c r="K353" s="29">
        <v>3000</v>
      </c>
      <c r="L353" s="29">
        <v>3000</v>
      </c>
      <c r="M353" s="33">
        <v>19950.95</v>
      </c>
      <c r="N353" s="34">
        <f t="shared" si="5"/>
        <v>172777.15000000002</v>
      </c>
    </row>
    <row r="354" spans="1:14" ht="15.75" thickBot="1" x14ac:dyDescent="0.3">
      <c r="A354" s="39" t="s">
        <v>661</v>
      </c>
      <c r="B354" s="28">
        <v>32041.86</v>
      </c>
      <c r="C354" s="28">
        <v>32310.21</v>
      </c>
      <c r="D354" s="28">
        <v>10215</v>
      </c>
      <c r="E354" s="29">
        <v>14065</v>
      </c>
      <c r="F354" s="29">
        <v>7907.15</v>
      </c>
      <c r="G354" s="29">
        <v>32501.48</v>
      </c>
      <c r="H354" s="29">
        <v>27229.46</v>
      </c>
      <c r="I354" s="33">
        <v>8040</v>
      </c>
      <c r="J354" s="29">
        <v>2730</v>
      </c>
      <c r="K354" s="33">
        <v>5135</v>
      </c>
      <c r="L354" s="33">
        <v>3968</v>
      </c>
      <c r="M354" s="29">
        <v>19833.45</v>
      </c>
      <c r="N354" s="30">
        <f t="shared" si="5"/>
        <v>195976.61000000002</v>
      </c>
    </row>
    <row r="355" spans="1:14" ht="15.75" thickBot="1" x14ac:dyDescent="0.3">
      <c r="A355" s="39" t="s">
        <v>662</v>
      </c>
      <c r="B355" s="32">
        <v>14400</v>
      </c>
      <c r="C355" s="32">
        <v>21250</v>
      </c>
      <c r="D355" s="32">
        <v>9700</v>
      </c>
      <c r="E355" s="33">
        <v>10150</v>
      </c>
      <c r="F355" s="33">
        <v>7200</v>
      </c>
      <c r="G355" s="33">
        <v>30600</v>
      </c>
      <c r="H355" s="33">
        <v>22900</v>
      </c>
      <c r="I355" s="29">
        <v>6350</v>
      </c>
      <c r="J355" s="33">
        <v>2550</v>
      </c>
      <c r="K355" s="29">
        <v>3400</v>
      </c>
      <c r="L355" s="29">
        <v>3400</v>
      </c>
      <c r="M355" s="33">
        <v>19700</v>
      </c>
      <c r="N355" s="34">
        <f t="shared" si="5"/>
        <v>151600</v>
      </c>
    </row>
    <row r="356" spans="1:14" ht="15.75" thickBot="1" x14ac:dyDescent="0.3">
      <c r="A356" s="39" t="s">
        <v>663</v>
      </c>
      <c r="B356" s="28">
        <v>300.93</v>
      </c>
      <c r="C356" s="28">
        <v>114.64</v>
      </c>
      <c r="D356" s="28">
        <v>114.64</v>
      </c>
      <c r="E356" s="29">
        <v>172.07</v>
      </c>
      <c r="F356" s="29">
        <v>157.72999999999999</v>
      </c>
      <c r="G356" s="29">
        <v>192.02</v>
      </c>
      <c r="H356" s="29">
        <v>162.13999999999999</v>
      </c>
      <c r="I356" s="33">
        <v>117.92</v>
      </c>
      <c r="J356" s="29">
        <v>176.88</v>
      </c>
      <c r="K356" s="33">
        <v>265.32</v>
      </c>
      <c r="L356" s="33">
        <v>235.84</v>
      </c>
      <c r="M356" s="29">
        <v>383.24</v>
      </c>
      <c r="N356" s="30">
        <f t="shared" si="5"/>
        <v>2393.37</v>
      </c>
    </row>
    <row r="357" spans="1:14" ht="15.75" thickBot="1" x14ac:dyDescent="0.3">
      <c r="A357" s="39" t="s">
        <v>664</v>
      </c>
      <c r="B357" s="32">
        <v>-383634.7</v>
      </c>
      <c r="C357" s="32">
        <v>-392686.53</v>
      </c>
      <c r="D357" s="32">
        <v>-252441.94</v>
      </c>
      <c r="E357" s="33">
        <v>-357667.57</v>
      </c>
      <c r="F357" s="33">
        <v>-183562.18</v>
      </c>
      <c r="G357" s="33">
        <v>-522470.44</v>
      </c>
      <c r="H357" s="33">
        <v>-406846.65</v>
      </c>
      <c r="I357" s="29">
        <v>-225356.28</v>
      </c>
      <c r="J357" s="33">
        <v>-167345.44</v>
      </c>
      <c r="K357" s="29">
        <v>-159520.59</v>
      </c>
      <c r="L357" s="29">
        <v>-145510.19</v>
      </c>
      <c r="M357" s="33">
        <v>-315628.44</v>
      </c>
      <c r="N357" s="34">
        <f t="shared" si="5"/>
        <v>-3512670.9499999993</v>
      </c>
    </row>
    <row r="358" spans="1:14" ht="15.75" thickBot="1" x14ac:dyDescent="0.3">
      <c r="A358" s="39" t="s">
        <v>665</v>
      </c>
      <c r="B358" s="28"/>
      <c r="C358" s="28"/>
      <c r="D358" s="28"/>
      <c r="E358" s="41"/>
      <c r="F358" s="41"/>
      <c r="G358" s="41"/>
      <c r="H358" s="41"/>
      <c r="I358" s="42"/>
      <c r="J358" s="41"/>
      <c r="K358" s="42"/>
      <c r="L358" s="42"/>
      <c r="M358" s="41"/>
      <c r="N358" s="44">
        <f t="shared" si="5"/>
        <v>0</v>
      </c>
    </row>
    <row r="359" spans="1:14" ht="15.75" thickBot="1" x14ac:dyDescent="0.3">
      <c r="A359" s="39" t="s">
        <v>666</v>
      </c>
      <c r="B359" s="40"/>
      <c r="C359" s="40"/>
      <c r="D359" s="40"/>
      <c r="E359" s="33">
        <v>108000</v>
      </c>
      <c r="F359" s="42"/>
      <c r="G359" s="42"/>
      <c r="H359" s="42"/>
      <c r="I359" s="41"/>
      <c r="J359" s="33">
        <v>4000</v>
      </c>
      <c r="K359" s="41"/>
      <c r="L359" s="41"/>
      <c r="M359" s="42"/>
      <c r="N359" s="34">
        <f t="shared" si="5"/>
        <v>112000</v>
      </c>
    </row>
    <row r="360" spans="1:14" ht="15.75" thickBot="1" x14ac:dyDescent="0.3">
      <c r="A360" s="39" t="s">
        <v>667</v>
      </c>
      <c r="B360" s="40"/>
      <c r="C360" s="40"/>
      <c r="D360" s="40">
        <v>6364.62</v>
      </c>
      <c r="E360" s="41"/>
      <c r="F360" s="41"/>
      <c r="G360" s="41"/>
      <c r="H360" s="41"/>
      <c r="I360" s="42"/>
      <c r="J360" s="41"/>
      <c r="K360" s="42"/>
      <c r="L360" s="42"/>
      <c r="M360" s="41"/>
      <c r="N360" s="44">
        <f t="shared" si="5"/>
        <v>6364.62</v>
      </c>
    </row>
    <row r="361" spans="1:14" ht="15.75" thickBot="1" x14ac:dyDescent="0.3">
      <c r="A361" s="39" t="s">
        <v>668</v>
      </c>
      <c r="B361" s="43"/>
      <c r="C361" s="43"/>
      <c r="D361" s="43">
        <v>6833.59</v>
      </c>
      <c r="E361" s="42"/>
      <c r="F361" s="42"/>
      <c r="G361" s="42"/>
      <c r="H361" s="42"/>
      <c r="I361" s="41"/>
      <c r="J361" s="42"/>
      <c r="K361" s="41"/>
      <c r="L361" s="41"/>
      <c r="M361" s="42"/>
      <c r="N361" s="45">
        <f t="shared" si="5"/>
        <v>6833.59</v>
      </c>
    </row>
    <row r="362" spans="1:14" ht="15.75" thickBot="1" x14ac:dyDescent="0.3">
      <c r="A362" s="39" t="s">
        <v>669</v>
      </c>
      <c r="B362" s="40"/>
      <c r="C362" s="40"/>
      <c r="D362" s="40"/>
      <c r="E362" s="41"/>
      <c r="F362" s="41"/>
      <c r="G362" s="41"/>
      <c r="H362" s="41"/>
      <c r="I362" s="42"/>
      <c r="J362" s="41"/>
      <c r="K362" s="42"/>
      <c r="L362" s="42"/>
      <c r="M362" s="41"/>
      <c r="N362" s="44">
        <f t="shared" si="5"/>
        <v>0</v>
      </c>
    </row>
    <row r="363" spans="1:14" ht="15.75" thickBot="1" x14ac:dyDescent="0.3">
      <c r="A363" s="39" t="s">
        <v>670</v>
      </c>
      <c r="B363" s="28">
        <v>53493.82</v>
      </c>
      <c r="C363" s="28">
        <v>53678.49</v>
      </c>
      <c r="D363" s="28">
        <v>49155.88</v>
      </c>
      <c r="E363" s="33">
        <v>53718.91</v>
      </c>
      <c r="F363" s="33">
        <v>57084.42</v>
      </c>
      <c r="G363" s="33">
        <v>61457.69</v>
      </c>
      <c r="H363" s="33">
        <v>60109.42</v>
      </c>
      <c r="I363" s="29">
        <v>56929.62</v>
      </c>
      <c r="J363" s="33">
        <v>55194.46</v>
      </c>
      <c r="K363" s="29">
        <v>55356.14</v>
      </c>
      <c r="L363" s="29">
        <v>52518.04</v>
      </c>
      <c r="M363" s="33">
        <v>57170.96</v>
      </c>
      <c r="N363" s="34">
        <f t="shared" si="5"/>
        <v>665867.85</v>
      </c>
    </row>
    <row r="364" spans="1:14" ht="15.75" thickBot="1" x14ac:dyDescent="0.3">
      <c r="A364" s="39" t="s">
        <v>671</v>
      </c>
      <c r="B364" s="32">
        <v>8218</v>
      </c>
      <c r="C364" s="32">
        <v>20865.02</v>
      </c>
      <c r="D364" s="32">
        <v>13586.94</v>
      </c>
      <c r="E364" s="29">
        <v>20366</v>
      </c>
      <c r="F364" s="29">
        <v>114.94</v>
      </c>
      <c r="G364" s="29">
        <v>26095</v>
      </c>
      <c r="H364" s="29">
        <v>3374</v>
      </c>
      <c r="I364" s="33">
        <v>38052.58</v>
      </c>
      <c r="J364" s="29">
        <v>8463.59</v>
      </c>
      <c r="K364" s="33">
        <v>25227.5</v>
      </c>
      <c r="L364" s="33">
        <v>7934.97</v>
      </c>
      <c r="M364" s="29">
        <v>22185.63</v>
      </c>
      <c r="N364" s="30">
        <f t="shared" si="5"/>
        <v>194484.17</v>
      </c>
    </row>
    <row r="365" spans="1:14" ht="15.75" thickBot="1" x14ac:dyDescent="0.3">
      <c r="A365" s="39" t="s">
        <v>672</v>
      </c>
      <c r="B365" s="28">
        <v>22893.29</v>
      </c>
      <c r="C365" s="28">
        <v>15694.84</v>
      </c>
      <c r="D365" s="28">
        <v>66822.289999999994</v>
      </c>
      <c r="E365" s="33">
        <v>49294.41</v>
      </c>
      <c r="F365" s="33">
        <v>31135.14</v>
      </c>
      <c r="G365" s="33">
        <v>90002.36</v>
      </c>
      <c r="H365" s="33">
        <v>108641.45</v>
      </c>
      <c r="I365" s="29">
        <v>-6631.5</v>
      </c>
      <c r="J365" s="33">
        <v>12422.46</v>
      </c>
      <c r="K365" s="29">
        <v>66093.350000000006</v>
      </c>
      <c r="L365" s="29">
        <v>24470.63</v>
      </c>
      <c r="M365" s="33">
        <v>33812.559999999998</v>
      </c>
      <c r="N365" s="34">
        <f t="shared" si="5"/>
        <v>514651.28000000009</v>
      </c>
    </row>
    <row r="366" spans="1:14" ht="15.75" thickBot="1" x14ac:dyDescent="0.3">
      <c r="A366" s="39" t="s">
        <v>673</v>
      </c>
      <c r="B366" s="40">
        <v>44305.05</v>
      </c>
      <c r="C366" s="40">
        <v>38500.120000000003</v>
      </c>
      <c r="D366" s="40">
        <v>35182.639999999999</v>
      </c>
      <c r="E366" s="29">
        <v>15190</v>
      </c>
      <c r="F366" s="29">
        <v>30908.5</v>
      </c>
      <c r="G366" s="29">
        <v>58046.5</v>
      </c>
      <c r="H366" s="29">
        <v>31746</v>
      </c>
      <c r="I366" s="42"/>
      <c r="J366" s="41"/>
      <c r="K366" s="33">
        <v>34497</v>
      </c>
      <c r="L366" s="33">
        <v>29347</v>
      </c>
      <c r="M366" s="29">
        <v>29347</v>
      </c>
      <c r="N366" s="30">
        <f t="shared" si="5"/>
        <v>347069.81</v>
      </c>
    </row>
    <row r="367" spans="1:14" ht="15.75" thickBot="1" x14ac:dyDescent="0.3">
      <c r="A367" s="39" t="s">
        <v>674</v>
      </c>
      <c r="B367" s="43"/>
      <c r="C367" s="43"/>
      <c r="D367" s="43"/>
      <c r="E367" s="42"/>
      <c r="F367" s="42"/>
      <c r="G367" s="42"/>
      <c r="H367" s="42"/>
      <c r="I367" s="41"/>
      <c r="J367" s="42"/>
      <c r="K367" s="41"/>
      <c r="L367" s="41"/>
      <c r="M367" s="42"/>
      <c r="N367" s="45">
        <f t="shared" si="5"/>
        <v>0</v>
      </c>
    </row>
    <row r="368" spans="1:14" ht="15.75" thickBot="1" x14ac:dyDescent="0.3">
      <c r="A368" s="39" t="s">
        <v>675</v>
      </c>
      <c r="B368" s="40"/>
      <c r="C368" s="40"/>
      <c r="D368" s="40"/>
      <c r="E368" s="41"/>
      <c r="F368" s="41"/>
      <c r="G368" s="41"/>
      <c r="H368" s="41"/>
      <c r="I368" s="42"/>
      <c r="J368" s="41"/>
      <c r="K368" s="42"/>
      <c r="L368" s="42"/>
      <c r="M368" s="41"/>
      <c r="N368" s="44">
        <f t="shared" si="5"/>
        <v>0</v>
      </c>
    </row>
    <row r="369" spans="1:14" ht="15.75" thickBot="1" x14ac:dyDescent="0.3">
      <c r="A369" s="39" t="s">
        <v>676</v>
      </c>
      <c r="B369" s="28">
        <v>68074.48</v>
      </c>
      <c r="C369" s="28">
        <v>69101.440000000002</v>
      </c>
      <c r="D369" s="28">
        <v>69573.45</v>
      </c>
      <c r="E369" s="33">
        <v>18239.03</v>
      </c>
      <c r="F369" s="33">
        <v>46331.27</v>
      </c>
      <c r="G369" s="33">
        <v>73591.64</v>
      </c>
      <c r="H369" s="33">
        <v>155727.89000000001</v>
      </c>
      <c r="I369" s="29">
        <v>23625.11</v>
      </c>
      <c r="J369" s="33">
        <v>20872.18</v>
      </c>
      <c r="K369" s="29">
        <v>122367.1</v>
      </c>
      <c r="L369" s="29">
        <v>37219.71</v>
      </c>
      <c r="M369" s="33">
        <v>56899.3</v>
      </c>
      <c r="N369" s="34">
        <f t="shared" si="5"/>
        <v>761622.6</v>
      </c>
    </row>
    <row r="370" spans="1:14" ht="15.75" thickBot="1" x14ac:dyDescent="0.3">
      <c r="A370" s="39" t="s">
        <v>677</v>
      </c>
      <c r="B370" s="40">
        <v>6524.79</v>
      </c>
      <c r="C370" s="40">
        <v>5669.9</v>
      </c>
      <c r="D370" s="40">
        <v>5181.34</v>
      </c>
      <c r="E370" s="41"/>
      <c r="F370" s="29">
        <v>5000</v>
      </c>
      <c r="G370" s="29">
        <v>5000</v>
      </c>
      <c r="H370" s="29">
        <v>5000</v>
      </c>
      <c r="I370" s="42"/>
      <c r="J370" s="41"/>
      <c r="K370" s="33">
        <v>8333.34</v>
      </c>
      <c r="L370" s="33">
        <v>4166.67</v>
      </c>
      <c r="M370" s="41"/>
      <c r="N370" s="30">
        <f t="shared" si="5"/>
        <v>44876.039999999994</v>
      </c>
    </row>
    <row r="371" spans="1:14" ht="15.75" thickBot="1" x14ac:dyDescent="0.3">
      <c r="A371" s="39" t="s">
        <v>678</v>
      </c>
      <c r="B371" s="28">
        <v>24997.59</v>
      </c>
      <c r="C371" s="28">
        <v>134991.43</v>
      </c>
      <c r="D371" s="28">
        <v>56872.62</v>
      </c>
      <c r="E371" s="33">
        <v>17299.98</v>
      </c>
      <c r="F371" s="33">
        <v>46751.85</v>
      </c>
      <c r="G371" s="33">
        <v>57098.59</v>
      </c>
      <c r="H371" s="33">
        <v>30790.35</v>
      </c>
      <c r="I371" s="29">
        <v>23653.87</v>
      </c>
      <c r="J371" s="33">
        <v>6347.91</v>
      </c>
      <c r="K371" s="29">
        <v>17055.599999999999</v>
      </c>
      <c r="L371" s="29">
        <v>18514.11</v>
      </c>
      <c r="M371" s="33">
        <v>13621.55</v>
      </c>
      <c r="N371" s="34">
        <f t="shared" si="5"/>
        <v>447995.44999999984</v>
      </c>
    </row>
    <row r="372" spans="1:14" ht="15.75" thickBot="1" x14ac:dyDescent="0.3">
      <c r="A372" s="39" t="s">
        <v>679</v>
      </c>
      <c r="B372" s="28"/>
      <c r="C372" s="28"/>
      <c r="D372" s="28">
        <v>1000</v>
      </c>
      <c r="E372" s="41"/>
      <c r="F372" s="41"/>
      <c r="G372" s="41"/>
      <c r="H372" s="41"/>
      <c r="I372" s="42"/>
      <c r="J372" s="41"/>
      <c r="K372" s="42"/>
      <c r="L372" s="42"/>
      <c r="M372" s="41"/>
      <c r="N372" s="44">
        <f t="shared" si="5"/>
        <v>1000</v>
      </c>
    </row>
    <row r="373" spans="1:14" ht="15.75" thickBot="1" x14ac:dyDescent="0.3">
      <c r="A373" s="39" t="s">
        <v>680</v>
      </c>
      <c r="B373" s="40"/>
      <c r="C373" s="40"/>
      <c r="D373" s="40"/>
      <c r="E373" s="42"/>
      <c r="F373" s="42"/>
      <c r="G373" s="42"/>
      <c r="H373" s="42"/>
      <c r="I373" s="41"/>
      <c r="J373" s="42"/>
      <c r="K373" s="41"/>
      <c r="L373" s="41"/>
      <c r="M373" s="42"/>
      <c r="N373" s="45">
        <f t="shared" si="5"/>
        <v>0</v>
      </c>
    </row>
    <row r="374" spans="1:14" ht="15.75" thickBot="1" x14ac:dyDescent="0.3">
      <c r="A374" s="39" t="s">
        <v>681</v>
      </c>
      <c r="B374" s="43"/>
      <c r="C374" s="43"/>
      <c r="D374" s="43"/>
      <c r="E374" s="41"/>
      <c r="F374" s="41"/>
      <c r="G374" s="41"/>
      <c r="H374" s="41"/>
      <c r="I374" s="42"/>
      <c r="J374" s="41"/>
      <c r="K374" s="42"/>
      <c r="L374" s="42"/>
      <c r="M374" s="41"/>
      <c r="N374" s="44">
        <f t="shared" si="5"/>
        <v>0</v>
      </c>
    </row>
    <row r="375" spans="1:14" ht="15.75" thickBot="1" x14ac:dyDescent="0.3">
      <c r="A375" s="47" t="s">
        <v>682</v>
      </c>
      <c r="B375" s="40"/>
      <c r="C375" s="40"/>
      <c r="D375" s="40"/>
      <c r="E375" s="41"/>
      <c r="F375" s="41"/>
      <c r="G375" s="41"/>
      <c r="H375" s="41"/>
      <c r="I375" s="42"/>
      <c r="J375" s="41"/>
      <c r="K375" s="42"/>
      <c r="L375" s="42"/>
      <c r="M375" s="41"/>
      <c r="N375" s="44">
        <f t="shared" si="5"/>
        <v>0</v>
      </c>
    </row>
    <row r="376" spans="1:14" ht="15.75" thickBot="1" x14ac:dyDescent="0.3">
      <c r="A376" s="39" t="s">
        <v>683</v>
      </c>
      <c r="B376" s="28">
        <v>12281.02</v>
      </c>
      <c r="C376" s="28">
        <v>12532.6</v>
      </c>
      <c r="D376" s="28">
        <v>-26691.47</v>
      </c>
      <c r="E376" s="33">
        <v>11973.16</v>
      </c>
      <c r="F376" s="33">
        <v>13419.32</v>
      </c>
      <c r="G376" s="33">
        <v>13903.92</v>
      </c>
      <c r="H376" s="33">
        <v>12319.09</v>
      </c>
      <c r="I376" s="29">
        <v>13477.8</v>
      </c>
      <c r="J376" s="33">
        <v>13372.95</v>
      </c>
      <c r="K376" s="29">
        <v>12360.12</v>
      </c>
      <c r="L376" s="29">
        <v>8088.07</v>
      </c>
      <c r="M376" s="33">
        <v>8724.41</v>
      </c>
      <c r="N376" s="34">
        <f t="shared" si="5"/>
        <v>105760.98999999999</v>
      </c>
    </row>
    <row r="377" spans="1:14" ht="15.75" thickBot="1" x14ac:dyDescent="0.3">
      <c r="A377" s="39" t="s">
        <v>684</v>
      </c>
      <c r="B377" s="32">
        <v>142</v>
      </c>
      <c r="C377" s="32">
        <v>5827.58</v>
      </c>
      <c r="D377" s="32">
        <v>-6284.58</v>
      </c>
      <c r="E377" s="29">
        <v>10860</v>
      </c>
      <c r="F377" s="29">
        <v>953.35</v>
      </c>
      <c r="G377" s="29">
        <v>438.19</v>
      </c>
      <c r="H377" s="29">
        <v>82.3</v>
      </c>
      <c r="I377" s="33">
        <v>-2336.4</v>
      </c>
      <c r="J377" s="41"/>
      <c r="K377" s="42"/>
      <c r="L377" s="42"/>
      <c r="M377" s="41"/>
      <c r="N377" s="30">
        <f t="shared" si="5"/>
        <v>9682.44</v>
      </c>
    </row>
    <row r="378" spans="1:14" ht="15.75" thickBot="1" x14ac:dyDescent="0.3">
      <c r="A378" s="39" t="s">
        <v>685</v>
      </c>
      <c r="B378" s="28">
        <v>8464.89</v>
      </c>
      <c r="C378" s="28">
        <v>14286.35</v>
      </c>
      <c r="D378" s="28">
        <v>29688.19</v>
      </c>
      <c r="E378" s="33">
        <v>5250.76</v>
      </c>
      <c r="F378" s="33">
        <v>34213.9</v>
      </c>
      <c r="G378" s="33">
        <v>11781.73</v>
      </c>
      <c r="H378" s="33">
        <v>8944.61</v>
      </c>
      <c r="I378" s="29">
        <v>4067</v>
      </c>
      <c r="J378" s="33">
        <v>14928.32</v>
      </c>
      <c r="K378" s="29">
        <v>9551.39</v>
      </c>
      <c r="L378" s="29">
        <v>3278.97</v>
      </c>
      <c r="M378" s="33">
        <v>31372.38</v>
      </c>
      <c r="N378" s="34">
        <f t="shared" si="5"/>
        <v>175828.49000000002</v>
      </c>
    </row>
    <row r="379" spans="1:14" ht="15.75" thickBot="1" x14ac:dyDescent="0.3">
      <c r="A379" s="39" t="s">
        <v>686</v>
      </c>
      <c r="B379" s="32">
        <v>8026</v>
      </c>
      <c r="C379" s="32">
        <v>39069.74</v>
      </c>
      <c r="D379" s="32">
        <v>12482.39</v>
      </c>
      <c r="E379" s="29">
        <v>11196.4</v>
      </c>
      <c r="F379" s="29">
        <v>11664.4</v>
      </c>
      <c r="G379" s="29">
        <v>6534.46</v>
      </c>
      <c r="H379" s="29">
        <v>3777.69</v>
      </c>
      <c r="I379" s="33">
        <v>3583.88</v>
      </c>
      <c r="J379" s="29">
        <v>8580.76</v>
      </c>
      <c r="K379" s="33">
        <v>3836.5</v>
      </c>
      <c r="L379" s="33">
        <v>5704.8</v>
      </c>
      <c r="M379" s="29">
        <v>2085.12</v>
      </c>
      <c r="N379" s="30">
        <f t="shared" si="5"/>
        <v>116542.14</v>
      </c>
    </row>
    <row r="380" spans="1:14" ht="15.75" thickBot="1" x14ac:dyDescent="0.3">
      <c r="A380" s="39" t="s">
        <v>687</v>
      </c>
      <c r="B380" s="43"/>
      <c r="C380" s="43"/>
      <c r="D380" s="43"/>
      <c r="E380" s="29"/>
      <c r="F380" s="29"/>
      <c r="G380" s="29"/>
      <c r="H380" s="42"/>
      <c r="I380" s="29">
        <v>39</v>
      </c>
      <c r="J380" s="42"/>
      <c r="K380" s="41"/>
      <c r="L380" s="41"/>
      <c r="M380" s="42"/>
      <c r="N380" s="34">
        <f t="shared" si="5"/>
        <v>39</v>
      </c>
    </row>
    <row r="381" spans="1:14" ht="15.75" thickBot="1" x14ac:dyDescent="0.3">
      <c r="A381" s="39" t="s">
        <v>688</v>
      </c>
      <c r="B381" s="40">
        <v>66.7</v>
      </c>
      <c r="C381" s="40"/>
      <c r="D381" s="40"/>
      <c r="E381" s="42"/>
      <c r="F381" s="42"/>
      <c r="G381" s="42"/>
      <c r="H381" s="41"/>
      <c r="I381" s="42"/>
      <c r="J381" s="41"/>
      <c r="K381" s="42"/>
      <c r="L381" s="42"/>
      <c r="M381" s="41"/>
      <c r="N381" s="44">
        <f t="shared" si="5"/>
        <v>66.7</v>
      </c>
    </row>
    <row r="382" spans="1:14" ht="15.75" thickBot="1" x14ac:dyDescent="0.3">
      <c r="A382" s="39" t="s">
        <v>689</v>
      </c>
      <c r="B382" s="43"/>
      <c r="C382" s="43"/>
      <c r="D382" s="43">
        <v>5648.95</v>
      </c>
      <c r="E382" s="41"/>
      <c r="F382" s="41"/>
      <c r="G382" s="29">
        <v>8348.0300000000007</v>
      </c>
      <c r="H382" s="42"/>
      <c r="I382" s="41"/>
      <c r="J382" s="33">
        <v>10558.55</v>
      </c>
      <c r="K382" s="41"/>
      <c r="L382" s="41"/>
      <c r="M382" s="33">
        <v>11788.75</v>
      </c>
      <c r="N382" s="34">
        <f t="shared" si="5"/>
        <v>36344.28</v>
      </c>
    </row>
    <row r="383" spans="1:14" ht="15.75" thickBot="1" x14ac:dyDescent="0.3">
      <c r="A383" s="39" t="s">
        <v>690</v>
      </c>
      <c r="B383" s="32">
        <v>7479.6</v>
      </c>
      <c r="C383" s="32">
        <v>5889.71</v>
      </c>
      <c r="D383" s="32">
        <v>59773.42</v>
      </c>
      <c r="E383" s="33">
        <v>19893.740000000002</v>
      </c>
      <c r="F383" s="33">
        <v>9863.2000000000007</v>
      </c>
      <c r="G383" s="33">
        <v>856.5</v>
      </c>
      <c r="H383" s="41"/>
      <c r="I383" s="33">
        <v>40.74</v>
      </c>
      <c r="J383" s="29">
        <v>525</v>
      </c>
      <c r="K383" s="42"/>
      <c r="L383" s="33">
        <v>524</v>
      </c>
      <c r="M383" s="29">
        <v>190.4</v>
      </c>
      <c r="N383" s="30">
        <f t="shared" si="5"/>
        <v>105036.31</v>
      </c>
    </row>
    <row r="384" spans="1:14" ht="15.75" thickBot="1" x14ac:dyDescent="0.3">
      <c r="A384" s="39" t="s">
        <v>691</v>
      </c>
      <c r="B384" s="43"/>
      <c r="C384" s="43"/>
      <c r="D384" s="43"/>
      <c r="E384" s="41"/>
      <c r="F384" s="41"/>
      <c r="G384" s="41"/>
      <c r="H384" s="42"/>
      <c r="I384" s="41"/>
      <c r="J384" s="42"/>
      <c r="K384" s="41"/>
      <c r="L384" s="41"/>
      <c r="M384" s="42"/>
      <c r="N384" s="45">
        <f t="shared" si="5"/>
        <v>0</v>
      </c>
    </row>
    <row r="385" spans="1:14" ht="15.75" thickBot="1" x14ac:dyDescent="0.3">
      <c r="A385" s="39" t="s">
        <v>692</v>
      </c>
      <c r="B385" s="32">
        <v>8149.94</v>
      </c>
      <c r="C385" s="32">
        <v>8292.42</v>
      </c>
      <c r="D385" s="32">
        <v>-24695.41</v>
      </c>
      <c r="E385" s="33">
        <v>6019.81</v>
      </c>
      <c r="F385" s="33">
        <v>11183.65</v>
      </c>
      <c r="G385" s="33">
        <v>16852.13</v>
      </c>
      <c r="H385" s="29">
        <v>14109.24</v>
      </c>
      <c r="I385" s="33">
        <v>10466.06</v>
      </c>
      <c r="J385" s="29">
        <v>9818.02</v>
      </c>
      <c r="K385" s="33">
        <v>9436.9</v>
      </c>
      <c r="L385" s="33">
        <v>9272.33</v>
      </c>
      <c r="M385" s="29">
        <v>10248.219999999999</v>
      </c>
      <c r="N385" s="30">
        <f t="shared" si="5"/>
        <v>89153.31</v>
      </c>
    </row>
    <row r="386" spans="1:14" ht="15.75" thickBot="1" x14ac:dyDescent="0.3">
      <c r="A386" s="47" t="s">
        <v>693</v>
      </c>
      <c r="B386" s="43"/>
      <c r="C386" s="43"/>
      <c r="D386" s="43"/>
      <c r="E386" s="33"/>
      <c r="F386" s="33"/>
      <c r="G386" s="33"/>
      <c r="H386" s="29"/>
      <c r="I386" s="33"/>
      <c r="J386" s="29"/>
      <c r="K386" s="33"/>
      <c r="L386" s="33"/>
      <c r="M386" s="29"/>
      <c r="N386" s="30">
        <f t="shared" si="5"/>
        <v>0</v>
      </c>
    </row>
    <row r="387" spans="1:14" ht="15.75" thickBot="1" x14ac:dyDescent="0.3">
      <c r="A387" s="47" t="s">
        <v>694</v>
      </c>
      <c r="B387" s="40"/>
      <c r="C387" s="40"/>
      <c r="D387" s="40"/>
      <c r="E387" s="33"/>
      <c r="F387" s="33"/>
      <c r="G387" s="33"/>
      <c r="H387" s="29"/>
      <c r="I387" s="33"/>
      <c r="J387" s="29"/>
      <c r="K387" s="33"/>
      <c r="L387" s="33"/>
      <c r="M387" s="29"/>
      <c r="N387" s="30">
        <f t="shared" si="5"/>
        <v>0</v>
      </c>
    </row>
    <row r="388" spans="1:14" ht="15.75" thickBot="1" x14ac:dyDescent="0.3">
      <c r="A388" s="39" t="s">
        <v>695</v>
      </c>
      <c r="B388" s="43"/>
      <c r="C388" s="43"/>
      <c r="D388" s="43"/>
      <c r="E388" s="41"/>
      <c r="F388" s="41"/>
      <c r="G388" s="41"/>
      <c r="H388" s="42"/>
      <c r="I388" s="41"/>
      <c r="J388" s="42"/>
      <c r="K388" s="41"/>
      <c r="L388" s="41"/>
      <c r="M388" s="42"/>
      <c r="N388" s="45">
        <f t="shared" si="5"/>
        <v>0</v>
      </c>
    </row>
    <row r="389" spans="1:14" ht="15.75" thickBot="1" x14ac:dyDescent="0.3">
      <c r="A389" s="47" t="s">
        <v>696</v>
      </c>
      <c r="B389" s="40"/>
      <c r="C389" s="40"/>
      <c r="D389" s="40"/>
      <c r="E389" s="41"/>
      <c r="F389" s="41"/>
      <c r="G389" s="41"/>
      <c r="H389" s="42"/>
      <c r="I389" s="41"/>
      <c r="J389" s="42"/>
      <c r="K389" s="41"/>
      <c r="L389" s="41"/>
      <c r="M389" s="42"/>
      <c r="N389" s="45">
        <f t="shared" si="5"/>
        <v>0</v>
      </c>
    </row>
    <row r="390" spans="1:14" ht="15.75" thickBot="1" x14ac:dyDescent="0.3">
      <c r="A390" s="39" t="s">
        <v>697</v>
      </c>
      <c r="B390" s="43"/>
      <c r="C390" s="43"/>
      <c r="D390" s="43"/>
      <c r="E390" s="42"/>
      <c r="F390" s="33">
        <v>25</v>
      </c>
      <c r="G390" s="42"/>
      <c r="H390" s="41"/>
      <c r="I390" s="33">
        <v>60.86</v>
      </c>
      <c r="J390" s="29">
        <v>25</v>
      </c>
      <c r="K390" s="42"/>
      <c r="L390" s="33">
        <v>25</v>
      </c>
      <c r="M390" s="41"/>
      <c r="N390" s="30">
        <f t="shared" ref="N390:N453" si="6">SUM(B390:M390)</f>
        <v>135.86000000000001</v>
      </c>
    </row>
    <row r="391" spans="1:14" ht="15.75" thickBot="1" x14ac:dyDescent="0.3">
      <c r="A391" s="39" t="s">
        <v>698</v>
      </c>
      <c r="B391" s="40"/>
      <c r="C391" s="40"/>
      <c r="D391" s="40"/>
      <c r="E391" s="41"/>
      <c r="F391" s="41"/>
      <c r="G391" s="41"/>
      <c r="H391" s="42"/>
      <c r="I391" s="41"/>
      <c r="J391" s="42"/>
      <c r="K391" s="41"/>
      <c r="L391" s="41"/>
      <c r="M391" s="42"/>
      <c r="N391" s="45">
        <f t="shared" si="6"/>
        <v>0</v>
      </c>
    </row>
    <row r="392" spans="1:14" ht="15.75" thickBot="1" x14ac:dyDescent="0.3">
      <c r="A392" s="47" t="s">
        <v>699</v>
      </c>
      <c r="B392" s="43"/>
      <c r="C392" s="43"/>
      <c r="D392" s="43"/>
      <c r="E392" s="41"/>
      <c r="F392" s="41"/>
      <c r="G392" s="41"/>
      <c r="H392" s="42"/>
      <c r="I392" s="41"/>
      <c r="J392" s="42"/>
      <c r="K392" s="41"/>
      <c r="L392" s="41"/>
      <c r="M392" s="42"/>
      <c r="N392" s="45">
        <f t="shared" si="6"/>
        <v>0</v>
      </c>
    </row>
    <row r="393" spans="1:14" ht="15.75" thickBot="1" x14ac:dyDescent="0.3">
      <c r="A393" s="39" t="s">
        <v>700</v>
      </c>
      <c r="B393" s="32">
        <v>10160</v>
      </c>
      <c r="C393" s="32">
        <v>2023.27</v>
      </c>
      <c r="D393" s="32">
        <v>-19782.39</v>
      </c>
      <c r="E393" s="42"/>
      <c r="F393" s="42"/>
      <c r="G393" s="33">
        <v>674.17</v>
      </c>
      <c r="H393" s="29">
        <v>-674.17</v>
      </c>
      <c r="I393" s="42"/>
      <c r="J393" s="29">
        <v>2877.17</v>
      </c>
      <c r="K393" s="42"/>
      <c r="L393" s="42"/>
      <c r="M393" s="41"/>
      <c r="N393" s="30">
        <f t="shared" si="6"/>
        <v>-4721.9499999999989</v>
      </c>
    </row>
    <row r="394" spans="1:14" ht="15.75" thickBot="1" x14ac:dyDescent="0.3">
      <c r="A394" s="47" t="s">
        <v>701</v>
      </c>
      <c r="B394" s="43"/>
      <c r="C394" s="43"/>
      <c r="D394" s="43"/>
      <c r="E394" s="42"/>
      <c r="F394" s="42"/>
      <c r="G394" s="33"/>
      <c r="H394" s="29"/>
      <c r="I394" s="42"/>
      <c r="J394" s="29"/>
      <c r="K394" s="42"/>
      <c r="L394" s="42"/>
      <c r="M394" s="41"/>
      <c r="N394" s="30">
        <f t="shared" si="6"/>
        <v>0</v>
      </c>
    </row>
    <row r="395" spans="1:14" ht="15.75" thickBot="1" x14ac:dyDescent="0.3">
      <c r="A395" s="39" t="s">
        <v>702</v>
      </c>
      <c r="B395" s="40">
        <v>-7250.26</v>
      </c>
      <c r="C395" s="40"/>
      <c r="D395" s="40">
        <v>-6777.06</v>
      </c>
      <c r="E395" s="41"/>
      <c r="F395" s="29">
        <v>191.54</v>
      </c>
      <c r="G395" s="29">
        <v>27.85</v>
      </c>
      <c r="H395" s="42"/>
      <c r="I395" s="41"/>
      <c r="J395" s="33">
        <v>5000</v>
      </c>
      <c r="K395" s="41"/>
      <c r="L395" s="41"/>
      <c r="M395" s="33">
        <v>10368.120000000001</v>
      </c>
      <c r="N395" s="34">
        <f t="shared" si="6"/>
        <v>1560.1900000000023</v>
      </c>
    </row>
    <row r="396" spans="1:14" ht="15.75" thickBot="1" x14ac:dyDescent="0.3">
      <c r="A396" s="39" t="s">
        <v>703</v>
      </c>
      <c r="B396" s="43">
        <v>-2482.9899999999998</v>
      </c>
      <c r="C396" s="43">
        <v>101.73</v>
      </c>
      <c r="D396" s="43"/>
      <c r="E396" s="42"/>
      <c r="F396" s="33">
        <v>9.2799999999999994</v>
      </c>
      <c r="G396" s="33">
        <v>6</v>
      </c>
      <c r="H396" s="41"/>
      <c r="I396" s="42"/>
      <c r="J396" s="41"/>
      <c r="K396" s="42"/>
      <c r="L396" s="42"/>
      <c r="M396" s="41"/>
      <c r="N396" s="30">
        <f t="shared" si="6"/>
        <v>-2365.9799999999996</v>
      </c>
    </row>
    <row r="397" spans="1:14" ht="15.75" thickBot="1" x14ac:dyDescent="0.3">
      <c r="A397" s="39" t="s">
        <v>704</v>
      </c>
      <c r="B397" s="32">
        <v>7302.9</v>
      </c>
      <c r="C397" s="32">
        <v>3357.03</v>
      </c>
      <c r="D397" s="32">
        <v>7952.03</v>
      </c>
      <c r="E397" s="29">
        <v>3317.74</v>
      </c>
      <c r="F397" s="29">
        <v>4936.04</v>
      </c>
      <c r="G397" s="29">
        <v>16156.94</v>
      </c>
      <c r="H397" s="33">
        <v>4113.34</v>
      </c>
      <c r="I397" s="29">
        <v>3269.62</v>
      </c>
      <c r="J397" s="33">
        <v>4697.76</v>
      </c>
      <c r="K397" s="29">
        <v>4092.58</v>
      </c>
      <c r="L397" s="29">
        <v>8431.11</v>
      </c>
      <c r="M397" s="33">
        <v>8116.19</v>
      </c>
      <c r="N397" s="34">
        <f t="shared" si="6"/>
        <v>75743.280000000013</v>
      </c>
    </row>
    <row r="398" spans="1:14" ht="15.75" thickBot="1" x14ac:dyDescent="0.3">
      <c r="A398" s="39" t="s">
        <v>705</v>
      </c>
      <c r="B398" s="28">
        <v>41079.25</v>
      </c>
      <c r="C398" s="28">
        <v>37869.519999999997</v>
      </c>
      <c r="D398" s="28">
        <v>39443.949999999997</v>
      </c>
      <c r="E398" s="33">
        <v>40543.29</v>
      </c>
      <c r="F398" s="33">
        <v>38132.83</v>
      </c>
      <c r="G398" s="33">
        <v>49646.65</v>
      </c>
      <c r="H398" s="29">
        <v>48067.17</v>
      </c>
      <c r="I398" s="33">
        <v>40791.47</v>
      </c>
      <c r="J398" s="29">
        <v>41610.21</v>
      </c>
      <c r="K398" s="33">
        <v>39541.4</v>
      </c>
      <c r="L398" s="33">
        <v>38727.379999999997</v>
      </c>
      <c r="M398" s="29">
        <v>34139.839999999997</v>
      </c>
      <c r="N398" s="30">
        <f t="shared" si="6"/>
        <v>489592.96000000008</v>
      </c>
    </row>
    <row r="399" spans="1:14" ht="15.75" thickBot="1" x14ac:dyDescent="0.3">
      <c r="A399" s="39" t="s">
        <v>706</v>
      </c>
      <c r="B399" s="32">
        <v>60591.3</v>
      </c>
      <c r="C399" s="32">
        <v>197924.63</v>
      </c>
      <c r="D399" s="32">
        <v>23701.01</v>
      </c>
      <c r="E399" s="29">
        <v>114684.93</v>
      </c>
      <c r="F399" s="29">
        <v>48700.11</v>
      </c>
      <c r="G399" s="29">
        <v>153283.6</v>
      </c>
      <c r="H399" s="33">
        <v>111612.5</v>
      </c>
      <c r="I399" s="29">
        <v>44315.89</v>
      </c>
      <c r="J399" s="33">
        <v>30360.02</v>
      </c>
      <c r="K399" s="29">
        <v>134580.95000000001</v>
      </c>
      <c r="L399" s="29">
        <v>30167.71</v>
      </c>
      <c r="M399" s="33">
        <v>29809.97</v>
      </c>
      <c r="N399" s="34">
        <f t="shared" si="6"/>
        <v>979732.61999999988</v>
      </c>
    </row>
    <row r="400" spans="1:14" ht="15.75" thickBot="1" x14ac:dyDescent="0.3">
      <c r="A400" s="39" t="s">
        <v>707</v>
      </c>
      <c r="B400" s="43"/>
      <c r="C400" s="43"/>
      <c r="D400" s="43">
        <v>6683.29</v>
      </c>
      <c r="E400" s="42"/>
      <c r="F400" s="42"/>
      <c r="G400" s="33">
        <v>8920.1299999999992</v>
      </c>
      <c r="H400" s="41"/>
      <c r="I400" s="42"/>
      <c r="J400" s="29">
        <v>9945.1299999999992</v>
      </c>
      <c r="K400" s="42"/>
      <c r="L400" s="42"/>
      <c r="M400" s="29">
        <v>11233.29</v>
      </c>
      <c r="N400" s="30">
        <f t="shared" si="6"/>
        <v>36781.839999999997</v>
      </c>
    </row>
    <row r="401" spans="1:14" ht="15.75" thickBot="1" x14ac:dyDescent="0.3">
      <c r="A401" s="39" t="s">
        <v>708</v>
      </c>
      <c r="B401" s="40">
        <v>118.44</v>
      </c>
      <c r="C401" s="40">
        <v>125.02</v>
      </c>
      <c r="D401" s="40">
        <v>121.73</v>
      </c>
      <c r="E401" s="29">
        <v>125.02</v>
      </c>
      <c r="F401" s="29">
        <v>187.53</v>
      </c>
      <c r="G401" s="29">
        <v>210.56</v>
      </c>
      <c r="H401" s="33">
        <v>253.33</v>
      </c>
      <c r="I401" s="29">
        <v>246.75</v>
      </c>
      <c r="J401" s="33">
        <v>279.64999999999998</v>
      </c>
      <c r="K401" s="29">
        <v>302.68</v>
      </c>
      <c r="L401" s="29">
        <v>329</v>
      </c>
      <c r="M401" s="33">
        <v>348.74</v>
      </c>
      <c r="N401" s="34">
        <f t="shared" si="6"/>
        <v>2648.45</v>
      </c>
    </row>
    <row r="402" spans="1:14" ht="15.75" thickBot="1" x14ac:dyDescent="0.3">
      <c r="A402" s="39" t="s">
        <v>709</v>
      </c>
      <c r="B402" s="28">
        <v>5494.69</v>
      </c>
      <c r="C402" s="28">
        <v>6968.05</v>
      </c>
      <c r="D402" s="28">
        <v>5991.85</v>
      </c>
      <c r="E402" s="33">
        <v>6366.39</v>
      </c>
      <c r="F402" s="33">
        <v>7743.41</v>
      </c>
      <c r="G402" s="33">
        <v>6410.96</v>
      </c>
      <c r="H402" s="29">
        <v>6986.78</v>
      </c>
      <c r="I402" s="33">
        <v>5125.47</v>
      </c>
      <c r="J402" s="29">
        <v>6947.11</v>
      </c>
      <c r="K402" s="33">
        <v>5684.93</v>
      </c>
      <c r="L402" s="33">
        <v>6614.61</v>
      </c>
      <c r="M402" s="29">
        <v>4996.2</v>
      </c>
      <c r="N402" s="30">
        <f t="shared" si="6"/>
        <v>75330.45</v>
      </c>
    </row>
    <row r="403" spans="1:14" ht="15.75" thickBot="1" x14ac:dyDescent="0.3">
      <c r="A403" s="39" t="s">
        <v>710</v>
      </c>
      <c r="B403" s="40"/>
      <c r="C403" s="40"/>
      <c r="D403" s="40"/>
      <c r="E403" s="41"/>
      <c r="F403" s="41"/>
      <c r="G403" s="41"/>
      <c r="H403" s="42"/>
      <c r="I403" s="33"/>
      <c r="J403" s="29"/>
      <c r="K403" s="33"/>
      <c r="L403" s="33"/>
      <c r="M403" s="29"/>
      <c r="N403" s="30">
        <f t="shared" si="6"/>
        <v>0</v>
      </c>
    </row>
    <row r="404" spans="1:14" ht="15.75" thickBot="1" x14ac:dyDescent="0.3">
      <c r="A404" s="39" t="s">
        <v>711</v>
      </c>
      <c r="B404" s="43"/>
      <c r="C404" s="43"/>
      <c r="D404" s="43"/>
      <c r="E404" s="42"/>
      <c r="F404" s="42"/>
      <c r="G404" s="33">
        <v>94.49</v>
      </c>
      <c r="H404" s="41"/>
      <c r="I404" s="41"/>
      <c r="J404" s="42"/>
      <c r="K404" s="41"/>
      <c r="L404" s="41"/>
      <c r="M404" s="42"/>
      <c r="N404" s="34">
        <f t="shared" si="6"/>
        <v>94.49</v>
      </c>
    </row>
    <row r="405" spans="1:14" ht="15.75" thickBot="1" x14ac:dyDescent="0.3">
      <c r="A405" s="39" t="s">
        <v>712</v>
      </c>
      <c r="B405" s="32">
        <v>29898.35</v>
      </c>
      <c r="C405" s="32">
        <v>21929.97</v>
      </c>
      <c r="D405" s="32">
        <v>16681.86</v>
      </c>
      <c r="E405" s="29">
        <v>8690</v>
      </c>
      <c r="F405" s="29">
        <v>59478.7</v>
      </c>
      <c r="G405" s="29">
        <v>128102.75</v>
      </c>
      <c r="H405" s="33">
        <v>-62760.7</v>
      </c>
      <c r="I405" s="33">
        <v>18029.349999999999</v>
      </c>
      <c r="J405" s="29">
        <v>54101.5</v>
      </c>
      <c r="K405" s="33">
        <v>59940.24</v>
      </c>
      <c r="L405" s="33">
        <v>15857.83</v>
      </c>
      <c r="M405" s="29">
        <v>65381.83</v>
      </c>
      <c r="N405" s="30">
        <f t="shared" si="6"/>
        <v>415331.68000000005</v>
      </c>
    </row>
    <row r="406" spans="1:14" ht="15.75" thickBot="1" x14ac:dyDescent="0.3">
      <c r="A406" s="39" t="s">
        <v>713</v>
      </c>
      <c r="B406" s="43"/>
      <c r="C406" s="43"/>
      <c r="D406" s="43"/>
      <c r="E406" s="42"/>
      <c r="F406" s="42"/>
      <c r="G406" s="42"/>
      <c r="H406" s="41"/>
      <c r="I406" s="41"/>
      <c r="J406" s="42"/>
      <c r="K406" s="41"/>
      <c r="L406" s="41"/>
      <c r="M406" s="33">
        <v>170</v>
      </c>
      <c r="N406" s="34">
        <f t="shared" si="6"/>
        <v>170</v>
      </c>
    </row>
    <row r="407" spans="1:14" ht="15.75" thickBot="1" x14ac:dyDescent="0.3">
      <c r="A407" s="39" t="s">
        <v>714</v>
      </c>
      <c r="B407" s="40"/>
      <c r="C407" s="40"/>
      <c r="D407" s="40"/>
      <c r="E407" s="41"/>
      <c r="F407" s="41"/>
      <c r="G407" s="41"/>
      <c r="H407" s="42"/>
      <c r="I407" s="42"/>
      <c r="J407" s="41"/>
      <c r="K407" s="42"/>
      <c r="L407" s="42"/>
      <c r="M407" s="41"/>
      <c r="N407" s="44">
        <f t="shared" si="6"/>
        <v>0</v>
      </c>
    </row>
    <row r="408" spans="1:14" ht="15.75" thickBot="1" x14ac:dyDescent="0.3">
      <c r="A408" s="39" t="s">
        <v>715</v>
      </c>
      <c r="B408" s="28">
        <v>71245.66</v>
      </c>
      <c r="C408" s="28">
        <v>60083.040000000001</v>
      </c>
      <c r="D408" s="28">
        <v>85326.15</v>
      </c>
      <c r="E408" s="33">
        <v>69163.960000000006</v>
      </c>
      <c r="F408" s="33">
        <v>58047.11</v>
      </c>
      <c r="G408" s="33">
        <v>76943.259999999995</v>
      </c>
      <c r="H408" s="29">
        <v>190329.03</v>
      </c>
      <c r="I408" s="29">
        <v>131871.62</v>
      </c>
      <c r="J408" s="33">
        <v>137471.34</v>
      </c>
      <c r="K408" s="29">
        <v>144946.76</v>
      </c>
      <c r="L408" s="29">
        <v>131249.82999999999</v>
      </c>
      <c r="M408" s="33">
        <v>140382.04999999999</v>
      </c>
      <c r="N408" s="34">
        <f t="shared" si="6"/>
        <v>1297059.81</v>
      </c>
    </row>
    <row r="409" spans="1:14" ht="15.75" thickBot="1" x14ac:dyDescent="0.3">
      <c r="A409" s="39" t="s">
        <v>716</v>
      </c>
      <c r="B409" s="40"/>
      <c r="C409" s="40">
        <v>529.92999999999995</v>
      </c>
      <c r="D409" s="40"/>
      <c r="E409" s="41"/>
      <c r="F409" s="41"/>
      <c r="G409" s="41"/>
      <c r="H409" s="42"/>
      <c r="I409" s="42"/>
      <c r="J409" s="29">
        <v>5500</v>
      </c>
      <c r="K409" s="42"/>
      <c r="L409" s="42"/>
      <c r="M409" s="41"/>
      <c r="N409" s="30">
        <f t="shared" si="6"/>
        <v>6029.93</v>
      </c>
    </row>
    <row r="410" spans="1:14" ht="15.75" thickBot="1" x14ac:dyDescent="0.3">
      <c r="A410" s="39" t="s">
        <v>717</v>
      </c>
      <c r="B410" s="28">
        <v>3557281.72</v>
      </c>
      <c r="C410" s="28">
        <v>3535961.67</v>
      </c>
      <c r="D410" s="28">
        <v>4192918.02</v>
      </c>
      <c r="E410" s="33">
        <v>3797861.11</v>
      </c>
      <c r="F410" s="33">
        <v>3991508.11</v>
      </c>
      <c r="G410" s="33">
        <v>3691545.49</v>
      </c>
      <c r="H410" s="29">
        <v>3836531.05</v>
      </c>
      <c r="I410" s="29">
        <v>3999562.93</v>
      </c>
      <c r="J410" s="33">
        <v>3691054.33</v>
      </c>
      <c r="K410" s="29">
        <v>3883907.89</v>
      </c>
      <c r="L410" s="29">
        <v>3854727.65</v>
      </c>
      <c r="M410" s="33">
        <v>3872774.93</v>
      </c>
      <c r="N410" s="34">
        <f t="shared" si="6"/>
        <v>45905634.899999999</v>
      </c>
    </row>
    <row r="411" spans="1:14" ht="15.75" thickBot="1" x14ac:dyDescent="0.3">
      <c r="A411" s="39" t="s">
        <v>718</v>
      </c>
      <c r="B411" s="40"/>
      <c r="C411" s="40"/>
      <c r="D411" s="40"/>
      <c r="E411" s="29">
        <v>1020</v>
      </c>
      <c r="F411" s="29">
        <v>1000</v>
      </c>
      <c r="G411" s="29">
        <v>-537.5</v>
      </c>
      <c r="H411" s="33">
        <v>-1482.5</v>
      </c>
      <c r="I411" s="33">
        <v>150</v>
      </c>
      <c r="J411" s="29">
        <v>-51.42</v>
      </c>
      <c r="K411" s="33">
        <v>18.5</v>
      </c>
      <c r="L411" s="33">
        <v>-57.08</v>
      </c>
      <c r="M411" s="52">
        <v>0</v>
      </c>
      <c r="N411" s="30">
        <f t="shared" si="6"/>
        <v>60</v>
      </c>
    </row>
    <row r="412" spans="1:14" ht="15.75" thickBot="1" x14ac:dyDescent="0.3">
      <c r="A412" s="39" t="s">
        <v>719</v>
      </c>
      <c r="B412" s="43"/>
      <c r="C412" s="43"/>
      <c r="D412" s="43"/>
      <c r="E412" s="42"/>
      <c r="F412" s="42"/>
      <c r="G412" s="42"/>
      <c r="H412" s="41"/>
      <c r="I412" s="41"/>
      <c r="J412" s="33">
        <v>16.37</v>
      </c>
      <c r="K412" s="41"/>
      <c r="L412" s="29">
        <v>-16.37</v>
      </c>
      <c r="M412" s="42"/>
      <c r="N412" s="51">
        <f t="shared" si="6"/>
        <v>0</v>
      </c>
    </row>
    <row r="413" spans="1:14" ht="15.75" thickBot="1" x14ac:dyDescent="0.3">
      <c r="A413" s="39" t="s">
        <v>720</v>
      </c>
      <c r="B413" s="43"/>
      <c r="C413" s="43"/>
      <c r="D413" s="43"/>
      <c r="E413" s="42"/>
      <c r="F413" s="42"/>
      <c r="G413" s="42"/>
      <c r="H413" s="42"/>
      <c r="I413" s="42"/>
      <c r="J413" s="29">
        <v>12.72</v>
      </c>
      <c r="K413" s="42"/>
      <c r="L413" s="33">
        <v>-12.72</v>
      </c>
      <c r="M413" s="41"/>
      <c r="N413" s="53">
        <f t="shared" si="6"/>
        <v>0</v>
      </c>
    </row>
    <row r="414" spans="1:14" ht="15.75" thickBot="1" x14ac:dyDescent="0.3">
      <c r="A414" s="39" t="s">
        <v>721</v>
      </c>
      <c r="B414" s="40"/>
      <c r="C414" s="40"/>
      <c r="D414" s="40"/>
      <c r="E414" s="41"/>
      <c r="F414" s="41"/>
      <c r="G414" s="41"/>
      <c r="H414" s="41"/>
      <c r="I414" s="41"/>
      <c r="J414" s="33">
        <v>11.88</v>
      </c>
      <c r="K414" s="41"/>
      <c r="L414" s="29">
        <v>-11.88</v>
      </c>
      <c r="M414" s="42"/>
      <c r="N414" s="51">
        <f t="shared" si="6"/>
        <v>0</v>
      </c>
    </row>
    <row r="415" spans="1:14" ht="15.75" thickBot="1" x14ac:dyDescent="0.3">
      <c r="A415" s="39" t="s">
        <v>722</v>
      </c>
      <c r="B415" s="43"/>
      <c r="C415" s="43"/>
      <c r="D415" s="43"/>
      <c r="E415" s="41"/>
      <c r="F415" s="41"/>
      <c r="G415" s="41"/>
      <c r="H415" s="42"/>
      <c r="I415" s="42"/>
      <c r="J415" s="29">
        <v>47.47</v>
      </c>
      <c r="K415" s="42"/>
      <c r="L415" s="33">
        <v>-37.479999999999997</v>
      </c>
      <c r="M415" s="41"/>
      <c r="N415" s="30">
        <f t="shared" si="6"/>
        <v>9.990000000000002</v>
      </c>
    </row>
    <row r="416" spans="1:14" ht="15.75" thickBot="1" x14ac:dyDescent="0.3">
      <c r="A416" s="39" t="s">
        <v>723</v>
      </c>
      <c r="B416" s="32">
        <v>2291.37</v>
      </c>
      <c r="C416" s="32">
        <v>2536.59</v>
      </c>
      <c r="D416" s="32">
        <v>270</v>
      </c>
      <c r="E416" s="42"/>
      <c r="F416" s="42"/>
      <c r="G416" s="42"/>
      <c r="H416" s="41"/>
      <c r="I416" s="41"/>
      <c r="J416" s="33">
        <v>1562.7</v>
      </c>
      <c r="K416" s="29">
        <v>457.12</v>
      </c>
      <c r="L416" s="29">
        <v>50</v>
      </c>
      <c r="M416" s="42"/>
      <c r="N416" s="34">
        <f t="shared" si="6"/>
        <v>7167.78</v>
      </c>
    </row>
    <row r="417" spans="1:14" ht="15.75" thickBot="1" x14ac:dyDescent="0.3">
      <c r="A417" s="47" t="s">
        <v>724</v>
      </c>
      <c r="B417" s="43"/>
      <c r="C417" s="43"/>
      <c r="D417" s="43"/>
      <c r="E417" s="42"/>
      <c r="F417" s="42"/>
      <c r="G417" s="42"/>
      <c r="H417" s="41"/>
      <c r="I417" s="41"/>
      <c r="J417" s="33"/>
      <c r="K417" s="29"/>
      <c r="L417" s="29"/>
      <c r="M417" s="42"/>
      <c r="N417" s="34">
        <f t="shared" si="6"/>
        <v>0</v>
      </c>
    </row>
    <row r="418" spans="1:14" ht="15.75" thickBot="1" x14ac:dyDescent="0.3">
      <c r="A418" s="47" t="s">
        <v>725</v>
      </c>
      <c r="B418" s="40"/>
      <c r="C418" s="40"/>
      <c r="D418" s="40"/>
      <c r="E418" s="42"/>
      <c r="F418" s="42"/>
      <c r="G418" s="42"/>
      <c r="H418" s="41"/>
      <c r="I418" s="41"/>
      <c r="J418" s="33"/>
      <c r="K418" s="29"/>
      <c r="L418" s="29"/>
      <c r="M418" s="42"/>
      <c r="N418" s="34">
        <f t="shared" si="6"/>
        <v>0</v>
      </c>
    </row>
    <row r="419" spans="1:14" ht="15.75" thickBot="1" x14ac:dyDescent="0.3">
      <c r="A419" s="39" t="s">
        <v>726</v>
      </c>
      <c r="B419" s="28">
        <v>109478.41</v>
      </c>
      <c r="C419" s="28">
        <v>130868.45</v>
      </c>
      <c r="D419" s="28">
        <v>131855.17000000001</v>
      </c>
      <c r="E419" s="29">
        <v>91788.32</v>
      </c>
      <c r="F419" s="29">
        <v>130433.09</v>
      </c>
      <c r="G419" s="29">
        <v>99330.08</v>
      </c>
      <c r="H419" s="33">
        <v>117467.24</v>
      </c>
      <c r="I419" s="33">
        <v>153871.74</v>
      </c>
      <c r="J419" s="29">
        <v>100718.37</v>
      </c>
      <c r="K419" s="33">
        <v>110660.43</v>
      </c>
      <c r="L419" s="33">
        <v>108050.14</v>
      </c>
      <c r="M419" s="29">
        <v>77280.88</v>
      </c>
      <c r="N419" s="30">
        <f t="shared" si="6"/>
        <v>1361802.3199999998</v>
      </c>
    </row>
    <row r="420" spans="1:14" ht="15.75" thickBot="1" x14ac:dyDescent="0.3">
      <c r="A420" s="39" t="s">
        <v>727</v>
      </c>
      <c r="B420" s="32">
        <v>41414.910000000003</v>
      </c>
      <c r="C420" s="32">
        <v>37215.550000000003</v>
      </c>
      <c r="D420" s="32">
        <v>31861.05</v>
      </c>
      <c r="E420" s="33">
        <v>82137.86</v>
      </c>
      <c r="F420" s="33">
        <v>58875.6</v>
      </c>
      <c r="G420" s="33">
        <v>50692.05</v>
      </c>
      <c r="H420" s="29">
        <v>32467.86</v>
      </c>
      <c r="I420" s="29">
        <v>73153.399999999994</v>
      </c>
      <c r="J420" s="33">
        <v>158710.79999999999</v>
      </c>
      <c r="K420" s="29">
        <v>14756.6</v>
      </c>
      <c r="L420" s="29">
        <v>18472.45</v>
      </c>
      <c r="M420" s="33">
        <v>-111437.62</v>
      </c>
      <c r="N420" s="34">
        <f t="shared" si="6"/>
        <v>488320.51</v>
      </c>
    </row>
    <row r="421" spans="1:14" ht="15.75" thickBot="1" x14ac:dyDescent="0.3">
      <c r="A421" s="39" t="s">
        <v>728</v>
      </c>
      <c r="B421" s="28">
        <v>9428.6</v>
      </c>
      <c r="C421" s="28">
        <v>10838.57</v>
      </c>
      <c r="D421" s="28">
        <v>18260.73</v>
      </c>
      <c r="E421" s="29">
        <v>12331.95</v>
      </c>
      <c r="F421" s="29">
        <v>6706.13</v>
      </c>
      <c r="G421" s="29">
        <v>5630.26</v>
      </c>
      <c r="H421" s="33">
        <v>1854.15</v>
      </c>
      <c r="I421" s="33">
        <v>4219.79</v>
      </c>
      <c r="J421" s="29">
        <v>5122.7299999999996</v>
      </c>
      <c r="K421" s="33">
        <v>1339.42</v>
      </c>
      <c r="L421" s="33">
        <v>4289.9399999999996</v>
      </c>
      <c r="M421" s="29">
        <v>2151.56</v>
      </c>
      <c r="N421" s="30">
        <f t="shared" si="6"/>
        <v>82173.829999999987</v>
      </c>
    </row>
    <row r="422" spans="1:14" ht="15.75" thickBot="1" x14ac:dyDescent="0.3">
      <c r="A422" s="39" t="s">
        <v>729</v>
      </c>
      <c r="B422" s="32"/>
      <c r="C422" s="32">
        <v>330.15</v>
      </c>
      <c r="D422" s="32">
        <v>-170.21</v>
      </c>
      <c r="E422" s="33">
        <v>2894.08</v>
      </c>
      <c r="F422" s="33">
        <v>4313.7</v>
      </c>
      <c r="G422" s="42"/>
      <c r="H422" s="41"/>
      <c r="I422" s="29">
        <v>1627.55</v>
      </c>
      <c r="J422" s="42"/>
      <c r="K422" s="29">
        <v>977.41</v>
      </c>
      <c r="L422" s="29">
        <v>576.87</v>
      </c>
      <c r="M422" s="33">
        <v>1190.56</v>
      </c>
      <c r="N422" s="34">
        <f t="shared" si="6"/>
        <v>11740.109999999999</v>
      </c>
    </row>
    <row r="423" spans="1:14" ht="15.75" thickBot="1" x14ac:dyDescent="0.3">
      <c r="A423" s="39" t="s">
        <v>730</v>
      </c>
      <c r="B423" s="43"/>
      <c r="C423" s="43"/>
      <c r="D423" s="43">
        <v>112</v>
      </c>
      <c r="E423" s="41"/>
      <c r="F423" s="29">
        <v>2978.5</v>
      </c>
      <c r="G423" s="41"/>
      <c r="H423" s="42"/>
      <c r="I423" s="42"/>
      <c r="J423" s="41"/>
      <c r="K423" s="42"/>
      <c r="L423" s="42"/>
      <c r="M423" s="41"/>
      <c r="N423" s="30">
        <f t="shared" si="6"/>
        <v>3090.5</v>
      </c>
    </row>
    <row r="424" spans="1:14" ht="15.75" thickBot="1" x14ac:dyDescent="0.3">
      <c r="A424" s="39" t="s">
        <v>731</v>
      </c>
      <c r="B424" s="40"/>
      <c r="C424" s="40"/>
      <c r="D424" s="40"/>
      <c r="E424" s="42"/>
      <c r="F424" s="42"/>
      <c r="G424" s="42"/>
      <c r="H424" s="41"/>
      <c r="I424" s="41"/>
      <c r="J424" s="42"/>
      <c r="K424" s="41"/>
      <c r="L424" s="41"/>
      <c r="M424" s="42"/>
      <c r="N424" s="45">
        <f t="shared" si="6"/>
        <v>0</v>
      </c>
    </row>
    <row r="425" spans="1:14" ht="15.75" thickBot="1" x14ac:dyDescent="0.3">
      <c r="A425" s="39" t="s">
        <v>732</v>
      </c>
      <c r="B425" s="28">
        <v>27309.69</v>
      </c>
      <c r="C425" s="28">
        <v>32782.69</v>
      </c>
      <c r="D425" s="28">
        <v>27309.68</v>
      </c>
      <c r="E425" s="29">
        <v>38166.81</v>
      </c>
      <c r="F425" s="29">
        <v>42753.61</v>
      </c>
      <c r="G425" s="29">
        <v>38030.31</v>
      </c>
      <c r="H425" s="33">
        <v>37481.31</v>
      </c>
      <c r="I425" s="33">
        <v>43457.31</v>
      </c>
      <c r="J425" s="29">
        <v>41141.31</v>
      </c>
      <c r="K425" s="33">
        <v>40433.31</v>
      </c>
      <c r="L425" s="33">
        <v>43505.31</v>
      </c>
      <c r="M425" s="29">
        <v>43550.31</v>
      </c>
      <c r="N425" s="30">
        <f t="shared" si="6"/>
        <v>455921.64999999997</v>
      </c>
    </row>
    <row r="426" spans="1:14" ht="15.75" thickBot="1" x14ac:dyDescent="0.3">
      <c r="A426" s="39" t="s">
        <v>733</v>
      </c>
      <c r="B426" s="40">
        <v>50.63</v>
      </c>
      <c r="C426" s="40">
        <v>1512.5</v>
      </c>
      <c r="D426" s="40">
        <v>3677.21</v>
      </c>
      <c r="E426" s="42"/>
      <c r="F426" s="42"/>
      <c r="G426" s="42"/>
      <c r="H426" s="41"/>
      <c r="I426" s="29">
        <v>3400</v>
      </c>
      <c r="J426" s="33">
        <v>6250</v>
      </c>
      <c r="K426" s="41"/>
      <c r="L426" s="29">
        <v>476</v>
      </c>
      <c r="M426" s="46">
        <v>0</v>
      </c>
      <c r="N426" s="34">
        <f t="shared" si="6"/>
        <v>15366.34</v>
      </c>
    </row>
    <row r="427" spans="1:14" ht="15.75" thickBot="1" x14ac:dyDescent="0.3">
      <c r="A427" s="39" t="s">
        <v>734</v>
      </c>
      <c r="B427" s="43"/>
      <c r="C427" s="43">
        <v>4299</v>
      </c>
      <c r="D427" s="43"/>
      <c r="E427" s="41"/>
      <c r="F427" s="29">
        <v>17355</v>
      </c>
      <c r="G427" s="52">
        <v>0</v>
      </c>
      <c r="H427" s="46">
        <v>0</v>
      </c>
      <c r="I427" s="46">
        <v>0</v>
      </c>
      <c r="J427" s="29">
        <v>-12280</v>
      </c>
      <c r="K427" s="42"/>
      <c r="L427" s="42"/>
      <c r="M427" s="41"/>
      <c r="N427" s="30">
        <f t="shared" si="6"/>
        <v>9374</v>
      </c>
    </row>
    <row r="428" spans="1:14" ht="15.75" thickBot="1" x14ac:dyDescent="0.3">
      <c r="A428" s="39" t="s">
        <v>735</v>
      </c>
      <c r="B428" s="32">
        <v>790.5</v>
      </c>
      <c r="C428" s="32">
        <v>1898.9</v>
      </c>
      <c r="D428" s="32">
        <v>4395.45</v>
      </c>
      <c r="E428" s="33">
        <v>575.5</v>
      </c>
      <c r="F428" s="33">
        <v>1553.22</v>
      </c>
      <c r="G428" s="33">
        <v>3469.04</v>
      </c>
      <c r="H428" s="29">
        <v>964.5</v>
      </c>
      <c r="I428" s="29">
        <v>233</v>
      </c>
      <c r="J428" s="33">
        <v>396</v>
      </c>
      <c r="K428" s="29">
        <v>2779</v>
      </c>
      <c r="L428" s="29">
        <v>401.25</v>
      </c>
      <c r="M428" s="33">
        <v>1755.43</v>
      </c>
      <c r="N428" s="34">
        <f t="shared" si="6"/>
        <v>19211.79</v>
      </c>
    </row>
    <row r="429" spans="1:14" ht="15.75" thickBot="1" x14ac:dyDescent="0.3">
      <c r="A429" s="39" t="s">
        <v>736</v>
      </c>
      <c r="B429" s="43"/>
      <c r="C429" s="43">
        <v>26.8</v>
      </c>
      <c r="D429" s="43">
        <v>557.42999999999995</v>
      </c>
      <c r="E429" s="29">
        <v>120.95</v>
      </c>
      <c r="F429" s="41"/>
      <c r="G429" s="41"/>
      <c r="H429" s="42"/>
      <c r="I429" s="42"/>
      <c r="J429" s="41"/>
      <c r="K429" s="42"/>
      <c r="L429" s="42"/>
      <c r="M429" s="41"/>
      <c r="N429" s="30">
        <f t="shared" si="6"/>
        <v>705.18</v>
      </c>
    </row>
    <row r="430" spans="1:14" ht="15.75" thickBot="1" x14ac:dyDescent="0.3">
      <c r="A430" s="47" t="s">
        <v>737</v>
      </c>
      <c r="B430" s="40"/>
      <c r="C430" s="40"/>
      <c r="D430" s="40"/>
      <c r="E430" s="29"/>
      <c r="F430" s="41"/>
      <c r="G430" s="41"/>
      <c r="H430" s="42"/>
      <c r="I430" s="42"/>
      <c r="J430" s="41"/>
      <c r="K430" s="42"/>
      <c r="L430" s="42"/>
      <c r="M430" s="41"/>
      <c r="N430" s="30">
        <f t="shared" si="6"/>
        <v>0</v>
      </c>
    </row>
    <row r="431" spans="1:14" ht="15.75" thickBot="1" x14ac:dyDescent="0.3">
      <c r="A431" s="47" t="s">
        <v>738</v>
      </c>
      <c r="B431" s="43"/>
      <c r="C431" s="43"/>
      <c r="D431" s="43"/>
      <c r="E431" s="29"/>
      <c r="F431" s="41"/>
      <c r="G431" s="41"/>
      <c r="H431" s="42"/>
      <c r="I431" s="42"/>
      <c r="J431" s="41"/>
      <c r="K431" s="42"/>
      <c r="L431" s="42"/>
      <c r="M431" s="41"/>
      <c r="N431" s="30">
        <f t="shared" si="6"/>
        <v>0</v>
      </c>
    </row>
    <row r="432" spans="1:14" ht="15.75" thickBot="1" x14ac:dyDescent="0.3">
      <c r="A432" s="39" t="s">
        <v>739</v>
      </c>
      <c r="B432" s="40">
        <v>1283.52</v>
      </c>
      <c r="C432" s="40">
        <v>-1283.52</v>
      </c>
      <c r="D432" s="40"/>
      <c r="E432" s="42"/>
      <c r="F432" s="42"/>
      <c r="G432" s="42"/>
      <c r="H432" s="41"/>
      <c r="I432" s="41"/>
      <c r="J432" s="42"/>
      <c r="K432" s="41"/>
      <c r="L432" s="41"/>
      <c r="M432" s="42"/>
      <c r="N432" s="45">
        <f t="shared" si="6"/>
        <v>0</v>
      </c>
    </row>
    <row r="433" spans="1:14" ht="15.75" thickBot="1" x14ac:dyDescent="0.3">
      <c r="A433" s="39" t="s">
        <v>740</v>
      </c>
      <c r="B433" s="43"/>
      <c r="C433" s="43"/>
      <c r="D433" s="43">
        <v>32658.25</v>
      </c>
      <c r="E433" s="41"/>
      <c r="F433" s="41"/>
      <c r="G433" s="29">
        <v>68655.48</v>
      </c>
      <c r="H433" s="42"/>
      <c r="I433" s="42"/>
      <c r="J433" s="41"/>
      <c r="K433" s="42"/>
      <c r="L433" s="42"/>
      <c r="M433" s="41"/>
      <c r="N433" s="30">
        <f t="shared" si="6"/>
        <v>101313.73</v>
      </c>
    </row>
    <row r="434" spans="1:14" ht="15.75" thickBot="1" x14ac:dyDescent="0.3">
      <c r="A434" s="39" t="s">
        <v>741</v>
      </c>
      <c r="B434" s="32">
        <v>5769.5</v>
      </c>
      <c r="C434" s="32">
        <v>3460.5</v>
      </c>
      <c r="D434" s="32">
        <v>7619.5</v>
      </c>
      <c r="E434" s="33">
        <v>7849</v>
      </c>
      <c r="F434" s="33">
        <v>63733</v>
      </c>
      <c r="G434" s="33">
        <v>68345.25</v>
      </c>
      <c r="H434" s="29">
        <v>79739.7</v>
      </c>
      <c r="I434" s="29">
        <v>76598.350000000006</v>
      </c>
      <c r="J434" s="33">
        <v>76156.350000000006</v>
      </c>
      <c r="K434" s="29">
        <v>68232.350000000006</v>
      </c>
      <c r="L434" s="29">
        <v>68817.350000000006</v>
      </c>
      <c r="M434" s="33">
        <v>68997.350000000006</v>
      </c>
      <c r="N434" s="34">
        <f t="shared" si="6"/>
        <v>595318.19999999995</v>
      </c>
    </row>
    <row r="435" spans="1:14" ht="15.75" thickBot="1" x14ac:dyDescent="0.3">
      <c r="A435" s="39" t="s">
        <v>742</v>
      </c>
      <c r="B435" s="43"/>
      <c r="C435" s="43"/>
      <c r="D435" s="43">
        <v>1392257.18</v>
      </c>
      <c r="E435" s="41"/>
      <c r="F435" s="41"/>
      <c r="G435" s="29">
        <v>877973</v>
      </c>
      <c r="H435" s="42"/>
      <c r="I435" s="42"/>
      <c r="J435" s="29">
        <v>-840215.13</v>
      </c>
      <c r="K435" s="42"/>
      <c r="L435" s="42"/>
      <c r="M435" s="29">
        <v>-750068.42</v>
      </c>
      <c r="N435" s="30">
        <f t="shared" si="6"/>
        <v>679946.62999999977</v>
      </c>
    </row>
    <row r="436" spans="1:14" ht="15.75" thickBot="1" x14ac:dyDescent="0.3">
      <c r="A436" s="39" t="s">
        <v>742</v>
      </c>
      <c r="B436" s="40"/>
      <c r="C436" s="40"/>
      <c r="D436" s="40">
        <v>-29122</v>
      </c>
      <c r="E436" s="42"/>
      <c r="F436" s="42"/>
      <c r="G436" s="33">
        <v>1745259</v>
      </c>
      <c r="H436" s="41"/>
      <c r="I436" s="41"/>
      <c r="J436" s="33">
        <v>-113328</v>
      </c>
      <c r="K436" s="41"/>
      <c r="L436" s="41"/>
      <c r="M436" s="33">
        <v>99851</v>
      </c>
      <c r="N436" s="34">
        <f t="shared" si="6"/>
        <v>1702660</v>
      </c>
    </row>
    <row r="437" spans="1:14" ht="15.75" thickBot="1" x14ac:dyDescent="0.3">
      <c r="A437" s="39" t="s">
        <v>743</v>
      </c>
      <c r="B437" s="43"/>
      <c r="C437" s="43"/>
      <c r="D437" s="43"/>
      <c r="E437" s="41"/>
      <c r="F437" s="41"/>
      <c r="G437" s="41"/>
      <c r="H437" s="42"/>
      <c r="I437" s="42"/>
      <c r="J437" s="41"/>
      <c r="K437" s="41"/>
      <c r="L437" s="41"/>
      <c r="M437" s="33"/>
      <c r="N437" s="34">
        <f t="shared" si="6"/>
        <v>0</v>
      </c>
    </row>
    <row r="438" spans="1:14" ht="15.75" thickBot="1" x14ac:dyDescent="0.3">
      <c r="A438" s="39" t="s">
        <v>744</v>
      </c>
      <c r="B438" s="32">
        <v>164361.25</v>
      </c>
      <c r="C438" s="32">
        <v>131039.37</v>
      </c>
      <c r="D438" s="32">
        <v>153670.72</v>
      </c>
      <c r="E438" s="33">
        <v>125047.56</v>
      </c>
      <c r="F438" s="33">
        <v>131138.74</v>
      </c>
      <c r="G438" s="33">
        <v>223002.03</v>
      </c>
      <c r="H438" s="29">
        <v>135989.68</v>
      </c>
      <c r="I438" s="29">
        <v>127501.26</v>
      </c>
      <c r="J438" s="33">
        <v>147235.32</v>
      </c>
      <c r="K438" s="33">
        <v>116539.28</v>
      </c>
      <c r="L438" s="33">
        <v>150868.07999999999</v>
      </c>
      <c r="M438" s="29">
        <v>159201.97</v>
      </c>
      <c r="N438" s="30">
        <f t="shared" si="6"/>
        <v>1765595.26</v>
      </c>
    </row>
    <row r="439" spans="1:14" ht="15.75" thickBot="1" x14ac:dyDescent="0.3">
      <c r="A439" s="39" t="s">
        <v>745</v>
      </c>
      <c r="B439" s="43"/>
      <c r="C439" s="43"/>
      <c r="D439" s="43"/>
      <c r="E439" s="41"/>
      <c r="F439" s="41"/>
      <c r="G439" s="29">
        <v>16280</v>
      </c>
      <c r="H439" s="33">
        <v>110</v>
      </c>
      <c r="I439" s="33">
        <v>97900</v>
      </c>
      <c r="J439" s="29">
        <v>3432</v>
      </c>
      <c r="K439" s="41"/>
      <c r="L439" s="41"/>
      <c r="M439" s="33">
        <v>33000</v>
      </c>
      <c r="N439" s="34">
        <f t="shared" si="6"/>
        <v>150722</v>
      </c>
    </row>
    <row r="440" spans="1:14" ht="15.75" thickBot="1" x14ac:dyDescent="0.3">
      <c r="A440" s="39" t="s">
        <v>746</v>
      </c>
      <c r="B440" s="32">
        <v>75157.8</v>
      </c>
      <c r="C440" s="32">
        <v>74177.09</v>
      </c>
      <c r="D440" s="32">
        <v>76851.78</v>
      </c>
      <c r="E440" s="33">
        <v>76635.63</v>
      </c>
      <c r="F440" s="33">
        <v>70725.710000000006</v>
      </c>
      <c r="G440" s="33">
        <v>80992.69</v>
      </c>
      <c r="H440" s="29">
        <v>76306.23</v>
      </c>
      <c r="I440" s="29">
        <v>75069.16</v>
      </c>
      <c r="J440" s="33">
        <v>78289</v>
      </c>
      <c r="K440" s="33">
        <v>74571.509999999995</v>
      </c>
      <c r="L440" s="33">
        <v>81082.149999999994</v>
      </c>
      <c r="M440" s="29">
        <v>77290.39</v>
      </c>
      <c r="N440" s="30">
        <f t="shared" si="6"/>
        <v>917149.14000000013</v>
      </c>
    </row>
    <row r="441" spans="1:14" ht="15.75" thickBot="1" x14ac:dyDescent="0.3">
      <c r="A441" s="39" t="s">
        <v>747</v>
      </c>
      <c r="B441" s="43"/>
      <c r="C441" s="43"/>
      <c r="D441" s="43">
        <v>694.75</v>
      </c>
      <c r="E441" s="41"/>
      <c r="F441" s="41"/>
      <c r="G441" s="41"/>
      <c r="H441" s="42"/>
      <c r="I441" s="42"/>
      <c r="J441" s="41"/>
      <c r="K441" s="41"/>
      <c r="L441" s="41"/>
      <c r="M441" s="42"/>
      <c r="N441" s="45">
        <f t="shared" si="6"/>
        <v>694.75</v>
      </c>
    </row>
    <row r="442" spans="1:14" ht="15.75" thickBot="1" x14ac:dyDescent="0.3">
      <c r="A442" s="39" t="s">
        <v>748</v>
      </c>
      <c r="B442" s="32"/>
      <c r="C442" s="32"/>
      <c r="D442" s="32">
        <v>10415</v>
      </c>
      <c r="E442" s="33">
        <v>9102.5</v>
      </c>
      <c r="F442" s="42"/>
      <c r="G442" s="42"/>
      <c r="H442" s="41"/>
      <c r="I442" s="29">
        <v>3114</v>
      </c>
      <c r="J442" s="42"/>
      <c r="K442" s="42"/>
      <c r="L442" s="42"/>
      <c r="M442" s="41"/>
      <c r="N442" s="30">
        <f t="shared" si="6"/>
        <v>22631.5</v>
      </c>
    </row>
    <row r="443" spans="1:14" ht="15.75" thickBot="1" x14ac:dyDescent="0.3">
      <c r="A443" s="39" t="s">
        <v>749</v>
      </c>
      <c r="B443" s="28"/>
      <c r="C443" s="28"/>
      <c r="D443" s="28"/>
      <c r="E443" s="41"/>
      <c r="F443" s="41"/>
      <c r="G443" s="41"/>
      <c r="H443" s="42"/>
      <c r="I443" s="42"/>
      <c r="J443" s="41"/>
      <c r="K443" s="41"/>
      <c r="L443" s="41"/>
      <c r="M443" s="42"/>
      <c r="N443" s="45">
        <f t="shared" si="6"/>
        <v>0</v>
      </c>
    </row>
    <row r="444" spans="1:14" ht="15.75" thickBot="1" x14ac:dyDescent="0.3">
      <c r="A444" s="39" t="s">
        <v>750</v>
      </c>
      <c r="B444" s="32">
        <v>27310.95</v>
      </c>
      <c r="C444" s="32">
        <v>7857.27</v>
      </c>
      <c r="D444" s="32">
        <v>-28406.45</v>
      </c>
      <c r="E444" s="33">
        <v>3741.72</v>
      </c>
      <c r="F444" s="33">
        <v>5255.73</v>
      </c>
      <c r="G444" s="33">
        <v>11322.75</v>
      </c>
      <c r="H444" s="29">
        <v>13031.43</v>
      </c>
      <c r="I444" s="29">
        <v>-9534.69</v>
      </c>
      <c r="J444" s="33">
        <v>-22568.66</v>
      </c>
      <c r="K444" s="33">
        <v>130168.23</v>
      </c>
      <c r="L444" s="33">
        <v>67982.570000000007</v>
      </c>
      <c r="M444" s="29">
        <v>74522.37</v>
      </c>
      <c r="N444" s="30">
        <f t="shared" si="6"/>
        <v>280683.21999999997</v>
      </c>
    </row>
    <row r="445" spans="1:14" ht="15.75" thickBot="1" x14ac:dyDescent="0.3">
      <c r="A445" s="47" t="s">
        <v>751</v>
      </c>
      <c r="B445" s="43"/>
      <c r="C445" s="43"/>
      <c r="D445" s="43"/>
      <c r="E445" s="33"/>
      <c r="F445" s="33"/>
      <c r="G445" s="33"/>
      <c r="H445" s="29"/>
      <c r="I445" s="29"/>
      <c r="J445" s="33"/>
      <c r="K445" s="33"/>
      <c r="L445" s="33"/>
      <c r="M445" s="29"/>
      <c r="N445" s="30">
        <f t="shared" si="6"/>
        <v>0</v>
      </c>
    </row>
    <row r="446" spans="1:14" ht="15.75" thickBot="1" x14ac:dyDescent="0.3">
      <c r="A446" s="39" t="s">
        <v>752</v>
      </c>
      <c r="B446" s="32"/>
      <c r="C446" s="32"/>
      <c r="D446" s="32"/>
      <c r="E446" s="41"/>
      <c r="F446" s="41"/>
      <c r="G446" s="41"/>
      <c r="H446" s="42"/>
      <c r="I446" s="42"/>
      <c r="J446" s="41"/>
      <c r="K446" s="41"/>
      <c r="L446" s="41"/>
      <c r="M446" s="42"/>
      <c r="N446" s="45">
        <f t="shared" si="6"/>
        <v>0</v>
      </c>
    </row>
    <row r="447" spans="1:14" ht="15.75" thickBot="1" x14ac:dyDescent="0.3">
      <c r="A447" s="47" t="s">
        <v>753</v>
      </c>
      <c r="B447" s="43"/>
      <c r="C447" s="43"/>
      <c r="D447" s="43"/>
      <c r="E447" s="41"/>
      <c r="F447" s="41"/>
      <c r="G447" s="41"/>
      <c r="H447" s="42"/>
      <c r="I447" s="42"/>
      <c r="J447" s="41"/>
      <c r="K447" s="41"/>
      <c r="L447" s="41"/>
      <c r="M447" s="42"/>
      <c r="N447" s="45">
        <f t="shared" si="6"/>
        <v>0</v>
      </c>
    </row>
    <row r="448" spans="1:14" ht="15.75" thickBot="1" x14ac:dyDescent="0.3">
      <c r="A448" s="47" t="s">
        <v>754</v>
      </c>
      <c r="B448" s="40"/>
      <c r="C448" s="40"/>
      <c r="D448" s="40"/>
      <c r="E448" s="41"/>
      <c r="F448" s="41"/>
      <c r="G448" s="41"/>
      <c r="H448" s="42"/>
      <c r="I448" s="42"/>
      <c r="J448" s="41"/>
      <c r="K448" s="41"/>
      <c r="L448" s="41"/>
      <c r="M448" s="42"/>
      <c r="N448" s="45">
        <f t="shared" si="6"/>
        <v>0</v>
      </c>
    </row>
    <row r="449" spans="1:14" ht="15.75" thickBot="1" x14ac:dyDescent="0.3">
      <c r="A449" s="47" t="s">
        <v>755</v>
      </c>
      <c r="B449" s="43"/>
      <c r="C449" s="43"/>
      <c r="D449" s="43"/>
      <c r="E449" s="41"/>
      <c r="F449" s="41"/>
      <c r="G449" s="41"/>
      <c r="H449" s="42"/>
      <c r="I449" s="42"/>
      <c r="J449" s="41"/>
      <c r="K449" s="41"/>
      <c r="L449" s="41"/>
      <c r="M449" s="42"/>
      <c r="N449" s="45">
        <f t="shared" si="6"/>
        <v>0</v>
      </c>
    </row>
    <row r="450" spans="1:14" ht="15.75" thickBot="1" x14ac:dyDescent="0.3">
      <c r="A450" s="39" t="s">
        <v>756</v>
      </c>
      <c r="B450" s="40"/>
      <c r="C450" s="40"/>
      <c r="D450" s="40"/>
      <c r="E450" s="42"/>
      <c r="F450" s="42"/>
      <c r="G450" s="42"/>
      <c r="H450" s="41"/>
      <c r="I450" s="41"/>
      <c r="J450" s="42"/>
      <c r="K450" s="42"/>
      <c r="L450" s="42"/>
      <c r="M450" s="41"/>
      <c r="N450" s="44">
        <f t="shared" si="6"/>
        <v>0</v>
      </c>
    </row>
    <row r="451" spans="1:14" ht="15.75" thickBot="1" x14ac:dyDescent="0.3">
      <c r="A451" s="39" t="s">
        <v>757</v>
      </c>
      <c r="B451" s="28">
        <v>38242.07</v>
      </c>
      <c r="C451" s="28">
        <v>32608.2</v>
      </c>
      <c r="D451" s="28">
        <v>33210.589999999997</v>
      </c>
      <c r="E451" s="29">
        <v>23844.93</v>
      </c>
      <c r="F451" s="29">
        <v>20485.63</v>
      </c>
      <c r="G451" s="29">
        <v>27988.06</v>
      </c>
      <c r="H451" s="33">
        <v>34695.82</v>
      </c>
      <c r="I451" s="33">
        <v>36158.870000000003</v>
      </c>
      <c r="J451" s="29">
        <v>37927.870000000003</v>
      </c>
      <c r="K451" s="29">
        <v>35739.57</v>
      </c>
      <c r="L451" s="29">
        <v>37721.339999999997</v>
      </c>
      <c r="M451" s="33">
        <v>35088.07</v>
      </c>
      <c r="N451" s="34">
        <f t="shared" si="6"/>
        <v>393711.02000000008</v>
      </c>
    </row>
    <row r="452" spans="1:14" ht="15.75" thickBot="1" x14ac:dyDescent="0.3">
      <c r="A452" s="39" t="s">
        <v>758</v>
      </c>
      <c r="B452" s="40"/>
      <c r="C452" s="40"/>
      <c r="D452" s="40">
        <v>14220</v>
      </c>
      <c r="E452" s="33">
        <v>375</v>
      </c>
      <c r="F452" s="42"/>
      <c r="G452" s="42"/>
      <c r="H452" s="41"/>
      <c r="I452" s="41"/>
      <c r="J452" s="33">
        <v>12806</v>
      </c>
      <c r="K452" s="42"/>
      <c r="L452" s="42"/>
      <c r="M452" s="29">
        <v>6197.1</v>
      </c>
      <c r="N452" s="30">
        <f t="shared" si="6"/>
        <v>33598.1</v>
      </c>
    </row>
    <row r="453" spans="1:14" ht="15.75" thickBot="1" x14ac:dyDescent="0.3">
      <c r="A453" s="39" t="s">
        <v>759</v>
      </c>
      <c r="B453" s="43">
        <v>585</v>
      </c>
      <c r="C453" s="43">
        <v>101.07</v>
      </c>
      <c r="D453" s="43">
        <v>2701.52</v>
      </c>
      <c r="E453" s="29">
        <v>672.08</v>
      </c>
      <c r="F453" s="29">
        <v>370</v>
      </c>
      <c r="G453" s="29">
        <v>34.5</v>
      </c>
      <c r="H453" s="33">
        <v>819</v>
      </c>
      <c r="I453" s="33">
        <v>149</v>
      </c>
      <c r="J453" s="29">
        <v>347</v>
      </c>
      <c r="K453" s="41"/>
      <c r="L453" s="41"/>
      <c r="M453" s="42"/>
      <c r="N453" s="34">
        <f t="shared" si="6"/>
        <v>5779.17</v>
      </c>
    </row>
    <row r="454" spans="1:14" ht="15.75" thickBot="1" x14ac:dyDescent="0.3">
      <c r="A454" s="39" t="s">
        <v>760</v>
      </c>
      <c r="B454" s="40">
        <v>4438.6400000000003</v>
      </c>
      <c r="C454" s="40">
        <v>18551.060000000001</v>
      </c>
      <c r="D454" s="40">
        <v>18551.060000000001</v>
      </c>
      <c r="E454" s="33">
        <v>14112.42</v>
      </c>
      <c r="F454" s="33">
        <v>22989.7</v>
      </c>
      <c r="G454" s="33">
        <v>18551.060000000001</v>
      </c>
      <c r="H454" s="29">
        <v>18551.060000000001</v>
      </c>
      <c r="I454" s="29">
        <v>18551.060000000001</v>
      </c>
      <c r="J454" s="33">
        <v>18551.060000000001</v>
      </c>
      <c r="K454" s="33">
        <v>18551.060000000001</v>
      </c>
      <c r="L454" s="33">
        <v>18551.060000000001</v>
      </c>
      <c r="M454" s="29">
        <v>18551.060000000001</v>
      </c>
      <c r="N454" s="30">
        <f t="shared" ref="N454:N517" si="7">SUM(B454:M454)</f>
        <v>208500.3</v>
      </c>
    </row>
    <row r="455" spans="1:14" ht="15.75" thickBot="1" x14ac:dyDescent="0.3">
      <c r="A455" s="39" t="s">
        <v>761</v>
      </c>
      <c r="B455" s="28">
        <v>744.75</v>
      </c>
      <c r="C455" s="28">
        <v>744.75</v>
      </c>
      <c r="D455" s="28">
        <v>744.75</v>
      </c>
      <c r="E455" s="41"/>
      <c r="F455" s="41"/>
      <c r="G455" s="41"/>
      <c r="H455" s="42"/>
      <c r="I455" s="42"/>
      <c r="J455" s="41"/>
      <c r="K455" s="41"/>
      <c r="L455" s="41"/>
      <c r="M455" s="33">
        <v>15978.76</v>
      </c>
      <c r="N455" s="34">
        <f t="shared" si="7"/>
        <v>18213.010000000002</v>
      </c>
    </row>
    <row r="456" spans="1:14" ht="15.75" thickBot="1" x14ac:dyDescent="0.3">
      <c r="A456" s="39" t="s">
        <v>762</v>
      </c>
      <c r="B456" s="32">
        <v>107145.72</v>
      </c>
      <c r="C456" s="32">
        <v>130137.89</v>
      </c>
      <c r="D456" s="32">
        <v>91101.38</v>
      </c>
      <c r="E456" s="33">
        <v>139482.23999999999</v>
      </c>
      <c r="F456" s="33">
        <v>121276.72</v>
      </c>
      <c r="G456" s="33">
        <v>152765.39000000001</v>
      </c>
      <c r="H456" s="29">
        <v>149539.06</v>
      </c>
      <c r="I456" s="29">
        <v>136013.85999999999</v>
      </c>
      <c r="J456" s="33">
        <v>142417.74</v>
      </c>
      <c r="K456" s="33">
        <v>142983.23000000001</v>
      </c>
      <c r="L456" s="33">
        <v>135413.64000000001</v>
      </c>
      <c r="M456" s="29">
        <v>131077.34</v>
      </c>
      <c r="N456" s="30">
        <f t="shared" si="7"/>
        <v>1579354.2100000002</v>
      </c>
    </row>
    <row r="457" spans="1:14" ht="15.75" thickBot="1" x14ac:dyDescent="0.3">
      <c r="A457" s="39" t="s">
        <v>763</v>
      </c>
      <c r="B457" s="28">
        <v>43096.959999999999</v>
      </c>
      <c r="C457" s="28">
        <v>42319.45</v>
      </c>
      <c r="D457" s="28">
        <v>32774.629999999997</v>
      </c>
      <c r="E457" s="29">
        <v>26965</v>
      </c>
      <c r="F457" s="29">
        <v>26476.720000000001</v>
      </c>
      <c r="G457" s="29">
        <v>20657.57</v>
      </c>
      <c r="H457" s="33">
        <v>15880.08</v>
      </c>
      <c r="I457" s="33">
        <v>16444.939999999999</v>
      </c>
      <c r="J457" s="29">
        <v>22416.91</v>
      </c>
      <c r="K457" s="29">
        <v>17575.37</v>
      </c>
      <c r="L457" s="29">
        <v>17563.62</v>
      </c>
      <c r="M457" s="33">
        <v>12471.14</v>
      </c>
      <c r="N457" s="34">
        <f t="shared" si="7"/>
        <v>294642.39</v>
      </c>
    </row>
    <row r="458" spans="1:14" ht="15.75" thickBot="1" x14ac:dyDescent="0.3">
      <c r="A458" s="39" t="s">
        <v>764</v>
      </c>
      <c r="B458" s="40"/>
      <c r="C458" s="40"/>
      <c r="D458" s="40"/>
      <c r="E458" s="42"/>
      <c r="F458" s="42"/>
      <c r="G458" s="42"/>
      <c r="H458" s="41"/>
      <c r="I458" s="41"/>
      <c r="J458" s="42"/>
      <c r="K458" s="42"/>
      <c r="L458" s="42"/>
      <c r="M458" s="41"/>
      <c r="N458" s="44">
        <f t="shared" si="7"/>
        <v>0</v>
      </c>
    </row>
    <row r="459" spans="1:14" ht="15.75" thickBot="1" x14ac:dyDescent="0.3">
      <c r="A459" s="39" t="s">
        <v>765</v>
      </c>
      <c r="B459" s="28">
        <v>352208.69</v>
      </c>
      <c r="C459" s="28">
        <v>363586.07</v>
      </c>
      <c r="D459" s="28">
        <v>475014.16</v>
      </c>
      <c r="E459" s="29">
        <v>369070.89</v>
      </c>
      <c r="F459" s="29">
        <v>359262.8</v>
      </c>
      <c r="G459" s="29">
        <v>376239.27</v>
      </c>
      <c r="H459" s="33">
        <v>404805.99</v>
      </c>
      <c r="I459" s="33">
        <v>320271.05</v>
      </c>
      <c r="J459" s="29">
        <v>448495.66</v>
      </c>
      <c r="K459" s="29">
        <v>489669.4</v>
      </c>
      <c r="L459" s="29">
        <v>438241.69</v>
      </c>
      <c r="M459" s="33">
        <v>435041.16</v>
      </c>
      <c r="N459" s="34">
        <f t="shared" si="7"/>
        <v>4831906.83</v>
      </c>
    </row>
    <row r="460" spans="1:14" ht="15.75" thickBot="1" x14ac:dyDescent="0.3">
      <c r="A460" s="39" t="s">
        <v>766</v>
      </c>
      <c r="B460" s="32">
        <v>68199.25</v>
      </c>
      <c r="C460" s="32">
        <v>50187.82</v>
      </c>
      <c r="D460" s="32">
        <v>45718.33</v>
      </c>
      <c r="E460" s="33">
        <v>52727.14</v>
      </c>
      <c r="F460" s="33">
        <v>56616.79</v>
      </c>
      <c r="G460" s="33">
        <v>66187.360000000001</v>
      </c>
      <c r="H460" s="29">
        <v>50556.78</v>
      </c>
      <c r="I460" s="29">
        <v>53984.23</v>
      </c>
      <c r="J460" s="33">
        <v>52932.1</v>
      </c>
      <c r="K460" s="33">
        <v>53164.43</v>
      </c>
      <c r="L460" s="33">
        <v>51579.37</v>
      </c>
      <c r="M460" s="29">
        <v>52864.55</v>
      </c>
      <c r="N460" s="30">
        <f t="shared" si="7"/>
        <v>654718.15</v>
      </c>
    </row>
    <row r="461" spans="1:14" ht="15.75" thickBot="1" x14ac:dyDescent="0.3">
      <c r="A461" s="39" t="s">
        <v>767</v>
      </c>
      <c r="B461" s="28">
        <v>23168.36</v>
      </c>
      <c r="C461" s="28">
        <v>27160.58</v>
      </c>
      <c r="D461" s="28">
        <v>32699.19</v>
      </c>
      <c r="E461" s="29">
        <v>44817.77</v>
      </c>
      <c r="F461" s="29">
        <v>26947.64</v>
      </c>
      <c r="G461" s="29">
        <v>37375.919999999998</v>
      </c>
      <c r="H461" s="33">
        <v>33543.56</v>
      </c>
      <c r="I461" s="33">
        <v>36672.400000000001</v>
      </c>
      <c r="J461" s="29">
        <v>36307.82</v>
      </c>
      <c r="K461" s="29">
        <v>35279.86</v>
      </c>
      <c r="L461" s="29">
        <v>31022.62</v>
      </c>
      <c r="M461" s="33">
        <v>22826.68</v>
      </c>
      <c r="N461" s="34">
        <f t="shared" si="7"/>
        <v>387822.39999999997</v>
      </c>
    </row>
    <row r="462" spans="1:14" ht="15.75" thickBot="1" x14ac:dyDescent="0.3">
      <c r="A462" s="39" t="s">
        <v>768</v>
      </c>
      <c r="B462" s="32">
        <v>6149.03</v>
      </c>
      <c r="C462" s="32"/>
      <c r="D462" s="32"/>
      <c r="E462" s="42"/>
      <c r="F462" s="33">
        <v>-3058.83</v>
      </c>
      <c r="G462" s="42"/>
      <c r="H462" s="41"/>
      <c r="I462" s="41"/>
      <c r="J462" s="42"/>
      <c r="K462" s="42"/>
      <c r="L462" s="42"/>
      <c r="M462" s="41"/>
      <c r="N462" s="30">
        <f t="shared" si="7"/>
        <v>3090.2</v>
      </c>
    </row>
    <row r="463" spans="1:14" ht="15.75" thickBot="1" x14ac:dyDescent="0.3">
      <c r="A463" s="39" t="s">
        <v>769</v>
      </c>
      <c r="B463" s="28">
        <v>205927.31</v>
      </c>
      <c r="C463" s="28">
        <v>146724.75</v>
      </c>
      <c r="D463" s="28">
        <v>134729.68</v>
      </c>
      <c r="E463" s="29">
        <v>159248.15</v>
      </c>
      <c r="F463" s="29">
        <v>165464.98000000001</v>
      </c>
      <c r="G463" s="29">
        <v>181480.44</v>
      </c>
      <c r="H463" s="33">
        <v>144788.32</v>
      </c>
      <c r="I463" s="33">
        <v>193925.37</v>
      </c>
      <c r="J463" s="29">
        <v>167758.6</v>
      </c>
      <c r="K463" s="29">
        <v>167761.76999999999</v>
      </c>
      <c r="L463" s="29">
        <v>195822.63</v>
      </c>
      <c r="M463" s="33">
        <v>184063.72</v>
      </c>
      <c r="N463" s="34">
        <f t="shared" si="7"/>
        <v>2047695.72</v>
      </c>
    </row>
    <row r="464" spans="1:14" ht="15.75" thickBot="1" x14ac:dyDescent="0.3">
      <c r="A464" s="47" t="s">
        <v>770</v>
      </c>
      <c r="B464" s="40"/>
      <c r="C464" s="40"/>
      <c r="D464" s="40"/>
      <c r="E464" s="29"/>
      <c r="F464" s="29"/>
      <c r="G464" s="29"/>
      <c r="H464" s="33"/>
      <c r="I464" s="33"/>
      <c r="J464" s="29"/>
      <c r="K464" s="29"/>
      <c r="L464" s="29"/>
      <c r="M464" s="33"/>
      <c r="N464" s="34">
        <f t="shared" si="7"/>
        <v>0</v>
      </c>
    </row>
    <row r="465" spans="1:14" ht="15.75" thickBot="1" x14ac:dyDescent="0.3">
      <c r="A465" s="39" t="s">
        <v>771</v>
      </c>
      <c r="B465" s="28"/>
      <c r="C465" s="28"/>
      <c r="D465" s="28"/>
      <c r="E465" s="42"/>
      <c r="F465" s="42"/>
      <c r="G465" s="42"/>
      <c r="H465" s="41"/>
      <c r="I465" s="41"/>
      <c r="J465" s="42"/>
      <c r="K465" s="42"/>
      <c r="L465" s="42"/>
      <c r="M465" s="41"/>
      <c r="N465" s="44">
        <f t="shared" si="7"/>
        <v>0</v>
      </c>
    </row>
    <row r="466" spans="1:14" ht="15.75" thickBot="1" x14ac:dyDescent="0.3">
      <c r="A466" s="39" t="s">
        <v>772</v>
      </c>
      <c r="B466" s="32">
        <v>1175.46</v>
      </c>
      <c r="C466" s="32">
        <v>1594.34</v>
      </c>
      <c r="D466" s="32">
        <v>3282.06</v>
      </c>
      <c r="E466" s="29">
        <v>698.86</v>
      </c>
      <c r="F466" s="29">
        <v>1967.08</v>
      </c>
      <c r="G466" s="29">
        <v>1257.29</v>
      </c>
      <c r="H466" s="33">
        <v>4693.79</v>
      </c>
      <c r="I466" s="33">
        <v>2128.9</v>
      </c>
      <c r="J466" s="41"/>
      <c r="K466" s="29">
        <v>10625.86</v>
      </c>
      <c r="L466" s="29">
        <v>11147.47</v>
      </c>
      <c r="M466" s="33">
        <v>7009.43</v>
      </c>
      <c r="N466" s="34">
        <f t="shared" si="7"/>
        <v>45580.54</v>
      </c>
    </row>
    <row r="467" spans="1:14" ht="15.75" thickBot="1" x14ac:dyDescent="0.3">
      <c r="A467" s="39" t="s">
        <v>773</v>
      </c>
      <c r="B467" s="28">
        <v>62249.48</v>
      </c>
      <c r="C467" s="28">
        <v>60764.78</v>
      </c>
      <c r="D467" s="28">
        <v>87874.22</v>
      </c>
      <c r="E467" s="33">
        <v>64511.31</v>
      </c>
      <c r="F467" s="33">
        <v>59479.839999999997</v>
      </c>
      <c r="G467" s="33">
        <v>62082.65</v>
      </c>
      <c r="H467" s="29">
        <v>65041.09</v>
      </c>
      <c r="I467" s="29">
        <v>45827.97</v>
      </c>
      <c r="J467" s="33">
        <v>95670.59</v>
      </c>
      <c r="K467" s="33">
        <v>51991.88</v>
      </c>
      <c r="L467" s="33">
        <v>67033.83</v>
      </c>
      <c r="M467" s="29">
        <v>60529.78</v>
      </c>
      <c r="N467" s="30">
        <f t="shared" si="7"/>
        <v>783057.41999999993</v>
      </c>
    </row>
    <row r="468" spans="1:14" ht="15.75" thickBot="1" x14ac:dyDescent="0.3">
      <c r="A468" s="39" t="s">
        <v>774</v>
      </c>
      <c r="B468" s="32"/>
      <c r="C468" s="32"/>
      <c r="D468" s="32"/>
      <c r="E468" s="41"/>
      <c r="F468" s="41"/>
      <c r="G468" s="41"/>
      <c r="H468" s="42"/>
      <c r="I468" s="42"/>
      <c r="J468" s="41"/>
      <c r="K468" s="41"/>
      <c r="L468" s="41"/>
      <c r="M468" s="42"/>
      <c r="N468" s="45">
        <f t="shared" si="7"/>
        <v>0</v>
      </c>
    </row>
    <row r="469" spans="1:14" ht="15.75" thickBot="1" x14ac:dyDescent="0.3">
      <c r="A469" s="39" t="s">
        <v>775</v>
      </c>
      <c r="B469" s="28">
        <v>1907.8</v>
      </c>
      <c r="C469" s="28">
        <v>2496.4699999999998</v>
      </c>
      <c r="D469" s="28">
        <v>23809.87</v>
      </c>
      <c r="E469" s="33">
        <v>13028.6</v>
      </c>
      <c r="F469" s="33">
        <v>294.91000000000003</v>
      </c>
      <c r="G469" s="33">
        <v>101.25</v>
      </c>
      <c r="H469" s="41"/>
      <c r="I469" s="41"/>
      <c r="J469" s="42"/>
      <c r="K469" s="33">
        <v>21850</v>
      </c>
      <c r="L469" s="33">
        <v>9000</v>
      </c>
      <c r="M469" s="29">
        <v>11450</v>
      </c>
      <c r="N469" s="30">
        <f t="shared" si="7"/>
        <v>83938.9</v>
      </c>
    </row>
    <row r="470" spans="1:14" ht="15.75" thickBot="1" x14ac:dyDescent="0.3">
      <c r="A470" s="39" t="s">
        <v>776</v>
      </c>
      <c r="B470" s="40">
        <v>1705.26</v>
      </c>
      <c r="C470" s="40">
        <v>197.47</v>
      </c>
      <c r="D470" s="40">
        <v>1813.93</v>
      </c>
      <c r="E470" s="52">
        <v>0</v>
      </c>
      <c r="F470" s="29">
        <v>922.79</v>
      </c>
      <c r="G470" s="29">
        <v>107.26</v>
      </c>
      <c r="H470" s="42"/>
      <c r="I470" s="42"/>
      <c r="J470" s="29">
        <v>150</v>
      </c>
      <c r="K470" s="41"/>
      <c r="L470" s="41"/>
      <c r="M470" s="33">
        <v>1287.5</v>
      </c>
      <c r="N470" s="34">
        <f t="shared" si="7"/>
        <v>6184.21</v>
      </c>
    </row>
    <row r="471" spans="1:14" ht="15.75" thickBot="1" x14ac:dyDescent="0.3">
      <c r="A471" s="39" t="s">
        <v>777</v>
      </c>
      <c r="B471" s="43"/>
      <c r="C471" s="43"/>
      <c r="D471" s="43"/>
      <c r="E471" s="42"/>
      <c r="F471" s="42"/>
      <c r="G471" s="42"/>
      <c r="H471" s="41"/>
      <c r="I471" s="41"/>
      <c r="J471" s="42"/>
      <c r="K471" s="42"/>
      <c r="L471" s="33">
        <v>149.9</v>
      </c>
      <c r="M471" s="29">
        <v>-149.9</v>
      </c>
      <c r="N471" s="53">
        <f t="shared" si="7"/>
        <v>0</v>
      </c>
    </row>
    <row r="472" spans="1:14" ht="15.75" thickBot="1" x14ac:dyDescent="0.3">
      <c r="A472" s="39" t="s">
        <v>778</v>
      </c>
      <c r="B472" s="32">
        <v>90383.7</v>
      </c>
      <c r="C472" s="32">
        <v>76480.17</v>
      </c>
      <c r="D472" s="32">
        <v>123707.44</v>
      </c>
      <c r="E472" s="29">
        <v>92917.29</v>
      </c>
      <c r="F472" s="29">
        <v>98492.81</v>
      </c>
      <c r="G472" s="29">
        <v>139776.32000000001</v>
      </c>
      <c r="H472" s="33">
        <v>102903.17</v>
      </c>
      <c r="I472" s="33">
        <v>100817.79</v>
      </c>
      <c r="J472" s="29">
        <v>112742.13</v>
      </c>
      <c r="K472" s="29">
        <v>89767.11</v>
      </c>
      <c r="L472" s="29">
        <v>41557.29</v>
      </c>
      <c r="M472" s="33">
        <v>72240</v>
      </c>
      <c r="N472" s="34">
        <f t="shared" si="7"/>
        <v>1141785.22</v>
      </c>
    </row>
    <row r="473" spans="1:14" ht="15.75" thickBot="1" x14ac:dyDescent="0.3">
      <c r="A473" s="39" t="s">
        <v>779</v>
      </c>
      <c r="B473" s="28">
        <v>12492.1</v>
      </c>
      <c r="C473" s="28">
        <v>12076.34</v>
      </c>
      <c r="D473" s="28">
        <v>4632.75</v>
      </c>
      <c r="E473" s="33">
        <v>21817.8</v>
      </c>
      <c r="F473" s="33">
        <v>9044.5499999999993</v>
      </c>
      <c r="G473" s="33">
        <v>13967.85</v>
      </c>
      <c r="H473" s="29">
        <v>8384.15</v>
      </c>
      <c r="I473" s="29">
        <v>11501.4</v>
      </c>
      <c r="J473" s="33">
        <v>24667.15</v>
      </c>
      <c r="K473" s="33">
        <v>28417.55</v>
      </c>
      <c r="L473" s="33">
        <v>4928.28</v>
      </c>
      <c r="M473" s="29">
        <v>7105.22</v>
      </c>
      <c r="N473" s="30">
        <f t="shared" si="7"/>
        <v>159035.13999999998</v>
      </c>
    </row>
    <row r="474" spans="1:14" ht="15.75" thickBot="1" x14ac:dyDescent="0.3">
      <c r="A474" s="39" t="s">
        <v>780</v>
      </c>
      <c r="B474" s="32">
        <v>46668</v>
      </c>
      <c r="C474" s="32">
        <v>30609.8</v>
      </c>
      <c r="D474" s="32">
        <v>5658</v>
      </c>
      <c r="E474" s="29">
        <v>8492.25</v>
      </c>
      <c r="F474" s="29">
        <v>13536.25</v>
      </c>
      <c r="G474" s="29">
        <v>65430.65</v>
      </c>
      <c r="H474" s="33">
        <v>27580.7</v>
      </c>
      <c r="I474" s="33">
        <v>4446.4399999999996</v>
      </c>
      <c r="J474" s="29">
        <v>-16678.34</v>
      </c>
      <c r="K474" s="29">
        <v>-7767.61</v>
      </c>
      <c r="L474" s="29">
        <v>8145.16</v>
      </c>
      <c r="M474" s="46">
        <v>0</v>
      </c>
      <c r="N474" s="34">
        <f t="shared" si="7"/>
        <v>186121.30000000005</v>
      </c>
    </row>
    <row r="475" spans="1:14" ht="15.75" thickBot="1" x14ac:dyDescent="0.3">
      <c r="A475" s="39" t="s">
        <v>781</v>
      </c>
      <c r="B475" s="28">
        <v>23261.24</v>
      </c>
      <c r="C475" s="28">
        <v>32553.75</v>
      </c>
      <c r="D475" s="28">
        <v>26511.75</v>
      </c>
      <c r="E475" s="33">
        <v>19122.59</v>
      </c>
      <c r="F475" s="33">
        <v>14951.78</v>
      </c>
      <c r="G475" s="33">
        <v>71983.5</v>
      </c>
      <c r="H475" s="29">
        <v>40957</v>
      </c>
      <c r="I475" s="29">
        <v>61887.75</v>
      </c>
      <c r="J475" s="33">
        <v>16320.01</v>
      </c>
      <c r="K475" s="33">
        <v>-795.49</v>
      </c>
      <c r="L475" s="33">
        <v>119424.5</v>
      </c>
      <c r="M475" s="29">
        <v>-1460.5</v>
      </c>
      <c r="N475" s="30">
        <f t="shared" si="7"/>
        <v>424717.88</v>
      </c>
    </row>
    <row r="476" spans="1:14" ht="15.75" thickBot="1" x14ac:dyDescent="0.3">
      <c r="A476" s="39" t="s">
        <v>782</v>
      </c>
      <c r="B476" s="32">
        <v>1700.64</v>
      </c>
      <c r="C476" s="32">
        <v>9488.4599999999991</v>
      </c>
      <c r="D476" s="32">
        <v>23709.85</v>
      </c>
      <c r="E476" s="29">
        <v>-31.23</v>
      </c>
      <c r="F476" s="29">
        <v>1027.1199999999999</v>
      </c>
      <c r="G476" s="29">
        <v>30068.94</v>
      </c>
      <c r="H476" s="33">
        <v>-10249.540000000001</v>
      </c>
      <c r="I476" s="33">
        <v>45413.599999999999</v>
      </c>
      <c r="J476" s="29">
        <v>-38611.75</v>
      </c>
      <c r="K476" s="29">
        <v>2630</v>
      </c>
      <c r="L476" s="29">
        <v>249.38</v>
      </c>
      <c r="M476" s="46">
        <v>0</v>
      </c>
      <c r="N476" s="34">
        <f t="shared" si="7"/>
        <v>65395.469999999994</v>
      </c>
    </row>
    <row r="477" spans="1:14" ht="15.75" thickBot="1" x14ac:dyDescent="0.3">
      <c r="A477" s="39" t="s">
        <v>783</v>
      </c>
      <c r="B477" s="28">
        <v>5333.04</v>
      </c>
      <c r="C477" s="28">
        <v>8639.23</v>
      </c>
      <c r="D477" s="28">
        <v>7232.44</v>
      </c>
      <c r="E477" s="33">
        <v>18197.52</v>
      </c>
      <c r="F477" s="33">
        <v>-6900.45</v>
      </c>
      <c r="G477" s="33">
        <v>245.65</v>
      </c>
      <c r="H477" s="29">
        <v>6000</v>
      </c>
      <c r="I477" s="29">
        <v>14502.5</v>
      </c>
      <c r="J477" s="33">
        <v>22588.5</v>
      </c>
      <c r="K477" s="33">
        <v>8365</v>
      </c>
      <c r="L477" s="33">
        <v>5247.5</v>
      </c>
      <c r="M477" s="29">
        <v>13500</v>
      </c>
      <c r="N477" s="30">
        <f t="shared" si="7"/>
        <v>102950.93</v>
      </c>
    </row>
    <row r="478" spans="1:14" ht="15.75" thickBot="1" x14ac:dyDescent="0.3">
      <c r="A478" s="47" t="s">
        <v>784</v>
      </c>
      <c r="B478" s="40"/>
      <c r="C478" s="40"/>
      <c r="D478" s="40"/>
      <c r="E478" s="33"/>
      <c r="F478" s="33"/>
      <c r="G478" s="33"/>
      <c r="H478" s="29"/>
      <c r="I478" s="29"/>
      <c r="J478" s="33"/>
      <c r="K478" s="33"/>
      <c r="L478" s="33"/>
      <c r="M478" s="29"/>
      <c r="N478" s="30">
        <f t="shared" si="7"/>
        <v>0</v>
      </c>
    </row>
    <row r="479" spans="1:14" ht="15.75" thickBot="1" x14ac:dyDescent="0.3">
      <c r="A479" s="47" t="s">
        <v>785</v>
      </c>
      <c r="B479" s="43"/>
      <c r="C479" s="43"/>
      <c r="D479" s="43"/>
      <c r="E479" s="33"/>
      <c r="F479" s="33"/>
      <c r="G479" s="33"/>
      <c r="H479" s="29"/>
      <c r="I479" s="29"/>
      <c r="J479" s="33"/>
      <c r="K479" s="33"/>
      <c r="L479" s="33"/>
      <c r="M479" s="29"/>
      <c r="N479" s="30">
        <f t="shared" si="7"/>
        <v>0</v>
      </c>
    </row>
    <row r="480" spans="1:14" ht="15.75" thickBot="1" x14ac:dyDescent="0.3">
      <c r="A480" s="39" t="s">
        <v>786</v>
      </c>
      <c r="B480" s="32">
        <v>2020</v>
      </c>
      <c r="C480" s="32">
        <v>354</v>
      </c>
      <c r="D480" s="32">
        <v>354</v>
      </c>
      <c r="E480" s="29">
        <v>2695.5</v>
      </c>
      <c r="F480" s="29">
        <v>8109.5</v>
      </c>
      <c r="G480" s="29">
        <v>4536.5</v>
      </c>
      <c r="H480" s="33">
        <v>2460</v>
      </c>
      <c r="I480" s="33">
        <v>960</v>
      </c>
      <c r="J480" s="29">
        <v>180</v>
      </c>
      <c r="K480" s="29">
        <v>420</v>
      </c>
      <c r="L480" s="52">
        <v>0</v>
      </c>
      <c r="M480" s="33">
        <v>720</v>
      </c>
      <c r="N480" s="34">
        <f t="shared" si="7"/>
        <v>22809.5</v>
      </c>
    </row>
    <row r="481" spans="1:14" ht="15.75" thickBot="1" x14ac:dyDescent="0.3">
      <c r="A481" s="39" t="s">
        <v>787</v>
      </c>
      <c r="B481" s="43"/>
      <c r="C481" s="43"/>
      <c r="D481" s="43"/>
      <c r="E481" s="42"/>
      <c r="F481" s="42"/>
      <c r="G481" s="42"/>
      <c r="H481" s="41"/>
      <c r="I481" s="41"/>
      <c r="J481" s="42"/>
      <c r="K481" s="42"/>
      <c r="L481" s="42"/>
      <c r="M481" s="41"/>
      <c r="N481" s="44">
        <f t="shared" si="7"/>
        <v>0</v>
      </c>
    </row>
    <row r="482" spans="1:14" ht="15.75" thickBot="1" x14ac:dyDescent="0.3">
      <c r="A482" s="39" t="s">
        <v>788</v>
      </c>
      <c r="B482" s="32">
        <v>-400</v>
      </c>
      <c r="C482" s="32">
        <v>1898</v>
      </c>
      <c r="D482" s="32">
        <v>5000</v>
      </c>
      <c r="E482" s="29">
        <v>5000</v>
      </c>
      <c r="F482" s="29">
        <v>6100</v>
      </c>
      <c r="G482" s="29">
        <v>8670</v>
      </c>
      <c r="H482" s="33">
        <v>4346</v>
      </c>
      <c r="I482" s="33">
        <v>21296.5</v>
      </c>
      <c r="J482" s="29">
        <v>15482.5</v>
      </c>
      <c r="K482" s="29">
        <v>-23</v>
      </c>
      <c r="L482" s="29">
        <v>15398.5</v>
      </c>
      <c r="M482" s="33">
        <v>10000</v>
      </c>
      <c r="N482" s="34">
        <f t="shared" si="7"/>
        <v>92768.5</v>
      </c>
    </row>
    <row r="483" spans="1:14" ht="15.75" thickBot="1" x14ac:dyDescent="0.3">
      <c r="A483" s="39" t="s">
        <v>789</v>
      </c>
      <c r="B483" s="28">
        <v>980</v>
      </c>
      <c r="C483" s="28"/>
      <c r="D483" s="28"/>
      <c r="E483" s="33">
        <v>2271</v>
      </c>
      <c r="F483" s="42"/>
      <c r="G483" s="33">
        <v>2763</v>
      </c>
      <c r="H483" s="29">
        <v>1989</v>
      </c>
      <c r="I483" s="29">
        <v>351</v>
      </c>
      <c r="J483" s="42"/>
      <c r="K483" s="42"/>
      <c r="L483" s="33">
        <v>994.5</v>
      </c>
      <c r="M483" s="29">
        <v>877.5</v>
      </c>
      <c r="N483" s="30">
        <f t="shared" si="7"/>
        <v>10226</v>
      </c>
    </row>
    <row r="484" spans="1:14" ht="15.75" thickBot="1" x14ac:dyDescent="0.3">
      <c r="A484" s="39" t="s">
        <v>790</v>
      </c>
      <c r="B484" s="40"/>
      <c r="C484" s="40"/>
      <c r="D484" s="40"/>
      <c r="E484" s="41"/>
      <c r="F484" s="41"/>
      <c r="G484" s="41"/>
      <c r="H484" s="42"/>
      <c r="I484" s="42"/>
      <c r="J484" s="41"/>
      <c r="K484" s="41"/>
      <c r="L484" s="41"/>
      <c r="M484" s="42"/>
      <c r="N484" s="45">
        <f t="shared" si="7"/>
        <v>0</v>
      </c>
    </row>
    <row r="485" spans="1:14" ht="15.75" thickBot="1" x14ac:dyDescent="0.3">
      <c r="A485" s="39" t="s">
        <v>791</v>
      </c>
      <c r="B485" s="28">
        <v>2632.5</v>
      </c>
      <c r="C485" s="28">
        <v>2227.5</v>
      </c>
      <c r="D485" s="28">
        <v>139</v>
      </c>
      <c r="E485" s="42"/>
      <c r="F485" s="42"/>
      <c r="G485" s="42"/>
      <c r="H485" s="41"/>
      <c r="I485" s="41"/>
      <c r="J485" s="42"/>
      <c r="K485" s="42"/>
      <c r="L485" s="42"/>
      <c r="M485" s="41"/>
      <c r="N485" s="44">
        <f t="shared" si="7"/>
        <v>4999</v>
      </c>
    </row>
    <row r="486" spans="1:14" ht="15.75" thickBot="1" x14ac:dyDescent="0.3">
      <c r="A486" s="39" t="s">
        <v>792</v>
      </c>
      <c r="B486" s="32">
        <v>15786</v>
      </c>
      <c r="C486" s="32">
        <v>10488.96</v>
      </c>
      <c r="D486" s="32">
        <v>3741.5</v>
      </c>
      <c r="E486" s="29">
        <v>-4832</v>
      </c>
      <c r="F486" s="29">
        <v>7327</v>
      </c>
      <c r="G486" s="29">
        <v>17623</v>
      </c>
      <c r="H486" s="33">
        <v>-5204.01</v>
      </c>
      <c r="I486" s="33">
        <v>-5517.99</v>
      </c>
      <c r="J486" s="29">
        <v>-2641.5</v>
      </c>
      <c r="K486" s="29">
        <v>-566</v>
      </c>
      <c r="L486" s="29">
        <v>-402</v>
      </c>
      <c r="M486" s="33">
        <v>-9747.9599999999991</v>
      </c>
      <c r="N486" s="34">
        <f t="shared" si="7"/>
        <v>26055</v>
      </c>
    </row>
    <row r="487" spans="1:14" ht="15.75" thickBot="1" x14ac:dyDescent="0.3">
      <c r="A487" s="39" t="s">
        <v>793</v>
      </c>
      <c r="B487" s="28">
        <v>8379</v>
      </c>
      <c r="C487" s="28">
        <v>27061</v>
      </c>
      <c r="D487" s="28">
        <v>9365</v>
      </c>
      <c r="E487" s="33">
        <v>-7968.5</v>
      </c>
      <c r="F487" s="33">
        <v>47806</v>
      </c>
      <c r="G487" s="33">
        <v>7114</v>
      </c>
      <c r="H487" s="29">
        <v>19333.5</v>
      </c>
      <c r="I487" s="29">
        <v>21832</v>
      </c>
      <c r="J487" s="33">
        <v>540</v>
      </c>
      <c r="K487" s="33">
        <v>9655</v>
      </c>
      <c r="L487" s="33">
        <v>13198.07</v>
      </c>
      <c r="M487" s="52">
        <v>0</v>
      </c>
      <c r="N487" s="30">
        <f t="shared" si="7"/>
        <v>156315.07</v>
      </c>
    </row>
    <row r="488" spans="1:14" ht="15.75" thickBot="1" x14ac:dyDescent="0.3">
      <c r="A488" s="39" t="s">
        <v>794</v>
      </c>
      <c r="B488" s="32">
        <v>-24</v>
      </c>
      <c r="C488" s="32">
        <v>35328.65</v>
      </c>
      <c r="D488" s="32">
        <v>348</v>
      </c>
      <c r="E488" s="29">
        <v>4210</v>
      </c>
      <c r="F488" s="29">
        <v>4212</v>
      </c>
      <c r="G488" s="29">
        <v>5441.5</v>
      </c>
      <c r="H488" s="33">
        <v>19.5</v>
      </c>
      <c r="I488" s="33">
        <v>26916.5</v>
      </c>
      <c r="J488" s="29">
        <v>24936</v>
      </c>
      <c r="K488" s="29">
        <v>7774</v>
      </c>
      <c r="L488" s="29">
        <v>28388.5</v>
      </c>
      <c r="M488" s="33">
        <v>-15800</v>
      </c>
      <c r="N488" s="34">
        <f t="shared" si="7"/>
        <v>121750.65</v>
      </c>
    </row>
    <row r="489" spans="1:14" ht="15.75" thickBot="1" x14ac:dyDescent="0.3">
      <c r="A489" s="39" t="s">
        <v>795</v>
      </c>
      <c r="B489" s="28"/>
      <c r="C489" s="28">
        <v>6345</v>
      </c>
      <c r="D489" s="28">
        <v>2649</v>
      </c>
      <c r="E489" s="33">
        <v>2544</v>
      </c>
      <c r="F489" s="33">
        <v>-2406</v>
      </c>
      <c r="G489" s="33">
        <v>3558</v>
      </c>
      <c r="H489" s="29">
        <v>-4848</v>
      </c>
      <c r="I489" s="29">
        <v>4848</v>
      </c>
      <c r="J489" s="33">
        <v>1080</v>
      </c>
      <c r="K489" s="46">
        <v>0</v>
      </c>
      <c r="L489" s="42"/>
      <c r="M489" s="41"/>
      <c r="N489" s="30">
        <f t="shared" si="7"/>
        <v>13770</v>
      </c>
    </row>
    <row r="490" spans="1:14" ht="15.75" thickBot="1" x14ac:dyDescent="0.3">
      <c r="A490" s="39" t="s">
        <v>796</v>
      </c>
      <c r="B490" s="40"/>
      <c r="C490" s="40">
        <v>686</v>
      </c>
      <c r="D490" s="40">
        <v>-56</v>
      </c>
      <c r="E490" s="29">
        <v>-280</v>
      </c>
      <c r="F490" s="29">
        <v>-350</v>
      </c>
      <c r="G490" s="41"/>
      <c r="H490" s="33">
        <v>210</v>
      </c>
      <c r="I490" s="33">
        <v>9560</v>
      </c>
      <c r="J490" s="29">
        <v>2380</v>
      </c>
      <c r="K490" s="41"/>
      <c r="L490" s="29">
        <v>280</v>
      </c>
      <c r="M490" s="33">
        <v>-280</v>
      </c>
      <c r="N490" s="34">
        <f t="shared" si="7"/>
        <v>12150</v>
      </c>
    </row>
    <row r="491" spans="1:14" ht="15.75" thickBot="1" x14ac:dyDescent="0.3">
      <c r="A491" s="39" t="s">
        <v>797</v>
      </c>
      <c r="B491" s="43"/>
      <c r="C491" s="43"/>
      <c r="D491" s="43"/>
      <c r="E491" s="42"/>
      <c r="F491" s="42"/>
      <c r="G491" s="42"/>
      <c r="H491" s="41"/>
      <c r="I491" s="41"/>
      <c r="J491" s="42"/>
      <c r="K491" s="42"/>
      <c r="L491" s="29"/>
      <c r="M491" s="33"/>
      <c r="N491" s="34">
        <f t="shared" si="7"/>
        <v>0</v>
      </c>
    </row>
    <row r="492" spans="1:14" ht="15.75" thickBot="1" x14ac:dyDescent="0.3">
      <c r="A492" s="39" t="s">
        <v>798</v>
      </c>
      <c r="B492" s="32"/>
      <c r="C492" s="32"/>
      <c r="D492" s="32">
        <v>1553.5</v>
      </c>
      <c r="E492" s="29">
        <v>2129</v>
      </c>
      <c r="F492" s="41"/>
      <c r="G492" s="41"/>
      <c r="H492" s="42"/>
      <c r="I492" s="42"/>
      <c r="J492" s="41"/>
      <c r="K492" s="29">
        <v>5090.5</v>
      </c>
      <c r="L492" s="33">
        <v>-5090.5</v>
      </c>
      <c r="M492" s="29">
        <v>3715</v>
      </c>
      <c r="N492" s="30">
        <f t="shared" si="7"/>
        <v>7397.5</v>
      </c>
    </row>
    <row r="493" spans="1:14" ht="15.75" thickBot="1" x14ac:dyDescent="0.3">
      <c r="A493" s="39" t="s">
        <v>799</v>
      </c>
      <c r="B493" s="28">
        <v>30954.639999999999</v>
      </c>
      <c r="C493" s="28">
        <v>-33739.15</v>
      </c>
      <c r="D493" s="28">
        <v>1551.5</v>
      </c>
      <c r="E493" s="33">
        <v>336</v>
      </c>
      <c r="F493" s="33">
        <v>793.89</v>
      </c>
      <c r="G493" s="42"/>
      <c r="H493" s="41"/>
      <c r="I493" s="41"/>
      <c r="J493" s="42"/>
      <c r="K493" s="42"/>
      <c r="L493" s="41"/>
      <c r="M493" s="42"/>
      <c r="N493" s="34">
        <f t="shared" si="7"/>
        <v>-103.12000000000205</v>
      </c>
    </row>
    <row r="494" spans="1:14" ht="15.75" thickBot="1" x14ac:dyDescent="0.3">
      <c r="A494" s="39" t="s">
        <v>800</v>
      </c>
      <c r="B494" s="54">
        <v>304</v>
      </c>
      <c r="C494" s="54">
        <v>0.5</v>
      </c>
      <c r="D494" s="54">
        <v>636</v>
      </c>
      <c r="E494" s="29">
        <v>136.5</v>
      </c>
      <c r="F494" s="41"/>
      <c r="G494" s="41"/>
      <c r="H494" s="42"/>
      <c r="I494" s="42"/>
      <c r="J494" s="41"/>
      <c r="K494" s="41"/>
      <c r="L494" s="42"/>
      <c r="M494" s="29">
        <v>136.5</v>
      </c>
      <c r="N494" s="30">
        <f t="shared" si="7"/>
        <v>1213.5</v>
      </c>
    </row>
    <row r="495" spans="1:14" ht="15.75" thickBot="1" x14ac:dyDescent="0.3">
      <c r="A495" s="39" t="s">
        <v>801</v>
      </c>
      <c r="B495" s="55">
        <v>900</v>
      </c>
      <c r="C495" s="55"/>
      <c r="D495" s="55">
        <v>1984</v>
      </c>
      <c r="E495" s="33">
        <v>630</v>
      </c>
      <c r="F495" s="33">
        <v>350</v>
      </c>
      <c r="G495" s="33">
        <v>210</v>
      </c>
      <c r="H495" s="29">
        <v>-210</v>
      </c>
      <c r="I495" s="29">
        <v>2380</v>
      </c>
      <c r="J495" s="33">
        <v>-2380</v>
      </c>
      <c r="K495" s="42"/>
      <c r="L495" s="41"/>
      <c r="M495" s="33">
        <v>14971.5</v>
      </c>
      <c r="N495" s="34">
        <f t="shared" si="7"/>
        <v>18835.5</v>
      </c>
    </row>
    <row r="496" spans="1:14" ht="15.75" thickBot="1" x14ac:dyDescent="0.3">
      <c r="A496" s="47" t="s">
        <v>802</v>
      </c>
      <c r="B496" s="40"/>
      <c r="C496" s="40"/>
      <c r="D496" s="40"/>
      <c r="E496" s="33"/>
      <c r="F496" s="33"/>
      <c r="G496" s="33"/>
      <c r="H496" s="29"/>
      <c r="I496" s="29"/>
      <c r="J496" s="33"/>
      <c r="K496" s="42"/>
      <c r="L496" s="41"/>
      <c r="M496" s="33"/>
      <c r="N496" s="34">
        <f t="shared" si="7"/>
        <v>0</v>
      </c>
    </row>
    <row r="497" spans="1:14" ht="15.75" thickBot="1" x14ac:dyDescent="0.3">
      <c r="A497" s="39" t="s">
        <v>803</v>
      </c>
      <c r="B497" s="28"/>
      <c r="C497" s="28"/>
      <c r="D497" s="28">
        <v>5029</v>
      </c>
      <c r="E497" s="29">
        <v>3104</v>
      </c>
      <c r="F497" s="29">
        <v>-2544</v>
      </c>
      <c r="G497" s="29">
        <v>743</v>
      </c>
      <c r="H497" s="33">
        <v>-132</v>
      </c>
      <c r="I497" s="33">
        <v>28870.5</v>
      </c>
      <c r="J497" s="29">
        <v>38742</v>
      </c>
      <c r="K497" s="29">
        <v>2524</v>
      </c>
      <c r="L497" s="33">
        <v>388</v>
      </c>
      <c r="M497" s="29">
        <v>4267</v>
      </c>
      <c r="N497" s="30">
        <f t="shared" si="7"/>
        <v>80991.5</v>
      </c>
    </row>
    <row r="498" spans="1:14" ht="15.75" thickBot="1" x14ac:dyDescent="0.3">
      <c r="A498" s="47" t="s">
        <v>804</v>
      </c>
      <c r="B498" s="40"/>
      <c r="C498" s="40"/>
      <c r="D498" s="40"/>
      <c r="E498" s="29"/>
      <c r="F498" s="29"/>
      <c r="G498" s="29"/>
      <c r="H498" s="33"/>
      <c r="I498" s="33"/>
      <c r="J498" s="29"/>
      <c r="K498" s="29"/>
      <c r="L498" s="33"/>
      <c r="M498" s="29"/>
      <c r="N498" s="30">
        <f t="shared" si="7"/>
        <v>0</v>
      </c>
    </row>
    <row r="499" spans="1:14" ht="15.75" thickBot="1" x14ac:dyDescent="0.3">
      <c r="A499" s="39" t="s">
        <v>805</v>
      </c>
      <c r="B499" s="43"/>
      <c r="C499" s="43">
        <v>0</v>
      </c>
      <c r="D499" s="43">
        <v>0</v>
      </c>
      <c r="E499" s="46">
        <v>0</v>
      </c>
      <c r="F499" s="46">
        <v>0</v>
      </c>
      <c r="G499" s="46">
        <v>0</v>
      </c>
      <c r="H499" s="52">
        <v>0</v>
      </c>
      <c r="I499" s="52">
        <v>0</v>
      </c>
      <c r="J499" s="46">
        <v>0</v>
      </c>
      <c r="K499" s="46">
        <v>0</v>
      </c>
      <c r="L499" s="52">
        <v>0</v>
      </c>
      <c r="M499" s="46">
        <v>0</v>
      </c>
      <c r="N499" s="51">
        <f t="shared" si="7"/>
        <v>0</v>
      </c>
    </row>
    <row r="500" spans="1:14" ht="15.75" thickBot="1" x14ac:dyDescent="0.3">
      <c r="A500" s="39" t="s">
        <v>806</v>
      </c>
      <c r="B500" s="32">
        <v>-17584.560000000001</v>
      </c>
      <c r="C500" s="32">
        <v>2932.24</v>
      </c>
      <c r="D500" s="32">
        <v>-96413.62</v>
      </c>
      <c r="E500" s="29">
        <v>-28371.86</v>
      </c>
      <c r="F500" s="29">
        <v>-81.92</v>
      </c>
      <c r="G500" s="29">
        <v>17622.79</v>
      </c>
      <c r="H500" s="33">
        <v>14854.36</v>
      </c>
      <c r="I500" s="33">
        <v>-5176.13</v>
      </c>
      <c r="J500" s="29">
        <v>6154.83</v>
      </c>
      <c r="K500" s="29">
        <v>8145.62</v>
      </c>
      <c r="L500" s="33">
        <v>-22824.33</v>
      </c>
      <c r="M500" s="29">
        <v>11899.28</v>
      </c>
      <c r="N500" s="30">
        <f t="shared" si="7"/>
        <v>-108843.3</v>
      </c>
    </row>
    <row r="501" spans="1:14" ht="15.75" thickBot="1" x14ac:dyDescent="0.3">
      <c r="A501" s="39" t="s">
        <v>807</v>
      </c>
      <c r="B501" s="28">
        <v>-1222928</v>
      </c>
      <c r="C501" s="28">
        <v>-1169557</v>
      </c>
      <c r="D501" s="28">
        <v>-1246433</v>
      </c>
      <c r="E501" s="33">
        <v>-1215951</v>
      </c>
      <c r="F501" s="33">
        <v>-1286680</v>
      </c>
      <c r="G501" s="33">
        <v>-1390077</v>
      </c>
      <c r="H501" s="29">
        <v>-1355877.3</v>
      </c>
      <c r="I501" s="29">
        <v>-1364343.65</v>
      </c>
      <c r="J501" s="33">
        <v>-1204785.56</v>
      </c>
      <c r="K501" s="33">
        <v>-1232361.74</v>
      </c>
      <c r="L501" s="29">
        <v>-1142268.6499999999</v>
      </c>
      <c r="M501" s="33">
        <v>-1385229.65</v>
      </c>
      <c r="N501" s="34">
        <f t="shared" si="7"/>
        <v>-15216492.550000003</v>
      </c>
    </row>
    <row r="502" spans="1:14" ht="15.75" thickBot="1" x14ac:dyDescent="0.3">
      <c r="A502" s="39" t="s">
        <v>808</v>
      </c>
      <c r="B502" s="40"/>
      <c r="C502" s="40"/>
      <c r="D502" s="40">
        <v>-172984</v>
      </c>
      <c r="E502" s="41"/>
      <c r="F502" s="41"/>
      <c r="G502" s="41"/>
      <c r="H502" s="42"/>
      <c r="I502" s="42"/>
      <c r="J502" s="29">
        <v>-155867.39000000001</v>
      </c>
      <c r="K502" s="41"/>
      <c r="L502" s="42"/>
      <c r="M502" s="29">
        <v>-62142.400000000001</v>
      </c>
      <c r="N502" s="30">
        <f t="shared" si="7"/>
        <v>-390993.79000000004</v>
      </c>
    </row>
    <row r="503" spans="1:14" ht="15.75" thickBot="1" x14ac:dyDescent="0.3">
      <c r="A503" s="39" t="s">
        <v>809</v>
      </c>
      <c r="B503" s="28">
        <v>-17020.97</v>
      </c>
      <c r="C503" s="28">
        <v>-16334.64</v>
      </c>
      <c r="D503" s="28">
        <v>-7564.3</v>
      </c>
      <c r="E503" s="33">
        <v>-19774.07</v>
      </c>
      <c r="F503" s="33">
        <v>-17487.63</v>
      </c>
      <c r="G503" s="33">
        <v>-19629.95</v>
      </c>
      <c r="H503" s="29">
        <v>-20838.02</v>
      </c>
      <c r="I503" s="29">
        <v>-20581.400000000001</v>
      </c>
      <c r="J503" s="33">
        <v>-20903.75</v>
      </c>
      <c r="K503" s="33">
        <v>-25890.25</v>
      </c>
      <c r="L503" s="29">
        <v>-21158.78</v>
      </c>
      <c r="M503" s="33">
        <v>-19584.189999999999</v>
      </c>
      <c r="N503" s="34">
        <f t="shared" si="7"/>
        <v>-226767.95</v>
      </c>
    </row>
    <row r="504" spans="1:14" ht="15.75" thickBot="1" x14ac:dyDescent="0.3">
      <c r="A504" s="39" t="s">
        <v>810</v>
      </c>
      <c r="B504" s="32">
        <v>-522066.51</v>
      </c>
      <c r="C504" s="32">
        <v>-513147.54</v>
      </c>
      <c r="D504" s="32">
        <v>-537719.09</v>
      </c>
      <c r="E504" s="29">
        <v>-533665.29</v>
      </c>
      <c r="F504" s="29">
        <v>-502533.86</v>
      </c>
      <c r="G504" s="29">
        <v>-534870.18000000005</v>
      </c>
      <c r="H504" s="33">
        <v>-533627.53</v>
      </c>
      <c r="I504" s="33">
        <v>-525494.22</v>
      </c>
      <c r="J504" s="29">
        <v>-529791.6</v>
      </c>
      <c r="K504" s="29">
        <v>-546976.93999999994</v>
      </c>
      <c r="L504" s="33">
        <v>-525001.52</v>
      </c>
      <c r="M504" s="29">
        <v>-542394.75</v>
      </c>
      <c r="N504" s="30">
        <f t="shared" si="7"/>
        <v>-6347289.0299999993</v>
      </c>
    </row>
    <row r="505" spans="1:14" ht="15.75" thickBot="1" x14ac:dyDescent="0.3">
      <c r="A505" s="39" t="s">
        <v>811</v>
      </c>
      <c r="B505" s="32">
        <v>-4438.6400000000003</v>
      </c>
      <c r="C505" s="32">
        <v>-4438.6400000000003</v>
      </c>
      <c r="D505" s="32">
        <v>-4438.6400000000003</v>
      </c>
      <c r="E505" s="42"/>
      <c r="F505" s="33">
        <v>-8877.2800000000007</v>
      </c>
      <c r="G505" s="33">
        <v>-4438.6400000000003</v>
      </c>
      <c r="H505" s="29">
        <v>-4438.6400000000003</v>
      </c>
      <c r="I505" s="29">
        <v>-4438.6400000000003</v>
      </c>
      <c r="J505" s="33">
        <v>-4438.6400000000003</v>
      </c>
      <c r="K505" s="33">
        <v>-4438.6400000000003</v>
      </c>
      <c r="L505" s="29">
        <v>-4438.6400000000003</v>
      </c>
      <c r="M505" s="33">
        <v>-4438.6400000000003</v>
      </c>
      <c r="N505" s="34">
        <f t="shared" si="7"/>
        <v>-53263.68</v>
      </c>
    </row>
    <row r="506" spans="1:14" ht="15.75" thickBot="1" x14ac:dyDescent="0.3">
      <c r="A506" s="39" t="s">
        <v>812</v>
      </c>
      <c r="B506" s="28">
        <v>-25076</v>
      </c>
      <c r="C506" s="28">
        <v>-29907</v>
      </c>
      <c r="D506" s="28">
        <v>-25076</v>
      </c>
      <c r="E506" s="29">
        <v>-24718</v>
      </c>
      <c r="F506" s="29">
        <v>-24719</v>
      </c>
      <c r="G506" s="29">
        <v>-24718</v>
      </c>
      <c r="H506" s="33">
        <v>-24719</v>
      </c>
      <c r="I506" s="33">
        <v>-24718</v>
      </c>
      <c r="J506" s="29">
        <v>-24718</v>
      </c>
      <c r="K506" s="29">
        <v>-24719</v>
      </c>
      <c r="L506" s="33">
        <v>-24718</v>
      </c>
      <c r="M506" s="29">
        <v>-31918</v>
      </c>
      <c r="N506" s="30">
        <f t="shared" si="7"/>
        <v>-309724</v>
      </c>
    </row>
    <row r="507" spans="1:14" ht="15.75" thickBot="1" x14ac:dyDescent="0.3">
      <c r="A507" s="39" t="s">
        <v>813</v>
      </c>
      <c r="B507" s="32">
        <v>288287.09999999998</v>
      </c>
      <c r="C507" s="32">
        <v>166115.85999999999</v>
      </c>
      <c r="D507" s="32">
        <v>306786.09999999998</v>
      </c>
      <c r="E507" s="33">
        <v>302225.86</v>
      </c>
      <c r="F507" s="33">
        <v>301825.86</v>
      </c>
      <c r="G507" s="33">
        <v>174321.53</v>
      </c>
      <c r="H507" s="29">
        <v>300515.37</v>
      </c>
      <c r="I507" s="29">
        <v>302025.86</v>
      </c>
      <c r="J507" s="33">
        <v>311477.86</v>
      </c>
      <c r="K507" s="33">
        <v>303207.86</v>
      </c>
      <c r="L507" s="29">
        <v>302325.86</v>
      </c>
      <c r="M507" s="33">
        <v>301825.86</v>
      </c>
      <c r="N507" s="34">
        <f t="shared" si="7"/>
        <v>3360940.9799999991</v>
      </c>
    </row>
    <row r="508" spans="1:14" ht="15.75" thickBot="1" x14ac:dyDescent="0.3">
      <c r="A508" s="39" t="s">
        <v>814</v>
      </c>
      <c r="B508" s="28">
        <v>2425.9899999999998</v>
      </c>
      <c r="C508" s="28">
        <v>2333.2800000000002</v>
      </c>
      <c r="D508" s="28">
        <v>2276.98</v>
      </c>
      <c r="E508" s="29">
        <v>2492.98</v>
      </c>
      <c r="F508" s="29">
        <v>3001.25</v>
      </c>
      <c r="G508" s="29">
        <v>2467.91</v>
      </c>
      <c r="H508" s="33">
        <v>2266.9899999999998</v>
      </c>
      <c r="I508" s="33">
        <v>1781.65</v>
      </c>
      <c r="J508" s="29">
        <v>2282.06</v>
      </c>
      <c r="K508" s="29">
        <v>2262</v>
      </c>
      <c r="L508" s="33">
        <v>2262</v>
      </c>
      <c r="M508" s="29">
        <v>2262</v>
      </c>
      <c r="N508" s="30">
        <f t="shared" si="7"/>
        <v>28115.09</v>
      </c>
    </row>
    <row r="509" spans="1:14" ht="15.75" thickBot="1" x14ac:dyDescent="0.3">
      <c r="A509" s="39" t="s">
        <v>815</v>
      </c>
      <c r="B509" s="32"/>
      <c r="C509" s="32">
        <v>13</v>
      </c>
      <c r="D509" s="32"/>
      <c r="E509" s="42"/>
      <c r="F509" s="42"/>
      <c r="G509" s="42"/>
      <c r="H509" s="41"/>
      <c r="I509" s="41"/>
      <c r="J509" s="42"/>
      <c r="K509" s="42"/>
      <c r="L509" s="41"/>
      <c r="M509" s="33">
        <v>7956.8</v>
      </c>
      <c r="N509" s="34">
        <f t="shared" si="7"/>
        <v>7969.8</v>
      </c>
    </row>
    <row r="510" spans="1:14" ht="15.75" thickBot="1" x14ac:dyDescent="0.3">
      <c r="A510" s="39" t="s">
        <v>816</v>
      </c>
      <c r="B510" s="43">
        <v>16969.439999999999</v>
      </c>
      <c r="C510" s="43">
        <v>1257.3800000000001</v>
      </c>
      <c r="D510" s="43">
        <v>24205.52</v>
      </c>
      <c r="E510" s="29">
        <v>7609.7</v>
      </c>
      <c r="F510" s="29">
        <v>993.56</v>
      </c>
      <c r="G510" s="29">
        <v>3591.93</v>
      </c>
      <c r="H510" s="33">
        <v>2224.94</v>
      </c>
      <c r="I510" s="33">
        <v>2853.29</v>
      </c>
      <c r="J510" s="29">
        <v>5882.31</v>
      </c>
      <c r="K510" s="29">
        <v>60854.54</v>
      </c>
      <c r="L510" s="33">
        <v>9429.91</v>
      </c>
      <c r="M510" s="29">
        <v>8099.32</v>
      </c>
      <c r="N510" s="30">
        <f t="shared" si="7"/>
        <v>143971.84</v>
      </c>
    </row>
    <row r="511" spans="1:14" ht="15.75" thickBot="1" x14ac:dyDescent="0.3">
      <c r="A511" s="39" t="s">
        <v>817</v>
      </c>
      <c r="B511" s="32"/>
      <c r="C511" s="32"/>
      <c r="D511" s="32">
        <v>-6166.67</v>
      </c>
      <c r="E511" s="42"/>
      <c r="F511" s="42"/>
      <c r="G511" s="33">
        <v>-4760.3599999999997</v>
      </c>
      <c r="H511" s="41"/>
      <c r="I511" s="41"/>
      <c r="J511" s="33">
        <v>19194.259999999998</v>
      </c>
      <c r="K511" s="42"/>
      <c r="L511" s="41"/>
      <c r="M511" s="33">
        <v>12382.41</v>
      </c>
      <c r="N511" s="34">
        <f t="shared" si="7"/>
        <v>20649.64</v>
      </c>
    </row>
    <row r="512" spans="1:14" ht="15.75" thickBot="1" x14ac:dyDescent="0.3">
      <c r="A512" s="39" t="s">
        <v>818</v>
      </c>
      <c r="B512" s="43"/>
      <c r="C512" s="43"/>
      <c r="D512" s="43">
        <v>11838.15</v>
      </c>
      <c r="E512" s="41"/>
      <c r="F512" s="41"/>
      <c r="G512" s="29">
        <v>12234.17</v>
      </c>
      <c r="H512" s="42"/>
      <c r="I512" s="42"/>
      <c r="J512" s="29">
        <v>21997.32</v>
      </c>
      <c r="K512" s="41"/>
      <c r="L512" s="42"/>
      <c r="M512" s="29">
        <v>77676.77</v>
      </c>
      <c r="N512" s="30">
        <f t="shared" si="7"/>
        <v>123746.41</v>
      </c>
    </row>
    <row r="513" spans="1:14" ht="15.75" thickBot="1" x14ac:dyDescent="0.3">
      <c r="A513" s="39" t="s">
        <v>819</v>
      </c>
      <c r="B513" s="32">
        <v>110747.03</v>
      </c>
      <c r="C513" s="32">
        <v>101770.87</v>
      </c>
      <c r="D513" s="32">
        <v>108117.83</v>
      </c>
      <c r="E513" s="33">
        <v>112030.69</v>
      </c>
      <c r="F513" s="33">
        <v>113502.17</v>
      </c>
      <c r="G513" s="33">
        <v>119026.48</v>
      </c>
      <c r="H513" s="29">
        <v>117777.19</v>
      </c>
      <c r="I513" s="29">
        <v>115403.8</v>
      </c>
      <c r="J513" s="33">
        <v>115412.63</v>
      </c>
      <c r="K513" s="33">
        <v>94894.7</v>
      </c>
      <c r="L513" s="29">
        <v>102536.82</v>
      </c>
      <c r="M513" s="33">
        <v>101599.3</v>
      </c>
      <c r="N513" s="34">
        <f t="shared" si="7"/>
        <v>1312819.5100000002</v>
      </c>
    </row>
    <row r="514" spans="1:14" ht="15.75" thickBot="1" x14ac:dyDescent="0.3">
      <c r="A514" s="39" t="s">
        <v>820</v>
      </c>
      <c r="B514" s="28"/>
      <c r="C514" s="28">
        <v>54.47</v>
      </c>
      <c r="D514" s="28">
        <v>20.99</v>
      </c>
      <c r="E514" s="29">
        <v>52.49</v>
      </c>
      <c r="F514" s="29">
        <v>41.79</v>
      </c>
      <c r="G514" s="29">
        <v>228.81</v>
      </c>
      <c r="H514" s="42"/>
      <c r="I514" s="33">
        <v>190</v>
      </c>
      <c r="J514" s="41"/>
      <c r="K514" s="41"/>
      <c r="L514" s="42"/>
      <c r="M514" s="29">
        <v>56.98</v>
      </c>
      <c r="N514" s="30">
        <f t="shared" si="7"/>
        <v>645.53</v>
      </c>
    </row>
    <row r="515" spans="1:14" ht="15.75" thickBot="1" x14ac:dyDescent="0.3">
      <c r="A515" s="39" t="s">
        <v>821</v>
      </c>
      <c r="B515" s="40"/>
      <c r="C515" s="40"/>
      <c r="D515" s="40"/>
      <c r="E515" s="42"/>
      <c r="F515" s="29"/>
      <c r="G515" s="29"/>
      <c r="H515" s="42"/>
      <c r="I515" s="33"/>
      <c r="J515" s="41"/>
      <c r="K515" s="33">
        <v>225</v>
      </c>
      <c r="L515" s="29">
        <v>-225</v>
      </c>
      <c r="M515" s="42"/>
      <c r="N515" s="51">
        <f t="shared" si="7"/>
        <v>0</v>
      </c>
    </row>
    <row r="516" spans="1:14" ht="15.75" thickBot="1" x14ac:dyDescent="0.3">
      <c r="A516" s="39" t="s">
        <v>822</v>
      </c>
      <c r="B516" s="28">
        <v>1550.46</v>
      </c>
      <c r="C516" s="28">
        <v>1575.09</v>
      </c>
      <c r="D516" s="28">
        <v>1569.25</v>
      </c>
      <c r="E516" s="29">
        <v>1656.34</v>
      </c>
      <c r="F516" s="33">
        <v>1569.77</v>
      </c>
      <c r="G516" s="33">
        <v>1508</v>
      </c>
      <c r="H516" s="29">
        <v>1508</v>
      </c>
      <c r="I516" s="29">
        <v>1508</v>
      </c>
      <c r="J516" s="33">
        <v>1508</v>
      </c>
      <c r="K516" s="29">
        <v>1508</v>
      </c>
      <c r="L516" s="33">
        <v>1508</v>
      </c>
      <c r="M516" s="29">
        <v>1508</v>
      </c>
      <c r="N516" s="30">
        <f t="shared" si="7"/>
        <v>18476.91</v>
      </c>
    </row>
    <row r="517" spans="1:14" ht="15.75" thickBot="1" x14ac:dyDescent="0.3">
      <c r="A517" s="39" t="s">
        <v>823</v>
      </c>
      <c r="B517" s="40"/>
      <c r="C517" s="40"/>
      <c r="D517" s="40"/>
      <c r="E517" s="42"/>
      <c r="F517" s="41"/>
      <c r="G517" s="41"/>
      <c r="H517" s="42"/>
      <c r="I517" s="42"/>
      <c r="J517" s="41"/>
      <c r="K517" s="33">
        <v>247.67</v>
      </c>
      <c r="L517" s="41"/>
      <c r="M517" s="42"/>
      <c r="N517" s="34">
        <f t="shared" si="7"/>
        <v>247.67</v>
      </c>
    </row>
    <row r="518" spans="1:14" ht="15.75" thickBot="1" x14ac:dyDescent="0.3">
      <c r="A518" s="39" t="s">
        <v>824</v>
      </c>
      <c r="B518" s="43">
        <v>10050</v>
      </c>
      <c r="C518" s="43"/>
      <c r="D518" s="43"/>
      <c r="E518" s="41"/>
      <c r="F518" s="42"/>
      <c r="G518" s="42"/>
      <c r="H518" s="41"/>
      <c r="I518" s="41"/>
      <c r="J518" s="42"/>
      <c r="K518" s="41"/>
      <c r="L518" s="42"/>
      <c r="M518" s="41"/>
      <c r="N518" s="44">
        <f t="shared" ref="N518:N581" si="8">SUM(B518:M518)</f>
        <v>10050</v>
      </c>
    </row>
    <row r="519" spans="1:14" ht="15.75" thickBot="1" x14ac:dyDescent="0.3">
      <c r="A519" s="39" t="s">
        <v>825</v>
      </c>
      <c r="B519" s="40"/>
      <c r="C519" s="40"/>
      <c r="D519" s="40"/>
      <c r="E519" s="42"/>
      <c r="F519" s="41"/>
      <c r="G519" s="41"/>
      <c r="H519" s="42"/>
      <c r="I519" s="42"/>
      <c r="J519" s="41"/>
      <c r="K519" s="42"/>
      <c r="L519" s="41"/>
      <c r="M519" s="42"/>
      <c r="N519" s="45">
        <f t="shared" si="8"/>
        <v>0</v>
      </c>
    </row>
    <row r="520" spans="1:14" ht="15.75" thickBot="1" x14ac:dyDescent="0.3">
      <c r="A520" s="39" t="s">
        <v>826</v>
      </c>
      <c r="B520" s="28">
        <v>98620</v>
      </c>
      <c r="C520" s="28">
        <v>98030</v>
      </c>
      <c r="D520" s="28">
        <v>102231</v>
      </c>
      <c r="E520" s="29">
        <v>132553</v>
      </c>
      <c r="F520" s="33">
        <v>115199</v>
      </c>
      <c r="G520" s="33">
        <v>723215.81</v>
      </c>
      <c r="H520" s="29">
        <v>113903</v>
      </c>
      <c r="I520" s="29">
        <v>113898</v>
      </c>
      <c r="J520" s="33">
        <v>113673</v>
      </c>
      <c r="K520" s="29">
        <v>101708.5</v>
      </c>
      <c r="L520" s="33">
        <v>107513</v>
      </c>
      <c r="M520" s="29">
        <v>74167</v>
      </c>
      <c r="N520" s="30">
        <f t="shared" si="8"/>
        <v>1894711.31</v>
      </c>
    </row>
    <row r="521" spans="1:14" ht="15.75" thickBot="1" x14ac:dyDescent="0.3">
      <c r="A521" s="39" t="s">
        <v>827</v>
      </c>
      <c r="B521" s="32">
        <v>140941.37</v>
      </c>
      <c r="C521" s="32">
        <v>140727.98000000001</v>
      </c>
      <c r="D521" s="32">
        <v>145520.87</v>
      </c>
      <c r="E521" s="33">
        <v>183210.98</v>
      </c>
      <c r="F521" s="29">
        <v>120516.1</v>
      </c>
      <c r="G521" s="29">
        <v>113811.82</v>
      </c>
      <c r="H521" s="33">
        <v>122781.77</v>
      </c>
      <c r="I521" s="33">
        <v>128059.65</v>
      </c>
      <c r="J521" s="29">
        <v>135251.9</v>
      </c>
      <c r="K521" s="33">
        <v>145263.35</v>
      </c>
      <c r="L521" s="29">
        <v>107035.87</v>
      </c>
      <c r="M521" s="33">
        <v>135238.17000000001</v>
      </c>
      <c r="N521" s="34">
        <f t="shared" si="8"/>
        <v>1618359.8299999996</v>
      </c>
    </row>
    <row r="522" spans="1:14" ht="15.75" thickBot="1" x14ac:dyDescent="0.3">
      <c r="A522" s="39" t="s">
        <v>828</v>
      </c>
      <c r="B522" s="43"/>
      <c r="C522" s="43"/>
      <c r="D522" s="43"/>
      <c r="E522" s="41"/>
      <c r="F522" s="42"/>
      <c r="G522" s="42"/>
      <c r="H522" s="41"/>
      <c r="I522" s="41"/>
      <c r="J522" s="42"/>
      <c r="K522" s="41"/>
      <c r="L522" s="42"/>
      <c r="M522" s="41"/>
      <c r="N522" s="44">
        <f t="shared" si="8"/>
        <v>0</v>
      </c>
    </row>
    <row r="523" spans="1:14" ht="15.75" thickBot="1" x14ac:dyDescent="0.3">
      <c r="A523" s="39" t="s">
        <v>829</v>
      </c>
      <c r="B523" s="43"/>
      <c r="C523" s="43"/>
      <c r="D523" s="43"/>
      <c r="E523" s="41"/>
      <c r="F523" s="42"/>
      <c r="G523" s="42"/>
      <c r="H523" s="41"/>
      <c r="I523" s="41"/>
      <c r="J523" s="42"/>
      <c r="K523" s="42"/>
      <c r="L523" s="41"/>
      <c r="M523" s="33">
        <v>610.99</v>
      </c>
      <c r="N523" s="34">
        <f t="shared" si="8"/>
        <v>610.99</v>
      </c>
    </row>
    <row r="524" spans="1:14" ht="15.75" thickBot="1" x14ac:dyDescent="0.3">
      <c r="A524" s="39" t="s">
        <v>830</v>
      </c>
      <c r="B524" s="32">
        <v>15483.93</v>
      </c>
      <c r="C524" s="32">
        <v>15683.93</v>
      </c>
      <c r="D524" s="32">
        <v>15254.59</v>
      </c>
      <c r="E524" s="33">
        <v>19950.55</v>
      </c>
      <c r="F524" s="29">
        <v>16747.61</v>
      </c>
      <c r="G524" s="29">
        <v>15683.93</v>
      </c>
      <c r="H524" s="33">
        <v>16481.73</v>
      </c>
      <c r="I524" s="33">
        <v>15683.81</v>
      </c>
      <c r="J524" s="29">
        <v>15683.87</v>
      </c>
      <c r="K524" s="29">
        <v>15683.87</v>
      </c>
      <c r="L524" s="33">
        <v>15683.87</v>
      </c>
      <c r="M524" s="29">
        <v>10257.01</v>
      </c>
      <c r="N524" s="30">
        <f t="shared" si="8"/>
        <v>188278.7</v>
      </c>
    </row>
    <row r="525" spans="1:14" ht="15.75" thickBot="1" x14ac:dyDescent="0.3">
      <c r="A525" s="39" t="s">
        <v>831</v>
      </c>
      <c r="B525" s="43"/>
      <c r="C525" s="43"/>
      <c r="D525" s="43"/>
      <c r="E525" s="41"/>
      <c r="F525" s="42"/>
      <c r="G525" s="42"/>
      <c r="H525" s="41"/>
      <c r="I525" s="41"/>
      <c r="J525" s="42"/>
      <c r="K525" s="42"/>
      <c r="L525" s="41"/>
      <c r="M525" s="42"/>
      <c r="N525" s="45">
        <f t="shared" si="8"/>
        <v>0</v>
      </c>
    </row>
    <row r="526" spans="1:14" ht="15.75" thickBot="1" x14ac:dyDescent="0.3">
      <c r="A526" s="39" t="s">
        <v>832</v>
      </c>
      <c r="B526" s="40">
        <v>26104.91</v>
      </c>
      <c r="C526" s="40">
        <v>1725.19</v>
      </c>
      <c r="D526" s="40"/>
      <c r="E526" s="42"/>
      <c r="F526" s="41"/>
      <c r="G526" s="29">
        <v>914.22</v>
      </c>
      <c r="H526" s="42"/>
      <c r="I526" s="42"/>
      <c r="J526" s="41"/>
      <c r="K526" s="41"/>
      <c r="L526" s="42"/>
      <c r="M526" s="41"/>
      <c r="N526" s="30">
        <f t="shared" si="8"/>
        <v>28744.32</v>
      </c>
    </row>
    <row r="527" spans="1:14" ht="15.75" thickBot="1" x14ac:dyDescent="0.3">
      <c r="A527" s="39" t="s">
        <v>833</v>
      </c>
      <c r="B527" s="28">
        <v>70.2</v>
      </c>
      <c r="C527" s="28">
        <v>101.1</v>
      </c>
      <c r="D527" s="28">
        <v>93.3</v>
      </c>
      <c r="E527" s="41"/>
      <c r="F527" s="33">
        <v>178</v>
      </c>
      <c r="G527" s="33">
        <v>237.5</v>
      </c>
      <c r="H527" s="29">
        <v>54.3</v>
      </c>
      <c r="I527" s="41"/>
      <c r="J527" s="42"/>
      <c r="K527" s="42"/>
      <c r="L527" s="41"/>
      <c r="M527" s="42"/>
      <c r="N527" s="34">
        <f t="shared" si="8"/>
        <v>734.4</v>
      </c>
    </row>
    <row r="528" spans="1:14" ht="15.75" thickBot="1" x14ac:dyDescent="0.3">
      <c r="A528" s="39" t="s">
        <v>834</v>
      </c>
      <c r="B528" s="40"/>
      <c r="C528" s="40"/>
      <c r="D528" s="40">
        <v>404135.29</v>
      </c>
      <c r="E528" s="42"/>
      <c r="F528" s="41"/>
      <c r="G528" s="41"/>
      <c r="H528" s="42"/>
      <c r="I528" s="42"/>
      <c r="J528" s="29">
        <v>133704.17000000001</v>
      </c>
      <c r="K528" s="41"/>
      <c r="L528" s="42"/>
      <c r="M528" s="29">
        <v>16134.87</v>
      </c>
      <c r="N528" s="30">
        <f t="shared" si="8"/>
        <v>553974.32999999996</v>
      </c>
    </row>
    <row r="529" spans="1:14" ht="15.75" thickBot="1" x14ac:dyDescent="0.3">
      <c r="A529" s="39" t="s">
        <v>835</v>
      </c>
      <c r="B529" s="43">
        <v>900</v>
      </c>
      <c r="C529" s="43"/>
      <c r="D529" s="43">
        <v>300</v>
      </c>
      <c r="E529" s="41"/>
      <c r="F529" s="42"/>
      <c r="G529" s="42"/>
      <c r="H529" s="29">
        <v>400</v>
      </c>
      <c r="I529" s="29">
        <v>200</v>
      </c>
      <c r="J529" s="42"/>
      <c r="K529" s="33">
        <v>250</v>
      </c>
      <c r="L529" s="41"/>
      <c r="M529" s="33">
        <v>150</v>
      </c>
      <c r="N529" s="34">
        <f t="shared" si="8"/>
        <v>2200</v>
      </c>
    </row>
    <row r="530" spans="1:14" ht="15.75" thickBot="1" x14ac:dyDescent="0.3">
      <c r="A530" s="39" t="s">
        <v>836</v>
      </c>
      <c r="B530" s="32">
        <v>2061</v>
      </c>
      <c r="C530" s="32"/>
      <c r="D530" s="32">
        <v>10316</v>
      </c>
      <c r="E530" s="33">
        <v>6592</v>
      </c>
      <c r="F530" s="29">
        <v>3025</v>
      </c>
      <c r="G530" s="29">
        <v>11972.2</v>
      </c>
      <c r="H530" s="33">
        <v>5250</v>
      </c>
      <c r="I530" s="33">
        <v>19860</v>
      </c>
      <c r="J530" s="29">
        <v>13871.8</v>
      </c>
      <c r="K530" s="29">
        <v>15000</v>
      </c>
      <c r="L530" s="33">
        <v>1931.6</v>
      </c>
      <c r="M530" s="29">
        <v>25857</v>
      </c>
      <c r="N530" s="30">
        <f t="shared" si="8"/>
        <v>115736.6</v>
      </c>
    </row>
    <row r="531" spans="1:14" ht="15.75" thickBot="1" x14ac:dyDescent="0.3">
      <c r="A531" s="39" t="s">
        <v>837</v>
      </c>
      <c r="B531" s="43"/>
      <c r="C531" s="43"/>
      <c r="D531" s="43"/>
      <c r="E531" s="41"/>
      <c r="F531" s="42"/>
      <c r="G531" s="42"/>
      <c r="H531" s="41"/>
      <c r="I531" s="41"/>
      <c r="J531" s="42"/>
      <c r="K531" s="42"/>
      <c r="L531" s="41"/>
      <c r="M531" s="42"/>
      <c r="N531" s="45">
        <f t="shared" si="8"/>
        <v>0</v>
      </c>
    </row>
    <row r="532" spans="1:14" ht="15.75" thickBot="1" x14ac:dyDescent="0.3">
      <c r="A532" s="39" t="s">
        <v>838</v>
      </c>
      <c r="B532" s="40"/>
      <c r="C532" s="40"/>
      <c r="D532" s="40"/>
      <c r="E532" s="42"/>
      <c r="F532" s="41"/>
      <c r="G532" s="41"/>
      <c r="H532" s="42"/>
      <c r="I532" s="42"/>
      <c r="J532" s="41"/>
      <c r="K532" s="41"/>
      <c r="L532" s="42"/>
      <c r="M532" s="41"/>
      <c r="N532" s="44">
        <f t="shared" si="8"/>
        <v>0</v>
      </c>
    </row>
    <row r="533" spans="1:14" ht="15.75" thickBot="1" x14ac:dyDescent="0.3">
      <c r="A533" s="39" t="s">
        <v>839</v>
      </c>
      <c r="B533" s="28">
        <v>87083.34</v>
      </c>
      <c r="C533" s="28">
        <v>58926.26</v>
      </c>
      <c r="D533" s="28">
        <v>87083.34</v>
      </c>
      <c r="E533" s="29">
        <v>82833.33</v>
      </c>
      <c r="F533" s="33">
        <v>82833.33</v>
      </c>
      <c r="G533" s="33">
        <v>82833.33</v>
      </c>
      <c r="H533" s="29">
        <v>82833.33</v>
      </c>
      <c r="I533" s="29">
        <v>82833.33</v>
      </c>
      <c r="J533" s="33">
        <v>82833.33</v>
      </c>
      <c r="K533" s="33">
        <v>82833.33</v>
      </c>
      <c r="L533" s="29">
        <v>82833.33</v>
      </c>
      <c r="M533" s="33">
        <v>117333.33</v>
      </c>
      <c r="N533" s="34">
        <f t="shared" si="8"/>
        <v>1013092.9099999998</v>
      </c>
    </row>
    <row r="534" spans="1:14" ht="15.75" thickBot="1" x14ac:dyDescent="0.3">
      <c r="A534" s="39" t="s">
        <v>840</v>
      </c>
      <c r="B534" s="32">
        <v>852749.99</v>
      </c>
      <c r="C534" s="32">
        <v>1122009.1100000001</v>
      </c>
      <c r="D534" s="32">
        <v>852749.99</v>
      </c>
      <c r="E534" s="33">
        <v>933083.33</v>
      </c>
      <c r="F534" s="29">
        <v>933083.33</v>
      </c>
      <c r="G534" s="29">
        <v>933083.33</v>
      </c>
      <c r="H534" s="33">
        <v>933083.33</v>
      </c>
      <c r="I534" s="33">
        <v>933083.33</v>
      </c>
      <c r="J534" s="29">
        <v>933083.33</v>
      </c>
      <c r="K534" s="29">
        <v>933083.33</v>
      </c>
      <c r="L534" s="33">
        <v>933083.33</v>
      </c>
      <c r="M534" s="29">
        <v>1385333.33</v>
      </c>
      <c r="N534" s="30">
        <f t="shared" si="8"/>
        <v>11677509.060000001</v>
      </c>
    </row>
    <row r="535" spans="1:14" ht="15.75" thickBot="1" x14ac:dyDescent="0.3">
      <c r="A535" s="39" t="s">
        <v>841</v>
      </c>
      <c r="B535" s="28">
        <v>25583.33</v>
      </c>
      <c r="C535" s="28">
        <v>32452.37</v>
      </c>
      <c r="D535" s="28">
        <v>25583.33</v>
      </c>
      <c r="E535" s="29">
        <v>3500</v>
      </c>
      <c r="F535" s="33">
        <v>3500</v>
      </c>
      <c r="G535" s="33">
        <v>3500</v>
      </c>
      <c r="H535" s="29">
        <v>3500</v>
      </c>
      <c r="I535" s="29">
        <v>3500</v>
      </c>
      <c r="J535" s="33">
        <v>3500</v>
      </c>
      <c r="K535" s="33">
        <v>3500</v>
      </c>
      <c r="L535" s="29">
        <v>3500</v>
      </c>
      <c r="M535" s="33">
        <v>9500</v>
      </c>
      <c r="N535" s="34">
        <f t="shared" si="8"/>
        <v>121119.03</v>
      </c>
    </row>
    <row r="536" spans="1:14" ht="15.75" thickBot="1" x14ac:dyDescent="0.3">
      <c r="A536" s="39" t="s">
        <v>842</v>
      </c>
      <c r="B536" s="32">
        <v>167174.75</v>
      </c>
      <c r="C536" s="32">
        <v>199379.75</v>
      </c>
      <c r="D536" s="32">
        <v>167174.75</v>
      </c>
      <c r="E536" s="33">
        <v>164789.24</v>
      </c>
      <c r="F536" s="29">
        <v>164789.24</v>
      </c>
      <c r="G536" s="29">
        <v>164789.24</v>
      </c>
      <c r="H536" s="33">
        <v>164789.24</v>
      </c>
      <c r="I536" s="33">
        <v>164789.24</v>
      </c>
      <c r="J536" s="29">
        <v>164789.24</v>
      </c>
      <c r="K536" s="29">
        <v>164789.24</v>
      </c>
      <c r="L536" s="33">
        <v>164789.24</v>
      </c>
      <c r="M536" s="29">
        <v>212789.24</v>
      </c>
      <c r="N536" s="30">
        <f t="shared" si="8"/>
        <v>2064832.41</v>
      </c>
    </row>
    <row r="537" spans="1:14" ht="15.75" thickBot="1" x14ac:dyDescent="0.3">
      <c r="A537" s="39" t="s">
        <v>843</v>
      </c>
      <c r="B537" s="43">
        <v>173481</v>
      </c>
      <c r="C537" s="43">
        <v>294705</v>
      </c>
      <c r="D537" s="43">
        <v>404094</v>
      </c>
      <c r="E537" s="29">
        <v>405345</v>
      </c>
      <c r="F537" s="33">
        <v>330347</v>
      </c>
      <c r="G537" s="33">
        <v>293533</v>
      </c>
      <c r="H537" s="29">
        <v>221336</v>
      </c>
      <c r="I537" s="29">
        <v>147343</v>
      </c>
      <c r="J537" s="33">
        <v>101976</v>
      </c>
      <c r="K537" s="33">
        <v>81397</v>
      </c>
      <c r="L537" s="29">
        <v>80934</v>
      </c>
      <c r="M537" s="33">
        <v>85460</v>
      </c>
      <c r="N537" s="34">
        <f t="shared" si="8"/>
        <v>2619951</v>
      </c>
    </row>
    <row r="538" spans="1:14" ht="15.75" thickBot="1" x14ac:dyDescent="0.3">
      <c r="A538" s="39" t="s">
        <v>844</v>
      </c>
      <c r="B538" s="40">
        <v>298705</v>
      </c>
      <c r="C538" s="40">
        <v>507431</v>
      </c>
      <c r="D538" s="40">
        <v>695781</v>
      </c>
      <c r="E538" s="33">
        <v>697934</v>
      </c>
      <c r="F538" s="29">
        <v>568802</v>
      </c>
      <c r="G538" s="29">
        <v>505413</v>
      </c>
      <c r="H538" s="33">
        <v>381103</v>
      </c>
      <c r="I538" s="33">
        <v>253699</v>
      </c>
      <c r="J538" s="29">
        <v>175586</v>
      </c>
      <c r="K538" s="29">
        <v>140152</v>
      </c>
      <c r="L538" s="33">
        <v>139355</v>
      </c>
      <c r="M538" s="29">
        <v>147148</v>
      </c>
      <c r="N538" s="30">
        <f t="shared" si="8"/>
        <v>4511109</v>
      </c>
    </row>
    <row r="539" spans="1:14" ht="15.75" thickBot="1" x14ac:dyDescent="0.3">
      <c r="A539" s="39" t="s">
        <v>845</v>
      </c>
      <c r="B539" s="43"/>
      <c r="C539" s="43"/>
      <c r="D539" s="43"/>
      <c r="E539" s="41"/>
      <c r="F539" s="42"/>
      <c r="G539" s="42"/>
      <c r="H539" s="41"/>
      <c r="I539" s="41"/>
      <c r="J539" s="42"/>
      <c r="K539" s="42"/>
      <c r="L539" s="41"/>
      <c r="M539" s="42"/>
      <c r="N539" s="45">
        <f t="shared" si="8"/>
        <v>0</v>
      </c>
    </row>
    <row r="540" spans="1:14" ht="15.75" thickBot="1" x14ac:dyDescent="0.3">
      <c r="A540" s="47" t="s">
        <v>845</v>
      </c>
      <c r="B540" s="40"/>
      <c r="C540" s="40"/>
      <c r="D540" s="40"/>
      <c r="E540" s="41"/>
      <c r="F540" s="42"/>
      <c r="G540" s="42"/>
      <c r="H540" s="41"/>
      <c r="I540" s="41"/>
      <c r="J540" s="42"/>
      <c r="K540" s="42"/>
      <c r="L540" s="41"/>
      <c r="M540" s="42"/>
      <c r="N540" s="45">
        <f t="shared" si="8"/>
        <v>0</v>
      </c>
    </row>
    <row r="541" spans="1:14" ht="15.75" thickBot="1" x14ac:dyDescent="0.3">
      <c r="A541" s="39" t="s">
        <v>846</v>
      </c>
      <c r="B541" s="40"/>
      <c r="C541" s="40"/>
      <c r="D541" s="40"/>
      <c r="E541" s="42"/>
      <c r="F541" s="41"/>
      <c r="G541" s="29">
        <v>19047.599999999999</v>
      </c>
      <c r="H541" s="33">
        <v>90714.5</v>
      </c>
      <c r="I541" s="33">
        <v>140197.87</v>
      </c>
      <c r="J541" s="29">
        <v>-36458.71</v>
      </c>
      <c r="K541" s="29">
        <v>5321.5</v>
      </c>
      <c r="L541" s="33">
        <v>233.75</v>
      </c>
      <c r="M541" s="29">
        <v>-29106.12</v>
      </c>
      <c r="N541" s="30">
        <f t="shared" si="8"/>
        <v>189950.39</v>
      </c>
    </row>
    <row r="542" spans="1:14" ht="15.75" thickBot="1" x14ac:dyDescent="0.3">
      <c r="A542" s="39" t="s">
        <v>847</v>
      </c>
      <c r="B542" s="28"/>
      <c r="C542" s="28"/>
      <c r="D542" s="28">
        <v>335000</v>
      </c>
      <c r="E542" s="41"/>
      <c r="F542" s="42"/>
      <c r="G542" s="42"/>
      <c r="H542" s="41"/>
      <c r="I542" s="41"/>
      <c r="J542" s="42"/>
      <c r="K542" s="42"/>
      <c r="L542" s="41"/>
      <c r="M542" s="33">
        <v>92349.59</v>
      </c>
      <c r="N542" s="34">
        <f t="shared" si="8"/>
        <v>427349.58999999997</v>
      </c>
    </row>
    <row r="543" spans="1:14" ht="15.75" thickBot="1" x14ac:dyDescent="0.3">
      <c r="A543" s="39" t="s">
        <v>848</v>
      </c>
      <c r="B543" s="40">
        <v>7500</v>
      </c>
      <c r="C543" s="40"/>
      <c r="D543" s="40">
        <v>5000</v>
      </c>
      <c r="E543" s="42"/>
      <c r="F543" s="29">
        <v>17000</v>
      </c>
      <c r="G543" s="41"/>
      <c r="H543" s="42"/>
      <c r="I543" s="42"/>
      <c r="J543" s="41"/>
      <c r="K543" s="41"/>
      <c r="L543" s="42"/>
      <c r="M543" s="41"/>
      <c r="N543" s="30">
        <f t="shared" si="8"/>
        <v>29500</v>
      </c>
    </row>
    <row r="544" spans="1:14" ht="15.75" thickBot="1" x14ac:dyDescent="0.3">
      <c r="A544" s="39" t="s">
        <v>849</v>
      </c>
      <c r="B544" s="43">
        <v>4900</v>
      </c>
      <c r="C544" s="43"/>
      <c r="D544" s="43">
        <v>300000</v>
      </c>
      <c r="E544" s="29">
        <v>4900</v>
      </c>
      <c r="F544" s="33">
        <v>68999.990000000005</v>
      </c>
      <c r="G544" s="33">
        <v>56000.01</v>
      </c>
      <c r="H544" s="29">
        <v>4900</v>
      </c>
      <c r="I544" s="29">
        <v>-4534.96</v>
      </c>
      <c r="J544" s="42"/>
      <c r="K544" s="33">
        <v>6378.76</v>
      </c>
      <c r="L544" s="29">
        <v>132.66999999999999</v>
      </c>
      <c r="M544" s="33">
        <v>4775.41</v>
      </c>
      <c r="N544" s="34">
        <f t="shared" si="8"/>
        <v>446451.87999999995</v>
      </c>
    </row>
    <row r="545" spans="1:14" ht="15.75" thickBot="1" x14ac:dyDescent="0.3">
      <c r="A545" s="39" t="s">
        <v>850</v>
      </c>
      <c r="B545" s="32">
        <v>8035.6</v>
      </c>
      <c r="C545" s="32"/>
      <c r="D545" s="32">
        <v>497</v>
      </c>
      <c r="E545" s="42"/>
      <c r="F545" s="41"/>
      <c r="G545" s="41"/>
      <c r="H545" s="42"/>
      <c r="I545" s="42"/>
      <c r="J545" s="41"/>
      <c r="K545" s="41"/>
      <c r="L545" s="42"/>
      <c r="M545" s="41"/>
      <c r="N545" s="44">
        <f t="shared" si="8"/>
        <v>8532.6</v>
      </c>
    </row>
    <row r="546" spans="1:14" ht="15.75" thickBot="1" x14ac:dyDescent="0.3">
      <c r="A546" s="39" t="s">
        <v>851</v>
      </c>
      <c r="B546" s="28"/>
      <c r="C546" s="28"/>
      <c r="D546" s="28"/>
      <c r="E546" s="41"/>
      <c r="F546" s="42"/>
      <c r="G546" s="42"/>
      <c r="H546" s="41"/>
      <c r="I546" s="41"/>
      <c r="J546" s="42"/>
      <c r="K546" s="42"/>
      <c r="L546" s="41"/>
      <c r="M546" s="42"/>
      <c r="N546" s="45">
        <f t="shared" si="8"/>
        <v>0</v>
      </c>
    </row>
    <row r="547" spans="1:14" ht="15.75" thickBot="1" x14ac:dyDescent="0.3">
      <c r="A547" s="39" t="s">
        <v>852</v>
      </c>
      <c r="B547" s="40"/>
      <c r="C547" s="40"/>
      <c r="D547" s="40"/>
      <c r="E547" s="42"/>
      <c r="F547" s="41"/>
      <c r="G547" s="29">
        <v>32.979999999999997</v>
      </c>
      <c r="H547" s="42"/>
      <c r="I547" s="42"/>
      <c r="J547" s="41"/>
      <c r="K547" s="41"/>
      <c r="L547" s="42"/>
      <c r="M547" s="41"/>
      <c r="N547" s="30">
        <f t="shared" si="8"/>
        <v>32.979999999999997</v>
      </c>
    </row>
    <row r="548" spans="1:14" ht="15.75" thickBot="1" x14ac:dyDescent="0.3">
      <c r="A548" s="39" t="s">
        <v>853</v>
      </c>
      <c r="B548" s="28">
        <v>469273.47</v>
      </c>
      <c r="C548" s="28">
        <v>9698.31</v>
      </c>
      <c r="D548" s="28">
        <v>43080.21</v>
      </c>
      <c r="E548" s="29">
        <v>576906.72</v>
      </c>
      <c r="F548" s="33">
        <v>307.81</v>
      </c>
      <c r="G548" s="33">
        <v>59231.6</v>
      </c>
      <c r="H548" s="29">
        <v>528747.73</v>
      </c>
      <c r="I548" s="41"/>
      <c r="J548" s="33">
        <v>34574.800000000003</v>
      </c>
      <c r="K548" s="33">
        <v>542838.35</v>
      </c>
      <c r="L548" s="29">
        <v>16412.93</v>
      </c>
      <c r="M548" s="33">
        <v>13919.98</v>
      </c>
      <c r="N548" s="34">
        <f t="shared" si="8"/>
        <v>2294991.91</v>
      </c>
    </row>
    <row r="549" spans="1:14" ht="15.75" thickBot="1" x14ac:dyDescent="0.3">
      <c r="A549" s="39" t="s">
        <v>854</v>
      </c>
      <c r="B549" s="32">
        <v>2365.6</v>
      </c>
      <c r="C549" s="32">
        <v>2964.44</v>
      </c>
      <c r="D549" s="32">
        <v>2745.6</v>
      </c>
      <c r="E549" s="33">
        <v>2216.0500000000002</v>
      </c>
      <c r="F549" s="29">
        <v>3057.12</v>
      </c>
      <c r="G549" s="29">
        <v>2737.35</v>
      </c>
      <c r="H549" s="33">
        <v>2212.35</v>
      </c>
      <c r="I549" s="33">
        <v>2474.75</v>
      </c>
      <c r="J549" s="29">
        <v>2445.59</v>
      </c>
      <c r="K549" s="29">
        <v>2212.35</v>
      </c>
      <c r="L549" s="33">
        <v>2287.35</v>
      </c>
      <c r="M549" s="29">
        <v>2411.5700000000002</v>
      </c>
      <c r="N549" s="30">
        <f t="shared" si="8"/>
        <v>30130.119999999995</v>
      </c>
    </row>
    <row r="550" spans="1:14" ht="15.75" thickBot="1" x14ac:dyDescent="0.3">
      <c r="A550" s="39" t="s">
        <v>855</v>
      </c>
      <c r="B550" s="28">
        <v>2755.2</v>
      </c>
      <c r="C550" s="28">
        <v>2755.2</v>
      </c>
      <c r="D550" s="28">
        <v>2755.2</v>
      </c>
      <c r="E550" s="29">
        <v>2755.2</v>
      </c>
      <c r="F550" s="33">
        <v>2755.2</v>
      </c>
      <c r="G550" s="33">
        <v>2755.2</v>
      </c>
      <c r="H550" s="29">
        <v>2755.2</v>
      </c>
      <c r="I550" s="29">
        <v>2755.2</v>
      </c>
      <c r="J550" s="33">
        <v>2755.2</v>
      </c>
      <c r="K550" s="33">
        <v>2755.2</v>
      </c>
      <c r="L550" s="29">
        <v>2755.2</v>
      </c>
      <c r="M550" s="33">
        <v>2755.2</v>
      </c>
      <c r="N550" s="34">
        <f t="shared" si="8"/>
        <v>33062.400000000001</v>
      </c>
    </row>
    <row r="551" spans="1:14" ht="15.75" thickBot="1" x14ac:dyDescent="0.3">
      <c r="A551" s="39" t="s">
        <v>856</v>
      </c>
      <c r="B551" s="32">
        <v>388984.31</v>
      </c>
      <c r="C551" s="32">
        <v>388862.66</v>
      </c>
      <c r="D551" s="32">
        <v>389648.59</v>
      </c>
      <c r="E551" s="33">
        <v>385199.94</v>
      </c>
      <c r="F551" s="29">
        <v>385164.1</v>
      </c>
      <c r="G551" s="29">
        <v>506569.18</v>
      </c>
      <c r="H551" s="33">
        <v>543227.87</v>
      </c>
      <c r="I551" s="33">
        <v>382104.07</v>
      </c>
      <c r="J551" s="29">
        <v>224705.89</v>
      </c>
      <c r="K551" s="29">
        <v>353420.85</v>
      </c>
      <c r="L551" s="33">
        <v>288974.39</v>
      </c>
      <c r="M551" s="29">
        <v>-43497.5</v>
      </c>
      <c r="N551" s="30">
        <f t="shared" si="8"/>
        <v>4193364.3500000006</v>
      </c>
    </row>
    <row r="552" spans="1:14" ht="15.75" thickBot="1" x14ac:dyDescent="0.3">
      <c r="A552" s="39" t="s">
        <v>857</v>
      </c>
      <c r="B552" s="32"/>
      <c r="C552" s="32"/>
      <c r="D552" s="32"/>
      <c r="E552" s="41"/>
      <c r="F552" s="42"/>
      <c r="G552" s="46">
        <v>0</v>
      </c>
      <c r="H552" s="52">
        <v>0</v>
      </c>
      <c r="I552" s="52">
        <v>0</v>
      </c>
      <c r="J552" s="46">
        <v>0</v>
      </c>
      <c r="K552" s="46">
        <v>0</v>
      </c>
      <c r="L552" s="29">
        <v>21450.76</v>
      </c>
      <c r="M552" s="33">
        <v>482879.85</v>
      </c>
      <c r="N552" s="34">
        <f t="shared" si="8"/>
        <v>504330.61</v>
      </c>
    </row>
    <row r="553" spans="1:14" ht="15.75" thickBot="1" x14ac:dyDescent="0.3">
      <c r="A553" s="39" t="s">
        <v>858</v>
      </c>
      <c r="B553" s="28">
        <v>2242.41</v>
      </c>
      <c r="C553" s="28">
        <v>2242.41</v>
      </c>
      <c r="D553" s="28">
        <v>3046.34</v>
      </c>
      <c r="E553" s="33">
        <v>1792.22</v>
      </c>
      <c r="F553" s="29">
        <v>4300.46</v>
      </c>
      <c r="G553" s="29">
        <v>3046.34</v>
      </c>
      <c r="H553" s="33">
        <v>3121.61</v>
      </c>
      <c r="I553" s="33">
        <v>3121.61</v>
      </c>
      <c r="J553" s="29">
        <v>5121.6099999999997</v>
      </c>
      <c r="K553" s="29">
        <v>5121.6099999999997</v>
      </c>
      <c r="L553" s="33">
        <v>5121.6099999999997</v>
      </c>
      <c r="M553" s="29">
        <v>6604.81</v>
      </c>
      <c r="N553" s="30">
        <f t="shared" si="8"/>
        <v>44883.040000000001</v>
      </c>
    </row>
    <row r="554" spans="1:14" ht="15.75" thickBot="1" x14ac:dyDescent="0.3">
      <c r="A554" s="39" t="s">
        <v>859</v>
      </c>
      <c r="B554" s="40"/>
      <c r="C554" s="40"/>
      <c r="D554" s="40"/>
      <c r="E554" s="41"/>
      <c r="F554" s="42"/>
      <c r="G554" s="42"/>
      <c r="H554" s="41"/>
      <c r="I554" s="41"/>
      <c r="J554" s="42"/>
      <c r="K554" s="42"/>
      <c r="L554" s="41"/>
      <c r="M554" s="42"/>
      <c r="N554" s="45">
        <f t="shared" si="8"/>
        <v>0</v>
      </c>
    </row>
    <row r="555" spans="1:14" ht="15.75" thickBot="1" x14ac:dyDescent="0.3">
      <c r="A555" s="39" t="s">
        <v>860</v>
      </c>
      <c r="B555" s="40"/>
      <c r="C555" s="40"/>
      <c r="D555" s="40"/>
      <c r="E555" s="42"/>
      <c r="F555" s="29">
        <v>19906.66</v>
      </c>
      <c r="G555" s="29">
        <v>9953.33</v>
      </c>
      <c r="H555" s="33">
        <v>9953.33</v>
      </c>
      <c r="I555" s="33">
        <v>9953.33</v>
      </c>
      <c r="J555" s="29">
        <v>9953.33</v>
      </c>
      <c r="K555" s="29">
        <v>15464.27</v>
      </c>
      <c r="L555" s="33">
        <v>9953.33</v>
      </c>
      <c r="M555" s="29">
        <v>12986.81</v>
      </c>
      <c r="N555" s="30">
        <f t="shared" si="8"/>
        <v>98124.39</v>
      </c>
    </row>
    <row r="556" spans="1:14" ht="15.75" thickBot="1" x14ac:dyDescent="0.3">
      <c r="A556" s="39" t="s">
        <v>861</v>
      </c>
      <c r="B556" s="28">
        <v>7362</v>
      </c>
      <c r="C556" s="28">
        <v>10026.59</v>
      </c>
      <c r="D556" s="28">
        <v>12577.16</v>
      </c>
      <c r="E556" s="29">
        <v>16337.59</v>
      </c>
      <c r="F556" s="33">
        <v>19887.72</v>
      </c>
      <c r="G556" s="33">
        <v>20999.8</v>
      </c>
      <c r="H556" s="29">
        <v>15081.06</v>
      </c>
      <c r="I556" s="29">
        <v>22785.62</v>
      </c>
      <c r="J556" s="33">
        <v>25730.69</v>
      </c>
      <c r="K556" s="33">
        <v>23758.93</v>
      </c>
      <c r="L556" s="29">
        <v>14506.11</v>
      </c>
      <c r="M556" s="33">
        <v>18048.900000000001</v>
      </c>
      <c r="N556" s="34">
        <f t="shared" si="8"/>
        <v>207102.16999999995</v>
      </c>
    </row>
    <row r="557" spans="1:14" ht="15.75" thickBot="1" x14ac:dyDescent="0.3">
      <c r="A557" s="39" t="s">
        <v>862</v>
      </c>
      <c r="B557" s="32">
        <v>54339.23</v>
      </c>
      <c r="C557" s="32">
        <v>53014.53</v>
      </c>
      <c r="D557" s="32">
        <v>70276.45</v>
      </c>
      <c r="E557" s="33">
        <v>69441.31</v>
      </c>
      <c r="F557" s="29">
        <v>105460.32</v>
      </c>
      <c r="G557" s="29">
        <v>70106.259999999995</v>
      </c>
      <c r="H557" s="33">
        <v>97397.18</v>
      </c>
      <c r="I557" s="33">
        <v>83860.88</v>
      </c>
      <c r="J557" s="29">
        <v>82655.89</v>
      </c>
      <c r="K557" s="29">
        <v>81838.240000000005</v>
      </c>
      <c r="L557" s="33">
        <v>79137.919999999998</v>
      </c>
      <c r="M557" s="29">
        <v>72298.820000000007</v>
      </c>
      <c r="N557" s="30">
        <f t="shared" si="8"/>
        <v>919827.03</v>
      </c>
    </row>
    <row r="558" spans="1:14" ht="15.75" thickBot="1" x14ac:dyDescent="0.3">
      <c r="A558" s="39" t="s">
        <v>863</v>
      </c>
      <c r="B558" s="43">
        <v>634.95000000000005</v>
      </c>
      <c r="C558" s="43"/>
      <c r="D558" s="43"/>
      <c r="E558" s="41"/>
      <c r="F558" s="33">
        <v>25398.09</v>
      </c>
      <c r="G558" s="33">
        <v>1.07</v>
      </c>
      <c r="H558" s="29">
        <v>35.97</v>
      </c>
      <c r="I558" s="41"/>
      <c r="J558" s="42"/>
      <c r="K558" s="42"/>
      <c r="L558" s="41"/>
      <c r="M558" s="42"/>
      <c r="N558" s="34">
        <f t="shared" si="8"/>
        <v>26070.080000000002</v>
      </c>
    </row>
    <row r="559" spans="1:14" ht="15.75" thickBot="1" x14ac:dyDescent="0.3">
      <c r="A559" s="39" t="s">
        <v>864</v>
      </c>
      <c r="B559" s="32">
        <v>122320.37</v>
      </c>
      <c r="C559" s="32">
        <v>97972.44</v>
      </c>
      <c r="D559" s="32">
        <v>132953.87</v>
      </c>
      <c r="E559" s="33">
        <v>94452.32</v>
      </c>
      <c r="F559" s="29">
        <v>123835.53</v>
      </c>
      <c r="G559" s="29">
        <v>376128.64</v>
      </c>
      <c r="H559" s="33">
        <v>173980.47</v>
      </c>
      <c r="I559" s="33">
        <v>291293.64</v>
      </c>
      <c r="J559" s="29">
        <v>149693.01999999999</v>
      </c>
      <c r="K559" s="29">
        <v>175227.5</v>
      </c>
      <c r="L559" s="33">
        <v>125524.68</v>
      </c>
      <c r="M559" s="29">
        <v>59618.98</v>
      </c>
      <c r="N559" s="30">
        <f t="shared" si="8"/>
        <v>1923001.4600000002</v>
      </c>
    </row>
    <row r="560" spans="1:14" ht="15.75" thickBot="1" x14ac:dyDescent="0.3">
      <c r="A560" s="39" t="s">
        <v>865</v>
      </c>
      <c r="B560" s="28">
        <v>97560.33</v>
      </c>
      <c r="C560" s="28">
        <v>140057.81</v>
      </c>
      <c r="D560" s="28">
        <v>114359.3</v>
      </c>
      <c r="E560" s="29">
        <v>94549.68</v>
      </c>
      <c r="F560" s="33">
        <v>98391.05</v>
      </c>
      <c r="G560" s="33">
        <v>110156.93</v>
      </c>
      <c r="H560" s="29">
        <v>113179.21</v>
      </c>
      <c r="I560" s="29">
        <v>105697.01</v>
      </c>
      <c r="J560" s="33">
        <v>115024.4</v>
      </c>
      <c r="K560" s="33">
        <v>105256.63</v>
      </c>
      <c r="L560" s="29">
        <v>98215.48</v>
      </c>
      <c r="M560" s="33">
        <v>75952.800000000003</v>
      </c>
      <c r="N560" s="34">
        <f t="shared" si="8"/>
        <v>1268400.6300000001</v>
      </c>
    </row>
    <row r="561" spans="1:14" ht="15.75" thickBot="1" x14ac:dyDescent="0.3">
      <c r="A561" s="39" t="s">
        <v>866</v>
      </c>
      <c r="B561" s="32">
        <v>1615.56</v>
      </c>
      <c r="C561" s="32">
        <v>959.15</v>
      </c>
      <c r="D561" s="32">
        <v>689.44</v>
      </c>
      <c r="E561" s="33">
        <v>3002.86</v>
      </c>
      <c r="F561" s="29">
        <v>5891.13</v>
      </c>
      <c r="G561" s="29">
        <v>2520.56</v>
      </c>
      <c r="H561" s="33">
        <v>202.18</v>
      </c>
      <c r="I561" s="33">
        <v>451.88</v>
      </c>
      <c r="J561" s="29">
        <v>792.64</v>
      </c>
      <c r="K561" s="29">
        <v>187.04</v>
      </c>
      <c r="L561" s="33">
        <v>418.2</v>
      </c>
      <c r="M561" s="52">
        <v>0</v>
      </c>
      <c r="N561" s="30">
        <f t="shared" si="8"/>
        <v>16730.64</v>
      </c>
    </row>
    <row r="562" spans="1:14" ht="15.75" thickBot="1" x14ac:dyDescent="0.3">
      <c r="A562" s="47" t="s">
        <v>867</v>
      </c>
      <c r="B562" s="43"/>
      <c r="C562" s="43"/>
      <c r="D562" s="43"/>
      <c r="E562" s="33"/>
      <c r="F562" s="29"/>
      <c r="G562" s="29"/>
      <c r="H562" s="33"/>
      <c r="I562" s="33"/>
      <c r="J562" s="29"/>
      <c r="K562" s="29"/>
      <c r="L562" s="33"/>
      <c r="M562" s="52"/>
      <c r="N562" s="30">
        <f t="shared" si="8"/>
        <v>0</v>
      </c>
    </row>
    <row r="563" spans="1:14" ht="15.75" thickBot="1" x14ac:dyDescent="0.3">
      <c r="A563" s="39" t="s">
        <v>868</v>
      </c>
      <c r="B563" s="40"/>
      <c r="C563" s="40"/>
      <c r="D563" s="40">
        <v>254.09</v>
      </c>
      <c r="E563" s="41"/>
      <c r="F563" s="42"/>
      <c r="G563" s="42"/>
      <c r="H563" s="41"/>
      <c r="I563" s="41"/>
      <c r="J563" s="33">
        <v>21350.9</v>
      </c>
      <c r="K563" s="42"/>
      <c r="L563" s="41"/>
      <c r="M563" s="33">
        <v>-21350.9</v>
      </c>
      <c r="N563" s="51">
        <f t="shared" si="8"/>
        <v>254.09000000000015</v>
      </c>
    </row>
    <row r="564" spans="1:14" ht="15.75" thickBot="1" x14ac:dyDescent="0.3">
      <c r="A564" s="47" t="s">
        <v>869</v>
      </c>
      <c r="B564" s="43"/>
      <c r="C564" s="43"/>
      <c r="D564" s="43"/>
      <c r="E564" s="41"/>
      <c r="F564" s="42"/>
      <c r="G564" s="42"/>
      <c r="H564" s="41"/>
      <c r="I564" s="41"/>
      <c r="J564" s="33"/>
      <c r="K564" s="42"/>
      <c r="L564" s="41"/>
      <c r="M564" s="33"/>
      <c r="N564" s="51">
        <f t="shared" si="8"/>
        <v>0</v>
      </c>
    </row>
    <row r="565" spans="1:14" ht="15.75" thickBot="1" x14ac:dyDescent="0.3">
      <c r="A565" s="39" t="s">
        <v>870</v>
      </c>
      <c r="B565" s="32">
        <v>-384.61</v>
      </c>
      <c r="C565" s="32"/>
      <c r="D565" s="32"/>
      <c r="E565" s="42"/>
      <c r="F565" s="41"/>
      <c r="G565" s="41"/>
      <c r="H565" s="42"/>
      <c r="I565" s="42"/>
      <c r="J565" s="41"/>
      <c r="K565" s="41"/>
      <c r="L565" s="42"/>
      <c r="M565" s="41"/>
      <c r="N565" s="44">
        <f t="shared" si="8"/>
        <v>-384.61</v>
      </c>
    </row>
    <row r="566" spans="1:14" ht="15.75" thickBot="1" x14ac:dyDescent="0.3">
      <c r="A566" s="39" t="s">
        <v>871</v>
      </c>
      <c r="B566" s="43"/>
      <c r="C566" s="43"/>
      <c r="D566" s="43"/>
      <c r="E566" s="42"/>
      <c r="F566" s="41"/>
      <c r="G566" s="41"/>
      <c r="H566" s="41"/>
      <c r="I566" s="41"/>
      <c r="J566" s="33">
        <v>939.45</v>
      </c>
      <c r="K566" s="33">
        <v>232.25</v>
      </c>
      <c r="L566" s="29">
        <v>65.25</v>
      </c>
      <c r="M566" s="42"/>
      <c r="N566" s="34">
        <f t="shared" si="8"/>
        <v>1236.95</v>
      </c>
    </row>
    <row r="567" spans="1:14" ht="15.75" thickBot="1" x14ac:dyDescent="0.3">
      <c r="A567" s="39" t="s">
        <v>872</v>
      </c>
      <c r="B567" s="32">
        <v>3847.9</v>
      </c>
      <c r="C567" s="32">
        <v>2096.27</v>
      </c>
      <c r="D567" s="32">
        <v>285.14999999999998</v>
      </c>
      <c r="E567" s="29">
        <v>1570.94</v>
      </c>
      <c r="F567" s="33">
        <v>1868.79</v>
      </c>
      <c r="G567" s="33">
        <v>2626.92</v>
      </c>
      <c r="H567" s="33">
        <v>1269.82</v>
      </c>
      <c r="I567" s="33">
        <v>1611.74</v>
      </c>
      <c r="J567" s="29">
        <v>1901.12</v>
      </c>
      <c r="K567" s="29">
        <v>1233.48</v>
      </c>
      <c r="L567" s="33">
        <v>1459.37</v>
      </c>
      <c r="M567" s="29">
        <v>1470.91</v>
      </c>
      <c r="N567" s="30">
        <f t="shared" si="8"/>
        <v>21242.409999999996</v>
      </c>
    </row>
    <row r="568" spans="1:14" ht="15.75" thickBot="1" x14ac:dyDescent="0.3">
      <c r="A568" s="39" t="s">
        <v>873</v>
      </c>
      <c r="B568" s="28">
        <v>13451.83</v>
      </c>
      <c r="C568" s="28">
        <v>31466.47</v>
      </c>
      <c r="D568" s="28">
        <v>16665.900000000001</v>
      </c>
      <c r="E568" s="33">
        <v>14963.74</v>
      </c>
      <c r="F568" s="29">
        <v>3728.32</v>
      </c>
      <c r="G568" s="29">
        <v>12759.14</v>
      </c>
      <c r="H568" s="29">
        <v>3619.73</v>
      </c>
      <c r="I568" s="29">
        <v>39823.300000000003</v>
      </c>
      <c r="J568" s="33">
        <v>11367.95</v>
      </c>
      <c r="K568" s="33">
        <v>4020.79</v>
      </c>
      <c r="L568" s="29">
        <v>342.61</v>
      </c>
      <c r="M568" s="33">
        <v>2534.7399999999998</v>
      </c>
      <c r="N568" s="34">
        <f t="shared" si="8"/>
        <v>154744.51999999999</v>
      </c>
    </row>
    <row r="569" spans="1:14" ht="15.75" thickBot="1" x14ac:dyDescent="0.3">
      <c r="A569" s="39" t="s">
        <v>874</v>
      </c>
      <c r="B569" s="40"/>
      <c r="C569" s="40"/>
      <c r="D569" s="40"/>
      <c r="E569" s="41"/>
      <c r="F569" s="42"/>
      <c r="G569" s="42"/>
      <c r="H569" s="42"/>
      <c r="I569" s="29"/>
      <c r="J569" s="33"/>
      <c r="K569" s="33"/>
      <c r="L569" s="29"/>
      <c r="M569" s="33"/>
      <c r="N569" s="34">
        <f t="shared" si="8"/>
        <v>0</v>
      </c>
    </row>
    <row r="570" spans="1:14" ht="15.75" thickBot="1" x14ac:dyDescent="0.3">
      <c r="A570" s="39" t="s">
        <v>875</v>
      </c>
      <c r="B570" s="43"/>
      <c r="C570" s="43">
        <v>1635.22</v>
      </c>
      <c r="D570" s="43"/>
      <c r="E570" s="42"/>
      <c r="F570" s="29">
        <v>1743.04</v>
      </c>
      <c r="G570" s="41"/>
      <c r="H570" s="41"/>
      <c r="I570" s="33">
        <v>2259.34</v>
      </c>
      <c r="J570" s="41"/>
      <c r="K570" s="41"/>
      <c r="L570" s="42"/>
      <c r="M570" s="41"/>
      <c r="N570" s="30">
        <f t="shared" si="8"/>
        <v>5637.6</v>
      </c>
    </row>
    <row r="571" spans="1:14" ht="15.75" thickBot="1" x14ac:dyDescent="0.3">
      <c r="A571" s="39" t="s">
        <v>876</v>
      </c>
      <c r="B571" s="32">
        <v>6630.3</v>
      </c>
      <c r="C571" s="32">
        <v>399.85</v>
      </c>
      <c r="D571" s="32">
        <v>3742.84</v>
      </c>
      <c r="E571" s="29">
        <v>400.84</v>
      </c>
      <c r="F571" s="33">
        <v>444.32</v>
      </c>
      <c r="G571" s="33">
        <v>3109.63</v>
      </c>
      <c r="H571" s="33">
        <v>443.35</v>
      </c>
      <c r="I571" s="29">
        <v>443.36</v>
      </c>
      <c r="J571" s="33">
        <v>3043.53</v>
      </c>
      <c r="K571" s="33">
        <v>511.28</v>
      </c>
      <c r="L571" s="29">
        <v>443.66</v>
      </c>
      <c r="M571" s="33">
        <v>4852.97</v>
      </c>
      <c r="N571" s="34">
        <f t="shared" si="8"/>
        <v>24465.930000000004</v>
      </c>
    </row>
    <row r="572" spans="1:14" ht="15.75" thickBot="1" x14ac:dyDescent="0.3">
      <c r="A572" s="39" t="s">
        <v>877</v>
      </c>
      <c r="B572" s="28">
        <v>2003.57</v>
      </c>
      <c r="C572" s="28">
        <v>2562.69</v>
      </c>
      <c r="D572" s="28">
        <v>860.47</v>
      </c>
      <c r="E572" s="33">
        <v>2111.85</v>
      </c>
      <c r="F572" s="29">
        <v>2028.67</v>
      </c>
      <c r="G572" s="29">
        <v>2110.9299999999998</v>
      </c>
      <c r="H572" s="29">
        <v>2206.2399999999998</v>
      </c>
      <c r="I572" s="33">
        <v>1463</v>
      </c>
      <c r="J572" s="29">
        <v>2765.68</v>
      </c>
      <c r="K572" s="29">
        <v>2395.62</v>
      </c>
      <c r="L572" s="33">
        <v>3397.66</v>
      </c>
      <c r="M572" s="29">
        <v>2365.16</v>
      </c>
      <c r="N572" s="30">
        <f t="shared" si="8"/>
        <v>26271.539999999997</v>
      </c>
    </row>
    <row r="573" spans="1:14" ht="15.75" thickBot="1" x14ac:dyDescent="0.3">
      <c r="A573" s="39" t="s">
        <v>878</v>
      </c>
      <c r="B573" s="32">
        <v>4.0999999999999996</v>
      </c>
      <c r="C573" s="32">
        <v>2.0499999999999998</v>
      </c>
      <c r="D573" s="32"/>
      <c r="E573" s="29">
        <v>4.0999999999999996</v>
      </c>
      <c r="F573" s="33">
        <v>2.0499999999999998</v>
      </c>
      <c r="G573" s="42"/>
      <c r="H573" s="33">
        <v>2.0499999999999998</v>
      </c>
      <c r="I573" s="29">
        <v>2.0499999999999998</v>
      </c>
      <c r="J573" s="33">
        <v>4.0999999999999996</v>
      </c>
      <c r="K573" s="33">
        <v>2.0499999999999998</v>
      </c>
      <c r="L573" s="41"/>
      <c r="M573" s="33">
        <v>2.0499999999999998</v>
      </c>
      <c r="N573" s="34">
        <f t="shared" si="8"/>
        <v>24.6</v>
      </c>
    </row>
    <row r="574" spans="1:14" ht="15.75" thickBot="1" x14ac:dyDescent="0.3">
      <c r="A574" s="39" t="s">
        <v>879</v>
      </c>
      <c r="B574" s="43"/>
      <c r="C574" s="43"/>
      <c r="D574" s="43"/>
      <c r="E574" s="42"/>
      <c r="F574" s="41"/>
      <c r="G574" s="41"/>
      <c r="H574" s="41"/>
      <c r="I574" s="42"/>
      <c r="J574" s="41"/>
      <c r="K574" s="41"/>
      <c r="L574" s="42"/>
      <c r="M574" s="41"/>
      <c r="N574" s="44">
        <f t="shared" si="8"/>
        <v>0</v>
      </c>
    </row>
    <row r="575" spans="1:14" ht="15.75" thickBot="1" x14ac:dyDescent="0.3">
      <c r="A575" s="39" t="s">
        <v>880</v>
      </c>
      <c r="B575" s="32">
        <v>15854.6</v>
      </c>
      <c r="C575" s="32">
        <v>12823.5</v>
      </c>
      <c r="D575" s="32">
        <v>8161.9</v>
      </c>
      <c r="E575" s="29">
        <v>26008.25</v>
      </c>
      <c r="F575" s="33">
        <v>17902.37</v>
      </c>
      <c r="G575" s="33">
        <v>9473.9500000000007</v>
      </c>
      <c r="H575" s="33">
        <v>27250.1</v>
      </c>
      <c r="I575" s="29">
        <v>12346.4</v>
      </c>
      <c r="J575" s="33">
        <v>31599.48</v>
      </c>
      <c r="K575" s="33">
        <v>8928.81</v>
      </c>
      <c r="L575" s="29">
        <v>8888.2199999999993</v>
      </c>
      <c r="M575" s="33">
        <v>9670.66</v>
      </c>
      <c r="N575" s="34">
        <f t="shared" si="8"/>
        <v>188908.24</v>
      </c>
    </row>
    <row r="576" spans="1:14" ht="15.75" thickBot="1" x14ac:dyDescent="0.3">
      <c r="A576" s="39" t="s">
        <v>881</v>
      </c>
      <c r="B576" s="28">
        <v>15534.93</v>
      </c>
      <c r="C576" s="28">
        <v>20038.91</v>
      </c>
      <c r="D576" s="28">
        <v>12361.47</v>
      </c>
      <c r="E576" s="33">
        <v>6781.75</v>
      </c>
      <c r="F576" s="29">
        <v>8748.4699999999993</v>
      </c>
      <c r="G576" s="29">
        <v>10004.1</v>
      </c>
      <c r="H576" s="29">
        <v>4126.3599999999997</v>
      </c>
      <c r="I576" s="33">
        <v>6389.57</v>
      </c>
      <c r="J576" s="29">
        <v>19466</v>
      </c>
      <c r="K576" s="29">
        <v>9692.56</v>
      </c>
      <c r="L576" s="33">
        <v>10593.79</v>
      </c>
      <c r="M576" s="29">
        <v>8674.59</v>
      </c>
      <c r="N576" s="30">
        <f t="shared" si="8"/>
        <v>132412.5</v>
      </c>
    </row>
    <row r="577" spans="1:14" ht="15.75" thickBot="1" x14ac:dyDescent="0.3">
      <c r="A577" s="39" t="s">
        <v>882</v>
      </c>
      <c r="B577" s="32">
        <v>20972.7</v>
      </c>
      <c r="C577" s="32">
        <v>20659.64</v>
      </c>
      <c r="D577" s="32">
        <v>25738.720000000001</v>
      </c>
      <c r="E577" s="29">
        <v>41467.279999999999</v>
      </c>
      <c r="F577" s="33">
        <v>-2573.11</v>
      </c>
      <c r="G577" s="33">
        <v>26896.01</v>
      </c>
      <c r="H577" s="33">
        <v>10915.72</v>
      </c>
      <c r="I577" s="29">
        <v>9157.5</v>
      </c>
      <c r="J577" s="33">
        <v>19674.72</v>
      </c>
      <c r="K577" s="33">
        <v>9367.2000000000007</v>
      </c>
      <c r="L577" s="29">
        <v>18196.82</v>
      </c>
      <c r="M577" s="33">
        <v>22921.119999999999</v>
      </c>
      <c r="N577" s="34">
        <f t="shared" si="8"/>
        <v>223394.32</v>
      </c>
    </row>
    <row r="578" spans="1:14" ht="15.75" thickBot="1" x14ac:dyDescent="0.3">
      <c r="A578" s="39" t="s">
        <v>883</v>
      </c>
      <c r="B578" s="28">
        <v>2798.75</v>
      </c>
      <c r="C578" s="28">
        <v>2547.42</v>
      </c>
      <c r="D578" s="28">
        <v>3616.18</v>
      </c>
      <c r="E578" s="33">
        <v>2508.2800000000002</v>
      </c>
      <c r="F578" s="29">
        <v>2288.4299999999998</v>
      </c>
      <c r="G578" s="29">
        <v>2354.3200000000002</v>
      </c>
      <c r="H578" s="29">
        <v>2522.3200000000002</v>
      </c>
      <c r="I578" s="33">
        <v>2288.4299999999998</v>
      </c>
      <c r="J578" s="29">
        <v>2675.64</v>
      </c>
      <c r="K578" s="29">
        <v>1692.94</v>
      </c>
      <c r="L578" s="33">
        <v>1899.36</v>
      </c>
      <c r="M578" s="29">
        <v>4051.78</v>
      </c>
      <c r="N578" s="30">
        <f t="shared" si="8"/>
        <v>31243.85</v>
      </c>
    </row>
    <row r="579" spans="1:14" ht="15.75" thickBot="1" x14ac:dyDescent="0.3">
      <c r="A579" s="39" t="s">
        <v>884</v>
      </c>
      <c r="B579" s="40"/>
      <c r="C579" s="40"/>
      <c r="D579" s="40"/>
      <c r="E579" s="41"/>
      <c r="F579" s="42"/>
      <c r="G579" s="42"/>
      <c r="H579" s="42"/>
      <c r="I579" s="41"/>
      <c r="J579" s="42"/>
      <c r="K579" s="42"/>
      <c r="L579" s="41"/>
      <c r="M579" s="42"/>
      <c r="N579" s="45">
        <f t="shared" si="8"/>
        <v>0</v>
      </c>
    </row>
    <row r="580" spans="1:14" ht="15.75" thickBot="1" x14ac:dyDescent="0.3">
      <c r="A580" s="39" t="s">
        <v>885</v>
      </c>
      <c r="B580" s="28">
        <v>2756.32</v>
      </c>
      <c r="C580" s="28">
        <v>4820.8999999999996</v>
      </c>
      <c r="D580" s="28">
        <v>8223.16</v>
      </c>
      <c r="E580" s="33">
        <v>1877.39</v>
      </c>
      <c r="F580" s="29">
        <v>11901.86</v>
      </c>
      <c r="G580" s="29">
        <v>5496.94</v>
      </c>
      <c r="H580" s="29">
        <v>5650.65</v>
      </c>
      <c r="I580" s="33">
        <v>5037.32</v>
      </c>
      <c r="J580" s="29">
        <v>6055.44</v>
      </c>
      <c r="K580" s="29">
        <v>5666.95</v>
      </c>
      <c r="L580" s="33">
        <v>6293.51</v>
      </c>
      <c r="M580" s="29">
        <v>5804.99</v>
      </c>
      <c r="N580" s="30">
        <f t="shared" si="8"/>
        <v>69585.430000000008</v>
      </c>
    </row>
    <row r="581" spans="1:14" ht="15.75" thickBot="1" x14ac:dyDescent="0.3">
      <c r="A581" s="39" t="s">
        <v>886</v>
      </c>
      <c r="B581" s="32">
        <v>833.59</v>
      </c>
      <c r="C581" s="32">
        <v>750</v>
      </c>
      <c r="D581" s="32">
        <v>750</v>
      </c>
      <c r="E581" s="29">
        <v>750</v>
      </c>
      <c r="F581" s="33">
        <v>750</v>
      </c>
      <c r="G581" s="33">
        <v>750</v>
      </c>
      <c r="H581" s="33">
        <v>750</v>
      </c>
      <c r="I581" s="29">
        <v>750</v>
      </c>
      <c r="J581" s="33">
        <v>750</v>
      </c>
      <c r="K581" s="33">
        <v>750</v>
      </c>
      <c r="L581" s="29">
        <v>750</v>
      </c>
      <c r="M581" s="33">
        <v>750</v>
      </c>
      <c r="N581" s="34">
        <f t="shared" si="8"/>
        <v>9083.59</v>
      </c>
    </row>
    <row r="582" spans="1:14" ht="15.75" thickBot="1" x14ac:dyDescent="0.3">
      <c r="A582" s="39" t="s">
        <v>887</v>
      </c>
      <c r="B582" s="43"/>
      <c r="C582" s="43"/>
      <c r="D582" s="43"/>
      <c r="E582" s="42"/>
      <c r="F582" s="41"/>
      <c r="G582" s="41"/>
      <c r="H582" s="41"/>
      <c r="I582" s="42"/>
      <c r="J582" s="41"/>
      <c r="K582" s="41"/>
      <c r="L582" s="42"/>
      <c r="M582" s="41"/>
      <c r="N582" s="44">
        <f t="shared" ref="N582:N645" si="9">SUM(B582:M582)</f>
        <v>0</v>
      </c>
    </row>
    <row r="583" spans="1:14" ht="15.75" thickBot="1" x14ac:dyDescent="0.3">
      <c r="A583" s="47" t="s">
        <v>888</v>
      </c>
      <c r="B583" s="40"/>
      <c r="C583" s="40"/>
      <c r="D583" s="40"/>
      <c r="E583" s="42"/>
      <c r="F583" s="41"/>
      <c r="G583" s="41"/>
      <c r="H583" s="41"/>
      <c r="I583" s="42"/>
      <c r="J583" s="41"/>
      <c r="K583" s="41"/>
      <c r="L583" s="42"/>
      <c r="M583" s="41"/>
      <c r="N583" s="44">
        <f t="shared" si="9"/>
        <v>0</v>
      </c>
    </row>
    <row r="584" spans="1:14" ht="15.75" thickBot="1" x14ac:dyDescent="0.3">
      <c r="A584" s="39" t="s">
        <v>889</v>
      </c>
      <c r="B584" s="28">
        <v>411.09</v>
      </c>
      <c r="C584" s="28">
        <v>375.74</v>
      </c>
      <c r="D584" s="28">
        <v>405.03</v>
      </c>
      <c r="E584" s="29">
        <v>405.03</v>
      </c>
      <c r="F584" s="33">
        <v>450.12</v>
      </c>
      <c r="G584" s="33">
        <v>479.41</v>
      </c>
      <c r="H584" s="33">
        <v>420.83</v>
      </c>
      <c r="I584" s="29">
        <v>450.12</v>
      </c>
      <c r="J584" s="33">
        <v>420.83</v>
      </c>
      <c r="K584" s="33">
        <v>420.83</v>
      </c>
      <c r="L584" s="29">
        <v>450.12</v>
      </c>
      <c r="M584" s="33">
        <v>450.12</v>
      </c>
      <c r="N584" s="34">
        <f t="shared" si="9"/>
        <v>5139.2699999999995</v>
      </c>
    </row>
    <row r="585" spans="1:14" ht="15.75" thickBot="1" x14ac:dyDescent="0.3">
      <c r="A585" s="39" t="s">
        <v>890</v>
      </c>
      <c r="B585" s="32">
        <v>1713.11</v>
      </c>
      <c r="C585" s="32">
        <v>1311.78</v>
      </c>
      <c r="D585" s="32">
        <v>1443.58</v>
      </c>
      <c r="E585" s="33">
        <v>1670.22</v>
      </c>
      <c r="F585" s="29">
        <v>1545.83</v>
      </c>
      <c r="G585" s="29">
        <v>1768.74</v>
      </c>
      <c r="H585" s="29">
        <v>1832.76</v>
      </c>
      <c r="I585" s="33">
        <v>1733.45</v>
      </c>
      <c r="J585" s="29">
        <v>1928.16</v>
      </c>
      <c r="K585" s="29">
        <v>1582.44</v>
      </c>
      <c r="L585" s="33">
        <v>1798.93</v>
      </c>
      <c r="M585" s="29">
        <v>1740.31</v>
      </c>
      <c r="N585" s="30">
        <f t="shared" si="9"/>
        <v>20069.310000000001</v>
      </c>
    </row>
    <row r="586" spans="1:14" ht="15.75" thickBot="1" x14ac:dyDescent="0.3">
      <c r="A586" s="39" t="s">
        <v>891</v>
      </c>
      <c r="B586" s="43"/>
      <c r="C586" s="43"/>
      <c r="D586" s="43"/>
      <c r="E586" s="41"/>
      <c r="F586" s="42"/>
      <c r="G586" s="42"/>
      <c r="H586" s="42"/>
      <c r="I586" s="41"/>
      <c r="J586" s="42"/>
      <c r="K586" s="42"/>
      <c r="L586" s="41"/>
      <c r="M586" s="42"/>
      <c r="N586" s="45">
        <f t="shared" si="9"/>
        <v>0</v>
      </c>
    </row>
    <row r="587" spans="1:14" ht="15.75" thickBot="1" x14ac:dyDescent="0.3">
      <c r="A587" s="47" t="s">
        <v>892</v>
      </c>
      <c r="B587" s="40"/>
      <c r="C587" s="40"/>
      <c r="D587" s="40"/>
      <c r="E587" s="41"/>
      <c r="F587" s="42"/>
      <c r="G587" s="42"/>
      <c r="H587" s="42"/>
      <c r="I587" s="41"/>
      <c r="J587" s="42"/>
      <c r="K587" s="42"/>
      <c r="L587" s="41"/>
      <c r="M587" s="42"/>
      <c r="N587" s="45">
        <f t="shared" si="9"/>
        <v>0</v>
      </c>
    </row>
    <row r="588" spans="1:14" ht="15.75" thickBot="1" x14ac:dyDescent="0.3">
      <c r="A588" s="38" t="s">
        <v>893</v>
      </c>
      <c r="B588" s="28">
        <v>2349812.4900000002</v>
      </c>
      <c r="C588" s="28">
        <v>1182947.3400000001</v>
      </c>
      <c r="D588" s="28">
        <v>1546012.59</v>
      </c>
      <c r="E588" s="33">
        <v>1495194.21</v>
      </c>
      <c r="F588" s="29">
        <v>1318898.76</v>
      </c>
      <c r="G588" s="29">
        <v>1191061.23</v>
      </c>
      <c r="H588" s="29">
        <v>758572.25</v>
      </c>
      <c r="I588" s="33">
        <v>499566.09</v>
      </c>
      <c r="J588" s="29">
        <v>364096.52</v>
      </c>
      <c r="K588" s="29">
        <v>285739.21999999997</v>
      </c>
      <c r="L588" s="33">
        <v>282723.18</v>
      </c>
      <c r="M588" s="29">
        <v>298105.2</v>
      </c>
      <c r="N588" s="30">
        <f t="shared" si="9"/>
        <v>11572729.079999998</v>
      </c>
    </row>
    <row r="589" spans="1:14" ht="15.75" thickBot="1" x14ac:dyDescent="0.3">
      <c r="A589" s="39" t="s">
        <v>894</v>
      </c>
      <c r="B589" s="32">
        <v>862181.55</v>
      </c>
      <c r="C589" s="32">
        <v>1182947.3400000001</v>
      </c>
      <c r="D589" s="32">
        <v>1546012.59</v>
      </c>
      <c r="E589" s="29">
        <v>1495194.21</v>
      </c>
      <c r="F589" s="33">
        <v>1318898.76</v>
      </c>
      <c r="G589" s="33">
        <v>1191061.23</v>
      </c>
      <c r="H589" s="33">
        <v>758572.25</v>
      </c>
      <c r="I589" s="29">
        <v>499566.09</v>
      </c>
      <c r="J589" s="33">
        <v>364096.52</v>
      </c>
      <c r="K589" s="33">
        <v>285739.21999999997</v>
      </c>
      <c r="L589" s="29">
        <v>282723.18</v>
      </c>
      <c r="M589" s="33">
        <v>298105.2</v>
      </c>
      <c r="N589" s="34">
        <f t="shared" si="9"/>
        <v>10085098.139999999</v>
      </c>
    </row>
    <row r="590" spans="1:14" ht="15.75" thickBot="1" x14ac:dyDescent="0.3">
      <c r="A590" s="39" t="s">
        <v>895</v>
      </c>
      <c r="B590" s="32">
        <v>1487630.94</v>
      </c>
      <c r="C590" s="32"/>
      <c r="D590" s="32"/>
      <c r="E590" s="42"/>
      <c r="F590" s="41"/>
      <c r="G590" s="41"/>
      <c r="H590" s="41"/>
      <c r="I590" s="42"/>
      <c r="J590" s="41"/>
      <c r="K590" s="41"/>
      <c r="L590" s="42"/>
      <c r="M590" s="41"/>
      <c r="N590" s="44">
        <f t="shared" si="9"/>
        <v>1487630.94</v>
      </c>
    </row>
    <row r="591" spans="1:14" ht="15.75" thickBot="1" x14ac:dyDescent="0.3">
      <c r="A591" s="38" t="s">
        <v>896</v>
      </c>
      <c r="B591" s="28">
        <v>2584351.4900000002</v>
      </c>
      <c r="C591" s="28">
        <v>2412244.37</v>
      </c>
      <c r="D591" s="28">
        <v>2223833.06</v>
      </c>
      <c r="E591" s="29">
        <v>2552998.19</v>
      </c>
      <c r="F591" s="33">
        <v>2506607.91</v>
      </c>
      <c r="G591" s="33">
        <v>4640662.82</v>
      </c>
      <c r="H591" s="33">
        <v>2587233.98</v>
      </c>
      <c r="I591" s="29">
        <v>2826779.78</v>
      </c>
      <c r="J591" s="33">
        <v>2573606.88</v>
      </c>
      <c r="K591" s="33">
        <v>2814914.12</v>
      </c>
      <c r="L591" s="29">
        <v>2775839.8</v>
      </c>
      <c r="M591" s="33">
        <v>2801168.65</v>
      </c>
      <c r="N591" s="34">
        <f t="shared" si="9"/>
        <v>33300241.050000001</v>
      </c>
    </row>
    <row r="592" spans="1:14" ht="15.75" thickBot="1" x14ac:dyDescent="0.3">
      <c r="A592" s="39" t="s">
        <v>897</v>
      </c>
      <c r="B592" s="32">
        <v>59904.92</v>
      </c>
      <c r="C592" s="32">
        <v>59904.92</v>
      </c>
      <c r="D592" s="32">
        <v>59904.91</v>
      </c>
      <c r="E592" s="33">
        <v>62100</v>
      </c>
      <c r="F592" s="29">
        <v>62100</v>
      </c>
      <c r="G592" s="29">
        <v>62100</v>
      </c>
      <c r="H592" s="29">
        <v>62100</v>
      </c>
      <c r="I592" s="33">
        <v>55751.67</v>
      </c>
      <c r="J592" s="29">
        <v>60830.33</v>
      </c>
      <c r="K592" s="29">
        <v>60830.33</v>
      </c>
      <c r="L592" s="33">
        <v>60830.33</v>
      </c>
      <c r="M592" s="29">
        <v>60830.33</v>
      </c>
      <c r="N592" s="30">
        <f t="shared" si="9"/>
        <v>727187.73999999987</v>
      </c>
    </row>
    <row r="593" spans="1:15" ht="15.75" thickBot="1" x14ac:dyDescent="0.3">
      <c r="A593" s="39" t="s">
        <v>898</v>
      </c>
      <c r="B593" s="43"/>
      <c r="C593" s="43"/>
      <c r="D593" s="43">
        <v>-50504</v>
      </c>
      <c r="E593" s="41"/>
      <c r="F593" s="42"/>
      <c r="G593" s="33">
        <v>24341</v>
      </c>
      <c r="H593" s="42"/>
      <c r="I593" s="41"/>
      <c r="J593" s="42"/>
      <c r="K593" s="42"/>
      <c r="L593" s="41"/>
      <c r="M593" s="42"/>
      <c r="N593" s="34">
        <f t="shared" si="9"/>
        <v>-26163</v>
      </c>
    </row>
    <row r="594" spans="1:15" ht="15.75" thickBot="1" x14ac:dyDescent="0.3">
      <c r="A594" s="39" t="s">
        <v>899</v>
      </c>
      <c r="B594" s="43"/>
      <c r="C594" s="43"/>
      <c r="D594" s="43"/>
      <c r="E594" s="42"/>
      <c r="F594" s="41"/>
      <c r="G594" s="52">
        <v>0</v>
      </c>
      <c r="H594" s="41"/>
      <c r="I594" s="46">
        <v>0</v>
      </c>
      <c r="J594" s="52">
        <v>0</v>
      </c>
      <c r="K594" s="52">
        <v>0</v>
      </c>
      <c r="L594" s="46">
        <v>0</v>
      </c>
      <c r="M594" s="52">
        <v>0</v>
      </c>
      <c r="N594" s="53">
        <f t="shared" si="9"/>
        <v>0</v>
      </c>
    </row>
    <row r="595" spans="1:15" ht="15.75" thickBot="1" x14ac:dyDescent="0.3">
      <c r="A595" s="39" t="s">
        <v>900</v>
      </c>
      <c r="B595" s="43"/>
      <c r="C595" s="43"/>
      <c r="D595" s="43"/>
      <c r="E595" s="41"/>
      <c r="F595" s="42"/>
      <c r="G595" s="33">
        <v>61425</v>
      </c>
      <c r="H595" s="33">
        <v>-61425</v>
      </c>
      <c r="I595" s="41"/>
      <c r="J595" s="42"/>
      <c r="K595" s="42"/>
      <c r="L595" s="41"/>
      <c r="M595" s="42"/>
      <c r="N595" s="51">
        <f t="shared" si="9"/>
        <v>0</v>
      </c>
    </row>
    <row r="596" spans="1:15" ht="15.75" thickBot="1" x14ac:dyDescent="0.3">
      <c r="A596" s="39" t="s">
        <v>901</v>
      </c>
      <c r="B596" s="32">
        <v>3035.46</v>
      </c>
      <c r="C596" s="32">
        <v>3574.43</v>
      </c>
      <c r="D596" s="32">
        <v>5015.13</v>
      </c>
      <c r="E596" s="33">
        <v>4405.04</v>
      </c>
      <c r="F596" s="29">
        <v>4135.13</v>
      </c>
      <c r="G596" s="41"/>
      <c r="H596" s="41"/>
      <c r="I596" s="33">
        <v>237410.87</v>
      </c>
      <c r="J596" s="29">
        <v>6208.1</v>
      </c>
      <c r="K596" s="29">
        <v>2205.0700000000002</v>
      </c>
      <c r="L596" s="33">
        <v>2249.83</v>
      </c>
      <c r="M596" s="29">
        <v>5628.24</v>
      </c>
      <c r="N596" s="30">
        <f t="shared" si="9"/>
        <v>273867.3</v>
      </c>
    </row>
    <row r="597" spans="1:15" ht="15.75" thickBot="1" x14ac:dyDescent="0.3">
      <c r="A597" s="39" t="s">
        <v>902</v>
      </c>
      <c r="B597" s="28">
        <v>522066.51</v>
      </c>
      <c r="C597" s="28">
        <v>513147.54</v>
      </c>
      <c r="D597" s="28">
        <v>537719.09</v>
      </c>
      <c r="E597" s="29">
        <v>533665.29</v>
      </c>
      <c r="F597" s="33">
        <v>502533.86</v>
      </c>
      <c r="G597" s="33">
        <v>719848.19</v>
      </c>
      <c r="H597" s="33">
        <v>533627.53</v>
      </c>
      <c r="I597" s="29">
        <v>525494.22</v>
      </c>
      <c r="J597" s="33">
        <v>529791.6</v>
      </c>
      <c r="K597" s="33">
        <v>548252.48</v>
      </c>
      <c r="L597" s="29">
        <v>525001.52</v>
      </c>
      <c r="M597" s="33">
        <v>542394.75</v>
      </c>
      <c r="N597" s="34">
        <f t="shared" si="9"/>
        <v>6533542.5799999982</v>
      </c>
    </row>
    <row r="598" spans="1:15" ht="15.75" thickBot="1" x14ac:dyDescent="0.3">
      <c r="A598" s="39" t="s">
        <v>903</v>
      </c>
      <c r="B598" s="32">
        <v>1998446.68</v>
      </c>
      <c r="C598" s="32">
        <v>1847803.14</v>
      </c>
      <c r="D598" s="32">
        <v>1697278.4</v>
      </c>
      <c r="E598" s="33">
        <v>1963373.69</v>
      </c>
      <c r="F598" s="29">
        <v>1947699.18</v>
      </c>
      <c r="G598" s="29">
        <v>1884902.68</v>
      </c>
      <c r="H598" s="29">
        <v>1946934.51</v>
      </c>
      <c r="I598" s="33">
        <v>1946933.56</v>
      </c>
      <c r="J598" s="29">
        <v>1946932.44</v>
      </c>
      <c r="K598" s="29">
        <v>2171088.9700000002</v>
      </c>
      <c r="L598" s="33">
        <v>2171088.98</v>
      </c>
      <c r="M598" s="29">
        <v>2171088.9900000002</v>
      </c>
      <c r="N598" s="30">
        <f t="shared" si="9"/>
        <v>23693571.219999999</v>
      </c>
    </row>
    <row r="599" spans="1:15" ht="15.75" thickBot="1" x14ac:dyDescent="0.3">
      <c r="A599" s="39" t="s">
        <v>904</v>
      </c>
      <c r="B599" s="28">
        <v>-154759.07999999999</v>
      </c>
      <c r="C599" s="28">
        <v>-154002.66</v>
      </c>
      <c r="D599" s="28">
        <v>-167398.47</v>
      </c>
      <c r="E599" s="29">
        <v>-161589.82999999999</v>
      </c>
      <c r="F599" s="33">
        <v>-160904.26</v>
      </c>
      <c r="G599" s="33">
        <v>-183620.67</v>
      </c>
      <c r="H599" s="33">
        <v>-180477.56</v>
      </c>
      <c r="I599" s="29">
        <v>-89854.54</v>
      </c>
      <c r="J599" s="33">
        <v>-121199.59</v>
      </c>
      <c r="K599" s="33">
        <v>-129767.73</v>
      </c>
      <c r="L599" s="29">
        <v>-145685.85999999999</v>
      </c>
      <c r="M599" s="33">
        <v>-141078.66</v>
      </c>
      <c r="N599" s="34">
        <f t="shared" si="9"/>
        <v>-1790338.91</v>
      </c>
    </row>
    <row r="600" spans="1:15" ht="15.75" thickBot="1" x14ac:dyDescent="0.3">
      <c r="A600" s="39" t="s">
        <v>905</v>
      </c>
      <c r="B600" s="32">
        <v>155657</v>
      </c>
      <c r="C600" s="32">
        <v>141817</v>
      </c>
      <c r="D600" s="32">
        <v>141818</v>
      </c>
      <c r="E600" s="33">
        <v>151044</v>
      </c>
      <c r="F600" s="29">
        <v>151044</v>
      </c>
      <c r="G600" s="29">
        <v>151044</v>
      </c>
      <c r="H600" s="29">
        <v>151044</v>
      </c>
      <c r="I600" s="33">
        <v>151044</v>
      </c>
      <c r="J600" s="29">
        <v>151044</v>
      </c>
      <c r="K600" s="29">
        <v>162305</v>
      </c>
      <c r="L600" s="33">
        <v>162305</v>
      </c>
      <c r="M600" s="29">
        <v>162305</v>
      </c>
      <c r="N600" s="30">
        <f t="shared" si="9"/>
        <v>1832471</v>
      </c>
    </row>
    <row r="601" spans="1:15" ht="15.75" thickBot="1" x14ac:dyDescent="0.3">
      <c r="A601" s="39" t="s">
        <v>906</v>
      </c>
      <c r="B601" s="43"/>
      <c r="C601" s="43"/>
      <c r="D601" s="43"/>
      <c r="E601" s="41"/>
      <c r="F601" s="42"/>
      <c r="G601" s="33">
        <v>1920622.62</v>
      </c>
      <c r="H601" s="33">
        <v>135430.5</v>
      </c>
      <c r="I601" s="41"/>
      <c r="J601" s="42"/>
      <c r="K601" s="42"/>
      <c r="L601" s="29">
        <v>50</v>
      </c>
      <c r="M601" s="42"/>
      <c r="N601" s="34">
        <f t="shared" si="9"/>
        <v>2056103.12</v>
      </c>
    </row>
    <row r="602" spans="1:15" ht="15.75" thickBot="1" x14ac:dyDescent="0.3">
      <c r="A602" s="39" t="s">
        <v>907</v>
      </c>
      <c r="B602" s="32">
        <v>2717074.65</v>
      </c>
      <c r="C602" s="32">
        <v>3455799.95</v>
      </c>
      <c r="D602" s="32">
        <v>4196372.62</v>
      </c>
      <c r="E602" s="33">
        <v>4319411.08</v>
      </c>
      <c r="F602" s="29">
        <v>3940450.9</v>
      </c>
      <c r="G602" s="29">
        <v>3483508.86</v>
      </c>
      <c r="H602" s="29">
        <v>2129706.7000000002</v>
      </c>
      <c r="I602" s="33">
        <v>1579709.89</v>
      </c>
      <c r="J602" s="29">
        <v>744193.36</v>
      </c>
      <c r="K602" s="29">
        <v>1105568.94</v>
      </c>
      <c r="L602" s="33">
        <v>1231444.6100000001</v>
      </c>
      <c r="M602" s="29">
        <v>1217953.19</v>
      </c>
      <c r="N602" s="30">
        <f t="shared" si="9"/>
        <v>30121194.75</v>
      </c>
    </row>
    <row r="603" spans="1:15" ht="15.75" thickBot="1" x14ac:dyDescent="0.3">
      <c r="A603" s="39" t="s">
        <v>908</v>
      </c>
      <c r="B603" s="28">
        <v>1572495.32</v>
      </c>
      <c r="C603" s="28">
        <v>2007932.29</v>
      </c>
      <c r="D603" s="28">
        <v>2433009.52</v>
      </c>
      <c r="E603" s="29">
        <v>2525067.9700000002</v>
      </c>
      <c r="F603" s="33">
        <v>2368951.69</v>
      </c>
      <c r="G603" s="33">
        <v>2095152.66</v>
      </c>
      <c r="H603" s="33">
        <v>1249273.3600000001</v>
      </c>
      <c r="I603" s="29">
        <v>994581.62</v>
      </c>
      <c r="J603" s="33">
        <v>469650.1</v>
      </c>
      <c r="K603" s="33">
        <v>664038.31999999995</v>
      </c>
      <c r="L603" s="29">
        <v>746436.08</v>
      </c>
      <c r="M603" s="33">
        <v>720423.68</v>
      </c>
      <c r="N603" s="34">
        <f t="shared" si="9"/>
        <v>17847012.609999999</v>
      </c>
    </row>
    <row r="604" spans="1:15" ht="15.75" thickBot="1" x14ac:dyDescent="0.3">
      <c r="A604" s="39" t="s">
        <v>909</v>
      </c>
      <c r="B604" s="32"/>
      <c r="C604" s="32">
        <v>-784.17</v>
      </c>
      <c r="D604" s="32">
        <v>44032.69</v>
      </c>
      <c r="E604" s="33">
        <v>50400.01</v>
      </c>
      <c r="F604" s="29">
        <v>-89733.99</v>
      </c>
      <c r="G604" s="29">
        <v>-41845.58</v>
      </c>
      <c r="H604" s="29">
        <v>89442.93</v>
      </c>
      <c r="I604" s="33">
        <v>-51511.9</v>
      </c>
      <c r="J604" s="41"/>
      <c r="K604" s="41"/>
      <c r="L604" s="42"/>
      <c r="M604" s="41"/>
      <c r="N604" s="30">
        <f t="shared" si="9"/>
        <v>-1.0000000016589183E-2</v>
      </c>
    </row>
    <row r="605" spans="1:15" ht="15.75" thickBot="1" x14ac:dyDescent="0.3">
      <c r="A605" s="39" t="s">
        <v>910</v>
      </c>
      <c r="B605" s="28">
        <v>1144579.33</v>
      </c>
      <c r="C605" s="28">
        <v>1448651.83</v>
      </c>
      <c r="D605" s="28">
        <v>1719330.41</v>
      </c>
      <c r="E605" s="29">
        <v>1743943.1</v>
      </c>
      <c r="F605" s="33">
        <v>1661233.2</v>
      </c>
      <c r="G605" s="33">
        <v>1430201.78</v>
      </c>
      <c r="H605" s="33">
        <v>790990.41</v>
      </c>
      <c r="I605" s="29">
        <v>636640.17000000004</v>
      </c>
      <c r="J605" s="33">
        <v>274543.26</v>
      </c>
      <c r="K605" s="33">
        <v>441530.62</v>
      </c>
      <c r="L605" s="29">
        <v>485008.53</v>
      </c>
      <c r="M605" s="33">
        <v>497529.51</v>
      </c>
      <c r="N605" s="34">
        <f t="shared" si="9"/>
        <v>12274182.149999999</v>
      </c>
    </row>
    <row r="606" spans="1:15" ht="15.75" thickBot="1" x14ac:dyDescent="0.3">
      <c r="A606" s="48" t="s">
        <v>911</v>
      </c>
      <c r="B606" s="58">
        <v>7735193.5099999998</v>
      </c>
      <c r="C606" s="58">
        <v>7781763.71</v>
      </c>
      <c r="D606" s="58">
        <v>7827006.1399999997</v>
      </c>
      <c r="E606" s="49">
        <v>7938083.71</v>
      </c>
      <c r="F606" s="49">
        <v>7979845.25</v>
      </c>
      <c r="G606" s="49">
        <v>8027973.9900000002</v>
      </c>
      <c r="H606" s="49">
        <v>8110184.2300000004</v>
      </c>
      <c r="I606" s="49">
        <v>8241461.0599999996</v>
      </c>
      <c r="J606" s="49">
        <v>8386449.2699999996</v>
      </c>
      <c r="K606" s="49">
        <v>8444188.6799999997</v>
      </c>
      <c r="L606" s="49">
        <v>8462916.8399999999</v>
      </c>
      <c r="M606" s="49">
        <v>8526083.6199999992</v>
      </c>
      <c r="N606" s="50">
        <f t="shared" si="9"/>
        <v>97461150.01000002</v>
      </c>
      <c r="O606" s="59">
        <f>N606-N608</f>
        <v>93602999.080000013</v>
      </c>
    </row>
    <row r="607" spans="1:15" ht="15.75" thickBot="1" x14ac:dyDescent="0.3">
      <c r="A607" s="39" t="s">
        <v>912</v>
      </c>
      <c r="B607" s="28">
        <v>7415872.9699999997</v>
      </c>
      <c r="C607" s="28">
        <v>7461389.5700000003</v>
      </c>
      <c r="D607" s="28">
        <v>7505379.3899999997</v>
      </c>
      <c r="E607" s="29">
        <v>7601255.2000000002</v>
      </c>
      <c r="F607" s="33">
        <v>7642301.0199999996</v>
      </c>
      <c r="G607" s="33">
        <v>7690291.3700000001</v>
      </c>
      <c r="H607" s="33">
        <v>7771984.4000000004</v>
      </c>
      <c r="I607" s="29">
        <v>7903292.7199999997</v>
      </c>
      <c r="J607" s="33">
        <v>8037787.8099999996</v>
      </c>
      <c r="K607" s="33">
        <v>8088571.2300000004</v>
      </c>
      <c r="L607" s="29">
        <v>8108974.4100000001</v>
      </c>
      <c r="M607" s="33">
        <v>8164808.9500000002</v>
      </c>
      <c r="N607" s="34">
        <f t="shared" si="9"/>
        <v>93391909.039999992</v>
      </c>
    </row>
    <row r="608" spans="1:15" ht="15.75" thickBot="1" x14ac:dyDescent="0.3">
      <c r="A608" s="39" t="s">
        <v>913</v>
      </c>
      <c r="B608" s="40">
        <v>318781.33</v>
      </c>
      <c r="C608" s="40">
        <v>319834.96999999997</v>
      </c>
      <c r="D608" s="40">
        <v>320804.43</v>
      </c>
      <c r="E608" s="33">
        <v>320907.09999999998</v>
      </c>
      <c r="F608" s="29">
        <v>321361.78999999998</v>
      </c>
      <c r="G608" s="29">
        <v>321285.45</v>
      </c>
      <c r="H608" s="29">
        <v>321796.63</v>
      </c>
      <c r="I608" s="33">
        <v>321653.2</v>
      </c>
      <c r="J608" s="29">
        <v>322510.53000000003</v>
      </c>
      <c r="K608" s="29">
        <v>322966.64</v>
      </c>
      <c r="L608" s="33">
        <v>322994.21000000002</v>
      </c>
      <c r="M608" s="29">
        <v>323254.65000000002</v>
      </c>
      <c r="N608" s="30">
        <f t="shared" si="9"/>
        <v>3858150.9300000006</v>
      </c>
    </row>
    <row r="609" spans="1:14" ht="15.75" thickBot="1" x14ac:dyDescent="0.3">
      <c r="A609" s="39" t="s">
        <v>914</v>
      </c>
      <c r="B609" s="28">
        <v>539.21</v>
      </c>
      <c r="C609" s="28">
        <v>539.16999999999996</v>
      </c>
      <c r="D609" s="28">
        <v>822.32</v>
      </c>
      <c r="E609" s="29">
        <v>941.76</v>
      </c>
      <c r="F609" s="33">
        <v>1202.78</v>
      </c>
      <c r="G609" s="33">
        <v>1417.52</v>
      </c>
      <c r="H609" s="33">
        <v>1423.54</v>
      </c>
      <c r="I609" s="29">
        <v>1535.48</v>
      </c>
      <c r="J609" s="33">
        <v>1766.59</v>
      </c>
      <c r="K609" s="33">
        <v>1772.11</v>
      </c>
      <c r="L609" s="29">
        <v>1772.16</v>
      </c>
      <c r="M609" s="33">
        <v>3132.61</v>
      </c>
      <c r="N609" s="34">
        <f t="shared" si="9"/>
        <v>16865.25</v>
      </c>
    </row>
    <row r="610" spans="1:14" ht="15.75" thickBot="1" x14ac:dyDescent="0.3">
      <c r="A610" s="39" t="s">
        <v>915</v>
      </c>
      <c r="B610" s="28"/>
      <c r="C610" s="28"/>
      <c r="D610" s="28"/>
      <c r="E610" s="33">
        <v>14979.65</v>
      </c>
      <c r="F610" s="29">
        <v>14979.66</v>
      </c>
      <c r="G610" s="29">
        <v>14979.65</v>
      </c>
      <c r="H610" s="29">
        <v>14979.66</v>
      </c>
      <c r="I610" s="33">
        <v>14979.66</v>
      </c>
      <c r="J610" s="29">
        <v>24384.34</v>
      </c>
      <c r="K610" s="29">
        <v>30878.7</v>
      </c>
      <c r="L610" s="33">
        <v>29176.06</v>
      </c>
      <c r="M610" s="29">
        <v>34887.410000000003</v>
      </c>
      <c r="N610" s="30">
        <f t="shared" si="9"/>
        <v>194224.79</v>
      </c>
    </row>
    <row r="611" spans="1:14" ht="15.75" thickBot="1" x14ac:dyDescent="0.3">
      <c r="A611" s="36" t="s">
        <v>916</v>
      </c>
      <c r="B611" s="32">
        <v>-1189903.1100000001</v>
      </c>
      <c r="C611" s="32">
        <v>-1153928.04</v>
      </c>
      <c r="D611" s="32">
        <v>-497706.63</v>
      </c>
      <c r="E611" s="29">
        <v>-1114661.05</v>
      </c>
      <c r="F611" s="33">
        <v>-974507.78</v>
      </c>
      <c r="G611" s="33">
        <v>-829254</v>
      </c>
      <c r="H611" s="33">
        <v>-829364.31</v>
      </c>
      <c r="I611" s="29">
        <v>-948934.22</v>
      </c>
      <c r="J611" s="33">
        <v>-976077.54</v>
      </c>
      <c r="K611" s="33">
        <v>-881132.17</v>
      </c>
      <c r="L611" s="29">
        <v>-1010813.1</v>
      </c>
      <c r="M611" s="33">
        <v>-807492.79</v>
      </c>
      <c r="N611" s="34">
        <f t="shared" si="9"/>
        <v>-11213774.739999998</v>
      </c>
    </row>
    <row r="612" spans="1:14" ht="15.75" thickBot="1" x14ac:dyDescent="0.3">
      <c r="A612" s="37" t="s">
        <v>917</v>
      </c>
      <c r="B612" s="28">
        <v>-423838.88</v>
      </c>
      <c r="C612" s="28">
        <v>-503507.97</v>
      </c>
      <c r="D612" s="28">
        <v>-639780.96</v>
      </c>
      <c r="E612" s="33">
        <v>-584300.68999999994</v>
      </c>
      <c r="F612" s="29">
        <v>-441575.71</v>
      </c>
      <c r="G612" s="29">
        <v>-413080.15</v>
      </c>
      <c r="H612" s="29">
        <v>-387294.07</v>
      </c>
      <c r="I612" s="33">
        <v>-294289.31</v>
      </c>
      <c r="J612" s="29">
        <v>-190493.73</v>
      </c>
      <c r="K612" s="29">
        <v>-157606.24</v>
      </c>
      <c r="L612" s="33">
        <v>-89981.14</v>
      </c>
      <c r="M612" s="29">
        <v>73754.83</v>
      </c>
      <c r="N612" s="30">
        <f t="shared" si="9"/>
        <v>-4051994.02</v>
      </c>
    </row>
    <row r="613" spans="1:14" ht="15.75" thickBot="1" x14ac:dyDescent="0.3">
      <c r="A613" s="38" t="s">
        <v>918</v>
      </c>
      <c r="B613" s="40"/>
      <c r="C613" s="40"/>
      <c r="D613" s="40"/>
      <c r="E613" s="41"/>
      <c r="F613" s="42"/>
      <c r="G613" s="42"/>
      <c r="H613" s="42"/>
      <c r="I613" s="41"/>
      <c r="J613" s="42"/>
      <c r="K613" s="42"/>
      <c r="L613" s="41"/>
      <c r="M613" s="42"/>
      <c r="N613" s="45">
        <f t="shared" si="9"/>
        <v>0</v>
      </c>
    </row>
    <row r="614" spans="1:14" ht="15.75" thickBot="1" x14ac:dyDescent="0.3">
      <c r="A614" s="38" t="s">
        <v>919</v>
      </c>
      <c r="B614" s="28">
        <v>-86235.199999999997</v>
      </c>
      <c r="C614" s="28">
        <v>-98992.88</v>
      </c>
      <c r="D614" s="28">
        <v>-117497.12</v>
      </c>
      <c r="E614" s="33">
        <v>17.52</v>
      </c>
      <c r="F614" s="41"/>
      <c r="G614" s="41"/>
      <c r="H614" s="41"/>
      <c r="I614" s="42"/>
      <c r="J614" s="41"/>
      <c r="K614" s="41"/>
      <c r="L614" s="42"/>
      <c r="M614" s="41"/>
      <c r="N614" s="30">
        <f t="shared" si="9"/>
        <v>-302707.68</v>
      </c>
    </row>
    <row r="615" spans="1:14" ht="15.75" thickBot="1" x14ac:dyDescent="0.3">
      <c r="A615" s="38" t="s">
        <v>920</v>
      </c>
      <c r="B615" s="32">
        <v>-159201.78</v>
      </c>
      <c r="C615" s="32">
        <v>-92253.02</v>
      </c>
      <c r="D615" s="32">
        <v>-111311.52</v>
      </c>
      <c r="E615" s="29">
        <v>-154724.51</v>
      </c>
      <c r="F615" s="33">
        <v>-122598.82</v>
      </c>
      <c r="G615" s="33">
        <v>-76808.710000000006</v>
      </c>
      <c r="H615" s="33">
        <v>-66201.600000000006</v>
      </c>
      <c r="I615" s="29">
        <v>-75955.75</v>
      </c>
      <c r="J615" s="33">
        <v>-108619.26</v>
      </c>
      <c r="K615" s="33">
        <v>-116291.62</v>
      </c>
      <c r="L615" s="29">
        <v>-58000.959999999999</v>
      </c>
      <c r="M615" s="33">
        <v>-63856.57</v>
      </c>
      <c r="N615" s="34">
        <f t="shared" si="9"/>
        <v>-1205824.1199999999</v>
      </c>
    </row>
    <row r="616" spans="1:14" ht="15.75" thickBot="1" x14ac:dyDescent="0.3">
      <c r="A616" s="38" t="s">
        <v>921</v>
      </c>
      <c r="B616" s="28">
        <v>-126054.47</v>
      </c>
      <c r="C616" s="28">
        <v>-277599.13</v>
      </c>
      <c r="D616" s="28">
        <v>-375496.07</v>
      </c>
      <c r="E616" s="33">
        <v>-373408.03</v>
      </c>
      <c r="F616" s="29">
        <v>-302519.63</v>
      </c>
      <c r="G616" s="29">
        <v>-293920.31</v>
      </c>
      <c r="H616" s="29">
        <v>-213098.06</v>
      </c>
      <c r="I616" s="33">
        <v>-144719.01999999999</v>
      </c>
      <c r="J616" s="29">
        <v>-48892.59</v>
      </c>
      <c r="K616" s="29">
        <v>-14522.59</v>
      </c>
      <c r="L616" s="33">
        <v>-12765.14</v>
      </c>
      <c r="M616" s="29">
        <v>-12492.25</v>
      </c>
      <c r="N616" s="30">
        <f t="shared" si="9"/>
        <v>-2195487.29</v>
      </c>
    </row>
    <row r="617" spans="1:14" ht="15.75" thickBot="1" x14ac:dyDescent="0.3">
      <c r="A617" s="38" t="s">
        <v>920</v>
      </c>
      <c r="B617" s="32">
        <v>-22800.25</v>
      </c>
      <c r="C617" s="32">
        <v>-34575.06</v>
      </c>
      <c r="D617" s="32">
        <v>-35187.74</v>
      </c>
      <c r="E617" s="29">
        <v>-24489.19</v>
      </c>
      <c r="F617" s="33">
        <v>-22111.17</v>
      </c>
      <c r="G617" s="33">
        <v>-19113.37</v>
      </c>
      <c r="H617" s="33">
        <v>-16180.28</v>
      </c>
      <c r="I617" s="29">
        <v>-15798.83</v>
      </c>
      <c r="J617" s="33">
        <v>-16517.509999999998</v>
      </c>
      <c r="K617" s="33">
        <v>-12682.84</v>
      </c>
      <c r="L617" s="29">
        <v>-13699.35</v>
      </c>
      <c r="M617" s="33">
        <v>-14887.42</v>
      </c>
      <c r="N617" s="34">
        <f t="shared" si="9"/>
        <v>-248043.00999999998</v>
      </c>
    </row>
    <row r="618" spans="1:14" ht="15.75" thickBot="1" x14ac:dyDescent="0.3">
      <c r="A618" s="38" t="s">
        <v>922</v>
      </c>
      <c r="B618" s="43"/>
      <c r="C618" s="43"/>
      <c r="D618" s="43"/>
      <c r="E618" s="42"/>
      <c r="F618" s="41"/>
      <c r="G618" s="41"/>
      <c r="H618" s="41"/>
      <c r="I618" s="42"/>
      <c r="J618" s="41"/>
      <c r="K618" s="41"/>
      <c r="L618" s="42"/>
      <c r="M618" s="41"/>
      <c r="N618" s="44">
        <f t="shared" si="9"/>
        <v>0</v>
      </c>
    </row>
    <row r="619" spans="1:14" ht="15.75" thickBot="1" x14ac:dyDescent="0.3">
      <c r="A619" s="38" t="s">
        <v>923</v>
      </c>
      <c r="B619" s="32">
        <v>-29547.18</v>
      </c>
      <c r="C619" s="32">
        <v>-87.88</v>
      </c>
      <c r="D619" s="32">
        <v>-288.51</v>
      </c>
      <c r="E619" s="29">
        <v>-31696.48</v>
      </c>
      <c r="F619" s="33">
        <v>5653.91</v>
      </c>
      <c r="G619" s="33">
        <v>-23237.759999999998</v>
      </c>
      <c r="H619" s="33">
        <v>-91814.13</v>
      </c>
      <c r="I619" s="29">
        <v>-57815.71</v>
      </c>
      <c r="J619" s="33">
        <v>-16464.37</v>
      </c>
      <c r="K619" s="33">
        <v>-14109.19</v>
      </c>
      <c r="L619" s="29">
        <v>-5515.69</v>
      </c>
      <c r="M619" s="33">
        <v>164991.07</v>
      </c>
      <c r="N619" s="34">
        <f t="shared" si="9"/>
        <v>-99931.919999999984</v>
      </c>
    </row>
    <row r="620" spans="1:14" ht="15.75" thickBot="1" x14ac:dyDescent="0.3">
      <c r="A620" s="37" t="s">
        <v>924</v>
      </c>
      <c r="B620" s="28">
        <v>-80825.279999999999</v>
      </c>
      <c r="C620" s="28">
        <v>-101867.76</v>
      </c>
      <c r="D620" s="28">
        <v>244619.86</v>
      </c>
      <c r="E620" s="33">
        <v>-111331.51</v>
      </c>
      <c r="F620" s="29">
        <v>-54717.53</v>
      </c>
      <c r="G620" s="29">
        <v>161738.63</v>
      </c>
      <c r="H620" s="29">
        <v>45484.79</v>
      </c>
      <c r="I620" s="33">
        <v>50834.95</v>
      </c>
      <c r="J620" s="29">
        <v>150448.31</v>
      </c>
      <c r="K620" s="29">
        <v>48395.06</v>
      </c>
      <c r="L620" s="33">
        <v>-8353.5300000000007</v>
      </c>
      <c r="M620" s="29">
        <v>-12562.61</v>
      </c>
      <c r="N620" s="30">
        <f t="shared" si="9"/>
        <v>331863.38</v>
      </c>
    </row>
    <row r="621" spans="1:14" ht="15.75" thickBot="1" x14ac:dyDescent="0.3">
      <c r="A621" s="56" t="s">
        <v>925</v>
      </c>
      <c r="B621" s="40"/>
      <c r="C621" s="40"/>
      <c r="D621" s="40"/>
      <c r="E621" s="33"/>
      <c r="F621" s="29"/>
      <c r="G621" s="29"/>
      <c r="H621" s="29"/>
      <c r="I621" s="33"/>
      <c r="J621" s="29"/>
      <c r="K621" s="29"/>
      <c r="L621" s="33"/>
      <c r="M621" s="29"/>
      <c r="N621" s="30">
        <f t="shared" si="9"/>
        <v>0</v>
      </c>
    </row>
    <row r="622" spans="1:14" ht="15.75" thickBot="1" x14ac:dyDescent="0.3">
      <c r="A622" s="38" t="s">
        <v>926</v>
      </c>
      <c r="B622" s="28">
        <v>-25396</v>
      </c>
      <c r="C622" s="28">
        <v>-37044</v>
      </c>
      <c r="D622" s="28">
        <v>-28327</v>
      </c>
      <c r="E622" s="29">
        <v>-33702</v>
      </c>
      <c r="F622" s="33">
        <v>-12680</v>
      </c>
      <c r="G622" s="33">
        <v>-37516</v>
      </c>
      <c r="H622" s="33">
        <v>-37327</v>
      </c>
      <c r="I622" s="29">
        <v>-31985</v>
      </c>
      <c r="J622" s="33">
        <v>-90209</v>
      </c>
      <c r="K622" s="33">
        <v>-84728</v>
      </c>
      <c r="L622" s="29">
        <v>-75676</v>
      </c>
      <c r="M622" s="33">
        <v>-37433</v>
      </c>
      <c r="N622" s="34">
        <f t="shared" si="9"/>
        <v>-532023</v>
      </c>
    </row>
    <row r="623" spans="1:14" ht="15.75" thickBot="1" x14ac:dyDescent="0.3">
      <c r="A623" s="38" t="s">
        <v>927</v>
      </c>
      <c r="B623" s="40">
        <v>-1706</v>
      </c>
      <c r="C623" s="40">
        <v>-1857</v>
      </c>
      <c r="D623" s="40"/>
      <c r="E623" s="33">
        <v>-869</v>
      </c>
      <c r="F623" s="41"/>
      <c r="G623" s="29">
        <v>-2158</v>
      </c>
      <c r="H623" s="41"/>
      <c r="I623" s="42"/>
      <c r="J623" s="29">
        <v>-1199</v>
      </c>
      <c r="K623" s="41"/>
      <c r="L623" s="42"/>
      <c r="M623" s="41"/>
      <c r="N623" s="30">
        <f t="shared" si="9"/>
        <v>-7789</v>
      </c>
    </row>
    <row r="624" spans="1:14" ht="15.75" thickBot="1" x14ac:dyDescent="0.3">
      <c r="A624" s="38" t="s">
        <v>928</v>
      </c>
      <c r="B624" s="28">
        <v>-432593</v>
      </c>
      <c r="C624" s="28">
        <v>-490777</v>
      </c>
      <c r="D624" s="28">
        <v>-520436</v>
      </c>
      <c r="E624" s="29">
        <v>-520365</v>
      </c>
      <c r="F624" s="33">
        <v>-341069</v>
      </c>
      <c r="G624" s="33">
        <v>-267943</v>
      </c>
      <c r="H624" s="33">
        <v>-120969</v>
      </c>
      <c r="I624" s="29">
        <v>-122266</v>
      </c>
      <c r="J624" s="33">
        <v>-184162</v>
      </c>
      <c r="K624" s="33">
        <v>-188688</v>
      </c>
      <c r="L624" s="29">
        <v>-277876</v>
      </c>
      <c r="M624" s="33">
        <v>-256207</v>
      </c>
      <c r="N624" s="34">
        <f t="shared" si="9"/>
        <v>-3723351</v>
      </c>
    </row>
    <row r="625" spans="1:14" ht="15.75" thickBot="1" x14ac:dyDescent="0.3">
      <c r="A625" s="38" t="s">
        <v>929</v>
      </c>
      <c r="B625" s="32">
        <v>-47633</v>
      </c>
      <c r="C625" s="32">
        <v>-46335</v>
      </c>
      <c r="D625" s="32">
        <v>-39734</v>
      </c>
      <c r="E625" s="33">
        <v>-42866</v>
      </c>
      <c r="F625" s="29">
        <v>-32385</v>
      </c>
      <c r="G625" s="29">
        <v>-36268</v>
      </c>
      <c r="H625" s="29">
        <v>-26134</v>
      </c>
      <c r="I625" s="33">
        <v>-15867</v>
      </c>
      <c r="J625" s="29">
        <v>-28394</v>
      </c>
      <c r="K625" s="29">
        <v>-19876</v>
      </c>
      <c r="L625" s="33">
        <v>-35131</v>
      </c>
      <c r="M625" s="29">
        <v>-33657</v>
      </c>
      <c r="N625" s="30">
        <f t="shared" si="9"/>
        <v>-404280</v>
      </c>
    </row>
    <row r="626" spans="1:14" ht="15.75" thickBot="1" x14ac:dyDescent="0.3">
      <c r="A626" s="38" t="s">
        <v>930</v>
      </c>
      <c r="B626" s="28">
        <v>-41775</v>
      </c>
      <c r="C626" s="28">
        <v>-124226</v>
      </c>
      <c r="D626" s="28">
        <v>-33602</v>
      </c>
      <c r="E626" s="29">
        <v>-35830</v>
      </c>
      <c r="F626" s="33">
        <v>-49584</v>
      </c>
      <c r="G626" s="33">
        <v>-112926</v>
      </c>
      <c r="H626" s="33">
        <v>-56675</v>
      </c>
      <c r="I626" s="29">
        <v>-34134</v>
      </c>
      <c r="J626" s="33">
        <v>-21538</v>
      </c>
      <c r="K626" s="33">
        <v>-18017</v>
      </c>
      <c r="L626" s="29">
        <v>-77828</v>
      </c>
      <c r="M626" s="33">
        <v>-50467</v>
      </c>
      <c r="N626" s="34">
        <f t="shared" si="9"/>
        <v>-656602</v>
      </c>
    </row>
    <row r="627" spans="1:14" ht="15.75" thickBot="1" x14ac:dyDescent="0.3">
      <c r="A627" s="38" t="s">
        <v>931</v>
      </c>
      <c r="B627" s="40">
        <v>-713</v>
      </c>
      <c r="C627" s="40">
        <v>-2982</v>
      </c>
      <c r="D627" s="40"/>
      <c r="E627" s="33">
        <v>-869</v>
      </c>
      <c r="F627" s="41"/>
      <c r="G627" s="41"/>
      <c r="H627" s="41"/>
      <c r="I627" s="42"/>
      <c r="J627" s="41"/>
      <c r="K627" s="41"/>
      <c r="L627" s="42"/>
      <c r="M627" s="41"/>
      <c r="N627" s="30">
        <f t="shared" si="9"/>
        <v>-4564</v>
      </c>
    </row>
    <row r="628" spans="1:14" ht="15.75" thickBot="1" x14ac:dyDescent="0.3">
      <c r="A628" s="38" t="s">
        <v>932</v>
      </c>
      <c r="B628" s="43">
        <v>-2627</v>
      </c>
      <c r="C628" s="43"/>
      <c r="D628" s="43">
        <v>-61</v>
      </c>
      <c r="E628" s="41"/>
      <c r="F628" s="33">
        <v>-2072</v>
      </c>
      <c r="G628" s="42"/>
      <c r="H628" s="33">
        <v>-16</v>
      </c>
      <c r="I628" s="41"/>
      <c r="J628" s="42"/>
      <c r="K628" s="33">
        <v>-1079</v>
      </c>
      <c r="L628" s="41"/>
      <c r="M628" s="42"/>
      <c r="N628" s="34">
        <f t="shared" si="9"/>
        <v>-5855</v>
      </c>
    </row>
    <row r="629" spans="1:14" ht="15.75" thickBot="1" x14ac:dyDescent="0.3">
      <c r="A629" s="38" t="s">
        <v>933</v>
      </c>
      <c r="B629" s="32">
        <v>-12021</v>
      </c>
      <c r="C629" s="32">
        <v>-9870</v>
      </c>
      <c r="D629" s="32">
        <v>-8143</v>
      </c>
      <c r="E629" s="33">
        <v>-9500</v>
      </c>
      <c r="F629" s="29">
        <v>-8738</v>
      </c>
      <c r="G629" s="29">
        <v>-9117</v>
      </c>
      <c r="H629" s="29">
        <v>-9757</v>
      </c>
      <c r="I629" s="33">
        <v>-17955</v>
      </c>
      <c r="J629" s="29">
        <v>-7451</v>
      </c>
      <c r="K629" s="29">
        <v>-5996</v>
      </c>
      <c r="L629" s="33">
        <v>-10886</v>
      </c>
      <c r="M629" s="29">
        <v>-11108</v>
      </c>
      <c r="N629" s="30">
        <f t="shared" si="9"/>
        <v>-120542</v>
      </c>
    </row>
    <row r="630" spans="1:14" ht="15.75" thickBot="1" x14ac:dyDescent="0.3">
      <c r="A630" s="38" t="s">
        <v>934</v>
      </c>
      <c r="B630" s="28"/>
      <c r="C630" s="28"/>
      <c r="D630" s="28"/>
      <c r="E630" s="41"/>
      <c r="F630" s="42"/>
      <c r="G630" s="42"/>
      <c r="H630" s="42"/>
      <c r="I630" s="41"/>
      <c r="J630" s="42"/>
      <c r="K630" s="42"/>
      <c r="L630" s="41"/>
      <c r="M630" s="42"/>
      <c r="N630" s="45">
        <f t="shared" si="9"/>
        <v>0</v>
      </c>
    </row>
    <row r="631" spans="1:14" ht="15.75" thickBot="1" x14ac:dyDescent="0.3">
      <c r="A631" s="56" t="s">
        <v>935</v>
      </c>
      <c r="B631" s="40"/>
      <c r="C631" s="40"/>
      <c r="D631" s="40"/>
      <c r="E631" s="41"/>
      <c r="F631" s="42"/>
      <c r="G631" s="42"/>
      <c r="H631" s="42"/>
      <c r="I631" s="41"/>
      <c r="J631" s="42"/>
      <c r="K631" s="42"/>
      <c r="L631" s="41"/>
      <c r="M631" s="42"/>
      <c r="N631" s="45">
        <f t="shared" si="9"/>
        <v>0</v>
      </c>
    </row>
    <row r="632" spans="1:14" ht="15.75" thickBot="1" x14ac:dyDescent="0.3">
      <c r="A632" s="56" t="s">
        <v>936</v>
      </c>
      <c r="B632" s="43"/>
      <c r="C632" s="43"/>
      <c r="D632" s="43"/>
      <c r="E632" s="41"/>
      <c r="F632" s="42"/>
      <c r="G632" s="42"/>
      <c r="H632" s="42"/>
      <c r="I632" s="41"/>
      <c r="J632" s="42"/>
      <c r="K632" s="42"/>
      <c r="L632" s="41"/>
      <c r="M632" s="42"/>
      <c r="N632" s="45">
        <f t="shared" si="9"/>
        <v>0</v>
      </c>
    </row>
    <row r="633" spans="1:14" ht="15.75" thickBot="1" x14ac:dyDescent="0.3">
      <c r="A633" s="38" t="s">
        <v>937</v>
      </c>
      <c r="B633" s="32">
        <v>159510.72</v>
      </c>
      <c r="C633" s="32">
        <v>173739.24</v>
      </c>
      <c r="D633" s="32">
        <v>254715.45</v>
      </c>
      <c r="E633" s="33">
        <v>164308.49</v>
      </c>
      <c r="F633" s="29">
        <v>128087.47</v>
      </c>
      <c r="G633" s="29">
        <v>134411.96</v>
      </c>
      <c r="H633" s="29">
        <v>127963.79</v>
      </c>
      <c r="I633" s="33">
        <v>126200.95</v>
      </c>
      <c r="J633" s="29">
        <v>140176.18</v>
      </c>
      <c r="K633" s="29">
        <v>139085.47</v>
      </c>
      <c r="L633" s="33">
        <v>137602.44</v>
      </c>
      <c r="M633" s="29">
        <v>125274.63</v>
      </c>
      <c r="N633" s="30">
        <f t="shared" si="9"/>
        <v>1811076.7899999996</v>
      </c>
    </row>
    <row r="634" spans="1:14" ht="15.75" thickBot="1" x14ac:dyDescent="0.3">
      <c r="A634" s="38" t="s">
        <v>938</v>
      </c>
      <c r="B634" s="28">
        <v>-2985</v>
      </c>
      <c r="C634" s="28">
        <v>4822</v>
      </c>
      <c r="D634" s="28">
        <v>2530</v>
      </c>
      <c r="E634" s="29">
        <v>3061</v>
      </c>
      <c r="F634" s="33">
        <v>2453</v>
      </c>
      <c r="G634" s="33">
        <v>4175</v>
      </c>
      <c r="H634" s="33">
        <v>3040</v>
      </c>
      <c r="I634" s="29">
        <v>1770</v>
      </c>
      <c r="J634" s="33">
        <v>2122</v>
      </c>
      <c r="K634" s="33">
        <v>3206</v>
      </c>
      <c r="L634" s="29">
        <v>1562</v>
      </c>
      <c r="M634" s="33">
        <v>2195</v>
      </c>
      <c r="N634" s="34">
        <f t="shared" si="9"/>
        <v>27951</v>
      </c>
    </row>
    <row r="635" spans="1:14" ht="15.75" thickBot="1" x14ac:dyDescent="0.3">
      <c r="A635" s="56" t="s">
        <v>939</v>
      </c>
      <c r="B635" s="40"/>
      <c r="C635" s="40"/>
      <c r="D635" s="40"/>
      <c r="E635" s="29"/>
      <c r="F635" s="33"/>
      <c r="G635" s="33"/>
      <c r="H635" s="33"/>
      <c r="I635" s="29"/>
      <c r="J635" s="33"/>
      <c r="K635" s="33"/>
      <c r="L635" s="29"/>
      <c r="M635" s="33"/>
      <c r="N635" s="34">
        <f t="shared" si="9"/>
        <v>0</v>
      </c>
    </row>
    <row r="636" spans="1:14" ht="15.75" thickBot="1" x14ac:dyDescent="0.3">
      <c r="A636" s="38" t="s">
        <v>940</v>
      </c>
      <c r="B636" s="43"/>
      <c r="C636" s="43"/>
      <c r="D636" s="43">
        <v>481.27</v>
      </c>
      <c r="E636" s="42"/>
      <c r="F636" s="41"/>
      <c r="G636" s="29">
        <v>1146.3</v>
      </c>
      <c r="H636" s="41"/>
      <c r="I636" s="42"/>
      <c r="J636" s="41"/>
      <c r="K636" s="41"/>
      <c r="L636" s="42"/>
      <c r="M636" s="41"/>
      <c r="N636" s="30">
        <f t="shared" si="9"/>
        <v>1627.57</v>
      </c>
    </row>
    <row r="637" spans="1:14" ht="15.75" thickBot="1" x14ac:dyDescent="0.3">
      <c r="A637" s="56" t="s">
        <v>941</v>
      </c>
      <c r="B637" s="40"/>
      <c r="C637" s="40"/>
      <c r="D637" s="40"/>
      <c r="E637" s="42"/>
      <c r="F637" s="41"/>
      <c r="G637" s="29"/>
      <c r="H637" s="41"/>
      <c r="I637" s="42"/>
      <c r="J637" s="41"/>
      <c r="K637" s="41"/>
      <c r="L637" s="42"/>
      <c r="M637" s="41"/>
      <c r="N637" s="30">
        <f t="shared" si="9"/>
        <v>0</v>
      </c>
    </row>
    <row r="638" spans="1:14" ht="15.75" thickBot="1" x14ac:dyDescent="0.3">
      <c r="A638" s="38" t="s">
        <v>942</v>
      </c>
      <c r="B638" s="43"/>
      <c r="C638" s="43"/>
      <c r="D638" s="43">
        <v>100142.14</v>
      </c>
      <c r="E638" s="41"/>
      <c r="F638" s="42"/>
      <c r="G638" s="33">
        <v>64826.37</v>
      </c>
      <c r="H638" s="42"/>
      <c r="I638" s="41"/>
      <c r="J638" s="33">
        <v>-63498.26</v>
      </c>
      <c r="K638" s="42"/>
      <c r="L638" s="41"/>
      <c r="M638" s="33">
        <v>-55745.43</v>
      </c>
      <c r="N638" s="34">
        <f t="shared" si="9"/>
        <v>45724.82</v>
      </c>
    </row>
    <row r="639" spans="1:14" ht="15.75" thickBot="1" x14ac:dyDescent="0.3">
      <c r="A639" s="38" t="s">
        <v>943</v>
      </c>
      <c r="B639" s="40"/>
      <c r="C639" s="40"/>
      <c r="D639" s="40">
        <v>-2300</v>
      </c>
      <c r="E639" s="42"/>
      <c r="F639" s="41"/>
      <c r="G639" s="29">
        <v>129956</v>
      </c>
      <c r="H639" s="41"/>
      <c r="I639" s="42"/>
      <c r="J639" s="29">
        <v>-2700</v>
      </c>
      <c r="K639" s="41"/>
      <c r="L639" s="42"/>
      <c r="M639" s="29">
        <v>12600</v>
      </c>
      <c r="N639" s="30">
        <f t="shared" si="9"/>
        <v>137556</v>
      </c>
    </row>
    <row r="640" spans="1:14" ht="15.75" thickBot="1" x14ac:dyDescent="0.3">
      <c r="A640" s="38" t="s">
        <v>944</v>
      </c>
      <c r="B640" s="43"/>
      <c r="C640" s="43"/>
      <c r="D640" s="43">
        <v>142701</v>
      </c>
      <c r="E640" s="41"/>
      <c r="F640" s="42"/>
      <c r="G640" s="42"/>
      <c r="H640" s="42"/>
      <c r="I640" s="41"/>
      <c r="J640" s="33">
        <v>67476.61</v>
      </c>
      <c r="K640" s="42"/>
      <c r="L640" s="41"/>
      <c r="M640" s="33">
        <v>28781.53</v>
      </c>
      <c r="N640" s="34">
        <f t="shared" si="9"/>
        <v>238959.13999999998</v>
      </c>
    </row>
    <row r="641" spans="1:14" ht="15.75" thickBot="1" x14ac:dyDescent="0.3">
      <c r="A641" s="38" t="s">
        <v>945</v>
      </c>
      <c r="B641" s="43"/>
      <c r="C641" s="43"/>
      <c r="D641" s="43"/>
      <c r="E641" s="41"/>
      <c r="F641" s="42"/>
      <c r="G641" s="42"/>
      <c r="H641" s="41"/>
      <c r="I641" s="42"/>
      <c r="J641" s="29">
        <v>121784.13</v>
      </c>
      <c r="K641" s="29">
        <v>30446.03</v>
      </c>
      <c r="L641" s="33">
        <v>30446.03</v>
      </c>
      <c r="M641" s="29">
        <v>30446.03</v>
      </c>
      <c r="N641" s="30">
        <f t="shared" si="9"/>
        <v>213122.22</v>
      </c>
    </row>
    <row r="642" spans="1:14" ht="15.75" thickBot="1" x14ac:dyDescent="0.3">
      <c r="A642" s="56" t="s">
        <v>946</v>
      </c>
      <c r="B642" s="40"/>
      <c r="C642" s="40"/>
      <c r="D642" s="40"/>
      <c r="E642" s="41"/>
      <c r="F642" s="42"/>
      <c r="G642" s="42"/>
      <c r="H642" s="41"/>
      <c r="I642" s="42"/>
      <c r="J642" s="29"/>
      <c r="K642" s="29"/>
      <c r="L642" s="33"/>
      <c r="M642" s="29"/>
      <c r="N642" s="30">
        <f t="shared" si="9"/>
        <v>0</v>
      </c>
    </row>
    <row r="643" spans="1:14" ht="15.75" thickBot="1" x14ac:dyDescent="0.3">
      <c r="A643" s="56" t="s">
        <v>947</v>
      </c>
      <c r="B643" s="43"/>
      <c r="C643" s="43"/>
      <c r="D643" s="43"/>
      <c r="E643" s="41"/>
      <c r="F643" s="42"/>
      <c r="G643" s="42"/>
      <c r="H643" s="41"/>
      <c r="I643" s="42"/>
      <c r="J643" s="29"/>
      <c r="K643" s="29"/>
      <c r="L643" s="33"/>
      <c r="M643" s="29"/>
      <c r="N643" s="30">
        <f t="shared" si="9"/>
        <v>0</v>
      </c>
    </row>
    <row r="644" spans="1:14" ht="15.75" thickBot="1" x14ac:dyDescent="0.3">
      <c r="A644" s="56" t="s">
        <v>948</v>
      </c>
      <c r="B644" s="40"/>
      <c r="C644" s="40"/>
      <c r="D644" s="40"/>
      <c r="E644" s="41"/>
      <c r="F644" s="42"/>
      <c r="G644" s="42"/>
      <c r="H644" s="41"/>
      <c r="I644" s="42"/>
      <c r="J644" s="29"/>
      <c r="K644" s="29"/>
      <c r="L644" s="33"/>
      <c r="M644" s="29"/>
      <c r="N644" s="30">
        <f t="shared" si="9"/>
        <v>0</v>
      </c>
    </row>
    <row r="645" spans="1:14" ht="15.75" thickBot="1" x14ac:dyDescent="0.3">
      <c r="A645" s="38" t="s">
        <v>949</v>
      </c>
      <c r="B645" s="28">
        <v>16465</v>
      </c>
      <c r="C645" s="28">
        <v>26000</v>
      </c>
      <c r="D645" s="28">
        <v>18437</v>
      </c>
      <c r="E645" s="33">
        <v>23693</v>
      </c>
      <c r="F645" s="29">
        <v>8737</v>
      </c>
      <c r="G645" s="29">
        <v>26600</v>
      </c>
      <c r="H645" s="33">
        <v>25634</v>
      </c>
      <c r="I645" s="29">
        <v>21571</v>
      </c>
      <c r="J645" s="33">
        <v>64875</v>
      </c>
      <c r="K645" s="33">
        <v>57589</v>
      </c>
      <c r="L645" s="29">
        <v>50331</v>
      </c>
      <c r="M645" s="33">
        <v>24126</v>
      </c>
      <c r="N645" s="34">
        <f t="shared" si="9"/>
        <v>364058</v>
      </c>
    </row>
    <row r="646" spans="1:14" ht="15.75" thickBot="1" x14ac:dyDescent="0.3">
      <c r="A646" s="38" t="s">
        <v>950</v>
      </c>
      <c r="B646" s="40">
        <v>1183</v>
      </c>
      <c r="C646" s="40">
        <v>1615</v>
      </c>
      <c r="D646" s="40"/>
      <c r="E646" s="29">
        <v>739</v>
      </c>
      <c r="F646" s="42"/>
      <c r="G646" s="33">
        <v>1640</v>
      </c>
      <c r="H646" s="41"/>
      <c r="I646" s="42"/>
      <c r="J646" s="29">
        <v>911</v>
      </c>
      <c r="K646" s="41"/>
      <c r="L646" s="42"/>
      <c r="M646" s="41"/>
      <c r="N646" s="30">
        <f t="shared" ref="N646:N709" si="10">SUM(B646:M646)</f>
        <v>6088</v>
      </c>
    </row>
    <row r="647" spans="1:14" ht="15.75" thickBot="1" x14ac:dyDescent="0.3">
      <c r="A647" s="38" t="s">
        <v>951</v>
      </c>
      <c r="B647" s="28">
        <v>228887</v>
      </c>
      <c r="C647" s="28">
        <v>259048</v>
      </c>
      <c r="D647" s="28">
        <v>270012</v>
      </c>
      <c r="E647" s="33">
        <v>269352</v>
      </c>
      <c r="F647" s="29">
        <v>176258</v>
      </c>
      <c r="G647" s="29">
        <v>154829</v>
      </c>
      <c r="H647" s="33">
        <v>70406</v>
      </c>
      <c r="I647" s="29">
        <v>72311</v>
      </c>
      <c r="J647" s="33">
        <v>101791</v>
      </c>
      <c r="K647" s="33">
        <v>102418</v>
      </c>
      <c r="L647" s="29">
        <v>157892</v>
      </c>
      <c r="M647" s="33">
        <v>137630</v>
      </c>
      <c r="N647" s="34">
        <f t="shared" si="10"/>
        <v>2000834</v>
      </c>
    </row>
    <row r="648" spans="1:14" ht="15.75" thickBot="1" x14ac:dyDescent="0.3">
      <c r="A648" s="38" t="s">
        <v>952</v>
      </c>
      <c r="B648" s="32">
        <v>34386</v>
      </c>
      <c r="C648" s="32">
        <v>34713</v>
      </c>
      <c r="D648" s="32">
        <v>34412</v>
      </c>
      <c r="E648" s="29">
        <v>35002</v>
      </c>
      <c r="F648" s="33">
        <v>27784</v>
      </c>
      <c r="G648" s="33">
        <v>32287</v>
      </c>
      <c r="H648" s="29">
        <v>18350</v>
      </c>
      <c r="I648" s="33">
        <v>9967</v>
      </c>
      <c r="J648" s="29">
        <v>21256</v>
      </c>
      <c r="K648" s="29">
        <v>14861</v>
      </c>
      <c r="L648" s="33">
        <v>23625</v>
      </c>
      <c r="M648" s="29">
        <v>23614</v>
      </c>
      <c r="N648" s="30">
        <f t="shared" si="10"/>
        <v>310257</v>
      </c>
    </row>
    <row r="649" spans="1:14" ht="15.75" thickBot="1" x14ac:dyDescent="0.3">
      <c r="A649" s="38" t="s">
        <v>953</v>
      </c>
      <c r="B649" s="28">
        <v>34764</v>
      </c>
      <c r="C649" s="28">
        <v>100299</v>
      </c>
      <c r="D649" s="28">
        <v>26698</v>
      </c>
      <c r="E649" s="33">
        <v>28361</v>
      </c>
      <c r="F649" s="29">
        <v>40532</v>
      </c>
      <c r="G649" s="29">
        <v>70915</v>
      </c>
      <c r="H649" s="33">
        <v>43598</v>
      </c>
      <c r="I649" s="29">
        <v>27082</v>
      </c>
      <c r="J649" s="33">
        <v>17030</v>
      </c>
      <c r="K649" s="33">
        <v>13570</v>
      </c>
      <c r="L649" s="29">
        <v>57654</v>
      </c>
      <c r="M649" s="33">
        <v>38220</v>
      </c>
      <c r="N649" s="34">
        <f t="shared" si="10"/>
        <v>498723</v>
      </c>
    </row>
    <row r="650" spans="1:14" ht="15.75" thickBot="1" x14ac:dyDescent="0.3">
      <c r="A650" s="38" t="s">
        <v>954</v>
      </c>
      <c r="B650" s="40">
        <v>570</v>
      </c>
      <c r="C650" s="40">
        <v>2533</v>
      </c>
      <c r="D650" s="40"/>
      <c r="E650" s="29">
        <v>729</v>
      </c>
      <c r="F650" s="42"/>
      <c r="G650" s="42"/>
      <c r="H650" s="41"/>
      <c r="I650" s="42"/>
      <c r="J650" s="41"/>
      <c r="K650" s="41"/>
      <c r="L650" s="42"/>
      <c r="M650" s="41"/>
      <c r="N650" s="30">
        <f t="shared" si="10"/>
        <v>3832</v>
      </c>
    </row>
    <row r="651" spans="1:14" ht="15.75" thickBot="1" x14ac:dyDescent="0.3">
      <c r="A651" s="38" t="s">
        <v>955</v>
      </c>
      <c r="B651" s="43">
        <v>1802</v>
      </c>
      <c r="C651" s="43"/>
      <c r="D651" s="43">
        <v>39</v>
      </c>
      <c r="E651" s="42"/>
      <c r="F651" s="29">
        <v>1309</v>
      </c>
      <c r="G651" s="41"/>
      <c r="H651" s="33">
        <v>8</v>
      </c>
      <c r="I651" s="41"/>
      <c r="J651" s="42"/>
      <c r="K651" s="33">
        <v>535</v>
      </c>
      <c r="L651" s="41"/>
      <c r="M651" s="42"/>
      <c r="N651" s="34">
        <f t="shared" si="10"/>
        <v>3693</v>
      </c>
    </row>
    <row r="652" spans="1:14" ht="15.75" thickBot="1" x14ac:dyDescent="0.3">
      <c r="A652" s="38" t="s">
        <v>956</v>
      </c>
      <c r="B652" s="32">
        <v>9056</v>
      </c>
      <c r="C652" s="32">
        <v>8454</v>
      </c>
      <c r="D652" s="32">
        <v>6068</v>
      </c>
      <c r="E652" s="29">
        <v>7424</v>
      </c>
      <c r="F652" s="33">
        <v>6650</v>
      </c>
      <c r="G652" s="33">
        <v>6880</v>
      </c>
      <c r="H652" s="29">
        <v>7363</v>
      </c>
      <c r="I652" s="33">
        <v>14140</v>
      </c>
      <c r="J652" s="29">
        <v>5777</v>
      </c>
      <c r="K652" s="29">
        <v>4305</v>
      </c>
      <c r="L652" s="33">
        <v>9931</v>
      </c>
      <c r="M652" s="29">
        <v>8436</v>
      </c>
      <c r="N652" s="30">
        <f t="shared" si="10"/>
        <v>94484</v>
      </c>
    </row>
    <row r="653" spans="1:14" ht="15.75" thickBot="1" x14ac:dyDescent="0.3">
      <c r="A653" s="38" t="s">
        <v>957</v>
      </c>
      <c r="B653" s="43"/>
      <c r="C653" s="43"/>
      <c r="D653" s="43">
        <v>20987</v>
      </c>
      <c r="E653" s="42"/>
      <c r="F653" s="41"/>
      <c r="G653" s="41"/>
      <c r="H653" s="42"/>
      <c r="I653" s="41"/>
      <c r="J653" s="33">
        <v>6400.65</v>
      </c>
      <c r="K653" s="42"/>
      <c r="L653" s="41"/>
      <c r="M653" s="33">
        <v>731.63</v>
      </c>
      <c r="N653" s="34">
        <f t="shared" si="10"/>
        <v>28119.280000000002</v>
      </c>
    </row>
    <row r="654" spans="1:14" ht="15.75" thickBot="1" x14ac:dyDescent="0.3">
      <c r="A654" s="38" t="s">
        <v>958</v>
      </c>
      <c r="B654" s="40"/>
      <c r="C654" s="40"/>
      <c r="D654" s="40"/>
      <c r="E654" s="42"/>
      <c r="F654" s="41"/>
      <c r="G654" s="41"/>
      <c r="H654" s="42"/>
      <c r="I654" s="41"/>
      <c r="J654" s="33"/>
      <c r="K654" s="41"/>
      <c r="L654" s="42"/>
      <c r="M654" s="52">
        <v>0</v>
      </c>
      <c r="N654" s="53">
        <f t="shared" si="10"/>
        <v>0</v>
      </c>
    </row>
    <row r="655" spans="1:14" ht="15.75" thickBot="1" x14ac:dyDescent="0.3">
      <c r="A655" s="38" t="s">
        <v>959</v>
      </c>
      <c r="B655" s="40"/>
      <c r="C655" s="40"/>
      <c r="D655" s="40"/>
      <c r="E655" s="42"/>
      <c r="F655" s="41"/>
      <c r="G655" s="41"/>
      <c r="H655" s="42"/>
      <c r="I655" s="41"/>
      <c r="J655" s="33"/>
      <c r="K655" s="33">
        <v>763.56</v>
      </c>
      <c r="L655" s="52">
        <v>0</v>
      </c>
      <c r="M655" s="42"/>
      <c r="N655" s="34">
        <f t="shared" si="10"/>
        <v>763.56</v>
      </c>
    </row>
    <row r="656" spans="1:14" ht="15.75" thickBot="1" x14ac:dyDescent="0.3">
      <c r="A656" s="37" t="s">
        <v>960</v>
      </c>
      <c r="B656" s="28">
        <v>-44606.39</v>
      </c>
      <c r="C656" s="28">
        <v>-44606.39</v>
      </c>
      <c r="D656" s="28">
        <v>-44100.65</v>
      </c>
      <c r="E656" s="29">
        <v>-27478.69</v>
      </c>
      <c r="F656" s="33">
        <v>-63046.31</v>
      </c>
      <c r="G656" s="33">
        <v>-43810.33</v>
      </c>
      <c r="H656" s="29">
        <v>-45261.8</v>
      </c>
      <c r="I656" s="33">
        <v>-45262.5</v>
      </c>
      <c r="J656" s="29">
        <v>-45262.5</v>
      </c>
      <c r="K656" s="29">
        <v>-45343.3</v>
      </c>
      <c r="L656" s="33">
        <v>-45343.3</v>
      </c>
      <c r="M656" s="29">
        <v>-45343.3</v>
      </c>
      <c r="N656" s="30">
        <f t="shared" si="10"/>
        <v>-539465.46</v>
      </c>
    </row>
    <row r="657" spans="1:14" ht="15.75" thickBot="1" x14ac:dyDescent="0.3">
      <c r="A657" s="38" t="s">
        <v>961</v>
      </c>
      <c r="B657" s="32">
        <v>-37925.620000000003</v>
      </c>
      <c r="C657" s="32">
        <v>-37925.620000000003</v>
      </c>
      <c r="D657" s="32">
        <v>-37925.620000000003</v>
      </c>
      <c r="E657" s="33">
        <v>-20797.919999999998</v>
      </c>
      <c r="F657" s="29">
        <v>-56365.54</v>
      </c>
      <c r="G657" s="29">
        <v>-37541.56</v>
      </c>
      <c r="H657" s="33">
        <v>-38581.03</v>
      </c>
      <c r="I657" s="29">
        <v>-38581.730000000003</v>
      </c>
      <c r="J657" s="33">
        <v>-38581.730000000003</v>
      </c>
      <c r="K657" s="33">
        <v>-38581.730000000003</v>
      </c>
      <c r="L657" s="29">
        <v>-38581.730000000003</v>
      </c>
      <c r="M657" s="33">
        <v>-38581.730000000003</v>
      </c>
      <c r="N657" s="34">
        <f t="shared" si="10"/>
        <v>-459971.55999999994</v>
      </c>
    </row>
    <row r="658" spans="1:14" ht="15.75" thickBot="1" x14ac:dyDescent="0.3">
      <c r="A658" s="38" t="s">
        <v>962</v>
      </c>
      <c r="B658" s="28">
        <v>-721.45</v>
      </c>
      <c r="C658" s="28">
        <v>-721.45</v>
      </c>
      <c r="D658" s="28">
        <v>-215.71</v>
      </c>
      <c r="E658" s="29">
        <v>-721.45</v>
      </c>
      <c r="F658" s="33">
        <v>-721.45</v>
      </c>
      <c r="G658" s="33">
        <v>-309.45</v>
      </c>
      <c r="H658" s="29">
        <v>-721.45</v>
      </c>
      <c r="I658" s="33">
        <v>-721.45</v>
      </c>
      <c r="J658" s="29">
        <v>-721.45</v>
      </c>
      <c r="K658" s="29">
        <v>-743.09</v>
      </c>
      <c r="L658" s="33">
        <v>-743.09</v>
      </c>
      <c r="M658" s="29">
        <v>-743.09</v>
      </c>
      <c r="N658" s="30">
        <f t="shared" si="10"/>
        <v>-7804.58</v>
      </c>
    </row>
    <row r="659" spans="1:14" ht="15.75" thickBot="1" x14ac:dyDescent="0.3">
      <c r="A659" s="38" t="s">
        <v>963</v>
      </c>
      <c r="B659" s="32">
        <v>-5959.32</v>
      </c>
      <c r="C659" s="32">
        <v>-5959.32</v>
      </c>
      <c r="D659" s="32">
        <v>-5959.32</v>
      </c>
      <c r="E659" s="33">
        <v>-5959.32</v>
      </c>
      <c r="F659" s="29">
        <v>-5959.32</v>
      </c>
      <c r="G659" s="29">
        <v>-5959.32</v>
      </c>
      <c r="H659" s="33">
        <v>-5959.32</v>
      </c>
      <c r="I659" s="29">
        <v>-5959.32</v>
      </c>
      <c r="J659" s="33">
        <v>-5959.32</v>
      </c>
      <c r="K659" s="33">
        <v>-6018.48</v>
      </c>
      <c r="L659" s="29">
        <v>-6018.48</v>
      </c>
      <c r="M659" s="33">
        <v>-6018.48</v>
      </c>
      <c r="N659" s="34">
        <f t="shared" si="10"/>
        <v>-71689.319999999992</v>
      </c>
    </row>
    <row r="660" spans="1:14" ht="15.75" thickBot="1" x14ac:dyDescent="0.3">
      <c r="A660" s="37" t="s">
        <v>964</v>
      </c>
      <c r="B660" s="28">
        <v>-555258.66</v>
      </c>
      <c r="C660" s="28">
        <v>-505592.83</v>
      </c>
      <c r="D660" s="28">
        <v>-437032.32</v>
      </c>
      <c r="E660" s="29">
        <v>-511107.49</v>
      </c>
      <c r="F660" s="33">
        <v>-478196.01</v>
      </c>
      <c r="G660" s="33">
        <v>-185277.83</v>
      </c>
      <c r="H660" s="29">
        <v>-460531.18</v>
      </c>
      <c r="I660" s="33">
        <v>-627310.81000000006</v>
      </c>
      <c r="J660" s="29">
        <v>-682294.73</v>
      </c>
      <c r="K660" s="29">
        <v>-584387.87</v>
      </c>
      <c r="L660" s="33">
        <v>-618274.14</v>
      </c>
      <c r="M660" s="29">
        <v>-648008.26</v>
      </c>
      <c r="N660" s="30">
        <f t="shared" si="10"/>
        <v>-6293272.1299999999</v>
      </c>
    </row>
    <row r="661" spans="1:14" ht="15.75" thickBot="1" x14ac:dyDescent="0.3">
      <c r="A661" s="38" t="s">
        <v>965</v>
      </c>
      <c r="B661" s="40">
        <v>203.18</v>
      </c>
      <c r="C661" s="40">
        <v>744.98</v>
      </c>
      <c r="D661" s="40"/>
      <c r="E661" s="33">
        <v>745.14</v>
      </c>
      <c r="F661" s="41"/>
      <c r="G661" s="41"/>
      <c r="H661" s="42"/>
      <c r="I661" s="41"/>
      <c r="J661" s="42"/>
      <c r="K661" s="42"/>
      <c r="L661" s="41"/>
      <c r="M661" s="33">
        <v>138.84</v>
      </c>
      <c r="N661" s="34">
        <f t="shared" si="10"/>
        <v>1832.14</v>
      </c>
    </row>
    <row r="662" spans="1:14" ht="15.75" thickBot="1" x14ac:dyDescent="0.3">
      <c r="A662" s="38" t="s">
        <v>966</v>
      </c>
      <c r="B662" s="28">
        <v>2620.7800000000002</v>
      </c>
      <c r="C662" s="28">
        <v>3313.3</v>
      </c>
      <c r="D662" s="28">
        <v>1625.22</v>
      </c>
      <c r="E662" s="29">
        <v>6425.24</v>
      </c>
      <c r="F662" s="33">
        <v>1345.49</v>
      </c>
      <c r="G662" s="33">
        <v>8901.73</v>
      </c>
      <c r="H662" s="29">
        <v>906.07</v>
      </c>
      <c r="I662" s="33">
        <v>884.3</v>
      </c>
      <c r="J662" s="29">
        <v>10185.26</v>
      </c>
      <c r="K662" s="29">
        <v>3927.04</v>
      </c>
      <c r="L662" s="33">
        <v>2916.69</v>
      </c>
      <c r="M662" s="29">
        <v>4713.88</v>
      </c>
      <c r="N662" s="30">
        <f t="shared" si="10"/>
        <v>47765</v>
      </c>
    </row>
    <row r="663" spans="1:14" ht="15.75" thickBot="1" x14ac:dyDescent="0.3">
      <c r="A663" s="56" t="s">
        <v>967</v>
      </c>
      <c r="B663" s="40"/>
      <c r="C663" s="40"/>
      <c r="D663" s="40"/>
      <c r="E663" s="29"/>
      <c r="F663" s="33"/>
      <c r="G663" s="33"/>
      <c r="H663" s="29"/>
      <c r="I663" s="33"/>
      <c r="J663" s="29"/>
      <c r="K663" s="29"/>
      <c r="L663" s="33"/>
      <c r="M663" s="29"/>
      <c r="N663" s="30">
        <f t="shared" si="10"/>
        <v>0</v>
      </c>
    </row>
    <row r="664" spans="1:14" ht="15.75" thickBot="1" x14ac:dyDescent="0.3">
      <c r="A664" s="38" t="s">
        <v>968</v>
      </c>
      <c r="B664" s="28">
        <v>115873.18</v>
      </c>
      <c r="C664" s="28">
        <v>47456.29</v>
      </c>
      <c r="D664" s="28">
        <v>40557.61</v>
      </c>
      <c r="E664" s="33">
        <v>37165.699999999997</v>
      </c>
      <c r="F664" s="29">
        <v>59032.02</v>
      </c>
      <c r="G664" s="29">
        <v>84097.38</v>
      </c>
      <c r="H664" s="33">
        <v>102748.63</v>
      </c>
      <c r="I664" s="29">
        <v>50888.480000000003</v>
      </c>
      <c r="J664" s="33">
        <v>35869.69</v>
      </c>
      <c r="K664" s="33">
        <v>81249.17</v>
      </c>
      <c r="L664" s="29">
        <v>34530.629999999997</v>
      </c>
      <c r="M664" s="33">
        <v>48820.2</v>
      </c>
      <c r="N664" s="34">
        <f t="shared" si="10"/>
        <v>738288.98</v>
      </c>
    </row>
    <row r="665" spans="1:14" ht="15.75" thickBot="1" x14ac:dyDescent="0.3">
      <c r="A665" s="38" t="s">
        <v>969</v>
      </c>
      <c r="B665" s="32">
        <v>17110.77</v>
      </c>
      <c r="C665" s="32">
        <v>15902.08</v>
      </c>
      <c r="D665" s="32">
        <v>16544.84</v>
      </c>
      <c r="E665" s="29">
        <v>17428.64</v>
      </c>
      <c r="F665" s="33">
        <v>18347.98</v>
      </c>
      <c r="G665" s="33">
        <v>18862.439999999999</v>
      </c>
      <c r="H665" s="29">
        <v>19001.8</v>
      </c>
      <c r="I665" s="33">
        <v>18151.150000000001</v>
      </c>
      <c r="J665" s="29">
        <v>19001.8</v>
      </c>
      <c r="K665" s="29">
        <v>16850.900000000001</v>
      </c>
      <c r="L665" s="33">
        <v>16362.3</v>
      </c>
      <c r="M665" s="29">
        <v>16800.59</v>
      </c>
      <c r="N665" s="30">
        <f t="shared" si="10"/>
        <v>210365.28999999998</v>
      </c>
    </row>
    <row r="666" spans="1:14" ht="15.75" thickBot="1" x14ac:dyDescent="0.3">
      <c r="A666" s="56" t="s">
        <v>970</v>
      </c>
      <c r="B666" s="43"/>
      <c r="C666" s="43"/>
      <c r="D666" s="43"/>
      <c r="E666" s="29"/>
      <c r="F666" s="33"/>
      <c r="G666" s="33"/>
      <c r="H666" s="29"/>
      <c r="I666" s="33"/>
      <c r="J666" s="29"/>
      <c r="K666" s="29"/>
      <c r="L666" s="33"/>
      <c r="M666" s="29"/>
      <c r="N666" s="30">
        <f t="shared" si="10"/>
        <v>0</v>
      </c>
    </row>
    <row r="667" spans="1:14" ht="15.75" thickBot="1" x14ac:dyDescent="0.3">
      <c r="A667" s="38" t="s">
        <v>971</v>
      </c>
      <c r="B667" s="32">
        <v>80587.63</v>
      </c>
      <c r="C667" s="32">
        <v>79857.789999999994</v>
      </c>
      <c r="D667" s="32">
        <v>80526.429999999993</v>
      </c>
      <c r="E667" s="33">
        <v>81210.039999999994</v>
      </c>
      <c r="F667" s="29">
        <v>81243.88</v>
      </c>
      <c r="G667" s="29">
        <v>81876.899999999994</v>
      </c>
      <c r="H667" s="33">
        <v>82568.39</v>
      </c>
      <c r="I667" s="29">
        <v>82554.2</v>
      </c>
      <c r="J667" s="33">
        <v>82571.75</v>
      </c>
      <c r="K667" s="33">
        <v>82556.800000000003</v>
      </c>
      <c r="L667" s="29">
        <v>82556.52</v>
      </c>
      <c r="M667" s="33">
        <v>82572.52</v>
      </c>
      <c r="N667" s="34">
        <f t="shared" si="10"/>
        <v>980682.85</v>
      </c>
    </row>
    <row r="668" spans="1:14" ht="15.75" thickBot="1" x14ac:dyDescent="0.3">
      <c r="A668" s="38" t="s">
        <v>972</v>
      </c>
      <c r="B668" s="28">
        <v>6742.11</v>
      </c>
      <c r="C668" s="28">
        <v>7449.26</v>
      </c>
      <c r="D668" s="28">
        <v>7449.26</v>
      </c>
      <c r="E668" s="29">
        <v>7449.26</v>
      </c>
      <c r="F668" s="33">
        <v>7449.26</v>
      </c>
      <c r="G668" s="33">
        <v>7449.26</v>
      </c>
      <c r="H668" s="29">
        <v>7449.26</v>
      </c>
      <c r="I668" s="33">
        <v>7449.26</v>
      </c>
      <c r="J668" s="29">
        <v>7449.26</v>
      </c>
      <c r="K668" s="29">
        <v>7449.26</v>
      </c>
      <c r="L668" s="33">
        <v>7449.26</v>
      </c>
      <c r="M668" s="29">
        <v>7449.26</v>
      </c>
      <c r="N668" s="30">
        <f t="shared" si="10"/>
        <v>88683.969999999987</v>
      </c>
    </row>
    <row r="669" spans="1:14" ht="15.75" thickBot="1" x14ac:dyDescent="0.3">
      <c r="A669" s="38" t="s">
        <v>973</v>
      </c>
      <c r="B669" s="32">
        <v>1570196.33</v>
      </c>
      <c r="C669" s="32">
        <v>799378.21</v>
      </c>
      <c r="D669" s="32">
        <v>774915.63</v>
      </c>
      <c r="E669" s="33">
        <v>654446.18999999994</v>
      </c>
      <c r="F669" s="29">
        <v>704152.59</v>
      </c>
      <c r="G669" s="29">
        <v>724647.5</v>
      </c>
      <c r="H669" s="33">
        <v>1151296.3899999999</v>
      </c>
      <c r="I669" s="29">
        <v>1107386.98</v>
      </c>
      <c r="J669" s="33">
        <v>1094521.6000000001</v>
      </c>
      <c r="K669" s="33">
        <v>1118215.18</v>
      </c>
      <c r="L669" s="29">
        <v>1153123.57</v>
      </c>
      <c r="M669" s="33">
        <v>1187747.1499999999</v>
      </c>
      <c r="N669" s="34">
        <f t="shared" si="10"/>
        <v>12040027.32</v>
      </c>
    </row>
    <row r="670" spans="1:14" ht="15.75" thickBot="1" x14ac:dyDescent="0.3">
      <c r="A670" s="56" t="s">
        <v>974</v>
      </c>
      <c r="B670" s="43"/>
      <c r="C670" s="43"/>
      <c r="D670" s="43"/>
      <c r="E670" s="33"/>
      <c r="F670" s="29"/>
      <c r="G670" s="29"/>
      <c r="H670" s="33"/>
      <c r="I670" s="29"/>
      <c r="J670" s="33"/>
      <c r="K670" s="33"/>
      <c r="L670" s="29"/>
      <c r="M670" s="33"/>
      <c r="N670" s="34">
        <f t="shared" si="10"/>
        <v>0</v>
      </c>
    </row>
    <row r="671" spans="1:14" ht="15.75" thickBot="1" x14ac:dyDescent="0.3">
      <c r="A671" s="38" t="s">
        <v>975</v>
      </c>
      <c r="B671" s="32">
        <v>13837.19</v>
      </c>
      <c r="C671" s="32">
        <v>13837.19</v>
      </c>
      <c r="D671" s="32">
        <v>14100.06</v>
      </c>
      <c r="E671" s="29">
        <v>14102.49</v>
      </c>
      <c r="F671" s="33">
        <v>14102.49</v>
      </c>
      <c r="G671" s="33">
        <v>14102.49</v>
      </c>
      <c r="H671" s="29">
        <v>14102.49</v>
      </c>
      <c r="I671" s="33">
        <v>14102.49</v>
      </c>
      <c r="J671" s="29">
        <v>14102.49</v>
      </c>
      <c r="K671" s="29">
        <v>14102.49</v>
      </c>
      <c r="L671" s="33">
        <v>20333.080000000002</v>
      </c>
      <c r="M671" s="29">
        <v>20349.25</v>
      </c>
      <c r="N671" s="30">
        <f t="shared" si="10"/>
        <v>181174.2</v>
      </c>
    </row>
    <row r="672" spans="1:14" ht="15.75" thickBot="1" x14ac:dyDescent="0.3">
      <c r="A672" s="56" t="s">
        <v>976</v>
      </c>
      <c r="B672" s="43"/>
      <c r="C672" s="43"/>
      <c r="D672" s="43"/>
      <c r="E672" s="29"/>
      <c r="F672" s="33"/>
      <c r="G672" s="33"/>
      <c r="H672" s="29"/>
      <c r="I672" s="33"/>
      <c r="J672" s="29"/>
      <c r="K672" s="29"/>
      <c r="L672" s="33"/>
      <c r="M672" s="29"/>
      <c r="N672" s="30">
        <f t="shared" si="10"/>
        <v>0</v>
      </c>
    </row>
    <row r="673" spans="1:14" ht="15.75" thickBot="1" x14ac:dyDescent="0.3">
      <c r="A673" s="38" t="s">
        <v>977</v>
      </c>
      <c r="B673" s="40"/>
      <c r="C673" s="40"/>
      <c r="D673" s="40"/>
      <c r="E673" s="42"/>
      <c r="F673" s="41"/>
      <c r="G673" s="41"/>
      <c r="H673" s="42"/>
      <c r="I673" s="41"/>
      <c r="J673" s="42"/>
      <c r="K673" s="42"/>
      <c r="L673" s="41"/>
      <c r="M673" s="42"/>
      <c r="N673" s="45">
        <f t="shared" si="10"/>
        <v>0</v>
      </c>
    </row>
    <row r="674" spans="1:14" ht="15.75" thickBot="1" x14ac:dyDescent="0.3">
      <c r="A674" s="56" t="s">
        <v>978</v>
      </c>
      <c r="B674" s="43"/>
      <c r="C674" s="43"/>
      <c r="D674" s="43"/>
      <c r="E674" s="42"/>
      <c r="F674" s="41"/>
      <c r="G674" s="41"/>
      <c r="H674" s="42"/>
      <c r="I674" s="41"/>
      <c r="J674" s="42"/>
      <c r="K674" s="42"/>
      <c r="L674" s="41"/>
      <c r="M674" s="42"/>
      <c r="N674" s="45">
        <f t="shared" si="10"/>
        <v>0</v>
      </c>
    </row>
    <row r="675" spans="1:14" ht="15.75" thickBot="1" x14ac:dyDescent="0.3">
      <c r="A675" s="38" t="s">
        <v>979</v>
      </c>
      <c r="B675" s="32">
        <v>-12236.04</v>
      </c>
      <c r="C675" s="32">
        <v>-11636.6</v>
      </c>
      <c r="D675" s="32">
        <v>-11732.31</v>
      </c>
      <c r="E675" s="41"/>
      <c r="F675" s="42"/>
      <c r="G675" s="42"/>
      <c r="H675" s="41"/>
      <c r="I675" s="42"/>
      <c r="J675" s="41"/>
      <c r="K675" s="41"/>
      <c r="L675" s="42"/>
      <c r="M675" s="41"/>
      <c r="N675" s="44">
        <f t="shared" si="10"/>
        <v>-35604.949999999997</v>
      </c>
    </row>
    <row r="676" spans="1:14" ht="15.75" thickBot="1" x14ac:dyDescent="0.3">
      <c r="A676" s="38" t="s">
        <v>980</v>
      </c>
      <c r="B676" s="28">
        <v>-3250.21</v>
      </c>
      <c r="C676" s="28">
        <v>-3643.42</v>
      </c>
      <c r="D676" s="28">
        <v>-4129.46</v>
      </c>
      <c r="E676" s="42"/>
      <c r="F676" s="41"/>
      <c r="G676" s="41"/>
      <c r="H676" s="42"/>
      <c r="I676" s="41"/>
      <c r="J676" s="42"/>
      <c r="K676" s="42"/>
      <c r="L676" s="41"/>
      <c r="M676" s="42"/>
      <c r="N676" s="45">
        <f t="shared" si="10"/>
        <v>-11023.09</v>
      </c>
    </row>
    <row r="677" spans="1:14" ht="15.75" thickBot="1" x14ac:dyDescent="0.3">
      <c r="A677" s="38" t="s">
        <v>981</v>
      </c>
      <c r="B677" s="32">
        <v>-46506</v>
      </c>
      <c r="C677" s="32">
        <v>-46506</v>
      </c>
      <c r="D677" s="32">
        <v>-46506</v>
      </c>
      <c r="E677" s="29">
        <v>-46506</v>
      </c>
      <c r="F677" s="33">
        <v>-46506</v>
      </c>
      <c r="G677" s="33">
        <v>-46506</v>
      </c>
      <c r="H677" s="29">
        <v>-46506</v>
      </c>
      <c r="I677" s="42"/>
      <c r="J677" s="41"/>
      <c r="K677" s="41"/>
      <c r="L677" s="42"/>
      <c r="M677" s="41"/>
      <c r="N677" s="30">
        <f t="shared" si="10"/>
        <v>-325542</v>
      </c>
    </row>
    <row r="678" spans="1:14" ht="15.75" thickBot="1" x14ac:dyDescent="0.3">
      <c r="A678" s="38" t="s">
        <v>982</v>
      </c>
      <c r="B678" s="28">
        <v>-28471.77</v>
      </c>
      <c r="C678" s="28">
        <v>-70605.91</v>
      </c>
      <c r="D678" s="28">
        <v>-17446.12</v>
      </c>
      <c r="E678" s="33">
        <v>-7170.91</v>
      </c>
      <c r="F678" s="29">
        <v>-1704.78</v>
      </c>
      <c r="G678" s="29">
        <v>-1353.42</v>
      </c>
      <c r="H678" s="42"/>
      <c r="I678" s="29">
        <v>-63240.4</v>
      </c>
      <c r="J678" s="33">
        <v>-33146.300000000003</v>
      </c>
      <c r="K678" s="33">
        <v>-27879.62</v>
      </c>
      <c r="L678" s="29">
        <v>-33617.71</v>
      </c>
      <c r="M678" s="33">
        <v>-2318.89</v>
      </c>
      <c r="N678" s="34">
        <f t="shared" si="10"/>
        <v>-286955.83</v>
      </c>
    </row>
    <row r="679" spans="1:14" ht="15.75" thickBot="1" x14ac:dyDescent="0.3">
      <c r="A679" s="38" t="s">
        <v>983</v>
      </c>
      <c r="B679" s="40"/>
      <c r="C679" s="40"/>
      <c r="D679" s="40">
        <v>87713.14</v>
      </c>
      <c r="E679" s="41"/>
      <c r="F679" s="42"/>
      <c r="G679" s="33">
        <v>371257.02</v>
      </c>
      <c r="H679" s="41"/>
      <c r="I679" s="42"/>
      <c r="J679" s="29">
        <v>-127291.92</v>
      </c>
      <c r="K679" s="41"/>
      <c r="L679" s="42"/>
      <c r="M679" s="29">
        <v>-95987.21</v>
      </c>
      <c r="N679" s="30">
        <f t="shared" si="10"/>
        <v>235691.03000000003</v>
      </c>
    </row>
    <row r="680" spans="1:14" ht="15.75" thickBot="1" x14ac:dyDescent="0.3">
      <c r="A680" s="38" t="s">
        <v>984</v>
      </c>
      <c r="B680" s="28">
        <v>-1734661.61</v>
      </c>
      <c r="C680" s="28">
        <v>-783310.56</v>
      </c>
      <c r="D680" s="28">
        <v>-797937.03</v>
      </c>
      <c r="E680" s="33">
        <v>-723391.55</v>
      </c>
      <c r="F680" s="29">
        <v>-750585.69</v>
      </c>
      <c r="G680" s="29">
        <v>-742894.22</v>
      </c>
      <c r="H680" s="33">
        <v>-1244806.83</v>
      </c>
      <c r="I680" s="29">
        <v>-1197974.05</v>
      </c>
      <c r="J680" s="33">
        <v>-1157512.6599999999</v>
      </c>
      <c r="K680" s="33">
        <v>-1217846.2</v>
      </c>
      <c r="L680" s="29">
        <v>-1250792.19</v>
      </c>
      <c r="M680" s="33">
        <v>-1277688.74</v>
      </c>
      <c r="N680" s="34">
        <f t="shared" si="10"/>
        <v>-12879401.329999998</v>
      </c>
    </row>
    <row r="681" spans="1:14" ht="15.75" thickBot="1" x14ac:dyDescent="0.3">
      <c r="A681" s="38" t="s">
        <v>985</v>
      </c>
      <c r="B681" s="32">
        <v>-858239</v>
      </c>
      <c r="C681" s="32">
        <v>-858239</v>
      </c>
      <c r="D681" s="32">
        <v>-858239</v>
      </c>
      <c r="E681" s="29">
        <v>-858239</v>
      </c>
      <c r="F681" s="33">
        <v>-858239</v>
      </c>
      <c r="G681" s="33">
        <v>-858239</v>
      </c>
      <c r="H681" s="29">
        <v>-858239</v>
      </c>
      <c r="I681" s="33">
        <v>-991315</v>
      </c>
      <c r="J681" s="29">
        <v>-991315</v>
      </c>
      <c r="K681" s="29">
        <v>-991315</v>
      </c>
      <c r="L681" s="33">
        <v>-991315</v>
      </c>
      <c r="M681" s="29">
        <v>-991315</v>
      </c>
      <c r="N681" s="30">
        <f t="shared" si="10"/>
        <v>-10964248</v>
      </c>
    </row>
    <row r="682" spans="1:14" ht="15.75" thickBot="1" x14ac:dyDescent="0.3">
      <c r="A682" s="38" t="s">
        <v>985</v>
      </c>
      <c r="B682" s="28">
        <v>-788.71</v>
      </c>
      <c r="C682" s="28"/>
      <c r="D682" s="28"/>
      <c r="E682" s="42"/>
      <c r="F682" s="41"/>
      <c r="G682" s="41"/>
      <c r="H682" s="42"/>
      <c r="I682" s="41"/>
      <c r="J682" s="42"/>
      <c r="K682" s="42"/>
      <c r="L682" s="41"/>
      <c r="M682" s="42"/>
      <c r="N682" s="45">
        <f t="shared" si="10"/>
        <v>-788.71</v>
      </c>
    </row>
    <row r="683" spans="1:14" ht="15.75" thickBot="1" x14ac:dyDescent="0.3">
      <c r="A683" s="38" t="s">
        <v>986</v>
      </c>
      <c r="B683" s="32">
        <v>54479.32</v>
      </c>
      <c r="C683" s="32">
        <v>52304.69</v>
      </c>
      <c r="D683" s="32">
        <v>52310.32</v>
      </c>
      <c r="E683" s="29">
        <v>53349.440000000002</v>
      </c>
      <c r="F683" s="33">
        <v>53350.45</v>
      </c>
      <c r="G683" s="33">
        <v>53353.97</v>
      </c>
      <c r="H683" s="29">
        <v>54115.12</v>
      </c>
      <c r="I683" s="33">
        <v>54116.07</v>
      </c>
      <c r="J683" s="29">
        <v>54117.21</v>
      </c>
      <c r="K683" s="29">
        <v>54118.03</v>
      </c>
      <c r="L683" s="33">
        <v>54118.02</v>
      </c>
      <c r="M683" s="29">
        <v>54118.01</v>
      </c>
      <c r="N683" s="30">
        <f t="shared" si="10"/>
        <v>643850.65000000014</v>
      </c>
    </row>
    <row r="684" spans="1:14" ht="15.75" thickBot="1" x14ac:dyDescent="0.3">
      <c r="A684" s="38" t="s">
        <v>987</v>
      </c>
      <c r="B684" s="28">
        <v>133859</v>
      </c>
      <c r="C684" s="28">
        <v>121154</v>
      </c>
      <c r="D684" s="28">
        <v>47183</v>
      </c>
      <c r="E684" s="33">
        <v>123578</v>
      </c>
      <c r="F684" s="29">
        <v>115358</v>
      </c>
      <c r="G684" s="29">
        <v>19728</v>
      </c>
      <c r="H684" s="33">
        <v>124665</v>
      </c>
      <c r="I684" s="29">
        <v>147166</v>
      </c>
      <c r="J684" s="33">
        <v>161268</v>
      </c>
      <c r="K684" s="33">
        <v>137352</v>
      </c>
      <c r="L684" s="29">
        <v>145963</v>
      </c>
      <c r="M684" s="33">
        <v>138580</v>
      </c>
      <c r="N684" s="34">
        <f t="shared" si="10"/>
        <v>1415854</v>
      </c>
    </row>
    <row r="685" spans="1:14" ht="15.75" thickBot="1" x14ac:dyDescent="0.3">
      <c r="A685" s="38" t="s">
        <v>988</v>
      </c>
      <c r="B685" s="32">
        <v>47306</v>
      </c>
      <c r="C685" s="32">
        <v>42807</v>
      </c>
      <c r="D685" s="32">
        <v>16591</v>
      </c>
      <c r="E685" s="29">
        <v>43638</v>
      </c>
      <c r="F685" s="33">
        <v>40732</v>
      </c>
      <c r="G685" s="33">
        <v>6938</v>
      </c>
      <c r="H685" s="29">
        <v>43998</v>
      </c>
      <c r="I685" s="33">
        <v>51948</v>
      </c>
      <c r="J685" s="29">
        <v>56942</v>
      </c>
      <c r="K685" s="29">
        <v>48487</v>
      </c>
      <c r="L685" s="33">
        <v>51535</v>
      </c>
      <c r="M685" s="29">
        <v>48920</v>
      </c>
      <c r="N685" s="30">
        <f t="shared" si="10"/>
        <v>499842</v>
      </c>
    </row>
    <row r="686" spans="1:14" ht="15.75" thickBot="1" x14ac:dyDescent="0.3">
      <c r="A686" s="38" t="s">
        <v>989</v>
      </c>
      <c r="B686" s="28">
        <v>13742</v>
      </c>
      <c r="C686" s="28">
        <v>13245</v>
      </c>
      <c r="D686" s="28">
        <v>68990</v>
      </c>
      <c r="E686" s="33">
        <v>12286</v>
      </c>
      <c r="F686" s="29">
        <v>11757</v>
      </c>
      <c r="G686" s="29">
        <v>3701</v>
      </c>
      <c r="H686" s="33">
        <v>14023</v>
      </c>
      <c r="I686" s="29">
        <v>15940</v>
      </c>
      <c r="J686" s="33">
        <v>16376</v>
      </c>
      <c r="K686" s="33">
        <v>14645</v>
      </c>
      <c r="L686" s="29">
        <v>14968</v>
      </c>
      <c r="M686" s="33">
        <v>30293</v>
      </c>
      <c r="N686" s="34">
        <f t="shared" si="10"/>
        <v>229966</v>
      </c>
    </row>
    <row r="687" spans="1:14" ht="15.75" thickBot="1" x14ac:dyDescent="0.3">
      <c r="A687" s="38" t="s">
        <v>990</v>
      </c>
      <c r="B687" s="32">
        <v>5019</v>
      </c>
      <c r="C687" s="32">
        <v>4838</v>
      </c>
      <c r="D687" s="32">
        <v>24592</v>
      </c>
      <c r="E687" s="29">
        <v>4526</v>
      </c>
      <c r="F687" s="33">
        <v>4331</v>
      </c>
      <c r="G687" s="33">
        <v>1367</v>
      </c>
      <c r="H687" s="29">
        <v>5168</v>
      </c>
      <c r="I687" s="33">
        <v>5874</v>
      </c>
      <c r="J687" s="29">
        <v>6034</v>
      </c>
      <c r="K687" s="29">
        <v>5397</v>
      </c>
      <c r="L687" s="33">
        <v>5516</v>
      </c>
      <c r="M687" s="29">
        <v>10946</v>
      </c>
      <c r="N687" s="30">
        <f t="shared" si="10"/>
        <v>83608</v>
      </c>
    </row>
    <row r="688" spans="1:14" ht="15.75" thickBot="1" x14ac:dyDescent="0.3">
      <c r="A688" s="38" t="s">
        <v>991</v>
      </c>
      <c r="B688" s="28">
        <v>67318.19</v>
      </c>
      <c r="C688" s="28">
        <v>66060.87</v>
      </c>
      <c r="D688" s="28">
        <v>65859.09</v>
      </c>
      <c r="E688" s="33">
        <v>67849.83</v>
      </c>
      <c r="F688" s="29">
        <v>67637.3</v>
      </c>
      <c r="G688" s="29">
        <v>67432.12</v>
      </c>
      <c r="H688" s="33">
        <v>68978.5</v>
      </c>
      <c r="I688" s="29">
        <v>68757.710000000006</v>
      </c>
      <c r="J688" s="33">
        <v>68532.09</v>
      </c>
      <c r="K688" s="33">
        <v>68303.08</v>
      </c>
      <c r="L688" s="29">
        <v>68078.69</v>
      </c>
      <c r="M688" s="33">
        <v>67852.88</v>
      </c>
      <c r="N688" s="34">
        <f t="shared" si="10"/>
        <v>812660.35</v>
      </c>
    </row>
    <row r="689" spans="1:14" ht="15.75" thickBot="1" x14ac:dyDescent="0.3">
      <c r="A689" s="37" t="s">
        <v>992</v>
      </c>
      <c r="B689" s="32">
        <v>-3264.09</v>
      </c>
      <c r="C689" s="32">
        <v>-15670.52</v>
      </c>
      <c r="D689" s="32">
        <v>618081.48</v>
      </c>
      <c r="E689" s="29">
        <v>74813.75</v>
      </c>
      <c r="F689" s="33">
        <v>26391.54</v>
      </c>
      <c r="G689" s="33">
        <v>-342651.77</v>
      </c>
      <c r="H689" s="29">
        <v>-50190.17</v>
      </c>
      <c r="I689" s="33">
        <v>71306.12</v>
      </c>
      <c r="J689" s="29">
        <v>-77913.81</v>
      </c>
      <c r="K689" s="29">
        <v>12796.84</v>
      </c>
      <c r="L689" s="33">
        <v>-120710.62</v>
      </c>
      <c r="M689" s="29">
        <v>-50517.49</v>
      </c>
      <c r="N689" s="30">
        <f t="shared" si="10"/>
        <v>142471.26000000007</v>
      </c>
    </row>
    <row r="690" spans="1:14" ht="15.75" thickBot="1" x14ac:dyDescent="0.3">
      <c r="A690" s="38" t="s">
        <v>993</v>
      </c>
      <c r="B690" s="43"/>
      <c r="C690" s="43"/>
      <c r="D690" s="43"/>
      <c r="E690" s="42"/>
      <c r="F690" s="41"/>
      <c r="G690" s="41"/>
      <c r="H690" s="42"/>
      <c r="I690" s="41"/>
      <c r="J690" s="42"/>
      <c r="K690" s="42"/>
      <c r="L690" s="41"/>
      <c r="M690" s="42"/>
      <c r="N690" s="45">
        <f t="shared" si="10"/>
        <v>0</v>
      </c>
    </row>
    <row r="691" spans="1:14" ht="15.75" thickBot="1" x14ac:dyDescent="0.3">
      <c r="A691" s="38" t="s">
        <v>994</v>
      </c>
      <c r="B691" s="32">
        <v>2767</v>
      </c>
      <c r="C691" s="32">
        <v>2612.46</v>
      </c>
      <c r="D691" s="32">
        <v>2612.4699999999998</v>
      </c>
      <c r="E691" s="29">
        <v>2715.49</v>
      </c>
      <c r="F691" s="33">
        <v>2715.49</v>
      </c>
      <c r="G691" s="33">
        <v>2715.49</v>
      </c>
      <c r="H691" s="29">
        <v>2715.49</v>
      </c>
      <c r="I691" s="33">
        <v>2715.49</v>
      </c>
      <c r="J691" s="29">
        <v>2715.49</v>
      </c>
      <c r="K691" s="29">
        <v>2851</v>
      </c>
      <c r="L691" s="33">
        <v>2851</v>
      </c>
      <c r="M691" s="29">
        <v>2851</v>
      </c>
      <c r="N691" s="30">
        <f t="shared" si="10"/>
        <v>32837.869999999995</v>
      </c>
    </row>
    <row r="692" spans="1:14" ht="15.75" thickBot="1" x14ac:dyDescent="0.3">
      <c r="A692" s="38" t="s">
        <v>995</v>
      </c>
      <c r="B692" s="43"/>
      <c r="C692" s="43"/>
      <c r="D692" s="43"/>
      <c r="E692" s="42"/>
      <c r="F692" s="41"/>
      <c r="G692" s="41"/>
      <c r="H692" s="42"/>
      <c r="I692" s="41"/>
      <c r="J692" s="42"/>
      <c r="K692" s="42"/>
      <c r="L692" s="41"/>
      <c r="M692" s="42"/>
      <c r="N692" s="45">
        <f t="shared" si="10"/>
        <v>0</v>
      </c>
    </row>
    <row r="693" spans="1:14" ht="15.75" thickBot="1" x14ac:dyDescent="0.3">
      <c r="A693" s="38" t="s">
        <v>996</v>
      </c>
      <c r="B693" s="32">
        <v>-2500</v>
      </c>
      <c r="C693" s="32">
        <v>-2250</v>
      </c>
      <c r="D693" s="32">
        <v>-2250</v>
      </c>
      <c r="E693" s="29">
        <v>-2075.1799999999998</v>
      </c>
      <c r="F693" s="33">
        <v>-2250</v>
      </c>
      <c r="G693" s="33">
        <v>-2072.8000000000002</v>
      </c>
      <c r="H693" s="29">
        <v>-2250</v>
      </c>
      <c r="I693" s="33">
        <v>-2072.8000000000002</v>
      </c>
      <c r="J693" s="29">
        <v>-2250</v>
      </c>
      <c r="K693" s="29">
        <v>-2250</v>
      </c>
      <c r="L693" s="33">
        <v>-2250</v>
      </c>
      <c r="M693" s="29">
        <v>-2250</v>
      </c>
      <c r="N693" s="30">
        <f t="shared" si="10"/>
        <v>-26720.78</v>
      </c>
    </row>
    <row r="694" spans="1:14" ht="15.75" thickBot="1" x14ac:dyDescent="0.3">
      <c r="A694" s="38" t="s">
        <v>997</v>
      </c>
      <c r="B694" s="28">
        <v>-44371</v>
      </c>
      <c r="C694" s="28"/>
      <c r="D694" s="28"/>
      <c r="E694" s="33">
        <v>-46013</v>
      </c>
      <c r="F694" s="29">
        <v>563</v>
      </c>
      <c r="G694" s="41"/>
      <c r="H694" s="33">
        <v>-45450</v>
      </c>
      <c r="I694" s="41"/>
      <c r="J694" s="42"/>
      <c r="K694" s="42"/>
      <c r="L694" s="29">
        <v>-45450</v>
      </c>
      <c r="M694" s="42"/>
      <c r="N694" s="34">
        <f t="shared" si="10"/>
        <v>-180721</v>
      </c>
    </row>
    <row r="695" spans="1:14" ht="15.75" thickBot="1" x14ac:dyDescent="0.3">
      <c r="A695" s="38" t="s">
        <v>998</v>
      </c>
      <c r="B695" s="32">
        <v>3266.42</v>
      </c>
      <c r="C695" s="32">
        <v>1006.14</v>
      </c>
      <c r="D695" s="32">
        <v>355.25</v>
      </c>
      <c r="E695" s="29">
        <v>1573</v>
      </c>
      <c r="F695" s="33">
        <v>16530.23</v>
      </c>
      <c r="G695" s="33">
        <v>2308</v>
      </c>
      <c r="H695" s="29">
        <v>2184</v>
      </c>
      <c r="I695" s="33">
        <v>1262</v>
      </c>
      <c r="J695" s="29">
        <v>5184.75</v>
      </c>
      <c r="K695" s="29">
        <v>558</v>
      </c>
      <c r="L695" s="33">
        <v>2296.2600000000002</v>
      </c>
      <c r="M695" s="29">
        <v>22850</v>
      </c>
      <c r="N695" s="30">
        <f t="shared" si="10"/>
        <v>59374.05</v>
      </c>
    </row>
    <row r="696" spans="1:14" ht="15.75" thickBot="1" x14ac:dyDescent="0.3">
      <c r="A696" s="38" t="s">
        <v>999</v>
      </c>
      <c r="B696" s="43"/>
      <c r="C696" s="43"/>
      <c r="D696" s="43"/>
      <c r="E696" s="33">
        <v>384.7</v>
      </c>
      <c r="F696" s="41"/>
      <c r="G696" s="41"/>
      <c r="H696" s="42"/>
      <c r="I696" s="41"/>
      <c r="J696" s="42"/>
      <c r="K696" s="42"/>
      <c r="L696" s="41"/>
      <c r="M696" s="42"/>
      <c r="N696" s="34">
        <f t="shared" si="10"/>
        <v>384.7</v>
      </c>
    </row>
    <row r="697" spans="1:14" ht="15.75" thickBot="1" x14ac:dyDescent="0.3">
      <c r="A697" s="38" t="s">
        <v>1000</v>
      </c>
      <c r="B697" s="32">
        <v>17009.43</v>
      </c>
      <c r="C697" s="32">
        <v>8611.99</v>
      </c>
      <c r="D697" s="32">
        <v>13002.81</v>
      </c>
      <c r="E697" s="29">
        <v>11656.28</v>
      </c>
      <c r="F697" s="33">
        <v>14303.55</v>
      </c>
      <c r="G697" s="33">
        <v>12930.58</v>
      </c>
      <c r="H697" s="29">
        <v>12130.49</v>
      </c>
      <c r="I697" s="33">
        <v>13089.8</v>
      </c>
      <c r="J697" s="29">
        <v>12315.86</v>
      </c>
      <c r="K697" s="29">
        <v>12915.86</v>
      </c>
      <c r="L697" s="33">
        <v>12751.88</v>
      </c>
      <c r="M697" s="29">
        <v>12450.66</v>
      </c>
      <c r="N697" s="30">
        <f t="shared" si="10"/>
        <v>153169.19</v>
      </c>
    </row>
    <row r="698" spans="1:14" ht="15.75" thickBot="1" x14ac:dyDescent="0.3">
      <c r="A698" s="38" t="s">
        <v>1001</v>
      </c>
      <c r="B698" s="43"/>
      <c r="C698" s="43">
        <v>5453.6</v>
      </c>
      <c r="D698" s="43"/>
      <c r="E698" s="42"/>
      <c r="F698" s="41"/>
      <c r="G698" s="41"/>
      <c r="H698" s="42"/>
      <c r="I698" s="41"/>
      <c r="J698" s="42"/>
      <c r="K698" s="42"/>
      <c r="L698" s="41"/>
      <c r="M698" s="42"/>
      <c r="N698" s="45">
        <f t="shared" si="10"/>
        <v>5453.6</v>
      </c>
    </row>
    <row r="699" spans="1:14" ht="15.75" thickBot="1" x14ac:dyDescent="0.3">
      <c r="A699" s="38" t="s">
        <v>1002</v>
      </c>
      <c r="B699" s="40"/>
      <c r="C699" s="40"/>
      <c r="D699" s="40"/>
      <c r="E699" s="42"/>
      <c r="F699" s="41"/>
      <c r="G699" s="41"/>
      <c r="H699" s="42"/>
      <c r="I699" s="41"/>
      <c r="J699" s="42"/>
      <c r="K699" s="41"/>
      <c r="L699" s="42"/>
      <c r="M699" s="41"/>
      <c r="N699" s="44">
        <f t="shared" si="10"/>
        <v>0</v>
      </c>
    </row>
    <row r="700" spans="1:14" ht="15.75" thickBot="1" x14ac:dyDescent="0.3">
      <c r="A700" s="38" t="s">
        <v>1003</v>
      </c>
      <c r="B700" s="43"/>
      <c r="C700" s="43"/>
      <c r="D700" s="43"/>
      <c r="E700" s="41"/>
      <c r="F700" s="42"/>
      <c r="G700" s="42"/>
      <c r="H700" s="41"/>
      <c r="I700" s="42"/>
      <c r="J700" s="41"/>
      <c r="K700" s="42"/>
      <c r="L700" s="41"/>
      <c r="M700" s="42"/>
      <c r="N700" s="45">
        <f t="shared" si="10"/>
        <v>0</v>
      </c>
    </row>
    <row r="701" spans="1:14" ht="15.75" thickBot="1" x14ac:dyDescent="0.3">
      <c r="A701" s="38" t="s">
        <v>1004</v>
      </c>
      <c r="B701" s="43"/>
      <c r="C701" s="43"/>
      <c r="D701" s="43"/>
      <c r="E701" s="42"/>
      <c r="F701" s="41"/>
      <c r="G701" s="29">
        <v>-11826.02</v>
      </c>
      <c r="H701" s="33">
        <v>-33802.06</v>
      </c>
      <c r="I701" s="29">
        <v>-36845.660000000003</v>
      </c>
      <c r="J701" s="33">
        <v>-31820.34</v>
      </c>
      <c r="K701" s="29">
        <v>-26083.919999999998</v>
      </c>
      <c r="L701" s="33">
        <v>-26744.67</v>
      </c>
      <c r="M701" s="29">
        <v>-23598.54</v>
      </c>
      <c r="N701" s="30">
        <f t="shared" si="10"/>
        <v>-190721.21</v>
      </c>
    </row>
    <row r="702" spans="1:14" ht="15.75" thickBot="1" x14ac:dyDescent="0.3">
      <c r="A702" s="38" t="s">
        <v>1005</v>
      </c>
      <c r="B702" s="54">
        <v>-28376.94</v>
      </c>
      <c r="C702" s="54">
        <v>0</v>
      </c>
      <c r="D702" s="54">
        <v>0</v>
      </c>
      <c r="E702" s="52">
        <v>0</v>
      </c>
      <c r="F702" s="46">
        <v>0</v>
      </c>
      <c r="G702" s="46">
        <v>0</v>
      </c>
      <c r="H702" s="52">
        <v>0</v>
      </c>
      <c r="I702" s="46">
        <v>0</v>
      </c>
      <c r="J702" s="52">
        <v>0</v>
      </c>
      <c r="K702" s="46">
        <v>0</v>
      </c>
      <c r="L702" s="52">
        <v>0</v>
      </c>
      <c r="M702" s="46">
        <v>0</v>
      </c>
      <c r="N702" s="51">
        <f t="shared" si="10"/>
        <v>-28376.94</v>
      </c>
    </row>
    <row r="703" spans="1:14" ht="15.75" thickBot="1" x14ac:dyDescent="0.3">
      <c r="A703" s="38" t="s">
        <v>1006</v>
      </c>
      <c r="B703" s="28">
        <v>1642.74</v>
      </c>
      <c r="C703" s="28">
        <v>1642.75</v>
      </c>
      <c r="D703" s="28">
        <v>1642.75</v>
      </c>
      <c r="E703" s="33">
        <v>1642.74</v>
      </c>
      <c r="F703" s="29">
        <v>1642.73</v>
      </c>
      <c r="G703" s="29">
        <v>1642.76</v>
      </c>
      <c r="H703" s="33">
        <v>1642.75</v>
      </c>
      <c r="I703" s="29">
        <v>1642.74</v>
      </c>
      <c r="J703" s="33">
        <v>1642.73</v>
      </c>
      <c r="K703" s="29">
        <v>1642.75</v>
      </c>
      <c r="L703" s="33">
        <v>1642.75</v>
      </c>
      <c r="M703" s="29">
        <v>1642.74</v>
      </c>
      <c r="N703" s="30">
        <f t="shared" si="10"/>
        <v>19712.93</v>
      </c>
    </row>
    <row r="704" spans="1:14" ht="15.75" thickBot="1" x14ac:dyDescent="0.3">
      <c r="A704" s="38" t="s">
        <v>1007</v>
      </c>
      <c r="B704" s="32">
        <v>1375.66</v>
      </c>
      <c r="C704" s="32">
        <v>1375.63</v>
      </c>
      <c r="D704" s="32">
        <v>1375.68</v>
      </c>
      <c r="E704" s="29">
        <v>1375.64</v>
      </c>
      <c r="F704" s="33">
        <v>1375.65</v>
      </c>
      <c r="G704" s="33">
        <v>1375.65</v>
      </c>
      <c r="H704" s="29">
        <v>1375.67</v>
      </c>
      <c r="I704" s="33">
        <v>1375.63</v>
      </c>
      <c r="J704" s="29">
        <v>1375.67</v>
      </c>
      <c r="K704" s="33">
        <v>1375.66</v>
      </c>
      <c r="L704" s="29">
        <v>1386.03</v>
      </c>
      <c r="M704" s="33">
        <v>1396.46</v>
      </c>
      <c r="N704" s="34">
        <f t="shared" si="10"/>
        <v>16539.03</v>
      </c>
    </row>
    <row r="705" spans="1:14" ht="15.75" thickBot="1" x14ac:dyDescent="0.3">
      <c r="A705" s="38" t="s">
        <v>1008</v>
      </c>
      <c r="B705" s="43"/>
      <c r="C705" s="43"/>
      <c r="D705" s="43"/>
      <c r="E705" s="42"/>
      <c r="F705" s="41"/>
      <c r="G705" s="41"/>
      <c r="H705" s="42"/>
      <c r="I705" s="41"/>
      <c r="J705" s="42"/>
      <c r="K705" s="41"/>
      <c r="L705" s="42"/>
      <c r="M705" s="41"/>
      <c r="N705" s="44">
        <f t="shared" si="10"/>
        <v>0</v>
      </c>
    </row>
    <row r="706" spans="1:14" ht="15.75" thickBot="1" x14ac:dyDescent="0.3">
      <c r="A706" s="56" t="s">
        <v>1009</v>
      </c>
      <c r="B706" s="40"/>
      <c r="C706" s="40"/>
      <c r="D706" s="40"/>
      <c r="E706" s="42"/>
      <c r="F706" s="41"/>
      <c r="G706" s="41"/>
      <c r="H706" s="42"/>
      <c r="I706" s="41"/>
      <c r="J706" s="42"/>
      <c r="K706" s="41"/>
      <c r="L706" s="42"/>
      <c r="M706" s="41"/>
      <c r="N706" s="44">
        <f t="shared" si="10"/>
        <v>0</v>
      </c>
    </row>
    <row r="707" spans="1:14" ht="15.75" thickBot="1" x14ac:dyDescent="0.3">
      <c r="A707" s="38" t="s">
        <v>1010</v>
      </c>
      <c r="B707" s="43"/>
      <c r="C707" s="43"/>
      <c r="D707" s="43"/>
      <c r="E707" s="41"/>
      <c r="F707" s="42"/>
      <c r="G707" s="42"/>
      <c r="H707" s="41"/>
      <c r="I707" s="42"/>
      <c r="J707" s="41"/>
      <c r="K707" s="42"/>
      <c r="L707" s="41"/>
      <c r="M707" s="42"/>
      <c r="N707" s="45">
        <f t="shared" si="10"/>
        <v>0</v>
      </c>
    </row>
    <row r="708" spans="1:14" ht="15.75" thickBot="1" x14ac:dyDescent="0.3">
      <c r="A708" s="38" t="s">
        <v>1011</v>
      </c>
      <c r="B708" s="54">
        <v>0</v>
      </c>
      <c r="C708" s="54">
        <v>0</v>
      </c>
      <c r="D708" s="54">
        <v>0</v>
      </c>
      <c r="E708" s="46">
        <v>0</v>
      </c>
      <c r="F708" s="52">
        <v>0</v>
      </c>
      <c r="G708" s="52">
        <v>0</v>
      </c>
      <c r="H708" s="33">
        <v>0.1</v>
      </c>
      <c r="I708" s="52">
        <v>0</v>
      </c>
      <c r="J708" s="46">
        <v>0</v>
      </c>
      <c r="K708" s="52">
        <v>0</v>
      </c>
      <c r="L708" s="46">
        <v>0</v>
      </c>
      <c r="M708" s="52">
        <v>0</v>
      </c>
      <c r="N708" s="30">
        <f t="shared" si="10"/>
        <v>0.1</v>
      </c>
    </row>
    <row r="709" spans="1:14" ht="15.75" thickBot="1" x14ac:dyDescent="0.3">
      <c r="A709" s="38" t="s">
        <v>1012</v>
      </c>
      <c r="B709" s="28">
        <v>-2474.9899999999998</v>
      </c>
      <c r="C709" s="28">
        <v>-2474.9899999999998</v>
      </c>
      <c r="D709" s="28">
        <v>-2474.9899999999998</v>
      </c>
      <c r="E709" s="29">
        <v>-2474.9899999999998</v>
      </c>
      <c r="F709" s="33">
        <v>-2474.9899999999998</v>
      </c>
      <c r="G709" s="33">
        <v>-2474.9899999999998</v>
      </c>
      <c r="H709" s="29">
        <v>-2474.9899999999998</v>
      </c>
      <c r="I709" s="33">
        <v>-2474.9899999999998</v>
      </c>
      <c r="J709" s="29">
        <v>-2474.9899999999998</v>
      </c>
      <c r="K709" s="33">
        <v>-2474.9899999999998</v>
      </c>
      <c r="L709" s="29">
        <v>-2474.9899999999998</v>
      </c>
      <c r="M709" s="33">
        <v>-2474.9899999999998</v>
      </c>
      <c r="N709" s="34">
        <f t="shared" si="10"/>
        <v>-29699.87999999999</v>
      </c>
    </row>
    <row r="710" spans="1:14" ht="15.75" thickBot="1" x14ac:dyDescent="0.3">
      <c r="A710" s="38" t="s">
        <v>1013</v>
      </c>
      <c r="B710" s="40"/>
      <c r="C710" s="40"/>
      <c r="D710" s="40"/>
      <c r="E710" s="42"/>
      <c r="F710" s="41"/>
      <c r="G710" s="41"/>
      <c r="H710" s="42"/>
      <c r="I710" s="41"/>
      <c r="J710" s="42"/>
      <c r="K710" s="41"/>
      <c r="L710" s="42"/>
      <c r="M710" s="41"/>
      <c r="N710" s="44">
        <f t="shared" ref="N710:N773" si="11">SUM(B710:M710)</f>
        <v>0</v>
      </c>
    </row>
    <row r="711" spans="1:14" ht="15.75" thickBot="1" x14ac:dyDescent="0.3">
      <c r="A711" s="38" t="s">
        <v>1014</v>
      </c>
      <c r="B711" s="28">
        <v>-979.78</v>
      </c>
      <c r="C711" s="28">
        <v>-979.78</v>
      </c>
      <c r="D711" s="28">
        <v>-982.91</v>
      </c>
      <c r="E711" s="29">
        <v>-960.46</v>
      </c>
      <c r="F711" s="33">
        <v>-968.73</v>
      </c>
      <c r="G711" s="33">
        <v>-966.85</v>
      </c>
      <c r="H711" s="29">
        <v>-956.51</v>
      </c>
      <c r="I711" s="42"/>
      <c r="J711" s="29">
        <v>-1906.76</v>
      </c>
      <c r="K711" s="33">
        <v>-920.79</v>
      </c>
      <c r="L711" s="29">
        <v>-917.97</v>
      </c>
      <c r="M711" s="33">
        <v>-915.54</v>
      </c>
      <c r="N711" s="34">
        <f t="shared" si="11"/>
        <v>-11456.079999999998</v>
      </c>
    </row>
    <row r="712" spans="1:14" ht="15.75" thickBot="1" x14ac:dyDescent="0.3">
      <c r="A712" s="38" t="s">
        <v>1015</v>
      </c>
      <c r="B712" s="40"/>
      <c r="C712" s="40"/>
      <c r="D712" s="40"/>
      <c r="E712" s="42"/>
      <c r="F712" s="41"/>
      <c r="G712" s="41"/>
      <c r="H712" s="42"/>
      <c r="I712" s="41"/>
      <c r="J712" s="42"/>
      <c r="K712" s="41"/>
      <c r="L712" s="42"/>
      <c r="M712" s="41"/>
      <c r="N712" s="44">
        <f t="shared" si="11"/>
        <v>0</v>
      </c>
    </row>
    <row r="713" spans="1:14" ht="15.75" thickBot="1" x14ac:dyDescent="0.3">
      <c r="A713" s="38" t="s">
        <v>1016</v>
      </c>
      <c r="B713" s="43"/>
      <c r="C713" s="43"/>
      <c r="D713" s="43"/>
      <c r="E713" s="41"/>
      <c r="F713" s="42"/>
      <c r="G713" s="42"/>
      <c r="H713" s="41"/>
      <c r="I713" s="42"/>
      <c r="J713" s="41"/>
      <c r="K713" s="42"/>
      <c r="L713" s="41"/>
      <c r="M713" s="42"/>
      <c r="N713" s="45">
        <f t="shared" si="11"/>
        <v>0</v>
      </c>
    </row>
    <row r="714" spans="1:14" ht="15.75" thickBot="1" x14ac:dyDescent="0.3">
      <c r="A714" s="38" t="s">
        <v>1017</v>
      </c>
      <c r="B714" s="40"/>
      <c r="C714" s="40"/>
      <c r="D714" s="40"/>
      <c r="E714" s="42"/>
      <c r="F714" s="41"/>
      <c r="G714" s="41"/>
      <c r="H714" s="42"/>
      <c r="I714" s="41"/>
      <c r="J714" s="42"/>
      <c r="K714" s="41"/>
      <c r="L714" s="42"/>
      <c r="M714" s="41"/>
      <c r="N714" s="44">
        <f t="shared" si="11"/>
        <v>0</v>
      </c>
    </row>
    <row r="715" spans="1:14" ht="15.75" thickBot="1" x14ac:dyDescent="0.3">
      <c r="A715" s="38" t="s">
        <v>1018</v>
      </c>
      <c r="B715" s="43"/>
      <c r="C715" s="43"/>
      <c r="D715" s="43"/>
      <c r="E715" s="29">
        <v>-6358</v>
      </c>
      <c r="F715" s="33">
        <v>-840</v>
      </c>
      <c r="G715" s="42"/>
      <c r="H715" s="29">
        <v>-20000</v>
      </c>
      <c r="I715" s="42"/>
      <c r="J715" s="41"/>
      <c r="K715" s="42"/>
      <c r="L715" s="41"/>
      <c r="M715" s="33">
        <v>-15000</v>
      </c>
      <c r="N715" s="34">
        <f t="shared" si="11"/>
        <v>-42198</v>
      </c>
    </row>
    <row r="716" spans="1:14" ht="15.75" thickBot="1" x14ac:dyDescent="0.3">
      <c r="A716" s="38" t="s">
        <v>1019</v>
      </c>
      <c r="B716" s="54">
        <v>31711.74</v>
      </c>
      <c r="C716" s="54">
        <v>-3334.8</v>
      </c>
      <c r="D716" s="54">
        <v>0</v>
      </c>
      <c r="E716" s="46">
        <v>0</v>
      </c>
      <c r="F716" s="52">
        <v>0</v>
      </c>
      <c r="G716" s="29">
        <v>2618</v>
      </c>
      <c r="H716" s="33">
        <v>-2618</v>
      </c>
      <c r="I716" s="29">
        <v>2618</v>
      </c>
      <c r="J716" s="46">
        <v>0</v>
      </c>
      <c r="K716" s="52">
        <v>0</v>
      </c>
      <c r="L716" s="46">
        <v>0</v>
      </c>
      <c r="M716" s="29">
        <v>-2618</v>
      </c>
      <c r="N716" s="53">
        <f t="shared" si="11"/>
        <v>28376.940000000002</v>
      </c>
    </row>
    <row r="717" spans="1:14" ht="15.75" thickBot="1" x14ac:dyDescent="0.3">
      <c r="A717" s="38" t="s">
        <v>1020</v>
      </c>
      <c r="B717" s="43">
        <v>0</v>
      </c>
      <c r="C717" s="43">
        <v>0</v>
      </c>
      <c r="D717" s="43">
        <v>0</v>
      </c>
      <c r="E717" s="52">
        <v>0</v>
      </c>
      <c r="F717" s="46">
        <v>0</v>
      </c>
      <c r="G717" s="46">
        <v>0</v>
      </c>
      <c r="H717" s="52">
        <v>0</v>
      </c>
      <c r="I717" s="46">
        <v>0</v>
      </c>
      <c r="J717" s="52">
        <v>0</v>
      </c>
      <c r="K717" s="46">
        <v>0</v>
      </c>
      <c r="L717" s="52">
        <v>0</v>
      </c>
      <c r="M717" s="46">
        <v>0</v>
      </c>
      <c r="N717" s="51">
        <f t="shared" si="11"/>
        <v>0</v>
      </c>
    </row>
    <row r="718" spans="1:14" ht="15.75" thickBot="1" x14ac:dyDescent="0.3">
      <c r="A718" s="38" t="s">
        <v>1021</v>
      </c>
      <c r="B718" s="40">
        <v>-0.01</v>
      </c>
      <c r="C718" s="40">
        <v>129.34</v>
      </c>
      <c r="D718" s="40">
        <v>-129.33000000000001</v>
      </c>
      <c r="E718" s="46">
        <v>0</v>
      </c>
      <c r="F718" s="29">
        <v>-0.01</v>
      </c>
      <c r="G718" s="52">
        <v>0</v>
      </c>
      <c r="H718" s="33">
        <v>0.01</v>
      </c>
      <c r="I718" s="52">
        <v>0</v>
      </c>
      <c r="J718" s="46">
        <v>0</v>
      </c>
      <c r="K718" s="52">
        <v>0</v>
      </c>
      <c r="L718" s="46">
        <v>0</v>
      </c>
      <c r="M718" s="52">
        <v>0</v>
      </c>
      <c r="N718" s="53">
        <f t="shared" si="11"/>
        <v>0</v>
      </c>
    </row>
    <row r="719" spans="1:14" ht="15.75" thickBot="1" x14ac:dyDescent="0.3">
      <c r="A719" s="38" t="s">
        <v>1022</v>
      </c>
      <c r="B719" s="55">
        <v>0</v>
      </c>
      <c r="C719" s="55">
        <v>-60</v>
      </c>
      <c r="D719" s="55">
        <v>60</v>
      </c>
      <c r="E719" s="52">
        <v>0</v>
      </c>
      <c r="F719" s="46">
        <v>0</v>
      </c>
      <c r="G719" s="46">
        <v>0</v>
      </c>
      <c r="H719" s="52">
        <v>0</v>
      </c>
      <c r="I719" s="46">
        <v>0</v>
      </c>
      <c r="J719" s="52">
        <v>0</v>
      </c>
      <c r="K719" s="46">
        <v>0</v>
      </c>
      <c r="L719" s="52">
        <v>0</v>
      </c>
      <c r="M719" s="46">
        <v>0</v>
      </c>
      <c r="N719" s="51">
        <f t="shared" si="11"/>
        <v>0</v>
      </c>
    </row>
    <row r="720" spans="1:14" ht="15.75" thickBot="1" x14ac:dyDescent="0.3">
      <c r="A720" s="38" t="s">
        <v>1023</v>
      </c>
      <c r="B720" s="54">
        <v>0</v>
      </c>
      <c r="C720" s="54">
        <v>0</v>
      </c>
      <c r="D720" s="54">
        <v>0</v>
      </c>
      <c r="E720" s="46">
        <v>0</v>
      </c>
      <c r="F720" s="41"/>
      <c r="G720" s="41"/>
      <c r="H720" s="42"/>
      <c r="I720" s="41"/>
      <c r="J720" s="42"/>
      <c r="K720" s="41"/>
      <c r="L720" s="42"/>
      <c r="M720" s="41"/>
      <c r="N720" s="53">
        <f t="shared" si="11"/>
        <v>0</v>
      </c>
    </row>
    <row r="721" spans="1:14" ht="15.75" thickBot="1" x14ac:dyDescent="0.3">
      <c r="A721" s="38" t="s">
        <v>1024</v>
      </c>
      <c r="B721" s="43"/>
      <c r="C721" s="43"/>
      <c r="D721" s="43"/>
      <c r="E721" s="41"/>
      <c r="F721" s="42"/>
      <c r="G721" s="42"/>
      <c r="H721" s="41"/>
      <c r="I721" s="42"/>
      <c r="J721" s="41"/>
      <c r="K721" s="42"/>
      <c r="L721" s="41"/>
      <c r="M721" s="42"/>
      <c r="N721" s="45">
        <f t="shared" si="11"/>
        <v>0</v>
      </c>
    </row>
    <row r="722" spans="1:14" ht="15.75" thickBot="1" x14ac:dyDescent="0.3">
      <c r="A722" s="38" t="s">
        <v>1025</v>
      </c>
      <c r="B722" s="40"/>
      <c r="C722" s="40"/>
      <c r="D722" s="40"/>
      <c r="E722" s="42"/>
      <c r="F722" s="41"/>
      <c r="G722" s="41"/>
      <c r="H722" s="42"/>
      <c r="I722" s="41"/>
      <c r="J722" s="42"/>
      <c r="K722" s="41"/>
      <c r="L722" s="42"/>
      <c r="M722" s="41"/>
      <c r="N722" s="44">
        <f t="shared" si="11"/>
        <v>0</v>
      </c>
    </row>
    <row r="723" spans="1:14" ht="15.75" thickBot="1" x14ac:dyDescent="0.3">
      <c r="A723" s="38" t="s">
        <v>1026</v>
      </c>
      <c r="B723" s="43"/>
      <c r="C723" s="43"/>
      <c r="D723" s="43"/>
      <c r="E723" s="41"/>
      <c r="F723" s="42"/>
      <c r="G723" s="42"/>
      <c r="H723" s="41"/>
      <c r="I723" s="42"/>
      <c r="J723" s="41"/>
      <c r="K723" s="42"/>
      <c r="L723" s="41"/>
      <c r="M723" s="42"/>
      <c r="N723" s="45">
        <f t="shared" si="11"/>
        <v>0</v>
      </c>
    </row>
    <row r="724" spans="1:14" ht="15.75" thickBot="1" x14ac:dyDescent="0.3">
      <c r="A724" s="56" t="s">
        <v>1027</v>
      </c>
      <c r="B724" s="40"/>
      <c r="C724" s="40"/>
      <c r="D724" s="40"/>
      <c r="E724" s="41"/>
      <c r="F724" s="42"/>
      <c r="G724" s="42"/>
      <c r="H724" s="41"/>
      <c r="I724" s="42"/>
      <c r="J724" s="41"/>
      <c r="K724" s="42"/>
      <c r="L724" s="41"/>
      <c r="M724" s="42"/>
      <c r="N724" s="45">
        <f t="shared" si="11"/>
        <v>0</v>
      </c>
    </row>
    <row r="725" spans="1:14" ht="15.75" thickBot="1" x14ac:dyDescent="0.3">
      <c r="A725" s="38" t="s">
        <v>1028</v>
      </c>
      <c r="B725" s="43"/>
      <c r="C725" s="43">
        <v>500</v>
      </c>
      <c r="D725" s="43">
        <v>500</v>
      </c>
      <c r="E725" s="42"/>
      <c r="F725" s="41"/>
      <c r="G725" s="41"/>
      <c r="H725" s="42"/>
      <c r="I725" s="41"/>
      <c r="J725" s="42"/>
      <c r="K725" s="29">
        <v>26.45</v>
      </c>
      <c r="L725" s="42"/>
      <c r="M725" s="29">
        <v>5.75</v>
      </c>
      <c r="N725" s="30">
        <f t="shared" si="11"/>
        <v>1032.2</v>
      </c>
    </row>
    <row r="726" spans="1:14" ht="15.75" thickBot="1" x14ac:dyDescent="0.3">
      <c r="A726" s="38" t="s">
        <v>1029</v>
      </c>
      <c r="B726" s="32">
        <v>48235.96</v>
      </c>
      <c r="C726" s="32">
        <v>19200</v>
      </c>
      <c r="D726" s="32">
        <v>538800</v>
      </c>
      <c r="E726" s="29">
        <v>128392.06</v>
      </c>
      <c r="F726" s="33">
        <v>93461.7</v>
      </c>
      <c r="G726" s="33">
        <v>181697.34</v>
      </c>
      <c r="H726" s="29">
        <v>55982.98</v>
      </c>
      <c r="I726" s="33">
        <v>170650</v>
      </c>
      <c r="J726" s="29">
        <v>18500</v>
      </c>
      <c r="K726" s="33">
        <v>66392</v>
      </c>
      <c r="L726" s="29">
        <v>1320</v>
      </c>
      <c r="M726" s="33">
        <v>7500</v>
      </c>
      <c r="N726" s="34">
        <f t="shared" si="11"/>
        <v>1330132.04</v>
      </c>
    </row>
    <row r="727" spans="1:14" ht="15.75" thickBot="1" x14ac:dyDescent="0.3">
      <c r="A727" s="38" t="s">
        <v>1029</v>
      </c>
      <c r="B727" s="43"/>
      <c r="C727" s="43"/>
      <c r="D727" s="43">
        <v>1000</v>
      </c>
      <c r="E727" s="42"/>
      <c r="F727" s="41"/>
      <c r="G727" s="41"/>
      <c r="H727" s="42"/>
      <c r="I727" s="41"/>
      <c r="J727" s="33">
        <v>500</v>
      </c>
      <c r="K727" s="41"/>
      <c r="L727" s="42"/>
      <c r="M727" s="41"/>
      <c r="N727" s="30">
        <f t="shared" si="11"/>
        <v>1500</v>
      </c>
    </row>
    <row r="728" spans="1:14" ht="15.75" thickBot="1" x14ac:dyDescent="0.3">
      <c r="A728" s="38" t="s">
        <v>1030</v>
      </c>
      <c r="B728" s="40"/>
      <c r="C728" s="40">
        <v>213.25</v>
      </c>
      <c r="D728" s="40">
        <v>213.25</v>
      </c>
      <c r="E728" s="29">
        <v>213.25</v>
      </c>
      <c r="F728" s="33">
        <v>213.25</v>
      </c>
      <c r="G728" s="33">
        <v>213.25</v>
      </c>
      <c r="H728" s="29">
        <v>213.25</v>
      </c>
      <c r="I728" s="33">
        <v>213.25</v>
      </c>
      <c r="J728" s="29">
        <v>213.25</v>
      </c>
      <c r="K728" s="33">
        <v>213.25</v>
      </c>
      <c r="L728" s="29">
        <v>213.25</v>
      </c>
      <c r="M728" s="33">
        <v>213.25</v>
      </c>
      <c r="N728" s="34">
        <f t="shared" si="11"/>
        <v>2345.75</v>
      </c>
    </row>
    <row r="729" spans="1:14" ht="15.75" thickBot="1" x14ac:dyDescent="0.3">
      <c r="A729" s="38" t="s">
        <v>1031</v>
      </c>
      <c r="B729" s="28">
        <v>-112639.09</v>
      </c>
      <c r="C729" s="28">
        <v>-112639.09</v>
      </c>
      <c r="D729" s="28">
        <v>-108458.81</v>
      </c>
      <c r="E729" s="33">
        <v>-112073.59</v>
      </c>
      <c r="F729" s="29">
        <v>-112073.59</v>
      </c>
      <c r="G729" s="29">
        <v>-112073.59</v>
      </c>
      <c r="H729" s="33">
        <v>-109414.53</v>
      </c>
      <c r="I729" s="29">
        <v>-109414.53</v>
      </c>
      <c r="J729" s="33">
        <v>-109414.53</v>
      </c>
      <c r="K729" s="29">
        <v>-85590.38</v>
      </c>
      <c r="L729" s="33">
        <v>-109586.92</v>
      </c>
      <c r="M729" s="29">
        <v>-109586.92</v>
      </c>
      <c r="N729" s="30">
        <f t="shared" si="11"/>
        <v>-1302965.5699999998</v>
      </c>
    </row>
    <row r="730" spans="1:14" ht="15.75" thickBot="1" x14ac:dyDescent="0.3">
      <c r="A730" s="38" t="s">
        <v>1032</v>
      </c>
      <c r="B730" s="40">
        <v>1089</v>
      </c>
      <c r="C730" s="40"/>
      <c r="D730" s="40"/>
      <c r="E730" s="41"/>
      <c r="F730" s="33">
        <v>-30453.14</v>
      </c>
      <c r="G730" s="33">
        <v>-461565.4</v>
      </c>
      <c r="H730" s="41"/>
      <c r="I730" s="33">
        <v>-7954.28</v>
      </c>
      <c r="J730" s="29">
        <v>-14638.52</v>
      </c>
      <c r="K730" s="42"/>
      <c r="L730" s="29">
        <v>-5683.58</v>
      </c>
      <c r="M730" s="42"/>
      <c r="N730" s="34">
        <f t="shared" si="11"/>
        <v>-519205.9200000001</v>
      </c>
    </row>
    <row r="731" spans="1:14" ht="15.75" thickBot="1" x14ac:dyDescent="0.3">
      <c r="A731" s="38" t="s">
        <v>1033</v>
      </c>
      <c r="B731" s="43"/>
      <c r="C731" s="43"/>
      <c r="D731" s="43"/>
      <c r="E731" s="42"/>
      <c r="F731" s="41"/>
      <c r="G731" s="41"/>
      <c r="H731" s="42"/>
      <c r="I731" s="41"/>
      <c r="J731" s="42"/>
      <c r="K731" s="41"/>
      <c r="L731" s="42"/>
      <c r="M731" s="41"/>
      <c r="N731" s="44">
        <f t="shared" si="11"/>
        <v>0</v>
      </c>
    </row>
    <row r="732" spans="1:14" ht="15.75" thickBot="1" x14ac:dyDescent="0.3">
      <c r="A732" s="38" t="s">
        <v>1034</v>
      </c>
      <c r="B732" s="32">
        <v>169</v>
      </c>
      <c r="C732" s="32">
        <v>169</v>
      </c>
      <c r="D732" s="32"/>
      <c r="E732" s="41"/>
      <c r="F732" s="42"/>
      <c r="G732" s="42"/>
      <c r="H732" s="41"/>
      <c r="I732" s="42"/>
      <c r="J732" s="41"/>
      <c r="K732" s="42"/>
      <c r="L732" s="41"/>
      <c r="M732" s="42"/>
      <c r="N732" s="45">
        <f t="shared" si="11"/>
        <v>338</v>
      </c>
    </row>
    <row r="733" spans="1:14" ht="15.75" thickBot="1" x14ac:dyDescent="0.3">
      <c r="A733" s="38" t="s">
        <v>1035</v>
      </c>
      <c r="B733" s="43"/>
      <c r="C733" s="43"/>
      <c r="D733" s="43"/>
      <c r="E733" s="42"/>
      <c r="F733" s="41"/>
      <c r="G733" s="41"/>
      <c r="H733" s="42"/>
      <c r="I733" s="41"/>
      <c r="J733" s="42"/>
      <c r="K733" s="41"/>
      <c r="L733" s="42"/>
      <c r="M733" s="41"/>
      <c r="N733" s="44">
        <f t="shared" si="11"/>
        <v>0</v>
      </c>
    </row>
    <row r="734" spans="1:14" ht="15.75" thickBot="1" x14ac:dyDescent="0.3">
      <c r="A734" s="38" t="s">
        <v>1036</v>
      </c>
      <c r="B734" s="32"/>
      <c r="C734" s="32">
        <v>577</v>
      </c>
      <c r="D734" s="32"/>
      <c r="E734" s="41"/>
      <c r="F734" s="42"/>
      <c r="G734" s="42"/>
      <c r="H734" s="41"/>
      <c r="I734" s="42"/>
      <c r="J734" s="41"/>
      <c r="K734" s="42"/>
      <c r="L734" s="41"/>
      <c r="M734" s="42"/>
      <c r="N734" s="45">
        <f t="shared" si="11"/>
        <v>577</v>
      </c>
    </row>
    <row r="735" spans="1:14" ht="15.75" thickBot="1" x14ac:dyDescent="0.3">
      <c r="A735" s="38" t="s">
        <v>1037</v>
      </c>
      <c r="B735" s="43"/>
      <c r="C735" s="43"/>
      <c r="D735" s="43"/>
      <c r="E735" s="42"/>
      <c r="F735" s="41"/>
      <c r="G735" s="41"/>
      <c r="H735" s="42"/>
      <c r="I735" s="41"/>
      <c r="J735" s="42"/>
      <c r="K735" s="41"/>
      <c r="L735" s="42"/>
      <c r="M735" s="41"/>
      <c r="N735" s="44">
        <f t="shared" si="11"/>
        <v>0</v>
      </c>
    </row>
    <row r="736" spans="1:14" ht="15.75" thickBot="1" x14ac:dyDescent="0.3">
      <c r="A736" s="38" t="s">
        <v>1038</v>
      </c>
      <c r="B736" s="40"/>
      <c r="C736" s="40"/>
      <c r="D736" s="40"/>
      <c r="E736" s="41"/>
      <c r="F736" s="42"/>
      <c r="G736" s="42"/>
      <c r="H736" s="41"/>
      <c r="I736" s="42"/>
      <c r="J736" s="41"/>
      <c r="K736" s="42"/>
      <c r="L736" s="41"/>
      <c r="M736" s="42"/>
      <c r="N736" s="45">
        <f t="shared" si="11"/>
        <v>0</v>
      </c>
    </row>
    <row r="737" spans="1:14" ht="15.75" thickBot="1" x14ac:dyDescent="0.3">
      <c r="A737" s="56" t="s">
        <v>1039</v>
      </c>
      <c r="B737" s="43"/>
      <c r="C737" s="43"/>
      <c r="D737" s="43"/>
      <c r="E737" s="41"/>
      <c r="F737" s="42"/>
      <c r="G737" s="42"/>
      <c r="H737" s="41"/>
      <c r="I737" s="42"/>
      <c r="J737" s="41"/>
      <c r="K737" s="42"/>
      <c r="L737" s="41"/>
      <c r="M737" s="42"/>
      <c r="N737" s="45">
        <f t="shared" si="11"/>
        <v>0</v>
      </c>
    </row>
    <row r="738" spans="1:14" ht="15.75" thickBot="1" x14ac:dyDescent="0.3">
      <c r="A738" s="56" t="s">
        <v>1040</v>
      </c>
      <c r="B738" s="40"/>
      <c r="C738" s="40"/>
      <c r="D738" s="40"/>
      <c r="E738" s="41"/>
      <c r="F738" s="42"/>
      <c r="G738" s="42"/>
      <c r="H738" s="41"/>
      <c r="I738" s="42"/>
      <c r="J738" s="41"/>
      <c r="K738" s="42"/>
      <c r="L738" s="41"/>
      <c r="M738" s="42"/>
      <c r="N738" s="45">
        <f t="shared" si="11"/>
        <v>0</v>
      </c>
    </row>
    <row r="739" spans="1:14" ht="15.75" thickBot="1" x14ac:dyDescent="0.3">
      <c r="A739" s="38" t="s">
        <v>1041</v>
      </c>
      <c r="B739" s="28">
        <v>58286.54</v>
      </c>
      <c r="C739" s="28">
        <v>55156.83</v>
      </c>
      <c r="D739" s="28">
        <v>55894.69</v>
      </c>
      <c r="E739" s="33">
        <v>74876.399999999994</v>
      </c>
      <c r="F739" s="29">
        <v>20195.3</v>
      </c>
      <c r="G739" s="29">
        <v>33039.25</v>
      </c>
      <c r="H739" s="33">
        <v>67396.039999999994</v>
      </c>
      <c r="I739" s="29">
        <v>23730.9</v>
      </c>
      <c r="J739" s="33">
        <v>18927.37</v>
      </c>
      <c r="K739" s="29">
        <v>26316.01</v>
      </c>
      <c r="L739" s="33">
        <v>27066.32</v>
      </c>
      <c r="M739" s="29">
        <v>37504.160000000003</v>
      </c>
      <c r="N739" s="30">
        <f t="shared" si="11"/>
        <v>498389.81000000006</v>
      </c>
    </row>
    <row r="740" spans="1:14" ht="15.75" thickBot="1" x14ac:dyDescent="0.3">
      <c r="A740" s="38" t="s">
        <v>1042</v>
      </c>
      <c r="B740" s="32">
        <v>22524.23</v>
      </c>
      <c r="C740" s="32">
        <v>9420.15</v>
      </c>
      <c r="D740" s="32">
        <v>16920.62</v>
      </c>
      <c r="E740" s="29">
        <v>21939.41</v>
      </c>
      <c r="F740" s="33">
        <v>24451.1</v>
      </c>
      <c r="G740" s="33">
        <v>9787.56</v>
      </c>
      <c r="H740" s="29">
        <v>23135.14</v>
      </c>
      <c r="I740" s="33">
        <v>12770.57</v>
      </c>
      <c r="J740" s="29">
        <v>23216.21</v>
      </c>
      <c r="K740" s="33">
        <v>17825.939999999999</v>
      </c>
      <c r="L740" s="29">
        <v>22870.02</v>
      </c>
      <c r="M740" s="33">
        <v>19512.48</v>
      </c>
      <c r="N740" s="34">
        <f t="shared" si="11"/>
        <v>224373.43</v>
      </c>
    </row>
    <row r="741" spans="1:14" ht="15.75" thickBot="1" x14ac:dyDescent="0.3">
      <c r="A741" s="38" t="s">
        <v>1043</v>
      </c>
      <c r="B741" s="43"/>
      <c r="C741" s="43"/>
      <c r="D741" s="43">
        <v>100000</v>
      </c>
      <c r="E741" s="42"/>
      <c r="F741" s="41"/>
      <c r="G741" s="41"/>
      <c r="H741" s="42"/>
      <c r="I741" s="41"/>
      <c r="J741" s="42"/>
      <c r="K741" s="41"/>
      <c r="L741" s="42"/>
      <c r="M741" s="41"/>
      <c r="N741" s="44">
        <f t="shared" si="11"/>
        <v>100000</v>
      </c>
    </row>
    <row r="742" spans="1:14" ht="15.75" thickBot="1" x14ac:dyDescent="0.3">
      <c r="A742" s="56" t="s">
        <v>1044</v>
      </c>
      <c r="B742" s="40"/>
      <c r="C742" s="40"/>
      <c r="D742" s="40"/>
      <c r="E742" s="42"/>
      <c r="F742" s="41"/>
      <c r="G742" s="41"/>
      <c r="H742" s="42"/>
      <c r="I742" s="41"/>
      <c r="J742" s="42"/>
      <c r="K742" s="41"/>
      <c r="L742" s="42"/>
      <c r="M742" s="41"/>
      <c r="N742" s="44">
        <f t="shared" si="11"/>
        <v>0</v>
      </c>
    </row>
    <row r="743" spans="1:14" ht="15.75" thickBot="1" x14ac:dyDescent="0.3">
      <c r="A743" s="56" t="s">
        <v>1045</v>
      </c>
      <c r="B743" s="43"/>
      <c r="C743" s="43"/>
      <c r="D743" s="43"/>
      <c r="E743" s="42"/>
      <c r="F743" s="41"/>
      <c r="G743" s="41"/>
      <c r="H743" s="42"/>
      <c r="I743" s="41"/>
      <c r="J743" s="42"/>
      <c r="K743" s="41"/>
      <c r="L743" s="42"/>
      <c r="M743" s="41"/>
      <c r="N743" s="44">
        <f t="shared" si="11"/>
        <v>0</v>
      </c>
    </row>
    <row r="744" spans="1:14" ht="15.75" thickBot="1" x14ac:dyDescent="0.3">
      <c r="A744" s="38" t="s">
        <v>1046</v>
      </c>
      <c r="B744" s="40"/>
      <c r="C744" s="40"/>
      <c r="D744" s="40"/>
      <c r="E744" s="41"/>
      <c r="F744" s="42"/>
      <c r="G744" s="42"/>
      <c r="H744" s="41"/>
      <c r="I744" s="42"/>
      <c r="J744" s="41"/>
      <c r="K744" s="42"/>
      <c r="L744" s="41"/>
      <c r="M744" s="42"/>
      <c r="N744" s="45">
        <f t="shared" si="11"/>
        <v>0</v>
      </c>
    </row>
    <row r="745" spans="1:14" ht="15.75" thickBot="1" x14ac:dyDescent="0.3">
      <c r="A745" s="37" t="s">
        <v>1047</v>
      </c>
      <c r="B745" s="28">
        <v>3575</v>
      </c>
      <c r="C745" s="28">
        <v>15755</v>
      </c>
      <c r="D745" s="28">
        <v>-229516</v>
      </c>
      <c r="E745" s="33">
        <v>-9275</v>
      </c>
      <c r="F745" s="29">
        <v>-10169</v>
      </c>
      <c r="G745" s="29">
        <v>-81988</v>
      </c>
      <c r="H745" s="33">
        <v>-13525</v>
      </c>
      <c r="I745" s="29">
        <v>-46701</v>
      </c>
      <c r="J745" s="33">
        <v>-36260</v>
      </c>
      <c r="K745" s="29">
        <v>-26104</v>
      </c>
      <c r="L745" s="33">
        <v>16309</v>
      </c>
      <c r="M745" s="29">
        <v>8995</v>
      </c>
      <c r="N745" s="30">
        <f t="shared" si="11"/>
        <v>-408904</v>
      </c>
    </row>
    <row r="746" spans="1:14" ht="15.75" thickBot="1" x14ac:dyDescent="0.3">
      <c r="A746" s="38" t="s">
        <v>1048</v>
      </c>
      <c r="B746" s="32">
        <v>2599</v>
      </c>
      <c r="C746" s="32">
        <v>11737</v>
      </c>
      <c r="D746" s="32">
        <v>-188121</v>
      </c>
      <c r="E746" s="29">
        <v>-6128</v>
      </c>
      <c r="F746" s="33">
        <v>-6804</v>
      </c>
      <c r="G746" s="33">
        <v>-57109</v>
      </c>
      <c r="H746" s="29">
        <v>-9903</v>
      </c>
      <c r="I746" s="33">
        <v>-33280</v>
      </c>
      <c r="J746" s="29">
        <v>-25806</v>
      </c>
      <c r="K746" s="33">
        <v>-19081</v>
      </c>
      <c r="L746" s="29">
        <v>12207</v>
      </c>
      <c r="M746" s="33">
        <v>7099</v>
      </c>
      <c r="N746" s="34">
        <f t="shared" si="11"/>
        <v>-312590</v>
      </c>
    </row>
    <row r="747" spans="1:14" ht="15.75" thickBot="1" x14ac:dyDescent="0.3">
      <c r="A747" s="38" t="s">
        <v>1049</v>
      </c>
      <c r="B747" s="28">
        <v>931</v>
      </c>
      <c r="C747" s="28">
        <v>4135</v>
      </c>
      <c r="D747" s="28">
        <v>-66870</v>
      </c>
      <c r="E747" s="33">
        <v>-2220</v>
      </c>
      <c r="F747" s="29">
        <v>-2459</v>
      </c>
      <c r="G747" s="29">
        <v>-20473</v>
      </c>
      <c r="H747" s="33">
        <v>-3516</v>
      </c>
      <c r="I747" s="29">
        <v>-11878</v>
      </c>
      <c r="J747" s="33">
        <v>-9212</v>
      </c>
      <c r="K747" s="29">
        <v>-6777</v>
      </c>
      <c r="L747" s="33">
        <v>4316</v>
      </c>
      <c r="M747" s="29">
        <v>2487</v>
      </c>
      <c r="N747" s="30">
        <f t="shared" si="11"/>
        <v>-111536</v>
      </c>
    </row>
    <row r="748" spans="1:14" ht="15.75" thickBot="1" x14ac:dyDescent="0.3">
      <c r="A748" s="38" t="s">
        <v>1050</v>
      </c>
      <c r="B748" s="40">
        <v>41</v>
      </c>
      <c r="C748" s="40"/>
      <c r="D748" s="40">
        <v>14748</v>
      </c>
      <c r="E748" s="41"/>
      <c r="F748" s="42"/>
      <c r="G748" s="42"/>
      <c r="H748" s="41"/>
      <c r="I748" s="42"/>
      <c r="J748" s="41"/>
      <c r="K748" s="42"/>
      <c r="L748" s="41"/>
      <c r="M748" s="42"/>
      <c r="N748" s="45">
        <f t="shared" si="11"/>
        <v>14789</v>
      </c>
    </row>
    <row r="749" spans="1:14" ht="15.75" thickBot="1" x14ac:dyDescent="0.3">
      <c r="A749" s="38" t="s">
        <v>1051</v>
      </c>
      <c r="B749" s="43">
        <v>4</v>
      </c>
      <c r="C749" s="43"/>
      <c r="D749" s="43">
        <v>5506</v>
      </c>
      <c r="E749" s="42"/>
      <c r="F749" s="41"/>
      <c r="G749" s="41"/>
      <c r="H749" s="42"/>
      <c r="I749" s="41"/>
      <c r="J749" s="42"/>
      <c r="K749" s="41"/>
      <c r="L749" s="42"/>
      <c r="M749" s="41"/>
      <c r="N749" s="44">
        <f t="shared" si="11"/>
        <v>5510</v>
      </c>
    </row>
    <row r="750" spans="1:14" ht="15.75" thickBot="1" x14ac:dyDescent="0.3">
      <c r="A750" s="38" t="s">
        <v>1052</v>
      </c>
      <c r="B750" s="32"/>
      <c r="C750" s="32">
        <v>-12</v>
      </c>
      <c r="D750" s="32">
        <v>1291</v>
      </c>
      <c r="E750" s="29">
        <v>-207</v>
      </c>
      <c r="F750" s="33">
        <v>-203</v>
      </c>
      <c r="G750" s="33">
        <v>-985</v>
      </c>
      <c r="H750" s="29">
        <v>-24</v>
      </c>
      <c r="I750" s="33">
        <v>-345</v>
      </c>
      <c r="J750" s="29">
        <v>-278</v>
      </c>
      <c r="K750" s="33">
        <v>-55</v>
      </c>
      <c r="L750" s="29">
        <v>-48</v>
      </c>
      <c r="M750" s="33">
        <v>-132</v>
      </c>
      <c r="N750" s="34">
        <f t="shared" si="11"/>
        <v>-998</v>
      </c>
    </row>
    <row r="751" spans="1:14" ht="15.75" thickBot="1" x14ac:dyDescent="0.3">
      <c r="A751" s="38" t="s">
        <v>1053</v>
      </c>
      <c r="B751" s="28"/>
      <c r="C751" s="28">
        <v>-105</v>
      </c>
      <c r="D751" s="28">
        <v>3930</v>
      </c>
      <c r="E751" s="33">
        <v>-720</v>
      </c>
      <c r="F751" s="29">
        <v>-703</v>
      </c>
      <c r="G751" s="29">
        <v>-3421</v>
      </c>
      <c r="H751" s="33">
        <v>-82</v>
      </c>
      <c r="I751" s="29">
        <v>-1198</v>
      </c>
      <c r="J751" s="33">
        <v>-964</v>
      </c>
      <c r="K751" s="29">
        <v>-191</v>
      </c>
      <c r="L751" s="33">
        <v>-166</v>
      </c>
      <c r="M751" s="29">
        <v>-459</v>
      </c>
      <c r="N751" s="30">
        <f t="shared" si="11"/>
        <v>-4079</v>
      </c>
    </row>
    <row r="752" spans="1:14" ht="15.75" thickBot="1" x14ac:dyDescent="0.3">
      <c r="A752" s="37" t="s">
        <v>1054</v>
      </c>
      <c r="B752" s="32">
        <v>-85684.81</v>
      </c>
      <c r="C752" s="32">
        <v>1562.43</v>
      </c>
      <c r="D752" s="32">
        <v>-9978.0400000000009</v>
      </c>
      <c r="E752" s="29">
        <v>54018.58</v>
      </c>
      <c r="F752" s="33">
        <v>46805.24</v>
      </c>
      <c r="G752" s="33">
        <v>75815.45</v>
      </c>
      <c r="H752" s="29">
        <v>81953.119999999995</v>
      </c>
      <c r="I752" s="33">
        <v>-57511.67</v>
      </c>
      <c r="J752" s="29">
        <v>-94301.08</v>
      </c>
      <c r="K752" s="33">
        <v>-128882.66</v>
      </c>
      <c r="L752" s="29">
        <v>-144459.37</v>
      </c>
      <c r="M752" s="33">
        <v>-133810.96</v>
      </c>
      <c r="N752" s="34">
        <f t="shared" si="11"/>
        <v>-394473.77</v>
      </c>
    </row>
    <row r="753" spans="1:14" ht="15.75" thickBot="1" x14ac:dyDescent="0.3">
      <c r="A753" s="38" t="s">
        <v>1055</v>
      </c>
      <c r="B753" s="43"/>
      <c r="C753" s="43"/>
      <c r="D753" s="43"/>
      <c r="E753" s="42"/>
      <c r="F753" s="41"/>
      <c r="G753" s="41"/>
      <c r="H753" s="42"/>
      <c r="I753" s="41"/>
      <c r="J753" s="42"/>
      <c r="K753" s="41"/>
      <c r="L753" s="42"/>
      <c r="M753" s="41"/>
      <c r="N753" s="44">
        <f t="shared" si="11"/>
        <v>0</v>
      </c>
    </row>
    <row r="754" spans="1:14" ht="15.75" thickBot="1" x14ac:dyDescent="0.3">
      <c r="A754" s="38" t="s">
        <v>1056</v>
      </c>
      <c r="B754" s="40"/>
      <c r="C754" s="40"/>
      <c r="D754" s="40"/>
      <c r="E754" s="41"/>
      <c r="F754" s="42"/>
      <c r="G754" s="42"/>
      <c r="H754" s="41"/>
      <c r="I754" s="42"/>
      <c r="J754" s="41"/>
      <c r="K754" s="42"/>
      <c r="L754" s="41"/>
      <c r="M754" s="42"/>
      <c r="N754" s="45">
        <f t="shared" si="11"/>
        <v>0</v>
      </c>
    </row>
    <row r="755" spans="1:14" ht="15.75" thickBot="1" x14ac:dyDescent="0.3">
      <c r="A755" s="38" t="s">
        <v>1057</v>
      </c>
      <c r="B755" s="43"/>
      <c r="C755" s="43"/>
      <c r="D755" s="43"/>
      <c r="E755" s="42"/>
      <c r="F755" s="41"/>
      <c r="G755" s="41"/>
      <c r="H755" s="42"/>
      <c r="I755" s="41"/>
      <c r="J755" s="42"/>
      <c r="K755" s="41"/>
      <c r="L755" s="42"/>
      <c r="M755" s="41"/>
      <c r="N755" s="44">
        <f t="shared" si="11"/>
        <v>0</v>
      </c>
    </row>
    <row r="756" spans="1:14" ht="15.75" thickBot="1" x14ac:dyDescent="0.3">
      <c r="A756" s="38" t="s">
        <v>1058</v>
      </c>
      <c r="B756" s="40"/>
      <c r="C756" s="40"/>
      <c r="D756" s="40"/>
      <c r="E756" s="41"/>
      <c r="F756" s="42"/>
      <c r="G756" s="42"/>
      <c r="H756" s="41"/>
      <c r="I756" s="42"/>
      <c r="J756" s="41"/>
      <c r="K756" s="42"/>
      <c r="L756" s="41"/>
      <c r="M756" s="41"/>
      <c r="N756" s="44">
        <f t="shared" si="11"/>
        <v>0</v>
      </c>
    </row>
    <row r="757" spans="1:14" ht="15.75" thickBot="1" x14ac:dyDescent="0.3">
      <c r="A757" s="38" t="s">
        <v>1059</v>
      </c>
      <c r="B757" s="43"/>
      <c r="C757" s="43"/>
      <c r="D757" s="43"/>
      <c r="E757" s="42"/>
      <c r="F757" s="41"/>
      <c r="G757" s="41"/>
      <c r="H757" s="42"/>
      <c r="I757" s="41"/>
      <c r="J757" s="42"/>
      <c r="K757" s="41"/>
      <c r="L757" s="42"/>
      <c r="M757" s="41"/>
      <c r="N757" s="44">
        <f t="shared" si="11"/>
        <v>0</v>
      </c>
    </row>
    <row r="758" spans="1:14" ht="15.75" thickBot="1" x14ac:dyDescent="0.3">
      <c r="A758" s="38" t="s">
        <v>1060</v>
      </c>
      <c r="B758" s="32">
        <v>-85684.81</v>
      </c>
      <c r="C758" s="32">
        <v>1562.43</v>
      </c>
      <c r="D758" s="32">
        <v>-9978.0400000000009</v>
      </c>
      <c r="E758" s="29">
        <v>54018.58</v>
      </c>
      <c r="F758" s="33">
        <v>46805.24</v>
      </c>
      <c r="G758" s="33">
        <v>75815.45</v>
      </c>
      <c r="H758" s="29">
        <v>81953.119999999995</v>
      </c>
      <c r="I758" s="33">
        <v>-57511.67</v>
      </c>
      <c r="J758" s="29">
        <v>-94301.08</v>
      </c>
      <c r="K758" s="33">
        <v>-128882.66</v>
      </c>
      <c r="L758" s="29">
        <v>-144459.37</v>
      </c>
      <c r="M758" s="33">
        <v>-133810.96</v>
      </c>
      <c r="N758" s="34">
        <f t="shared" si="11"/>
        <v>-394473.77</v>
      </c>
    </row>
    <row r="759" spans="1:14" ht="15.75" thickBot="1" x14ac:dyDescent="0.3">
      <c r="A759" s="38" t="s">
        <v>1061</v>
      </c>
      <c r="B759" s="43"/>
      <c r="C759" s="43"/>
      <c r="D759" s="43"/>
      <c r="E759" s="42"/>
      <c r="F759" s="41"/>
      <c r="G759" s="41"/>
      <c r="H759" s="42"/>
      <c r="I759" s="41"/>
      <c r="J759" s="42"/>
      <c r="K759" s="41"/>
      <c r="L759" s="42"/>
      <c r="M759" s="41"/>
      <c r="N759" s="44">
        <f t="shared" si="11"/>
        <v>0</v>
      </c>
    </row>
    <row r="760" spans="1:14" ht="15.75" thickBot="1" x14ac:dyDescent="0.3">
      <c r="A760" s="38" t="s">
        <v>1062</v>
      </c>
      <c r="B760" s="40"/>
      <c r="C760" s="40"/>
      <c r="D760" s="40"/>
      <c r="E760" s="41"/>
      <c r="F760" s="42"/>
      <c r="G760" s="42"/>
      <c r="H760" s="41"/>
      <c r="I760" s="42"/>
      <c r="J760" s="41"/>
      <c r="K760" s="42"/>
      <c r="L760" s="41"/>
      <c r="M760" s="42"/>
      <c r="N760" s="45">
        <f t="shared" si="11"/>
        <v>0</v>
      </c>
    </row>
    <row r="761" spans="1:14" ht="15.75" thickBot="1" x14ac:dyDescent="0.3">
      <c r="A761" s="36" t="s">
        <v>1063</v>
      </c>
      <c r="B761" s="28">
        <v>3703732.71</v>
      </c>
      <c r="C761" s="28">
        <v>3728599.75</v>
      </c>
      <c r="D761" s="28">
        <v>3689180.94</v>
      </c>
      <c r="E761" s="33">
        <v>3732323.57</v>
      </c>
      <c r="F761" s="29">
        <v>3363960.58</v>
      </c>
      <c r="G761" s="29">
        <v>3487842.62</v>
      </c>
      <c r="H761" s="33">
        <v>4219839.1900000004</v>
      </c>
      <c r="I761" s="29">
        <v>4313057.79</v>
      </c>
      <c r="J761" s="33">
        <v>4033347.52</v>
      </c>
      <c r="K761" s="29">
        <v>3762733.85</v>
      </c>
      <c r="L761" s="33">
        <v>3734275.1</v>
      </c>
      <c r="M761" s="29">
        <v>2023461.21</v>
      </c>
      <c r="N761" s="30">
        <f t="shared" si="11"/>
        <v>43792354.830000006</v>
      </c>
    </row>
    <row r="762" spans="1:14" ht="15.75" thickBot="1" x14ac:dyDescent="0.3">
      <c r="A762" s="37" t="s">
        <v>1064</v>
      </c>
      <c r="B762" s="32">
        <v>3745425.76</v>
      </c>
      <c r="C762" s="32">
        <v>3747329.36</v>
      </c>
      <c r="D762" s="32">
        <v>3654463.2</v>
      </c>
      <c r="E762" s="29">
        <v>3619926.2</v>
      </c>
      <c r="F762" s="33">
        <v>3285535.49</v>
      </c>
      <c r="G762" s="33">
        <v>3284849.34</v>
      </c>
      <c r="H762" s="29">
        <v>3734449.01</v>
      </c>
      <c r="I762" s="33">
        <v>3733759.6</v>
      </c>
      <c r="J762" s="29">
        <v>3733097.45</v>
      </c>
      <c r="K762" s="33">
        <v>3733122.8</v>
      </c>
      <c r="L762" s="29">
        <v>3732425.93</v>
      </c>
      <c r="M762" s="33">
        <v>3731744.16</v>
      </c>
      <c r="N762" s="34">
        <f t="shared" si="11"/>
        <v>43736128.299999997</v>
      </c>
    </row>
    <row r="763" spans="1:14" ht="15.75" thickBot="1" x14ac:dyDescent="0.3">
      <c r="A763" s="38" t="s">
        <v>1065</v>
      </c>
      <c r="B763" s="28">
        <v>3436627.59</v>
      </c>
      <c r="C763" s="28">
        <v>3439137.52</v>
      </c>
      <c r="D763" s="28">
        <v>3345881.88</v>
      </c>
      <c r="E763" s="33">
        <v>3311970.85</v>
      </c>
      <c r="F763" s="29">
        <v>2976345.85</v>
      </c>
      <c r="G763" s="29">
        <v>2976345.85</v>
      </c>
      <c r="H763" s="33">
        <v>3426345.85</v>
      </c>
      <c r="I763" s="29">
        <v>3426345.85</v>
      </c>
      <c r="J763" s="33">
        <v>3426345.85</v>
      </c>
      <c r="K763" s="29">
        <v>3426345.85</v>
      </c>
      <c r="L763" s="33">
        <v>3426345.85</v>
      </c>
      <c r="M763" s="29">
        <v>3426345.85</v>
      </c>
      <c r="N763" s="30">
        <f t="shared" si="11"/>
        <v>40044384.640000008</v>
      </c>
    </row>
    <row r="764" spans="1:14" ht="15.75" thickBot="1" x14ac:dyDescent="0.3">
      <c r="A764" s="38" t="s">
        <v>1066</v>
      </c>
      <c r="B764" s="28">
        <v>308798.17</v>
      </c>
      <c r="C764" s="28">
        <v>308191.84000000003</v>
      </c>
      <c r="D764" s="28">
        <v>308581.32</v>
      </c>
      <c r="E764" s="29">
        <v>307955.34999999998</v>
      </c>
      <c r="F764" s="33">
        <v>309189.64</v>
      </c>
      <c r="G764" s="33">
        <v>308503.49</v>
      </c>
      <c r="H764" s="29">
        <v>308103.15999999997</v>
      </c>
      <c r="I764" s="33">
        <v>307413.75</v>
      </c>
      <c r="J764" s="29">
        <v>306751.59999999998</v>
      </c>
      <c r="K764" s="33">
        <v>306776.95</v>
      </c>
      <c r="L764" s="29">
        <v>306080.08</v>
      </c>
      <c r="M764" s="33">
        <v>305398.31</v>
      </c>
      <c r="N764" s="34">
        <f t="shared" si="11"/>
        <v>3691743.6600000006</v>
      </c>
    </row>
    <row r="765" spans="1:14" ht="15.75" thickBot="1" x14ac:dyDescent="0.3">
      <c r="A765" s="37" t="s">
        <v>1067</v>
      </c>
      <c r="B765" s="32">
        <v>198489.39</v>
      </c>
      <c r="C765" s="32">
        <v>211827.79</v>
      </c>
      <c r="D765" s="32">
        <v>283168.2</v>
      </c>
      <c r="E765" s="33">
        <v>262283.77</v>
      </c>
      <c r="F765" s="29">
        <v>313568.46000000002</v>
      </c>
      <c r="G765" s="29">
        <v>468508.01</v>
      </c>
      <c r="H765" s="33">
        <v>736373.61</v>
      </c>
      <c r="I765" s="29">
        <v>698161.37</v>
      </c>
      <c r="J765" s="33">
        <v>457385.49</v>
      </c>
      <c r="K765" s="29">
        <v>191779.17</v>
      </c>
      <c r="L765" s="33">
        <v>179114.96</v>
      </c>
      <c r="M765" s="29">
        <v>-1541623.81</v>
      </c>
      <c r="N765" s="30">
        <f t="shared" si="11"/>
        <v>2459036.4099999997</v>
      </c>
    </row>
    <row r="766" spans="1:14" ht="15.75" thickBot="1" x14ac:dyDescent="0.3">
      <c r="A766" s="38" t="s">
        <v>1068</v>
      </c>
      <c r="B766" s="28">
        <v>8588.0300000000007</v>
      </c>
      <c r="C766" s="28">
        <v>10390.17</v>
      </c>
      <c r="D766" s="28">
        <v>9583.5300000000007</v>
      </c>
      <c r="E766" s="29">
        <v>5669.42</v>
      </c>
      <c r="F766" s="33">
        <v>5428.48</v>
      </c>
      <c r="G766" s="33">
        <v>5681.24</v>
      </c>
      <c r="H766" s="29">
        <v>5252.95</v>
      </c>
      <c r="I766" s="33">
        <v>5916.82</v>
      </c>
      <c r="J766" s="29">
        <v>5098.78</v>
      </c>
      <c r="K766" s="33">
        <v>4954.45</v>
      </c>
      <c r="L766" s="29">
        <v>4390.3900000000003</v>
      </c>
      <c r="M766" s="33">
        <v>4264.2</v>
      </c>
      <c r="N766" s="34">
        <f t="shared" si="11"/>
        <v>75218.459999999992</v>
      </c>
    </row>
    <row r="767" spans="1:14" ht="15.75" thickBot="1" x14ac:dyDescent="0.3">
      <c r="A767" s="38" t="s">
        <v>1069</v>
      </c>
      <c r="B767" s="32">
        <v>38031.42</v>
      </c>
      <c r="C767" s="32">
        <v>41130.620000000003</v>
      </c>
      <c r="D767" s="32">
        <v>41384.18</v>
      </c>
      <c r="E767" s="33">
        <v>38328.050000000003</v>
      </c>
      <c r="F767" s="29">
        <v>38056.120000000003</v>
      </c>
      <c r="G767" s="29">
        <v>38316.53</v>
      </c>
      <c r="H767" s="33">
        <v>37536.43</v>
      </c>
      <c r="I767" s="29">
        <v>37932.15</v>
      </c>
      <c r="J767" s="33">
        <v>38144.39</v>
      </c>
      <c r="K767" s="29">
        <v>35631.870000000003</v>
      </c>
      <c r="L767" s="33">
        <v>36518.69</v>
      </c>
      <c r="M767" s="29">
        <v>36725.760000000002</v>
      </c>
      <c r="N767" s="30">
        <f t="shared" si="11"/>
        <v>457736.21000000008</v>
      </c>
    </row>
    <row r="768" spans="1:14" ht="15.75" thickBot="1" x14ac:dyDescent="0.3">
      <c r="A768" s="38" t="s">
        <v>1070</v>
      </c>
      <c r="B768" s="28">
        <v>63374.05</v>
      </c>
      <c r="C768" s="28">
        <v>47540.72</v>
      </c>
      <c r="D768" s="28">
        <v>48374.05</v>
      </c>
      <c r="E768" s="29">
        <v>48374.05</v>
      </c>
      <c r="F768" s="33">
        <v>46707.39</v>
      </c>
      <c r="G768" s="33">
        <v>70724.05</v>
      </c>
      <c r="H768" s="29">
        <v>47540.73</v>
      </c>
      <c r="I768" s="33">
        <v>70036.05</v>
      </c>
      <c r="J768" s="29">
        <v>47540.72</v>
      </c>
      <c r="K768" s="33">
        <v>48374.05</v>
      </c>
      <c r="L768" s="29">
        <v>48374.05</v>
      </c>
      <c r="M768" s="33">
        <v>23537.29</v>
      </c>
      <c r="N768" s="34">
        <f t="shared" si="11"/>
        <v>610497.20000000007</v>
      </c>
    </row>
    <row r="769" spans="1:14" ht="15.75" thickBot="1" x14ac:dyDescent="0.3">
      <c r="A769" s="38" t="s">
        <v>1071</v>
      </c>
      <c r="B769" s="32">
        <v>88495.89</v>
      </c>
      <c r="C769" s="32">
        <v>112766.28</v>
      </c>
      <c r="D769" s="32">
        <v>183826.44</v>
      </c>
      <c r="E769" s="33">
        <v>169912.25</v>
      </c>
      <c r="F769" s="29">
        <v>223376.47</v>
      </c>
      <c r="G769" s="29">
        <v>353786.19</v>
      </c>
      <c r="H769" s="33">
        <v>646043.5</v>
      </c>
      <c r="I769" s="29">
        <v>584276.35</v>
      </c>
      <c r="J769" s="33">
        <v>366601.6</v>
      </c>
      <c r="K769" s="29">
        <v>102818.8</v>
      </c>
      <c r="L769" s="33">
        <v>89831.83</v>
      </c>
      <c r="M769" s="29">
        <v>-1606151.06</v>
      </c>
      <c r="N769" s="30">
        <f t="shared" si="11"/>
        <v>1315584.54</v>
      </c>
    </row>
    <row r="770" spans="1:14" ht="15.75" thickBot="1" x14ac:dyDescent="0.3">
      <c r="A770" s="37" t="s">
        <v>1072</v>
      </c>
      <c r="B770" s="28">
        <v>151791</v>
      </c>
      <c r="C770" s="28">
        <v>151791</v>
      </c>
      <c r="D770" s="28">
        <v>151200.79</v>
      </c>
      <c r="E770" s="29">
        <v>150993.79</v>
      </c>
      <c r="F770" s="33">
        <v>63451.79</v>
      </c>
      <c r="G770" s="33">
        <v>60485.79</v>
      </c>
      <c r="H770" s="29">
        <v>67225.789999999994</v>
      </c>
      <c r="I770" s="33">
        <v>67225.789999999994</v>
      </c>
      <c r="J770" s="29">
        <v>67225.789999999994</v>
      </c>
      <c r="K770" s="33">
        <v>67225.789999999994</v>
      </c>
      <c r="L770" s="29">
        <v>67225.789999999994</v>
      </c>
      <c r="M770" s="33">
        <v>67225.789999999994</v>
      </c>
      <c r="N770" s="34">
        <f t="shared" si="11"/>
        <v>1133068.9000000004</v>
      </c>
    </row>
    <row r="771" spans="1:14" ht="15.75" thickBot="1" x14ac:dyDescent="0.3">
      <c r="A771" s="38" t="s">
        <v>1073</v>
      </c>
      <c r="B771" s="32">
        <v>130322</v>
      </c>
      <c r="C771" s="32">
        <v>130322</v>
      </c>
      <c r="D771" s="32">
        <v>129731.79</v>
      </c>
      <c r="E771" s="33">
        <v>129524.79</v>
      </c>
      <c r="F771" s="29">
        <v>41982.79</v>
      </c>
      <c r="G771" s="29">
        <v>39016.79</v>
      </c>
      <c r="H771" s="33">
        <v>45756.79</v>
      </c>
      <c r="I771" s="29">
        <v>45756.79</v>
      </c>
      <c r="J771" s="33">
        <v>45756.79</v>
      </c>
      <c r="K771" s="29">
        <v>45756.79</v>
      </c>
      <c r="L771" s="33">
        <v>45756.79</v>
      </c>
      <c r="M771" s="29">
        <v>45756.79</v>
      </c>
      <c r="N771" s="30">
        <f t="shared" si="11"/>
        <v>875440.90000000026</v>
      </c>
    </row>
    <row r="772" spans="1:14" ht="15.75" thickBot="1" x14ac:dyDescent="0.3">
      <c r="A772" s="38" t="s">
        <v>1073</v>
      </c>
      <c r="B772" s="28">
        <v>21469</v>
      </c>
      <c r="C772" s="28">
        <v>21469</v>
      </c>
      <c r="D772" s="28">
        <v>21469</v>
      </c>
      <c r="E772" s="29">
        <v>21469</v>
      </c>
      <c r="F772" s="33">
        <v>21469</v>
      </c>
      <c r="G772" s="33">
        <v>21469</v>
      </c>
      <c r="H772" s="29">
        <v>21469</v>
      </c>
      <c r="I772" s="33">
        <v>21469</v>
      </c>
      <c r="J772" s="29">
        <v>21469</v>
      </c>
      <c r="K772" s="33">
        <v>21469</v>
      </c>
      <c r="L772" s="29">
        <v>21469</v>
      </c>
      <c r="M772" s="33">
        <v>21469</v>
      </c>
      <c r="N772" s="34">
        <f t="shared" si="11"/>
        <v>257628</v>
      </c>
    </row>
    <row r="773" spans="1:14" ht="15.75" thickBot="1" x14ac:dyDescent="0.3">
      <c r="A773" s="37" t="s">
        <v>1074</v>
      </c>
      <c r="B773" s="32">
        <v>-391973.44</v>
      </c>
      <c r="C773" s="32">
        <v>-382348.4</v>
      </c>
      <c r="D773" s="32">
        <v>-399651.25</v>
      </c>
      <c r="E773" s="33">
        <v>-300880.19</v>
      </c>
      <c r="F773" s="29">
        <v>-298595.15999999997</v>
      </c>
      <c r="G773" s="29">
        <v>-326000.52</v>
      </c>
      <c r="H773" s="33">
        <v>-318209.21999999997</v>
      </c>
      <c r="I773" s="29">
        <v>-186088.97</v>
      </c>
      <c r="J773" s="33">
        <v>-224361.21</v>
      </c>
      <c r="K773" s="29">
        <v>-229393.91</v>
      </c>
      <c r="L773" s="33">
        <v>-244491.58</v>
      </c>
      <c r="M773" s="29">
        <v>-233884.93</v>
      </c>
      <c r="N773" s="30">
        <f t="shared" si="11"/>
        <v>-3535878.7800000003</v>
      </c>
    </row>
    <row r="774" spans="1:14" ht="15.75" thickBot="1" x14ac:dyDescent="0.3">
      <c r="A774" s="38" t="s">
        <v>1075</v>
      </c>
      <c r="B774" s="28">
        <v>-67318.19</v>
      </c>
      <c r="C774" s="28">
        <v>-66060.87</v>
      </c>
      <c r="D774" s="28">
        <v>-65859.09</v>
      </c>
      <c r="E774" s="29">
        <v>-67849.83</v>
      </c>
      <c r="F774" s="33">
        <v>-67637.3</v>
      </c>
      <c r="G774" s="33">
        <v>-67432.12</v>
      </c>
      <c r="H774" s="29">
        <v>-68978.5</v>
      </c>
      <c r="I774" s="33">
        <v>-68757.710000000006</v>
      </c>
      <c r="J774" s="29">
        <v>-68532.09</v>
      </c>
      <c r="K774" s="33">
        <v>-68303.08</v>
      </c>
      <c r="L774" s="29">
        <v>-68078.69</v>
      </c>
      <c r="M774" s="33">
        <v>-67852.88</v>
      </c>
      <c r="N774" s="34">
        <f t="shared" ref="N774:N798" si="12">SUM(B774:M774)</f>
        <v>-812660.35</v>
      </c>
    </row>
    <row r="775" spans="1:14" ht="15.75" thickBot="1" x14ac:dyDescent="0.3">
      <c r="A775" s="38" t="s">
        <v>1076</v>
      </c>
      <c r="B775" s="32">
        <v>-324655.25</v>
      </c>
      <c r="C775" s="32">
        <v>-316287.53000000003</v>
      </c>
      <c r="D775" s="32">
        <v>-333792.15999999997</v>
      </c>
      <c r="E775" s="33">
        <v>-233030.36</v>
      </c>
      <c r="F775" s="29">
        <v>-230957.86</v>
      </c>
      <c r="G775" s="29">
        <v>-258568.4</v>
      </c>
      <c r="H775" s="33">
        <v>-249230.72</v>
      </c>
      <c r="I775" s="29">
        <v>-117331.26</v>
      </c>
      <c r="J775" s="33">
        <v>-155829.12</v>
      </c>
      <c r="K775" s="29">
        <v>-161090.82999999999</v>
      </c>
      <c r="L775" s="33">
        <v>-176412.89</v>
      </c>
      <c r="M775" s="29">
        <v>-166032.04999999999</v>
      </c>
      <c r="N775" s="30">
        <f t="shared" si="12"/>
        <v>-2723218.4299999997</v>
      </c>
    </row>
    <row r="776" spans="1:14" ht="15.75" thickBot="1" x14ac:dyDescent="0.3">
      <c r="A776" s="35" t="s">
        <v>798</v>
      </c>
      <c r="B776" s="28">
        <v>-363658</v>
      </c>
      <c r="C776" s="28">
        <v>3605511</v>
      </c>
      <c r="D776" s="28">
        <v>4767293.7699999996</v>
      </c>
      <c r="E776" s="29">
        <v>6407052</v>
      </c>
      <c r="F776" s="33">
        <v>5100491</v>
      </c>
      <c r="G776" s="33">
        <v>2385772</v>
      </c>
      <c r="H776" s="29">
        <v>759148</v>
      </c>
      <c r="I776" s="33">
        <v>-898114</v>
      </c>
      <c r="J776" s="29">
        <v>-1832471</v>
      </c>
      <c r="K776" s="33">
        <v>-2658073</v>
      </c>
      <c r="L776" s="29">
        <v>-2179947</v>
      </c>
      <c r="M776" s="33">
        <v>-1525319</v>
      </c>
      <c r="N776" s="34">
        <f t="shared" si="12"/>
        <v>13567685.77</v>
      </c>
    </row>
    <row r="777" spans="1:14" ht="15.75" thickBot="1" x14ac:dyDescent="0.3">
      <c r="A777" s="36" t="s">
        <v>1077</v>
      </c>
      <c r="B777" s="32">
        <v>-479151</v>
      </c>
      <c r="C777" s="32">
        <v>2209366</v>
      </c>
      <c r="D777" s="32">
        <v>2846325.77</v>
      </c>
      <c r="E777" s="33">
        <v>4239127</v>
      </c>
      <c r="F777" s="29">
        <v>3393189</v>
      </c>
      <c r="G777" s="29">
        <v>1561868</v>
      </c>
      <c r="H777" s="33">
        <v>470732</v>
      </c>
      <c r="I777" s="29">
        <v>-596735</v>
      </c>
      <c r="J777" s="33">
        <v>-1182732</v>
      </c>
      <c r="K777" s="29">
        <v>-1731590</v>
      </c>
      <c r="L777" s="33">
        <v>-1400392</v>
      </c>
      <c r="M777" s="29">
        <v>-966446</v>
      </c>
      <c r="N777" s="30">
        <f t="shared" si="12"/>
        <v>8363561.7699999996</v>
      </c>
    </row>
    <row r="778" spans="1:14" ht="15.75" thickBot="1" x14ac:dyDescent="0.3">
      <c r="A778" s="37" t="s">
        <v>1078</v>
      </c>
      <c r="B778" s="43"/>
      <c r="C778" s="43"/>
      <c r="D778" s="43"/>
      <c r="E778" s="41"/>
      <c r="F778" s="42"/>
      <c r="G778" s="42"/>
      <c r="H778" s="41"/>
      <c r="I778" s="33">
        <v>255732</v>
      </c>
      <c r="J778" s="29">
        <v>656052</v>
      </c>
      <c r="K778" s="33">
        <v>889969</v>
      </c>
      <c r="L778" s="29">
        <v>805942</v>
      </c>
      <c r="M778" s="33">
        <v>615646</v>
      </c>
      <c r="N778" s="34">
        <f t="shared" si="12"/>
        <v>3223341</v>
      </c>
    </row>
    <row r="779" spans="1:14" ht="15.75" thickBot="1" x14ac:dyDescent="0.3">
      <c r="A779" s="37" t="s">
        <v>1079</v>
      </c>
      <c r="B779" s="40">
        <v>-1373691</v>
      </c>
      <c r="C779" s="40">
        <v>-1465544</v>
      </c>
      <c r="D779" s="40">
        <v>-1516766</v>
      </c>
      <c r="E779" s="33">
        <v>69067</v>
      </c>
      <c r="F779" s="29">
        <v>67645</v>
      </c>
      <c r="G779" s="29">
        <v>85172</v>
      </c>
      <c r="H779" s="33">
        <v>76228</v>
      </c>
      <c r="I779" s="29">
        <v>76179</v>
      </c>
      <c r="J779" s="33">
        <v>256554</v>
      </c>
      <c r="K779" s="29">
        <v>97903</v>
      </c>
      <c r="L779" s="33">
        <v>104149</v>
      </c>
      <c r="M779" s="29">
        <v>233664</v>
      </c>
      <c r="N779" s="30">
        <f t="shared" si="12"/>
        <v>-3289440</v>
      </c>
    </row>
    <row r="780" spans="1:14" ht="15.75" thickBot="1" x14ac:dyDescent="0.3">
      <c r="A780" s="37" t="s">
        <v>1080</v>
      </c>
      <c r="B780" s="43">
        <v>1544774</v>
      </c>
      <c r="C780" s="43">
        <v>1620663</v>
      </c>
      <c r="D780" s="43">
        <v>1588799</v>
      </c>
      <c r="E780" s="29">
        <v>82487</v>
      </c>
      <c r="F780" s="33">
        <v>81169</v>
      </c>
      <c r="G780" s="33">
        <v>48243</v>
      </c>
      <c r="H780" s="29">
        <v>75971</v>
      </c>
      <c r="I780" s="33">
        <v>73402</v>
      </c>
      <c r="J780" s="41"/>
      <c r="K780" s="33">
        <v>42085</v>
      </c>
      <c r="L780" s="29">
        <v>43238</v>
      </c>
      <c r="M780" s="42"/>
      <c r="N780" s="34">
        <f t="shared" si="12"/>
        <v>5200831</v>
      </c>
    </row>
    <row r="781" spans="1:14" ht="15.75" thickBot="1" x14ac:dyDescent="0.3">
      <c r="A781" s="37" t="s">
        <v>1080</v>
      </c>
      <c r="B781" s="43"/>
      <c r="C781" s="43"/>
      <c r="D781" s="43"/>
      <c r="E781" s="29"/>
      <c r="F781" s="33"/>
      <c r="G781" s="33"/>
      <c r="H781" s="42"/>
      <c r="I781" s="41"/>
      <c r="J781" s="33">
        <v>-103977</v>
      </c>
      <c r="K781" s="41"/>
      <c r="L781" s="42"/>
      <c r="M781" s="29">
        <v>-97193</v>
      </c>
      <c r="N781" s="30">
        <f t="shared" si="12"/>
        <v>-201170</v>
      </c>
    </row>
    <row r="782" spans="1:14" ht="15.75" thickBot="1" x14ac:dyDescent="0.3">
      <c r="A782" s="37" t="s">
        <v>1081</v>
      </c>
      <c r="B782" s="32">
        <v>268609</v>
      </c>
      <c r="C782" s="32">
        <v>4303939</v>
      </c>
      <c r="D782" s="32">
        <v>4668105</v>
      </c>
      <c r="E782" s="33">
        <v>3407380</v>
      </c>
      <c r="F782" s="29">
        <v>2745329</v>
      </c>
      <c r="G782" s="29">
        <v>5973861</v>
      </c>
      <c r="H782" s="29">
        <v>617528</v>
      </c>
      <c r="I782" s="33">
        <v>-960928</v>
      </c>
      <c r="J782" s="29">
        <v>-931845</v>
      </c>
      <c r="K782" s="33">
        <v>-2795686</v>
      </c>
      <c r="L782" s="29">
        <v>-2403121</v>
      </c>
      <c r="M782" s="33">
        <v>-2076874</v>
      </c>
      <c r="N782" s="34">
        <f t="shared" si="12"/>
        <v>12816297</v>
      </c>
    </row>
    <row r="783" spans="1:14" ht="15.75" thickBot="1" x14ac:dyDescent="0.3">
      <c r="A783" s="37" t="s">
        <v>1082</v>
      </c>
      <c r="B783" s="28">
        <v>35870</v>
      </c>
      <c r="C783" s="28">
        <v>901448</v>
      </c>
      <c r="D783" s="28">
        <v>2121878</v>
      </c>
      <c r="E783" s="29">
        <v>2573667</v>
      </c>
      <c r="F783" s="33">
        <v>1934948</v>
      </c>
      <c r="G783" s="33">
        <v>1625983</v>
      </c>
      <c r="H783" s="33">
        <v>368505</v>
      </c>
      <c r="I783" s="29">
        <v>231251</v>
      </c>
      <c r="J783" s="33">
        <v>168388</v>
      </c>
      <c r="K783" s="29">
        <v>1026250</v>
      </c>
      <c r="L783" s="33">
        <v>929355</v>
      </c>
      <c r="M783" s="29">
        <v>998722</v>
      </c>
      <c r="N783" s="30">
        <f t="shared" si="12"/>
        <v>12916265</v>
      </c>
    </row>
    <row r="784" spans="1:14" ht="15.75" thickBot="1" x14ac:dyDescent="0.3">
      <c r="A784" s="37" t="s">
        <v>1083</v>
      </c>
      <c r="B784" s="40"/>
      <c r="C784" s="40"/>
      <c r="D784" s="40"/>
      <c r="E784" s="42"/>
      <c r="F784" s="41"/>
      <c r="G784" s="41"/>
      <c r="H784" s="41"/>
      <c r="I784" s="42"/>
      <c r="J784" s="41"/>
      <c r="K784" s="42"/>
      <c r="L784" s="41"/>
      <c r="M784" s="42"/>
      <c r="N784" s="45">
        <f t="shared" si="12"/>
        <v>0</v>
      </c>
    </row>
    <row r="785" spans="1:14" ht="15.75" thickBot="1" x14ac:dyDescent="0.3">
      <c r="A785" s="37" t="s">
        <v>1084</v>
      </c>
      <c r="B785" s="28">
        <v>-866566</v>
      </c>
      <c r="C785" s="28">
        <v>-1411114</v>
      </c>
      <c r="D785" s="28">
        <v>-1119139</v>
      </c>
      <c r="E785" s="41"/>
      <c r="F785" s="42"/>
      <c r="G785" s="33">
        <v>-5402156</v>
      </c>
      <c r="H785" s="33">
        <v>-321506</v>
      </c>
      <c r="I785" s="29">
        <v>-272371</v>
      </c>
      <c r="J785" s="33">
        <v>-1227904</v>
      </c>
      <c r="K785" s="29">
        <v>-992111</v>
      </c>
      <c r="L785" s="33">
        <v>-879955</v>
      </c>
      <c r="M785" s="29">
        <v>-640411</v>
      </c>
      <c r="N785" s="30">
        <f t="shared" si="12"/>
        <v>-13133233</v>
      </c>
    </row>
    <row r="786" spans="1:14" ht="15.75" thickBot="1" x14ac:dyDescent="0.3">
      <c r="A786" s="37" t="s">
        <v>1085</v>
      </c>
      <c r="B786" s="40">
        <v>-88147</v>
      </c>
      <c r="C786" s="40">
        <v>-1740026</v>
      </c>
      <c r="D786" s="40">
        <v>-2896549</v>
      </c>
      <c r="E786" s="33">
        <v>-1893474</v>
      </c>
      <c r="F786" s="29">
        <v>-1435902</v>
      </c>
      <c r="G786" s="29">
        <v>-769235</v>
      </c>
      <c r="H786" s="29">
        <v>-345994</v>
      </c>
      <c r="I786" s="42"/>
      <c r="J786" s="41"/>
      <c r="K786" s="42"/>
      <c r="L786" s="41"/>
      <c r="M786" s="42"/>
      <c r="N786" s="34">
        <f t="shared" si="12"/>
        <v>-9169327</v>
      </c>
    </row>
    <row r="787" spans="1:14" ht="15.75" thickBot="1" x14ac:dyDescent="0.3">
      <c r="A787" s="57" t="s">
        <v>1086</v>
      </c>
      <c r="B787" s="43"/>
      <c r="C787" s="43"/>
      <c r="D787" s="43"/>
      <c r="E787" s="33"/>
      <c r="F787" s="29"/>
      <c r="G787" s="29"/>
      <c r="H787" s="29"/>
      <c r="I787" s="42"/>
      <c r="J787" s="41"/>
      <c r="K787" s="42"/>
      <c r="L787" s="41"/>
      <c r="M787" s="42"/>
      <c r="N787" s="34">
        <f t="shared" si="12"/>
        <v>0</v>
      </c>
    </row>
    <row r="788" spans="1:14" ht="15.75" thickBot="1" x14ac:dyDescent="0.3">
      <c r="A788" s="37" t="s">
        <v>1087</v>
      </c>
      <c r="B788" s="40"/>
      <c r="C788" s="40"/>
      <c r="D788" s="40">
        <v>-2.23</v>
      </c>
      <c r="E788" s="41"/>
      <c r="F788" s="42"/>
      <c r="G788" s="42"/>
      <c r="H788" s="42"/>
      <c r="I788" s="41"/>
      <c r="J788" s="42"/>
      <c r="K788" s="41"/>
      <c r="L788" s="42"/>
      <c r="M788" s="41"/>
      <c r="N788" s="44">
        <f t="shared" si="12"/>
        <v>-2.23</v>
      </c>
    </row>
    <row r="789" spans="1:14" ht="15.75" thickBot="1" x14ac:dyDescent="0.3">
      <c r="A789" s="36" t="s">
        <v>1088</v>
      </c>
      <c r="B789" s="28">
        <v>115493</v>
      </c>
      <c r="C789" s="28">
        <v>1396145</v>
      </c>
      <c r="D789" s="28">
        <v>1920968</v>
      </c>
      <c r="E789" s="33">
        <v>2167925</v>
      </c>
      <c r="F789" s="29">
        <v>1707302</v>
      </c>
      <c r="G789" s="29">
        <v>823904</v>
      </c>
      <c r="H789" s="29">
        <v>288416</v>
      </c>
      <c r="I789" s="33">
        <v>-301379</v>
      </c>
      <c r="J789" s="29">
        <v>-649739</v>
      </c>
      <c r="K789" s="33">
        <v>-926483</v>
      </c>
      <c r="L789" s="29">
        <v>-779555</v>
      </c>
      <c r="M789" s="33">
        <v>-558873</v>
      </c>
      <c r="N789" s="34">
        <f t="shared" si="12"/>
        <v>5204124</v>
      </c>
    </row>
    <row r="790" spans="1:14" ht="15.75" thickBot="1" x14ac:dyDescent="0.3">
      <c r="A790" s="37" t="s">
        <v>1089</v>
      </c>
      <c r="B790" s="40"/>
      <c r="C790" s="40"/>
      <c r="D790" s="40"/>
      <c r="E790" s="41"/>
      <c r="F790" s="42"/>
      <c r="G790" s="42"/>
      <c r="H790" s="42"/>
      <c r="I790" s="41"/>
      <c r="J790" s="42"/>
      <c r="K790" s="41"/>
      <c r="L790" s="42"/>
      <c r="M790" s="41"/>
      <c r="N790" s="44">
        <f t="shared" si="12"/>
        <v>0</v>
      </c>
    </row>
    <row r="791" spans="1:14" ht="15.75" thickBot="1" x14ac:dyDescent="0.3">
      <c r="A791" s="37" t="s">
        <v>1090</v>
      </c>
      <c r="B791" s="43"/>
      <c r="C791" s="43"/>
      <c r="D791" s="43"/>
      <c r="E791" s="42"/>
      <c r="F791" s="41"/>
      <c r="G791" s="41"/>
      <c r="H791" s="41"/>
      <c r="I791" s="42"/>
      <c r="J791" s="41"/>
      <c r="K791" s="42"/>
      <c r="L791" s="41"/>
      <c r="M791" s="42"/>
      <c r="N791" s="45">
        <f t="shared" si="12"/>
        <v>0</v>
      </c>
    </row>
    <row r="792" spans="1:14" ht="15.75" thickBot="1" x14ac:dyDescent="0.3">
      <c r="A792" s="37" t="s">
        <v>1091</v>
      </c>
      <c r="B792" s="40">
        <v>-486981</v>
      </c>
      <c r="C792" s="40">
        <v>-519543</v>
      </c>
      <c r="D792" s="40">
        <v>-537702</v>
      </c>
      <c r="E792" s="29">
        <v>24485</v>
      </c>
      <c r="F792" s="33">
        <v>23981</v>
      </c>
      <c r="G792" s="33">
        <v>30194</v>
      </c>
      <c r="H792" s="33">
        <v>27023</v>
      </c>
      <c r="I792" s="29">
        <v>27006</v>
      </c>
      <c r="J792" s="33">
        <v>90950</v>
      </c>
      <c r="K792" s="29">
        <v>34707</v>
      </c>
      <c r="L792" s="33">
        <v>36921</v>
      </c>
      <c r="M792" s="29">
        <v>82835</v>
      </c>
      <c r="N792" s="30">
        <f t="shared" si="12"/>
        <v>-1166124</v>
      </c>
    </row>
    <row r="793" spans="1:14" ht="15.75" thickBot="1" x14ac:dyDescent="0.3">
      <c r="A793" s="37" t="s">
        <v>1092</v>
      </c>
      <c r="B793" s="43">
        <v>547631</v>
      </c>
      <c r="C793" s="43">
        <v>574534</v>
      </c>
      <c r="D793" s="43">
        <v>563238</v>
      </c>
      <c r="E793" s="33">
        <v>29242</v>
      </c>
      <c r="F793" s="29">
        <v>28775</v>
      </c>
      <c r="G793" s="29">
        <v>17102</v>
      </c>
      <c r="H793" s="29">
        <v>26932</v>
      </c>
      <c r="I793" s="33">
        <v>26021</v>
      </c>
      <c r="J793" s="41"/>
      <c r="K793" s="33">
        <v>14919</v>
      </c>
      <c r="L793" s="29">
        <v>15328</v>
      </c>
      <c r="M793" s="42"/>
      <c r="N793" s="34">
        <f t="shared" si="12"/>
        <v>1843722</v>
      </c>
    </row>
    <row r="794" spans="1:14" ht="15.75" thickBot="1" x14ac:dyDescent="0.3">
      <c r="A794" s="37" t="s">
        <v>1092</v>
      </c>
      <c r="B794" s="43"/>
      <c r="C794" s="43"/>
      <c r="D794" s="43"/>
      <c r="E794" s="33"/>
      <c r="F794" s="29"/>
      <c r="G794" s="29"/>
      <c r="H794" s="42"/>
      <c r="I794" s="41"/>
      <c r="J794" s="33">
        <v>-36861</v>
      </c>
      <c r="K794" s="41"/>
      <c r="L794" s="42"/>
      <c r="M794" s="29">
        <v>-34456</v>
      </c>
      <c r="N794" s="30">
        <f t="shared" si="12"/>
        <v>-71317</v>
      </c>
    </row>
    <row r="795" spans="1:14" ht="15.75" thickBot="1" x14ac:dyDescent="0.3">
      <c r="A795" s="37" t="s">
        <v>1093</v>
      </c>
      <c r="B795" s="32">
        <v>93630</v>
      </c>
      <c r="C795" s="32">
        <v>1470772</v>
      </c>
      <c r="D795" s="32">
        <v>1433115</v>
      </c>
      <c r="E795" s="29">
        <v>1116114</v>
      </c>
      <c r="F795" s="33">
        <v>903602</v>
      </c>
      <c r="G795" s="33">
        <v>2080464</v>
      </c>
      <c r="H795" s="29">
        <v>202139</v>
      </c>
      <c r="I795" s="33">
        <v>-328254</v>
      </c>
      <c r="J795" s="29">
        <v>-298529</v>
      </c>
      <c r="K795" s="33">
        <v>-947928</v>
      </c>
      <c r="L795" s="29">
        <v>-812837</v>
      </c>
      <c r="M795" s="33">
        <v>-706410</v>
      </c>
      <c r="N795" s="34">
        <f t="shared" si="12"/>
        <v>4205878</v>
      </c>
    </row>
    <row r="796" spans="1:14" ht="15.75" thickBot="1" x14ac:dyDescent="0.3">
      <c r="A796" s="37" t="s">
        <v>1094</v>
      </c>
      <c r="B796" s="28">
        <v>14310</v>
      </c>
      <c r="C796" s="28">
        <v>374566</v>
      </c>
      <c r="D796" s="28">
        <v>858062</v>
      </c>
      <c r="E796" s="33">
        <v>998084</v>
      </c>
      <c r="F796" s="29">
        <v>750944</v>
      </c>
      <c r="G796" s="29">
        <v>611238</v>
      </c>
      <c r="H796" s="33">
        <v>146298</v>
      </c>
      <c r="I796" s="29">
        <v>81980</v>
      </c>
      <c r="J796" s="33">
        <v>59695</v>
      </c>
      <c r="K796" s="29">
        <v>363811</v>
      </c>
      <c r="L796" s="33">
        <v>329462</v>
      </c>
      <c r="M796" s="29">
        <v>354053</v>
      </c>
      <c r="N796" s="30">
        <f t="shared" si="12"/>
        <v>4942503</v>
      </c>
    </row>
    <row r="797" spans="1:14" ht="15.75" thickBot="1" x14ac:dyDescent="0.3">
      <c r="A797" s="37" t="s">
        <v>1083</v>
      </c>
      <c r="B797" s="40"/>
      <c r="C797" s="40"/>
      <c r="D797" s="40"/>
      <c r="E797" s="41"/>
      <c r="F797" s="42"/>
      <c r="G797" s="42"/>
      <c r="H797" s="41"/>
      <c r="I797" s="42"/>
      <c r="J797" s="41"/>
      <c r="K797" s="42"/>
      <c r="L797" s="41"/>
      <c r="M797" s="42"/>
      <c r="N797" s="45">
        <f t="shared" si="12"/>
        <v>0</v>
      </c>
    </row>
    <row r="798" spans="1:14" ht="15.75" thickBot="1" x14ac:dyDescent="0.3">
      <c r="A798" s="37" t="s">
        <v>1095</v>
      </c>
      <c r="B798" s="28">
        <v>-53097</v>
      </c>
      <c r="C798" s="28">
        <v>-504184</v>
      </c>
      <c r="D798" s="28">
        <v>-395745</v>
      </c>
      <c r="E798" s="42"/>
      <c r="F798" s="41"/>
      <c r="G798" s="29">
        <v>-1915094</v>
      </c>
      <c r="H798" s="33">
        <v>-113976</v>
      </c>
      <c r="I798" s="29">
        <v>-108132</v>
      </c>
      <c r="J798" s="33">
        <v>-464994</v>
      </c>
      <c r="K798" s="29">
        <v>-391992</v>
      </c>
      <c r="L798" s="33">
        <v>-348429</v>
      </c>
      <c r="M798" s="29">
        <v>-254895</v>
      </c>
      <c r="N798" s="30">
        <f t="shared" si="12"/>
        <v>-4550538</v>
      </c>
    </row>
  </sheetData>
  <pageMargins left="0.75" right="0.75" top="1" bottom="1" header="0.5" footer="0.5"/>
  <pageSetup orientation="portrait" horizontalDpi="4294967295" verticalDpi="4294967295" r:id="rId1"/>
  <headerFooter>
    <oddHeader>&amp;RExh. KTW-5 Walker WP7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839A0A0-9033-43A1-92DB-8E40DE41D48D}"/>
</file>

<file path=customXml/itemProps2.xml><?xml version="1.0" encoding="utf-8"?>
<ds:datastoreItem xmlns:ds="http://schemas.openxmlformats.org/officeDocument/2006/customXml" ds:itemID="{F116608D-CD9C-4F26-BD43-8004EF0CA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EFECF1-4A51-430B-8B1B-E38F9A74660E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5E826CA-B436-42E5-819D-7380BBD6D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Actual</vt:lpstr>
      <vt:lpstr>Dep Exp_Sep20</vt:lpstr>
      <vt:lpstr>Dep Exp_AMA</vt:lpstr>
      <vt:lpstr>SYSTEM</vt:lpstr>
      <vt:lpstr>OR</vt:lpstr>
      <vt:lpstr>WA</vt:lpstr>
      <vt:lpstr>Combined Utility 10-19-09-20</vt:lpstr>
      <vt:lpstr>Alloc</vt:lpstr>
      <vt:lpstr>IS_TTM_Sep20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Carl, Tom W.</dc:creator>
  <cp:lastModifiedBy>Lee-Pella, Erica N.</cp:lastModifiedBy>
  <cp:lastPrinted>2020-12-17T20:42:46Z</cp:lastPrinted>
  <dcterms:created xsi:type="dcterms:W3CDTF">2015-05-04T21:31:02Z</dcterms:created>
  <dcterms:modified xsi:type="dcterms:W3CDTF">2020-12-17T20:42:49Z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