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2024 GRC\01 Original Filing\#Vertigo Dirty Files\"/>
    </mc:Choice>
  </mc:AlternateContent>
  <bookViews>
    <workbookView xWindow="585" yWindow="735" windowWidth="23730" windowHeight="13920" tabRatio="893"/>
  </bookViews>
  <sheets>
    <sheet name="PSE-Electric Summary " sheetId="1" r:id="rId1"/>
    <sheet name="PSE-Gas Summary" sheetId="3" r:id="rId2"/>
    <sheet name="2022 GRC-&gt;&gt;" sheetId="6" r:id="rId3"/>
    <sheet name="E Rate Impacts_RY#1" sheetId="4" r:id="rId4"/>
    <sheet name="E Rate Impacts_RY#2" sheetId="5" r:id="rId5"/>
    <sheet name="G Rate Impacts_RY#1" sheetId="7" r:id="rId6"/>
    <sheet name="G Rate Impacts_RY#2" sheetId="8" r:id="rId7"/>
    <sheet name="ROR" sheetId="9" r:id="rId8"/>
  </sheets>
  <externalReferences>
    <externalReference r:id="rId9"/>
    <externalReference r:id="rId10"/>
    <externalReference r:id="rId11"/>
    <externalReference r:id="rId12"/>
    <externalReference r:id="rId13"/>
    <externalReference r:id="rId14"/>
    <externalReference r:id="rId15"/>
  </externalReferences>
  <definedNames>
    <definedName name="_xlnm.Print_Area" localSheetId="5">'G Rate Impacts_RY#1'!$B$1:$AC$40</definedName>
    <definedName name="_xlnm.Print_Area" localSheetId="6">'G Rate Impacts_RY#2'!$B$1:$Q$38</definedName>
    <definedName name="_xlnm.Print_Area" localSheetId="0">'PSE-Electric Summary '!$A:$E</definedName>
    <definedName name="_xlnm.Print_Area" localSheetId="1">'PSE-Gas Summary'!$A:$E</definedName>
    <definedName name="_xlnm.Print_Titles" localSheetId="0">'PSE-Electric Summary '!$1:$7</definedName>
    <definedName name="_xlnm.Print_Titles" localSheetId="1">'PSE-Gas Summary'!$1:$7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23" i="3"/>
  <c r="E103" i="1" l="1"/>
  <c r="E102" i="1"/>
  <c r="E101" i="1"/>
  <c r="E100" i="1"/>
  <c r="E99" i="1"/>
  <c r="E98" i="1"/>
  <c r="E97" i="1"/>
  <c r="E96" i="1"/>
  <c r="E95" i="1"/>
  <c r="E94" i="1"/>
  <c r="E93" i="1"/>
  <c r="E92" i="1"/>
  <c r="E91" i="1"/>
  <c r="E90" i="1"/>
  <c r="D97" i="1"/>
  <c r="D96" i="1"/>
  <c r="D95" i="1"/>
  <c r="D94" i="1"/>
  <c r="D93" i="1"/>
  <c r="D92" i="1"/>
  <c r="D91" i="1"/>
  <c r="D90" i="1"/>
  <c r="E90" i="3" l="1"/>
  <c r="E102" i="3"/>
  <c r="E101" i="3"/>
  <c r="E100" i="3"/>
  <c r="E99" i="3"/>
  <c r="E98" i="3"/>
  <c r="E97" i="3"/>
  <c r="E96" i="3"/>
  <c r="E95" i="3"/>
  <c r="E94" i="3"/>
  <c r="E93" i="3"/>
  <c r="E92" i="3"/>
  <c r="E91" i="3"/>
  <c r="E89" i="3"/>
  <c r="D93" i="3"/>
  <c r="D102" i="3"/>
  <c r="D101" i="3"/>
  <c r="D100" i="3"/>
  <c r="D99" i="3"/>
  <c r="D98" i="3"/>
  <c r="D97" i="3"/>
  <c r="D96" i="3"/>
  <c r="D95" i="3"/>
  <c r="D94" i="3"/>
  <c r="D92" i="3"/>
  <c r="D91" i="3"/>
  <c r="D90" i="3"/>
  <c r="D89" i="3"/>
  <c r="C102" i="3"/>
  <c r="C94" i="3"/>
  <c r="C95" i="3"/>
  <c r="C96" i="3"/>
  <c r="C97" i="3"/>
  <c r="C98" i="3"/>
  <c r="C99" i="3"/>
  <c r="C100" i="3"/>
  <c r="C93" i="3"/>
  <c r="C92" i="3"/>
  <c r="C91" i="3"/>
  <c r="C90" i="3"/>
  <c r="C89" i="3" s="1"/>
  <c r="C103" i="3" s="1"/>
  <c r="D19" i="3" l="1"/>
  <c r="E84" i="3" l="1"/>
  <c r="D84" i="3"/>
  <c r="E27" i="1" l="1"/>
  <c r="D109" i="3" l="1"/>
  <c r="D108" i="3"/>
  <c r="D111" i="1"/>
  <c r="D110" i="1"/>
  <c r="F16" i="9"/>
  <c r="F20" i="9" s="1"/>
  <c r="F22" i="9" s="1"/>
  <c r="B17" i="9"/>
  <c r="F17" i="9"/>
  <c r="B18" i="9"/>
  <c r="B19" i="9" s="1"/>
  <c r="B20" i="9" s="1"/>
  <c r="B21" i="9" s="1"/>
  <c r="B22" i="9" s="1"/>
  <c r="D18" i="9"/>
  <c r="D20" i="9"/>
  <c r="E20" i="9"/>
  <c r="D21" i="9"/>
  <c r="F21" i="9" s="1"/>
  <c r="E21" i="9"/>
  <c r="D22" i="9"/>
  <c r="F18" i="9" l="1"/>
  <c r="D16" i="3" l="1"/>
  <c r="D16" i="1"/>
  <c r="D19" i="1" l="1"/>
  <c r="E16" i="3" l="1"/>
  <c r="L34" i="8"/>
  <c r="I34" i="8"/>
  <c r="F34" i="8"/>
  <c r="F32" i="8"/>
  <c r="G32" i="8" s="1"/>
  <c r="D32" i="8"/>
  <c r="I31" i="8"/>
  <c r="L30" i="8"/>
  <c r="F28" i="8"/>
  <c r="F35" i="8" s="1"/>
  <c r="D28" i="8"/>
  <c r="O23" i="8"/>
  <c r="P23" i="8" s="1"/>
  <c r="J23" i="8"/>
  <c r="G23" i="8"/>
  <c r="D34" i="8"/>
  <c r="M22" i="8"/>
  <c r="J22" i="8"/>
  <c r="G22" i="8"/>
  <c r="O22" i="8"/>
  <c r="P22" i="8" s="1"/>
  <c r="Q22" i="8" s="1"/>
  <c r="J21" i="8"/>
  <c r="O21" i="8"/>
  <c r="P21" i="8" s="1"/>
  <c r="Q21" i="8" s="1"/>
  <c r="G21" i="8"/>
  <c r="M21" i="8"/>
  <c r="M20" i="8"/>
  <c r="J20" i="8"/>
  <c r="G20" i="8"/>
  <c r="O20" i="8"/>
  <c r="P20" i="8" s="1"/>
  <c r="Q20" i="8" s="1"/>
  <c r="O19" i="8"/>
  <c r="P19" i="8" s="1"/>
  <c r="Q19" i="8" s="1"/>
  <c r="M19" i="8"/>
  <c r="G19" i="8"/>
  <c r="J19" i="8"/>
  <c r="P18" i="8"/>
  <c r="Q18" i="8" s="1"/>
  <c r="O18" i="8"/>
  <c r="M18" i="8"/>
  <c r="J18" i="8"/>
  <c r="G18" i="8"/>
  <c r="L33" i="8"/>
  <c r="I33" i="8"/>
  <c r="F33" i="8"/>
  <c r="O17" i="8"/>
  <c r="P17" i="8" s="1"/>
  <c r="L32" i="8"/>
  <c r="M32" i="8" s="1"/>
  <c r="O16" i="8"/>
  <c r="P16" i="8" s="1"/>
  <c r="G16" i="8"/>
  <c r="L31" i="8"/>
  <c r="J15" i="8"/>
  <c r="F31" i="8"/>
  <c r="D31" i="8"/>
  <c r="O31" i="8" s="1"/>
  <c r="O14" i="8"/>
  <c r="P14" i="8" s="1"/>
  <c r="M14" i="8"/>
  <c r="I30" i="8"/>
  <c r="F30" i="8"/>
  <c r="D30" i="8"/>
  <c r="O30" i="8" s="1"/>
  <c r="L29" i="8"/>
  <c r="I29" i="8"/>
  <c r="F29" i="8"/>
  <c r="O13" i="8"/>
  <c r="P13" i="8" s="1"/>
  <c r="M12" i="8"/>
  <c r="I24" i="8"/>
  <c r="G12" i="8"/>
  <c r="O12" i="8"/>
  <c r="P12" i="8" s="1"/>
  <c r="Q12" i="8" s="1"/>
  <c r="L28" i="8"/>
  <c r="J11" i="8"/>
  <c r="I28" i="8"/>
  <c r="F24" i="8"/>
  <c r="G24" i="8" s="1"/>
  <c r="D24" i="8"/>
  <c r="M8" i="8"/>
  <c r="J8" i="8"/>
  <c r="G8" i="8"/>
  <c r="M7" i="8"/>
  <c r="J7" i="8"/>
  <c r="G7" i="8"/>
  <c r="O6" i="8"/>
  <c r="O35" i="7"/>
  <c r="L35" i="7"/>
  <c r="I35" i="7"/>
  <c r="D35" i="7"/>
  <c r="M35" i="7" s="1"/>
  <c r="R34" i="7"/>
  <c r="F34" i="7"/>
  <c r="I33" i="7"/>
  <c r="X32" i="7"/>
  <c r="L32" i="7"/>
  <c r="O31" i="7"/>
  <c r="D31" i="7"/>
  <c r="P31" i="7" s="1"/>
  <c r="R30" i="7"/>
  <c r="I29" i="7"/>
  <c r="Y24" i="7"/>
  <c r="R35" i="7"/>
  <c r="S35" i="7" s="1"/>
  <c r="P24" i="7"/>
  <c r="M24" i="7"/>
  <c r="G24" i="7"/>
  <c r="J24" i="7"/>
  <c r="Y23" i="7"/>
  <c r="S23" i="7"/>
  <c r="M23" i="7"/>
  <c r="U23" i="7"/>
  <c r="J23" i="7"/>
  <c r="G23" i="7"/>
  <c r="P23" i="7"/>
  <c r="Y22" i="7"/>
  <c r="S22" i="7"/>
  <c r="P22" i="7"/>
  <c r="M22" i="7"/>
  <c r="J22" i="7"/>
  <c r="U22" i="7"/>
  <c r="Y21" i="7"/>
  <c r="U21" i="7"/>
  <c r="V21" i="7" s="1"/>
  <c r="M21" i="7"/>
  <c r="AA21" i="7"/>
  <c r="AB21" i="7" s="1"/>
  <c r="AC21" i="7" s="1"/>
  <c r="S20" i="7"/>
  <c r="M20" i="7"/>
  <c r="J20" i="7"/>
  <c r="U20" i="7"/>
  <c r="V20" i="7" s="1"/>
  <c r="P20" i="7"/>
  <c r="Y19" i="7"/>
  <c r="U19" i="7"/>
  <c r="AA19" i="7" s="1"/>
  <c r="AB19" i="7" s="1"/>
  <c r="AC19" i="7" s="1"/>
  <c r="S19" i="7"/>
  <c r="M19" i="7"/>
  <c r="J19" i="7"/>
  <c r="G19" i="7"/>
  <c r="F30" i="7"/>
  <c r="P19" i="7"/>
  <c r="X34" i="7"/>
  <c r="Y34" i="7" s="1"/>
  <c r="S18" i="7"/>
  <c r="O34" i="7"/>
  <c r="L34" i="7"/>
  <c r="J18" i="7"/>
  <c r="I34" i="7"/>
  <c r="G18" i="7"/>
  <c r="D34" i="7"/>
  <c r="Y17" i="7"/>
  <c r="X33" i="7"/>
  <c r="R33" i="7"/>
  <c r="O33" i="7"/>
  <c r="M17" i="7"/>
  <c r="L33" i="7"/>
  <c r="J17" i="7"/>
  <c r="F33" i="7"/>
  <c r="D33" i="7"/>
  <c r="J33" i="7" s="1"/>
  <c r="Y16" i="7"/>
  <c r="R32" i="7"/>
  <c r="O32" i="7"/>
  <c r="M16" i="7"/>
  <c r="I32" i="7"/>
  <c r="F32" i="7"/>
  <c r="P16" i="7"/>
  <c r="X31" i="7"/>
  <c r="Y31" i="7" s="1"/>
  <c r="S15" i="7"/>
  <c r="R31" i="7"/>
  <c r="S31" i="7" s="1"/>
  <c r="P15" i="7"/>
  <c r="L31" i="7"/>
  <c r="M31" i="7" s="1"/>
  <c r="I31" i="7"/>
  <c r="J31" i="7" s="1"/>
  <c r="G15" i="7"/>
  <c r="F31" i="7"/>
  <c r="G31" i="7" s="1"/>
  <c r="X30" i="7"/>
  <c r="S14" i="7"/>
  <c r="O30" i="7"/>
  <c r="L30" i="7"/>
  <c r="J14" i="7"/>
  <c r="I30" i="7"/>
  <c r="G14" i="7"/>
  <c r="D30" i="7"/>
  <c r="S30" i="7" s="1"/>
  <c r="Y13" i="7"/>
  <c r="X25" i="7"/>
  <c r="S13" i="7"/>
  <c r="P13" i="7"/>
  <c r="M13" i="7"/>
  <c r="L25" i="7"/>
  <c r="J13" i="7"/>
  <c r="U13" i="7"/>
  <c r="V13" i="7" s="1"/>
  <c r="Y12" i="7"/>
  <c r="R29" i="7"/>
  <c r="P12" i="7"/>
  <c r="M12" i="7"/>
  <c r="I25" i="7"/>
  <c r="F29" i="7"/>
  <c r="D29" i="7"/>
  <c r="P9" i="7"/>
  <c r="M9" i="7"/>
  <c r="J9" i="7"/>
  <c r="G9" i="7"/>
  <c r="Y8" i="7"/>
  <c r="S8" i="7"/>
  <c r="P8" i="7"/>
  <c r="M8" i="7"/>
  <c r="J8" i="7"/>
  <c r="AA7" i="7"/>
  <c r="P30" i="8" l="1"/>
  <c r="Q30" i="8" s="1"/>
  <c r="Q14" i="8"/>
  <c r="G29" i="7"/>
  <c r="G33" i="7"/>
  <c r="G34" i="7"/>
  <c r="S34" i="7"/>
  <c r="I36" i="7"/>
  <c r="M28" i="8"/>
  <c r="L35" i="8"/>
  <c r="Q16" i="8"/>
  <c r="P32" i="8"/>
  <c r="Q32" i="8" s="1"/>
  <c r="M30" i="8"/>
  <c r="G29" i="8"/>
  <c r="J25" i="7"/>
  <c r="J30" i="7"/>
  <c r="G30" i="7"/>
  <c r="V22" i="7"/>
  <c r="AA22" i="7"/>
  <c r="AB22" i="7" s="1"/>
  <c r="AC22" i="7" s="1"/>
  <c r="M29" i="8"/>
  <c r="G31" i="8"/>
  <c r="J31" i="8"/>
  <c r="J29" i="7"/>
  <c r="J32" i="7"/>
  <c r="M33" i="7"/>
  <c r="J34" i="7"/>
  <c r="Q17" i="8"/>
  <c r="P33" i="8"/>
  <c r="O34" i="8"/>
  <c r="J34" i="8"/>
  <c r="M30" i="7"/>
  <c r="G30" i="8"/>
  <c r="S29" i="7"/>
  <c r="R36" i="7"/>
  <c r="P30" i="7"/>
  <c r="P33" i="7"/>
  <c r="M34" i="7"/>
  <c r="J24" i="8"/>
  <c r="J30" i="8"/>
  <c r="M31" i="8"/>
  <c r="J33" i="8"/>
  <c r="G34" i="8"/>
  <c r="Y25" i="7"/>
  <c r="S33" i="7"/>
  <c r="P34" i="7"/>
  <c r="V23" i="7"/>
  <c r="AA23" i="7"/>
  <c r="AB23" i="7" s="1"/>
  <c r="AC23" i="7" s="1"/>
  <c r="M33" i="8"/>
  <c r="Q23" i="8"/>
  <c r="P34" i="8"/>
  <c r="Q34" i="8" s="1"/>
  <c r="AA13" i="7"/>
  <c r="AB13" i="7" s="1"/>
  <c r="AC13" i="7" s="1"/>
  <c r="Y30" i="7"/>
  <c r="Y33" i="7"/>
  <c r="J28" i="8"/>
  <c r="Q13" i="8"/>
  <c r="P29" i="8"/>
  <c r="O28" i="8"/>
  <c r="M34" i="8"/>
  <c r="U14" i="7"/>
  <c r="U18" i="7"/>
  <c r="P21" i="7"/>
  <c r="U15" i="7"/>
  <c r="V19" i="7"/>
  <c r="G20" i="7"/>
  <c r="S21" i="7"/>
  <c r="O25" i="7"/>
  <c r="P25" i="7" s="1"/>
  <c r="L29" i="7"/>
  <c r="X29" i="7"/>
  <c r="F35" i="7"/>
  <c r="G35" i="7" s="1"/>
  <c r="M11" i="8"/>
  <c r="J12" i="8"/>
  <c r="G13" i="8"/>
  <c r="M15" i="8"/>
  <c r="J16" i="8"/>
  <c r="G17" i="8"/>
  <c r="M23" i="8"/>
  <c r="G28" i="8"/>
  <c r="D29" i="8"/>
  <c r="O29" i="8" s="1"/>
  <c r="D33" i="8"/>
  <c r="O33" i="8" s="1"/>
  <c r="G12" i="7"/>
  <c r="S12" i="7"/>
  <c r="M14" i="7"/>
  <c r="Y14" i="7"/>
  <c r="J15" i="7"/>
  <c r="G16" i="7"/>
  <c r="S16" i="7"/>
  <c r="P17" i="7"/>
  <c r="M18" i="7"/>
  <c r="Y18" i="7"/>
  <c r="G21" i="7"/>
  <c r="S24" i="7"/>
  <c r="D25" i="7"/>
  <c r="M25" i="7" s="1"/>
  <c r="D32" i="7"/>
  <c r="G32" i="7" s="1"/>
  <c r="O11" i="8"/>
  <c r="O15" i="8"/>
  <c r="P15" i="8" s="1"/>
  <c r="L24" i="8"/>
  <c r="M24" i="8" s="1"/>
  <c r="I32" i="8"/>
  <c r="J32" i="8" s="1"/>
  <c r="U12" i="7"/>
  <c r="AA12" i="7" s="1"/>
  <c r="U16" i="7"/>
  <c r="AA16" i="7" s="1"/>
  <c r="G22" i="7"/>
  <c r="U24" i="7"/>
  <c r="F25" i="7"/>
  <c r="G25" i="7" s="1"/>
  <c r="R25" i="7"/>
  <c r="S25" i="7" s="1"/>
  <c r="O29" i="7"/>
  <c r="J13" i="8"/>
  <c r="G14" i="8"/>
  <c r="M16" i="8"/>
  <c r="J17" i="8"/>
  <c r="P35" i="7"/>
  <c r="J12" i="7"/>
  <c r="G13" i="7"/>
  <c r="P14" i="7"/>
  <c r="M15" i="7"/>
  <c r="Y15" i="7"/>
  <c r="J16" i="7"/>
  <c r="G17" i="7"/>
  <c r="S17" i="7"/>
  <c r="P18" i="7"/>
  <c r="Y20" i="7"/>
  <c r="J21" i="7"/>
  <c r="J35" i="7"/>
  <c r="U17" i="7"/>
  <c r="AA20" i="7"/>
  <c r="AB20" i="7" s="1"/>
  <c r="AC20" i="7" s="1"/>
  <c r="X35" i="7"/>
  <c r="Y35" i="7" s="1"/>
  <c r="G11" i="8"/>
  <c r="M13" i="8"/>
  <c r="J14" i="8"/>
  <c r="G15" i="8"/>
  <c r="M17" i="8"/>
  <c r="D35" i="8"/>
  <c r="G35" i="8" s="1"/>
  <c r="AB16" i="7" l="1"/>
  <c r="AA32" i="7"/>
  <c r="AA29" i="7"/>
  <c r="AB12" i="7"/>
  <c r="V18" i="7"/>
  <c r="U34" i="7"/>
  <c r="V34" i="7" s="1"/>
  <c r="I35" i="8"/>
  <c r="J35" i="8" s="1"/>
  <c r="Q33" i="8"/>
  <c r="AA14" i="7"/>
  <c r="U30" i="7"/>
  <c r="V30" i="7" s="1"/>
  <c r="V14" i="7"/>
  <c r="G33" i="8"/>
  <c r="V17" i="7"/>
  <c r="U33" i="7"/>
  <c r="V33" i="7" s="1"/>
  <c r="P31" i="8"/>
  <c r="Q31" i="8" s="1"/>
  <c r="Q15" i="8"/>
  <c r="F36" i="7"/>
  <c r="M29" i="7"/>
  <c r="L36" i="7"/>
  <c r="M36" i="7" s="1"/>
  <c r="P29" i="7"/>
  <c r="O36" i="7"/>
  <c r="P36" i="7" s="1"/>
  <c r="V24" i="7"/>
  <c r="U35" i="7"/>
  <c r="V35" i="7" s="1"/>
  <c r="AA24" i="7"/>
  <c r="AA17" i="7"/>
  <c r="S32" i="7"/>
  <c r="O32" i="8"/>
  <c r="O35" i="8" s="1"/>
  <c r="J29" i="8"/>
  <c r="M32" i="7"/>
  <c r="Y32" i="7"/>
  <c r="Q29" i="8"/>
  <c r="P32" i="7"/>
  <c r="D36" i="7"/>
  <c r="S36" i="7" s="1"/>
  <c r="M35" i="8"/>
  <c r="U32" i="7"/>
  <c r="V32" i="7" s="1"/>
  <c r="V16" i="7"/>
  <c r="U25" i="7"/>
  <c r="V25" i="7" s="1"/>
  <c r="V12" i="7"/>
  <c r="U29" i="7"/>
  <c r="O24" i="8"/>
  <c r="P11" i="8"/>
  <c r="AA15" i="7"/>
  <c r="U31" i="7"/>
  <c r="V31" i="7" s="1"/>
  <c r="V15" i="7"/>
  <c r="AA18" i="7"/>
  <c r="Y29" i="7"/>
  <c r="X36" i="7"/>
  <c r="P24" i="8" l="1"/>
  <c r="Q24" i="8" s="1"/>
  <c r="Q11" i="8"/>
  <c r="P28" i="8"/>
  <c r="AB29" i="7"/>
  <c r="AC12" i="7"/>
  <c r="AB15" i="7"/>
  <c r="AB25" i="7" s="1"/>
  <c r="AC25" i="7" s="1"/>
  <c r="AA31" i="7"/>
  <c r="AA33" i="7"/>
  <c r="AB17" i="7"/>
  <c r="G36" i="7"/>
  <c r="AA30" i="7"/>
  <c r="AA36" i="7" s="1"/>
  <c r="AB14" i="7"/>
  <c r="AA25" i="7"/>
  <c r="Y36" i="7"/>
  <c r="AB24" i="7"/>
  <c r="AA35" i="7"/>
  <c r="J36" i="7"/>
  <c r="U36" i="7"/>
  <c r="V36" i="7" s="1"/>
  <c r="V29" i="7"/>
  <c r="AA34" i="7"/>
  <c r="AB18" i="7"/>
  <c r="AB32" i="7"/>
  <c r="AC32" i="7" s="1"/>
  <c r="AC16" i="7"/>
  <c r="P35" i="8" l="1"/>
  <c r="Q35" i="8" s="1"/>
  <c r="Q28" i="8"/>
  <c r="AB35" i="7"/>
  <c r="AC35" i="7" s="1"/>
  <c r="AC24" i="7"/>
  <c r="AB34" i="7"/>
  <c r="AC34" i="7" s="1"/>
  <c r="AC18" i="7"/>
  <c r="AB31" i="7"/>
  <c r="AC31" i="7" s="1"/>
  <c r="AC15" i="7"/>
  <c r="AB30" i="7"/>
  <c r="AC30" i="7" s="1"/>
  <c r="AC14" i="7"/>
  <c r="AC29" i="7"/>
  <c r="AB33" i="7"/>
  <c r="AC33" i="7" s="1"/>
  <c r="AC17" i="7"/>
  <c r="AB36" i="7" l="1"/>
  <c r="AC36" i="7" s="1"/>
  <c r="E16" i="1" l="1"/>
  <c r="U35" i="5"/>
  <c r="R35" i="5"/>
  <c r="O35" i="5"/>
  <c r="L35" i="5"/>
  <c r="I35" i="5"/>
  <c r="F35" i="5"/>
  <c r="T22" i="5"/>
  <c r="K22" i="5"/>
  <c r="H22" i="5"/>
  <c r="N22" i="5"/>
  <c r="T21" i="5"/>
  <c r="N21" i="5"/>
  <c r="K21" i="5"/>
  <c r="H21" i="5"/>
  <c r="V21" i="5"/>
  <c r="W21" i="5" s="1"/>
  <c r="X21" i="5" s="1"/>
  <c r="T20" i="5"/>
  <c r="N20" i="5"/>
  <c r="K20" i="5"/>
  <c r="H20" i="5"/>
  <c r="V20" i="5"/>
  <c r="W20" i="5" s="1"/>
  <c r="X20" i="5" s="1"/>
  <c r="T19" i="5"/>
  <c r="N19" i="5"/>
  <c r="K19" i="5"/>
  <c r="H19" i="5"/>
  <c r="V19" i="5"/>
  <c r="W19" i="5" s="1"/>
  <c r="X19" i="5" s="1"/>
  <c r="T18" i="5"/>
  <c r="N18" i="5"/>
  <c r="K18" i="5"/>
  <c r="H18" i="5"/>
  <c r="V18" i="5"/>
  <c r="W18" i="5" s="1"/>
  <c r="X18" i="5" s="1"/>
  <c r="T17" i="5"/>
  <c r="N17" i="5"/>
  <c r="K17" i="5"/>
  <c r="H17" i="5"/>
  <c r="V17" i="5"/>
  <c r="W17" i="5" s="1"/>
  <c r="X17" i="5" s="1"/>
  <c r="T16" i="5"/>
  <c r="N16" i="5"/>
  <c r="K16" i="5"/>
  <c r="H16" i="5"/>
  <c r="Q16" i="5"/>
  <c r="T15" i="5"/>
  <c r="N15" i="5"/>
  <c r="K15" i="5"/>
  <c r="H15" i="5"/>
  <c r="Q15" i="5"/>
  <c r="T14" i="5"/>
  <c r="Q14" i="5"/>
  <c r="N14" i="5"/>
  <c r="K14" i="5"/>
  <c r="H14" i="5"/>
  <c r="V14" i="5"/>
  <c r="W14" i="5" s="1"/>
  <c r="X14" i="5" s="1"/>
  <c r="T13" i="5"/>
  <c r="N13" i="5"/>
  <c r="K13" i="5"/>
  <c r="H13" i="5"/>
  <c r="Q13" i="5"/>
  <c r="T12" i="5"/>
  <c r="N12" i="5"/>
  <c r="K12" i="5"/>
  <c r="H12" i="5"/>
  <c r="V12" i="5"/>
  <c r="W12" i="5" s="1"/>
  <c r="X12" i="5" s="1"/>
  <c r="T11" i="5"/>
  <c r="N11" i="5"/>
  <c r="K11" i="5"/>
  <c r="H11" i="5"/>
  <c r="V11" i="5"/>
  <c r="W11" i="5" s="1"/>
  <c r="X11" i="5" s="1"/>
  <c r="T10" i="5"/>
  <c r="Q10" i="5"/>
  <c r="N10" i="5"/>
  <c r="K10" i="5"/>
  <c r="H10" i="5"/>
  <c r="V10" i="5"/>
  <c r="W10" i="5" s="1"/>
  <c r="X10" i="5" s="1"/>
  <c r="A10" i="5"/>
  <c r="A11" i="5" s="1"/>
  <c r="A12" i="5" s="1"/>
  <c r="A13" i="5" s="1"/>
  <c r="A14" i="5" s="1"/>
  <c r="A15" i="5" s="1"/>
  <c r="A16" i="5" s="1"/>
  <c r="A17" i="5" s="1"/>
  <c r="A18" i="5" s="1"/>
  <c r="A19" i="5" s="1"/>
  <c r="A20" i="5" s="1"/>
  <c r="A21" i="5" s="1"/>
  <c r="A22" i="5" s="1"/>
  <c r="A23" i="5" s="1"/>
  <c r="T9" i="5"/>
  <c r="P23" i="5"/>
  <c r="N9" i="5"/>
  <c r="K9" i="5"/>
  <c r="H9" i="5"/>
  <c r="Q9" i="5"/>
  <c r="D23" i="5"/>
  <c r="D35" i="5" s="1"/>
  <c r="M32" i="4"/>
  <c r="AF22" i="4"/>
  <c r="T22" i="4"/>
  <c r="AB22" i="4"/>
  <c r="AC22" i="4" s="1"/>
  <c r="Q22" i="4"/>
  <c r="AL21" i="4"/>
  <c r="AI21" i="4"/>
  <c r="Z21" i="4"/>
  <c r="W21" i="4"/>
  <c r="N21" i="4"/>
  <c r="K21" i="4"/>
  <c r="H21" i="4"/>
  <c r="AB21" i="4"/>
  <c r="AC21" i="4" s="1"/>
  <c r="AF21" i="4"/>
  <c r="AF20" i="4"/>
  <c r="T20" i="4"/>
  <c r="AB20" i="4"/>
  <c r="AC20" i="4" s="1"/>
  <c r="Q20" i="4"/>
  <c r="AL19" i="4"/>
  <c r="AI19" i="4"/>
  <c r="AF19" i="4"/>
  <c r="Z19" i="4"/>
  <c r="W19" i="4"/>
  <c r="T19" i="4"/>
  <c r="N19" i="4"/>
  <c r="K19" i="4"/>
  <c r="H19" i="4"/>
  <c r="AB19" i="4"/>
  <c r="AC19" i="4" s="1"/>
  <c r="Q19" i="4"/>
  <c r="AF18" i="4"/>
  <c r="T18" i="4"/>
  <c r="K18" i="4"/>
  <c r="AB18" i="4"/>
  <c r="AC18" i="4" s="1"/>
  <c r="Q18" i="4"/>
  <c r="AL17" i="4"/>
  <c r="AI17" i="4"/>
  <c r="AF17" i="4"/>
  <c r="Z17" i="4"/>
  <c r="W17" i="4"/>
  <c r="T17" i="4"/>
  <c r="Q17" i="4"/>
  <c r="N17" i="4"/>
  <c r="K17" i="4"/>
  <c r="H17" i="4"/>
  <c r="AL16" i="4"/>
  <c r="AI16" i="4"/>
  <c r="AF16" i="4"/>
  <c r="Z16" i="4"/>
  <c r="W16" i="4"/>
  <c r="T16" i="4"/>
  <c r="Q16" i="4"/>
  <c r="N16" i="4"/>
  <c r="K16" i="4"/>
  <c r="AB16" i="4"/>
  <c r="AC16" i="4" s="1"/>
  <c r="AN16" i="4"/>
  <c r="AO16" i="4" s="1"/>
  <c r="AP16" i="4" s="1"/>
  <c r="AL15" i="4"/>
  <c r="AI15" i="4"/>
  <c r="AF15" i="4"/>
  <c r="Z15" i="4"/>
  <c r="W15" i="4"/>
  <c r="T15" i="4"/>
  <c r="Q15" i="4"/>
  <c r="N15" i="4"/>
  <c r="K15" i="4"/>
  <c r="H15" i="4"/>
  <c r="AL14" i="4"/>
  <c r="AI14" i="4"/>
  <c r="AF14" i="4"/>
  <c r="Z14" i="4"/>
  <c r="W14" i="4"/>
  <c r="T14" i="4"/>
  <c r="Q14" i="4"/>
  <c r="N14" i="4"/>
  <c r="K14" i="4"/>
  <c r="AB14" i="4"/>
  <c r="AL13" i="4"/>
  <c r="AI13" i="4"/>
  <c r="AF13" i="4"/>
  <c r="Z13" i="4"/>
  <c r="W13" i="4"/>
  <c r="T13" i="4"/>
  <c r="Q13" i="4"/>
  <c r="N13" i="4"/>
  <c r="K13" i="4"/>
  <c r="H13" i="4"/>
  <c r="AL12" i="4"/>
  <c r="AI12" i="4"/>
  <c r="AF12" i="4"/>
  <c r="Z12" i="4"/>
  <c r="W12" i="4"/>
  <c r="T12" i="4"/>
  <c r="Q12" i="4"/>
  <c r="N12" i="4"/>
  <c r="K12" i="4"/>
  <c r="AB12" i="4"/>
  <c r="AL11" i="4"/>
  <c r="AI11" i="4"/>
  <c r="AF11" i="4"/>
  <c r="Z11" i="4"/>
  <c r="W11" i="4"/>
  <c r="T11" i="4"/>
  <c r="Q11" i="4"/>
  <c r="N11" i="4"/>
  <c r="K11" i="4"/>
  <c r="H11" i="4"/>
  <c r="AL10" i="4"/>
  <c r="AI10" i="4"/>
  <c r="AF10" i="4"/>
  <c r="Z10" i="4"/>
  <c r="W10" i="4"/>
  <c r="T10" i="4"/>
  <c r="Q10" i="4"/>
  <c r="N10" i="4"/>
  <c r="K10" i="4"/>
  <c r="AB10" i="4"/>
  <c r="A10" i="4"/>
  <c r="A11" i="4" s="1"/>
  <c r="A12" i="4" s="1"/>
  <c r="A13" i="4" s="1"/>
  <c r="A14" i="4" s="1"/>
  <c r="A15" i="4" s="1"/>
  <c r="A16" i="4" s="1"/>
  <c r="A17" i="4" s="1"/>
  <c r="A18" i="4" s="1"/>
  <c r="A19" i="4" s="1"/>
  <c r="A20" i="4" s="1"/>
  <c r="A21" i="4" s="1"/>
  <c r="A22" i="4" s="1"/>
  <c r="A23" i="4" s="1"/>
  <c r="AK23" i="4"/>
  <c r="AI9" i="4"/>
  <c r="AF9" i="4"/>
  <c r="Y23" i="4"/>
  <c r="W9" i="4"/>
  <c r="T9" i="4"/>
  <c r="Q9" i="4"/>
  <c r="N9" i="4"/>
  <c r="K9" i="4"/>
  <c r="H9" i="4"/>
  <c r="E23" i="4"/>
  <c r="D23" i="4"/>
  <c r="D23" i="3"/>
  <c r="AC10" i="4" l="1"/>
  <c r="AN10" i="4"/>
  <c r="AO10" i="4" s="1"/>
  <c r="AP10" i="4" s="1"/>
  <c r="AC12" i="4"/>
  <c r="AN12" i="4"/>
  <c r="AO12" i="4" s="1"/>
  <c r="AP12" i="4" s="1"/>
  <c r="AC14" i="4"/>
  <c r="AN14" i="4"/>
  <c r="AO14" i="4" s="1"/>
  <c r="AP14" i="4" s="1"/>
  <c r="D26" i="4"/>
  <c r="D40" i="4"/>
  <c r="Y40" i="4"/>
  <c r="Z23" i="4"/>
  <c r="Z40" i="4" s="1"/>
  <c r="AN17" i="4"/>
  <c r="AO17" i="4" s="1"/>
  <c r="AP17" i="4" s="1"/>
  <c r="E26" i="4"/>
  <c r="E40" i="4"/>
  <c r="AK40" i="4"/>
  <c r="AL23" i="4"/>
  <c r="AL40" i="4" s="1"/>
  <c r="P35" i="5"/>
  <c r="D26" i="5"/>
  <c r="M23" i="4"/>
  <c r="Q11" i="5"/>
  <c r="Q12" i="5"/>
  <c r="Q17" i="5"/>
  <c r="Q18" i="5"/>
  <c r="Q19" i="5"/>
  <c r="Q21" i="5"/>
  <c r="Q22" i="5"/>
  <c r="E23" i="5"/>
  <c r="E35" i="5" s="1"/>
  <c r="Z9" i="4"/>
  <c r="AL9" i="4"/>
  <c r="H10" i="4"/>
  <c r="H12" i="4"/>
  <c r="H14" i="4"/>
  <c r="H16" i="4"/>
  <c r="H18" i="4"/>
  <c r="H20" i="4"/>
  <c r="H22" i="4"/>
  <c r="G23" i="5"/>
  <c r="S23" i="5"/>
  <c r="AB9" i="4"/>
  <c r="AB13" i="4"/>
  <c r="AB15" i="4"/>
  <c r="AB17" i="4"/>
  <c r="AC17" i="4" s="1"/>
  <c r="AN19" i="4"/>
  <c r="AO19" i="4" s="1"/>
  <c r="AP19" i="4" s="1"/>
  <c r="AN21" i="4"/>
  <c r="AO21" i="4" s="1"/>
  <c r="AP21" i="4" s="1"/>
  <c r="P23" i="4"/>
  <c r="Q20" i="5"/>
  <c r="AB11" i="4"/>
  <c r="W18" i="4"/>
  <c r="AI18" i="4"/>
  <c r="K20" i="4"/>
  <c r="W20" i="4"/>
  <c r="AI20" i="4"/>
  <c r="Q21" i="4"/>
  <c r="K22" i="4"/>
  <c r="W22" i="4"/>
  <c r="AI22" i="4"/>
  <c r="V9" i="5"/>
  <c r="V13" i="5"/>
  <c r="W13" i="5" s="1"/>
  <c r="X13" i="5" s="1"/>
  <c r="V15" i="5"/>
  <c r="W15" i="5" s="1"/>
  <c r="X15" i="5" s="1"/>
  <c r="V16" i="5"/>
  <c r="W16" i="5" s="1"/>
  <c r="X16" i="5" s="1"/>
  <c r="V22" i="5"/>
  <c r="W22" i="5" s="1"/>
  <c r="X22" i="5" s="1"/>
  <c r="J23" i="5"/>
  <c r="G23" i="4"/>
  <c r="S23" i="4"/>
  <c r="AE23" i="4"/>
  <c r="N18" i="4"/>
  <c r="Z18" i="4"/>
  <c r="AL18" i="4"/>
  <c r="N20" i="4"/>
  <c r="Z20" i="4"/>
  <c r="AL20" i="4"/>
  <c r="T21" i="4"/>
  <c r="N22" i="4"/>
  <c r="Z22" i="4"/>
  <c r="AL22" i="4"/>
  <c r="M23" i="5"/>
  <c r="AN18" i="4"/>
  <c r="AO18" i="4" s="1"/>
  <c r="AP18" i="4" s="1"/>
  <c r="AN20" i="4"/>
  <c r="AO20" i="4" s="1"/>
  <c r="AP20" i="4" s="1"/>
  <c r="AN22" i="4"/>
  <c r="AO22" i="4" s="1"/>
  <c r="AP22" i="4" s="1"/>
  <c r="J23" i="4"/>
  <c r="V23" i="4"/>
  <c r="AH23" i="4"/>
  <c r="P40" i="4" l="1"/>
  <c r="Q23" i="4"/>
  <c r="Q40" i="4" s="1"/>
  <c r="S35" i="5"/>
  <c r="T23" i="5"/>
  <c r="T35" i="5" s="1"/>
  <c r="G35" i="5"/>
  <c r="H23" i="5"/>
  <c r="H35" i="5" s="1"/>
  <c r="E26" i="5"/>
  <c r="N23" i="5"/>
  <c r="N35" i="5" s="1"/>
  <c r="M35" i="5"/>
  <c r="W9" i="5"/>
  <c r="V23" i="5"/>
  <c r="AC15" i="4"/>
  <c r="AN15" i="4"/>
  <c r="AO15" i="4" s="1"/>
  <c r="AP15" i="4" s="1"/>
  <c r="Q23" i="5"/>
  <c r="Q35" i="5" s="1"/>
  <c r="K23" i="5"/>
  <c r="K35" i="5" s="1"/>
  <c r="J35" i="5"/>
  <c r="AI23" i="4"/>
  <c r="AI40" i="4" s="1"/>
  <c r="AH40" i="4"/>
  <c r="AE40" i="4"/>
  <c r="AF23" i="4"/>
  <c r="AF40" i="4" s="1"/>
  <c r="K23" i="4"/>
  <c r="K40" i="4" s="1"/>
  <c r="J40" i="4"/>
  <c r="S40" i="4"/>
  <c r="T23" i="4"/>
  <c r="T40" i="4" s="1"/>
  <c r="AC13" i="4"/>
  <c r="AN13" i="4"/>
  <c r="AO13" i="4" s="1"/>
  <c r="AP13" i="4" s="1"/>
  <c r="M40" i="4"/>
  <c r="N23" i="4"/>
  <c r="N40" i="4" s="1"/>
  <c r="V40" i="4"/>
  <c r="W23" i="4"/>
  <c r="W40" i="4" s="1"/>
  <c r="G40" i="4"/>
  <c r="H23" i="4"/>
  <c r="H40" i="4" s="1"/>
  <c r="AB23" i="4"/>
  <c r="AC11" i="4"/>
  <c r="AN11" i="4"/>
  <c r="AO11" i="4" s="1"/>
  <c r="AP11" i="4" s="1"/>
  <c r="AC9" i="4"/>
  <c r="AN9" i="4"/>
  <c r="AO9" i="4" l="1"/>
  <c r="AN23" i="4"/>
  <c r="AN40" i="4" s="1"/>
  <c r="V35" i="5"/>
  <c r="V26" i="5"/>
  <c r="X9" i="5"/>
  <c r="W23" i="5"/>
  <c r="AB40" i="4"/>
  <c r="AC23" i="4"/>
  <c r="AC40" i="4" s="1"/>
  <c r="W35" i="5" l="1"/>
  <c r="X23" i="5"/>
  <c r="X35" i="5" s="1"/>
  <c r="AP9" i="4"/>
  <c r="AO23" i="4"/>
  <c r="AO40" i="4" l="1"/>
  <c r="AP23" i="4"/>
  <c r="AP40" i="4" s="1"/>
  <c r="D103" i="3" l="1"/>
  <c r="E103" i="3" l="1"/>
  <c r="B74" i="3"/>
  <c r="B95" i="3" s="1"/>
  <c r="D49" i="3"/>
  <c r="D69" i="3" s="1"/>
  <c r="E49" i="3"/>
  <c r="E69" i="3" s="1"/>
  <c r="D50" i="3"/>
  <c r="D70" i="3" s="1"/>
  <c r="E50" i="3"/>
  <c r="E70" i="3" s="1"/>
  <c r="D51" i="3"/>
  <c r="D71" i="3" s="1"/>
  <c r="E51" i="3"/>
  <c r="E71" i="3" s="1"/>
  <c r="D52" i="3"/>
  <c r="D72" i="3" s="1"/>
  <c r="E52" i="3"/>
  <c r="E72" i="3" s="1"/>
  <c r="D53" i="3"/>
  <c r="D73" i="3" s="1"/>
  <c r="E53" i="3"/>
  <c r="E73" i="3" s="1"/>
  <c r="D54" i="3"/>
  <c r="D74" i="3" s="1"/>
  <c r="E54" i="3"/>
  <c r="E74" i="3" s="1"/>
  <c r="D55" i="3"/>
  <c r="D75" i="3" s="1"/>
  <c r="E55" i="3"/>
  <c r="E75" i="3" s="1"/>
  <c r="D56" i="3"/>
  <c r="D76" i="3" s="1"/>
  <c r="E56" i="3"/>
  <c r="E76" i="3" s="1"/>
  <c r="D57" i="3"/>
  <c r="D77" i="3" s="1"/>
  <c r="E57" i="3"/>
  <c r="E77" i="3" s="1"/>
  <c r="D58" i="3"/>
  <c r="D78" i="3" s="1"/>
  <c r="E58" i="3"/>
  <c r="E78" i="3" s="1"/>
  <c r="D59" i="3"/>
  <c r="D79" i="3" s="1"/>
  <c r="E59" i="3"/>
  <c r="E79" i="3" s="1"/>
  <c r="D60" i="3"/>
  <c r="D80" i="3" s="1"/>
  <c r="E60" i="3"/>
  <c r="E80" i="3" s="1"/>
  <c r="D61" i="3"/>
  <c r="D81" i="3" s="1"/>
  <c r="E61" i="3"/>
  <c r="E81" i="3" s="1"/>
  <c r="E48" i="3"/>
  <c r="E68" i="3" s="1"/>
  <c r="D48" i="3"/>
  <c r="D68" i="3" s="1"/>
  <c r="B62" i="3"/>
  <c r="B49" i="3"/>
  <c r="B69" i="3" s="1"/>
  <c r="B90" i="3" s="1"/>
  <c r="B50" i="3"/>
  <c r="B70" i="3" s="1"/>
  <c r="B91" i="3" s="1"/>
  <c r="B51" i="3"/>
  <c r="B71" i="3" s="1"/>
  <c r="B92" i="3" s="1"/>
  <c r="B52" i="3"/>
  <c r="B72" i="3" s="1"/>
  <c r="B93" i="3" s="1"/>
  <c r="B53" i="3"/>
  <c r="B73" i="3" s="1"/>
  <c r="B94" i="3" s="1"/>
  <c r="B54" i="3"/>
  <c r="B55" i="3"/>
  <c r="B75" i="3" s="1"/>
  <c r="B96" i="3" s="1"/>
  <c r="B56" i="3"/>
  <c r="B76" i="3" s="1"/>
  <c r="B97" i="3" s="1"/>
  <c r="B57" i="3"/>
  <c r="B77" i="3" s="1"/>
  <c r="B98" i="3" s="1"/>
  <c r="B58" i="3"/>
  <c r="B78" i="3" s="1"/>
  <c r="B99" i="3" s="1"/>
  <c r="B59" i="3"/>
  <c r="B79" i="3" s="1"/>
  <c r="B100" i="3" s="1"/>
  <c r="B60" i="3"/>
  <c r="B80" i="3" s="1"/>
  <c r="B101" i="3" s="1"/>
  <c r="B61" i="3"/>
  <c r="B81" i="3" s="1"/>
  <c r="B102" i="3" s="1"/>
  <c r="B48" i="3"/>
  <c r="B68" i="3" s="1"/>
  <c r="B89" i="3" s="1"/>
  <c r="D31" i="3"/>
  <c r="E31" i="3"/>
  <c r="D32" i="3"/>
  <c r="E32" i="3"/>
  <c r="D33" i="3"/>
  <c r="E33" i="3"/>
  <c r="D34" i="3"/>
  <c r="E34" i="3"/>
  <c r="D35" i="3"/>
  <c r="E35" i="3"/>
  <c r="D36" i="3"/>
  <c r="E36" i="3"/>
  <c r="D37" i="3"/>
  <c r="E37" i="3"/>
  <c r="D38" i="3"/>
  <c r="E38" i="3"/>
  <c r="D39" i="3"/>
  <c r="E39" i="3"/>
  <c r="D40" i="3"/>
  <c r="E40" i="3"/>
  <c r="D41" i="3"/>
  <c r="E41" i="3"/>
  <c r="D42" i="3"/>
  <c r="E42" i="3"/>
  <c r="D43" i="3"/>
  <c r="E43" i="3"/>
  <c r="D44" i="3"/>
  <c r="E44" i="3"/>
  <c r="E30" i="3"/>
  <c r="D30" i="3"/>
  <c r="E133" i="3"/>
  <c r="D133" i="3"/>
  <c r="E130" i="3"/>
  <c r="D130" i="3"/>
  <c r="E125" i="3"/>
  <c r="D125" i="3"/>
  <c r="E119" i="3"/>
  <c r="D119" i="3"/>
  <c r="E88" i="3"/>
  <c r="D88" i="3"/>
  <c r="E83" i="3"/>
  <c r="D83" i="3"/>
  <c r="E67" i="3"/>
  <c r="D67" i="3"/>
  <c r="E47" i="3"/>
  <c r="D47" i="3"/>
  <c r="E29" i="3"/>
  <c r="D29" i="3"/>
  <c r="E24" i="3"/>
  <c r="D24" i="3"/>
  <c r="D62" i="3" l="1"/>
  <c r="E62" i="3"/>
  <c r="D103" i="1" l="1"/>
  <c r="D102" i="1"/>
  <c r="D101" i="1"/>
  <c r="D100" i="1"/>
  <c r="D99" i="1"/>
  <c r="D98" i="1"/>
  <c r="B59" i="1"/>
  <c r="C104" i="1" l="1"/>
  <c r="B50" i="1" l="1"/>
  <c r="B70" i="1" s="1"/>
  <c r="B91" i="1" s="1"/>
  <c r="B51" i="1"/>
  <c r="B71" i="1" s="1"/>
  <c r="B92" i="1" s="1"/>
  <c r="B52" i="1"/>
  <c r="B72" i="1" s="1"/>
  <c r="B93" i="1" s="1"/>
  <c r="B53" i="1"/>
  <c r="B73" i="1" s="1"/>
  <c r="B94" i="1" s="1"/>
  <c r="B54" i="1"/>
  <c r="B74" i="1" s="1"/>
  <c r="B95" i="1" s="1"/>
  <c r="B55" i="1"/>
  <c r="B75" i="1" s="1"/>
  <c r="B96" i="1" s="1"/>
  <c r="B56" i="1"/>
  <c r="B76" i="1" s="1"/>
  <c r="B97" i="1" s="1"/>
  <c r="B57" i="1"/>
  <c r="B77" i="1" s="1"/>
  <c r="B98" i="1" s="1"/>
  <c r="B58" i="1"/>
  <c r="B78" i="1" s="1"/>
  <c r="B99" i="1" s="1"/>
  <c r="B100" i="1"/>
  <c r="B60" i="1"/>
  <c r="B80" i="1" s="1"/>
  <c r="B101" i="1" s="1"/>
  <c r="B61" i="1"/>
  <c r="B81" i="1" s="1"/>
  <c r="B102" i="1" s="1"/>
  <c r="B62" i="1"/>
  <c r="B82" i="1" s="1"/>
  <c r="B103" i="1" s="1"/>
  <c r="B49" i="1"/>
  <c r="B69" i="1" s="1"/>
  <c r="B90" i="1" s="1"/>
  <c r="D89" i="1"/>
  <c r="D121" i="1"/>
  <c r="D127" i="1"/>
  <c r="E127" i="1"/>
  <c r="E132" i="1"/>
  <c r="D132" i="1"/>
  <c r="D135" i="1"/>
  <c r="E135" i="1"/>
  <c r="E121" i="1"/>
  <c r="E89" i="1"/>
  <c r="E84" i="1"/>
  <c r="D84" i="1"/>
  <c r="D68" i="1"/>
  <c r="E68" i="1"/>
  <c r="E48" i="1"/>
  <c r="D48" i="1"/>
  <c r="D30" i="1"/>
  <c r="E30" i="1"/>
  <c r="E134" i="3" l="1"/>
  <c r="D134" i="3"/>
  <c r="E131" i="3"/>
  <c r="D131" i="3"/>
  <c r="E127" i="3"/>
  <c r="E126" i="3"/>
  <c r="D127" i="3"/>
  <c r="D126" i="3"/>
  <c r="D114" i="3"/>
  <c r="D113" i="3"/>
  <c r="E121" i="3" l="1"/>
  <c r="D121" i="3"/>
  <c r="E120" i="3"/>
  <c r="D120" i="3"/>
  <c r="E25" i="3" l="1"/>
  <c r="D25" i="3"/>
  <c r="E129" i="1" l="1"/>
  <c r="E128" i="1"/>
  <c r="D129" i="1"/>
  <c r="D128" i="1"/>
  <c r="E123" i="1"/>
  <c r="D123" i="1"/>
  <c r="E122" i="1"/>
  <c r="D122" i="1"/>
  <c r="E136" i="1" l="1"/>
  <c r="D136" i="1"/>
  <c r="E133" i="1"/>
  <c r="D133" i="1"/>
  <c r="D116" i="1" l="1"/>
  <c r="D115" i="1"/>
  <c r="D104" i="1" l="1"/>
  <c r="E104" i="1"/>
  <c r="D24" i="1" l="1"/>
  <c r="E60" i="1" l="1"/>
  <c r="E80" i="1" s="1"/>
  <c r="E62" i="1" l="1"/>
  <c r="E82" i="1" s="1"/>
  <c r="D62" i="1" l="1"/>
  <c r="D82" i="1" s="1"/>
  <c r="D60" i="1" l="1"/>
  <c r="D80" i="1" s="1"/>
  <c r="D44" i="1"/>
  <c r="D42" i="1" l="1"/>
  <c r="E44" i="1"/>
  <c r="E42" i="1" l="1"/>
  <c r="E61" i="1"/>
  <c r="E81" i="1" s="1"/>
  <c r="D61" i="1"/>
  <c r="D81" i="1" s="1"/>
  <c r="E50" i="1" l="1"/>
  <c r="E70" i="1" s="1"/>
  <c r="D56" i="1"/>
  <c r="D76" i="1" s="1"/>
  <c r="E51" i="1"/>
  <c r="E71" i="1" s="1"/>
  <c r="E56" i="1"/>
  <c r="E76" i="1" s="1"/>
  <c r="D43" i="1"/>
  <c r="E52" i="1"/>
  <c r="E72" i="1" s="1"/>
  <c r="D59" i="1" l="1"/>
  <c r="D79" i="1" s="1"/>
  <c r="D53" i="1"/>
  <c r="D73" i="1" s="1"/>
  <c r="D52" i="1"/>
  <c r="D72" i="1" s="1"/>
  <c r="E54" i="1"/>
  <c r="E74" i="1" s="1"/>
  <c r="E59" i="1"/>
  <c r="E79" i="1" s="1"/>
  <c r="E55" i="1"/>
  <c r="E75" i="1" s="1"/>
  <c r="E53" i="1"/>
  <c r="E73" i="1" s="1"/>
  <c r="E43" i="1"/>
  <c r="E49" i="1"/>
  <c r="D38" i="1"/>
  <c r="D54" i="1"/>
  <c r="D74" i="1" s="1"/>
  <c r="E69" i="1" l="1"/>
  <c r="D55" i="1"/>
  <c r="D75" i="1" s="1"/>
  <c r="D49" i="1"/>
  <c r="D69" i="1" s="1"/>
  <c r="D51" i="1"/>
  <c r="D37" i="1"/>
  <c r="D35" i="1"/>
  <c r="D41" i="1"/>
  <c r="D34" i="1"/>
  <c r="D33" i="1"/>
  <c r="D36" i="1"/>
  <c r="E37" i="1"/>
  <c r="E38" i="1"/>
  <c r="D50" i="1" l="1"/>
  <c r="D70" i="1" s="1"/>
  <c r="D71" i="1"/>
  <c r="D32" i="1"/>
  <c r="E57" i="1"/>
  <c r="E41" i="1"/>
  <c r="D31" i="1" l="1"/>
  <c r="E77" i="1"/>
  <c r="E32" i="1"/>
  <c r="E35" i="1"/>
  <c r="E36" i="1"/>
  <c r="E34" i="1"/>
  <c r="E33" i="1"/>
  <c r="D58" i="1"/>
  <c r="D78" i="1" s="1"/>
  <c r="D57" i="1"/>
  <c r="E58" i="1"/>
  <c r="E78" i="1" s="1"/>
  <c r="E63" i="1" l="1"/>
  <c r="E31" i="1"/>
  <c r="D77" i="1"/>
  <c r="D63" i="1"/>
  <c r="D39" i="1"/>
  <c r="D40" i="1"/>
  <c r="D45" i="1" l="1"/>
  <c r="D27" i="1"/>
  <c r="D85" i="1" l="1"/>
  <c r="E40" i="1"/>
  <c r="E39" i="1" l="1"/>
  <c r="E45" i="1"/>
  <c r="E85" i="1" l="1"/>
</calcChain>
</file>

<file path=xl/sharedStrings.xml><?xml version="1.0" encoding="utf-8"?>
<sst xmlns="http://schemas.openxmlformats.org/spreadsheetml/2006/main" count="628" uniqueCount="296">
  <si>
    <t>SUMMARY DOCUMENT</t>
  </si>
  <si>
    <t>Residential</t>
  </si>
  <si>
    <t>Common Equity</t>
  </si>
  <si>
    <t>Current authorized rate of return on common equity</t>
  </si>
  <si>
    <t>Current authorized overall rate of return</t>
  </si>
  <si>
    <t xml:space="preserve">Requested rate base: </t>
  </si>
  <si>
    <t>Requested authorized overall rate of return</t>
  </si>
  <si>
    <t>Requested authorized rate of return on common equity</t>
  </si>
  <si>
    <t>(i)</t>
  </si>
  <si>
    <t>The last general rate increase authorized by the Commission is related to</t>
  </si>
  <si>
    <t xml:space="preserve"> </t>
  </si>
  <si>
    <t>Requested net operating income:</t>
  </si>
  <si>
    <t>Short &amp; Long Term Debt</t>
  </si>
  <si>
    <t>Requested net operating income</t>
  </si>
  <si>
    <t>PUGET SOUND ENERGY</t>
  </si>
  <si>
    <t>Special Contract</t>
  </si>
  <si>
    <t>Contracts</t>
  </si>
  <si>
    <t>Present Rates - Total Adjusted Operating Revenues</t>
  </si>
  <si>
    <t>Proposed Rates - Total Adjusted Operating Revenues</t>
  </si>
  <si>
    <t>IN ACCORDANCE WITH: WAC 480-07-510, SECTION (5)(a)</t>
  </si>
  <si>
    <t>(ii)</t>
  </si>
  <si>
    <t>(iii)</t>
  </si>
  <si>
    <t>(iv)</t>
  </si>
  <si>
    <t>(v)</t>
  </si>
  <si>
    <t>(vi)</t>
  </si>
  <si>
    <t>(vii)</t>
  </si>
  <si>
    <t>(viii)</t>
  </si>
  <si>
    <t>Actual rate of return and actual rate of return on common equity for the test period</t>
  </si>
  <si>
    <t>(x)</t>
  </si>
  <si>
    <t>(ix)</t>
  </si>
  <si>
    <t>(xi)</t>
  </si>
  <si>
    <t>(xii)</t>
  </si>
  <si>
    <t>(xiii)</t>
  </si>
  <si>
    <t>Current authorized overall rate of return and authorized rate of return on common equity</t>
  </si>
  <si>
    <t>Requested overall rate of return and requested rate of return on common equity,</t>
  </si>
  <si>
    <t>and the method or methods used to calculate the requested rates of return</t>
  </si>
  <si>
    <t>Requested rate base and method of calculation, or equivalent</t>
  </si>
  <si>
    <t>Requested capital structure</t>
  </si>
  <si>
    <t>Most current customer count, by major customer class</t>
  </si>
  <si>
    <t>Requested revenue change in dollars, in total and by major customer class</t>
  </si>
  <si>
    <t>Requested revenue change in percentage, in total and by major customer class</t>
  </si>
  <si>
    <t>Total revenues the company is realizing at its present rates and the total revenues the company would realize at the requested rates</t>
  </si>
  <si>
    <t>Revenue effect of any requested attrition allowance</t>
  </si>
  <si>
    <t xml:space="preserve">The representative effect of the request in dollars for the average monthly use per customer, by customer class or other similar meaningful representation, including, but not limited to, the effect of the proposed rate change in dollars per month on residential customers by usage categories
</t>
  </si>
  <si>
    <t>and the method or methods used to calculate rate of return on common equity</t>
  </si>
  <si>
    <t>N/A - no requested attrition allowance</t>
  </si>
  <si>
    <t>Typical residential customer using 800 kWh/mo.</t>
  </si>
  <si>
    <t>Retail Wheeling</t>
  </si>
  <si>
    <t>Average Monthly Change per Customer [Revenue/Customers]</t>
  </si>
  <si>
    <t>Average Monthly Change per Customer [Revenue/Customer]</t>
  </si>
  <si>
    <t>Total requested revenue change</t>
  </si>
  <si>
    <t>ROE was calculated using DCF, CAPM, ECAPM, Risk Premium approach, and Expected Earnings Analysis.</t>
  </si>
  <si>
    <t>As described in Susan Free's testimony, the requested rate base was calculated using the average of monthly average balances.</t>
  </si>
  <si>
    <t>The rate of return on a restated basis</t>
  </si>
  <si>
    <t xml:space="preserve">The actual rate of return for the test period </t>
  </si>
  <si>
    <t>The restated actual rate of return on common equity for calendar year 2022 based on the Commission Basis Report was 7.28%</t>
  </si>
  <si>
    <t>The restated actual rate of return on common equity for calendar year 2022 based on the Commission Basis Report was 8.50%</t>
  </si>
  <si>
    <t>Firm Resale</t>
  </si>
  <si>
    <t>Sec Volt Gen Svc</t>
  </si>
  <si>
    <t>Sec Volt Gen Med Dem Svc</t>
  </si>
  <si>
    <t>Sec Volt Gen Lg Dem Svc</t>
  </si>
  <si>
    <t>Sec Volt Irrig &amp; Pump Svc</t>
  </si>
  <si>
    <t>Pri Volt Gen Svc</t>
  </si>
  <si>
    <t>Pri Volt Irrig &amp; Pump Svc</t>
  </si>
  <si>
    <t>Pri Volt Interr Elec Sch</t>
  </si>
  <si>
    <t>High Volt Interr Svc</t>
  </si>
  <si>
    <t>High Volt Gen Svc</t>
  </si>
  <si>
    <t>Area &amp; Street Lighting</t>
  </si>
  <si>
    <t>Total change for all customer classes</t>
  </si>
  <si>
    <t>Total Customers</t>
  </si>
  <si>
    <t>The date and amount of the last general rate change the commission authorized for the company and the revenue the company realized from that change during the test period based on the company's test period units of sale (e.g., kilowatthours, therms, etc.)</t>
  </si>
  <si>
    <t>Present Rates - Total Adjusted Operating Revenues:</t>
  </si>
  <si>
    <t>Proposed Rates - Total Adjusted Operating Revenues:</t>
  </si>
  <si>
    <t>Area &amp; Street Lighting*</t>
  </si>
  <si>
    <t>* - bulbs, not customers</t>
  </si>
  <si>
    <t>Residential Gas Lights</t>
  </si>
  <si>
    <t>Commercial &amp; Industrial</t>
  </si>
  <si>
    <t>Large Volume</t>
  </si>
  <si>
    <t>Interruptible</t>
  </si>
  <si>
    <t>Limited Interruptible</t>
  </si>
  <si>
    <t>Non-exclusive Interruptible</t>
  </si>
  <si>
    <t>Commercial &amp; Industrial Transportation</t>
  </si>
  <si>
    <t>Large Volume Transportation</t>
  </si>
  <si>
    <t>Interruptible Transportation</t>
  </si>
  <si>
    <t>Limited Interruptible Transportation</t>
  </si>
  <si>
    <t>Non-exclusive Interruptible Transportation</t>
  </si>
  <si>
    <t>Exclusive Interruptible Transportation</t>
  </si>
  <si>
    <t>Average Residential Customer using 64 therms/mo.</t>
  </si>
  <si>
    <t>23,53</t>
  </si>
  <si>
    <t>31T</t>
  </si>
  <si>
    <t>41T</t>
  </si>
  <si>
    <t>85T</t>
  </si>
  <si>
    <t>86T</t>
  </si>
  <si>
    <t>87T</t>
  </si>
  <si>
    <t>88T</t>
  </si>
  <si>
    <t>SC</t>
  </si>
  <si>
    <t>7 (307) (317) (327)</t>
  </si>
  <si>
    <t>08 (24) (324)</t>
  </si>
  <si>
    <t>7A (11) (25)</t>
  </si>
  <si>
    <t>12 (26) (26P)</t>
  </si>
  <si>
    <t>29</t>
  </si>
  <si>
    <t>10 (31)</t>
  </si>
  <si>
    <t>35</t>
  </si>
  <si>
    <t>03, 50-59</t>
  </si>
  <si>
    <t xml:space="preserve">449 / 459 </t>
  </si>
  <si>
    <t>2023*</t>
  </si>
  <si>
    <t>* - average customer count</t>
  </si>
  <si>
    <t>Resulting Increase (Decrease) in Revenue:</t>
  </si>
  <si>
    <t xml:space="preserve">Dockets UE-220066 and UG-220067, effective Jan 7, 2023 and Jan 1, 2024, respectively.  </t>
  </si>
  <si>
    <t xml:space="preserve">Dockets UE-220066 and UG-220067, effective Jan 11, 2023 and Jan 1, 2024, respectively.  </t>
  </si>
  <si>
    <t>The date and amount of the last general rate change the commission authorized for the company and the revenue the company realized from that change during the test period based on the company's test period units of sale (e.g., kilowatt-hours, therms, etc.)</t>
  </si>
  <si>
    <t>2024 NATURAL GAS GENERAL RATE CASE</t>
  </si>
  <si>
    <t>2024 ELECTRIC GENERAL RATE CASE</t>
  </si>
  <si>
    <t>Realized Total Revenue during the Test Period:</t>
  </si>
  <si>
    <t>Puget Sound Energy</t>
  </si>
  <si>
    <t>GRC Rate Impacts</t>
  </si>
  <si>
    <t>Test Year ended December 2023</t>
  </si>
  <si>
    <t>$ x 1000</t>
  </si>
  <si>
    <t>Proposed Rates Effective January 2023</t>
  </si>
  <si>
    <t>See Note 1</t>
  </si>
  <si>
    <t xml:space="preserve">GRC Revenue Changes            </t>
  </si>
  <si>
    <t>Other Revenue Changes Impacting Customers</t>
  </si>
  <si>
    <t>Line No.</t>
  </si>
  <si>
    <t>Rate Class</t>
  </si>
  <si>
    <t>Rate Schedule</t>
  </si>
  <si>
    <t>Annual mWh 
Delivered Sales 
YE 2023</t>
  </si>
  <si>
    <t>Total Forecast Revenue at Current Rates (1)</t>
  </si>
  <si>
    <t>Base Rate $ Change</t>
  </si>
  <si>
    <t>Base Rate % Change</t>
  </si>
  <si>
    <t>Sch 95 PCORC Rate Plan $ Change</t>
  </si>
  <si>
    <t>Sch 95 PCORC Rate Plan % Change</t>
  </si>
  <si>
    <t>Sch 139 Rate Plan $ Change</t>
  </si>
  <si>
    <t>Sch 139 Rate Plan % Change</t>
  </si>
  <si>
    <t>Sch 141COL Rate Plan $ Change</t>
  </si>
  <si>
    <t>Sch 141COL Rate Plan % Change</t>
  </si>
  <si>
    <t>Sch 141A Rate Plan $ Change</t>
  </si>
  <si>
    <t>Sch 141A Rate Plan % Change</t>
  </si>
  <si>
    <t>Sch 141N Rate Plan $ Change</t>
  </si>
  <si>
    <t>Sch 141N Rate Plan % Change</t>
  </si>
  <si>
    <t>Sch 141R Rate Plan $ Change</t>
  </si>
  <si>
    <t>Sch 141R Rate Plan % Change</t>
  </si>
  <si>
    <t>GRC Revenue Change ($)</t>
  </si>
  <si>
    <t>GRC Revenue Change (%)</t>
  </si>
  <si>
    <t>Sch 95 PCAM Rate Plan $ Change</t>
  </si>
  <si>
    <t>Sch 95 PCAM Rate Plan % Change</t>
  </si>
  <si>
    <t>Sch 141X Rate Plan $ Change</t>
  </si>
  <si>
    <t>Sch 141X Rate Plan % Change</t>
  </si>
  <si>
    <t>Sch 142 Supp Rate Plan $ Change</t>
  </si>
  <si>
    <t>Sch 142 Supp Rate Plan % Change</t>
  </si>
  <si>
    <t>12 ME
Dec 2023
Total Forecast
Revenue @ 
Proposed 
Rates</t>
  </si>
  <si>
    <t>Total $ Change</t>
  </si>
  <si>
    <t>Total % Change</t>
  </si>
  <si>
    <t>A</t>
  </si>
  <si>
    <t>B</t>
  </si>
  <si>
    <t>C</t>
  </si>
  <si>
    <t>D</t>
  </si>
  <si>
    <t>E</t>
  </si>
  <si>
    <t>F = E/D</t>
  </si>
  <si>
    <t>G</t>
  </si>
  <si>
    <t>H = G/D</t>
  </si>
  <si>
    <t>I</t>
  </si>
  <si>
    <t>J = I/D</t>
  </si>
  <si>
    <t>K</t>
  </si>
  <si>
    <t>L = K/D</t>
  </si>
  <si>
    <t>M</t>
  </si>
  <si>
    <t>N = M/D</t>
  </si>
  <si>
    <t>O</t>
  </si>
  <si>
    <t>P = O/D</t>
  </si>
  <si>
    <t>Q</t>
  </si>
  <si>
    <t>R = Q/D</t>
  </si>
  <si>
    <t>S = E+G+I+K+M+O+Q</t>
  </si>
  <si>
    <t>T = S/D</t>
  </si>
  <si>
    <t>U</t>
  </si>
  <si>
    <t>V = U/D</t>
  </si>
  <si>
    <t>W</t>
  </si>
  <si>
    <t>X = W/D</t>
  </si>
  <si>
    <t>Y</t>
  </si>
  <si>
    <t>Z = Y/D</t>
  </si>
  <si>
    <t>AA = D+Q+S+U+W+Y</t>
  </si>
  <si>
    <t>AB = AA-D</t>
  </si>
  <si>
    <t>AC = AB/D</t>
  </si>
  <si>
    <t>24 (8)</t>
  </si>
  <si>
    <t>25 (11, 7A)</t>
  </si>
  <si>
    <t>26 (12,26P)</t>
  </si>
  <si>
    <t>31 (10)</t>
  </si>
  <si>
    <t>50-59</t>
  </si>
  <si>
    <t>449-459</t>
  </si>
  <si>
    <t>All Sales</t>
  </si>
  <si>
    <t>(1)  Rates Effective October 1, 2021</t>
  </si>
  <si>
    <t>Note:  Schedule 141X rates are effective October 1, 2021 through December 31, 2022 and will go to zero on January 1, 2023</t>
  </si>
  <si>
    <t>Schedule 139 Current</t>
  </si>
  <si>
    <t>Schedule 139 Proposed</t>
  </si>
  <si>
    <t>Total Impact</t>
  </si>
  <si>
    <t>Note 1: Formula to calculate base rate revenue change for each rate schedule was modified from initial filing in order to incorporate the pro forma revenue adjustment in the Settlement.</t>
  </si>
  <si>
    <t>Note:  Amounts in bold and italics are different from the October 18, 2022 PSE Response to WUTC Bench Request 002.</t>
  </si>
  <si>
    <t>PSE's December 27, 2022 Compliance Filing</t>
  </si>
  <si>
    <t xml:space="preserve">Difference </t>
  </si>
  <si>
    <t>Test Year ended December 2024</t>
  </si>
  <si>
    <t>Proposed Rates Effective January 2024</t>
  </si>
  <si>
    <t>Annual mWh 
Delivered Sales 
YE 2024</t>
  </si>
  <si>
    <t>Total Forecast Revenue at RY#1 Rates (1)</t>
  </si>
  <si>
    <t>12 ME
Dec 2024
Total Forecast
Revenue @ 
Proposed 
Rates</t>
  </si>
  <si>
    <t>O = D+E+G+I+K+M</t>
  </si>
  <si>
    <t>P = O-D</t>
  </si>
  <si>
    <t>Q = P/D</t>
  </si>
  <si>
    <t>(1)  Proposed Rates Effective January 1, 2023</t>
  </si>
  <si>
    <t>2022 Gas General Rate Case Filing</t>
  </si>
  <si>
    <t>Rate Change Impacts by Rate Schedule of Proposed Rate Year #1 Rates</t>
  </si>
  <si>
    <t>Proposed Rates Effective January 1, 2023</t>
  </si>
  <si>
    <t>GRC Revenue Changes</t>
  </si>
  <si>
    <t>Other Revenue Changes</t>
  </si>
  <si>
    <t>12ME Dec. 2023</t>
  </si>
  <si>
    <t>Total Forecasted</t>
  </si>
  <si>
    <t>Sch. 141N</t>
  </si>
  <si>
    <t>Sch. 141R</t>
  </si>
  <si>
    <t>Sch. 141D</t>
  </si>
  <si>
    <t>Sch. 149</t>
  </si>
  <si>
    <t>Sch. 141X</t>
  </si>
  <si>
    <t>Rate</t>
  </si>
  <si>
    <t xml:space="preserve">Revenue at </t>
  </si>
  <si>
    <t>Base Rate</t>
  </si>
  <si>
    <t>Rate Plan</t>
  </si>
  <si>
    <t>Pipeline</t>
  </si>
  <si>
    <t>CRM</t>
  </si>
  <si>
    <t>GRC</t>
  </si>
  <si>
    <t>EDIT</t>
  </si>
  <si>
    <t>Revenue at</t>
  </si>
  <si>
    <t>Total</t>
  </si>
  <si>
    <t>Schedule</t>
  </si>
  <si>
    <t>Current Rates (1)</t>
  </si>
  <si>
    <t>Revenue Change</t>
  </si>
  <si>
    <t xml:space="preserve"> % Change</t>
  </si>
  <si>
    <t>% Change</t>
  </si>
  <si>
    <t>Proposed Rates</t>
  </si>
  <si>
    <t>E = D/C</t>
  </si>
  <si>
    <t>F</t>
  </si>
  <si>
    <t>G = F/C</t>
  </si>
  <si>
    <t>H</t>
  </si>
  <si>
    <t>I = H/C</t>
  </si>
  <si>
    <t>J</t>
  </si>
  <si>
    <t>K = J/C</t>
  </si>
  <si>
    <t>L</t>
  </si>
  <si>
    <t>M = L/C</t>
  </si>
  <si>
    <t>N = D+F+H+J+L</t>
  </si>
  <si>
    <t>O = N/C</t>
  </si>
  <si>
    <t>P</t>
  </si>
  <si>
    <t>Q = P/C</t>
  </si>
  <si>
    <t>R = C+N+P</t>
  </si>
  <si>
    <t>S = R-C</t>
  </si>
  <si>
    <t>T = S/C</t>
  </si>
  <si>
    <t>By Customer Class:</t>
  </si>
  <si>
    <t>Residential (16,23,53)</t>
  </si>
  <si>
    <t>Commercial &amp; industrial (31,31T)</t>
  </si>
  <si>
    <t>Large volume (41,41T)</t>
  </si>
  <si>
    <t>Interruptible (85,85T)</t>
  </si>
  <si>
    <t>Limited interruptible (86,86T)</t>
  </si>
  <si>
    <t>Non exclusive interruptible (87,87T)</t>
  </si>
  <si>
    <t>Subtotal</t>
  </si>
  <si>
    <t>(1) Rates effective November 1, 2021</t>
  </si>
  <si>
    <t>Note 1:  Schedule 141X Rates are effective October 1, 2021 to December 31, 2022 and will go to zero on January 1, 2023.</t>
  </si>
  <si>
    <t>Note:  Amounts in bold and italics are different from the October 18, 2022 PSE Response to WUTC Bench Request 002.</t>
  </si>
  <si>
    <t>Rate Change Impacts by Rate Schedule of Proposed Rate Year #2 Rates</t>
  </si>
  <si>
    <t>Proposed Rates Effective January 1, 2024</t>
  </si>
  <si>
    <t>12ME Dec. 2024</t>
  </si>
  <si>
    <t>RY#1 Rates (1)</t>
  </si>
  <si>
    <t>J = C+D+F+H</t>
  </si>
  <si>
    <t>K = J-C</t>
  </si>
  <si>
    <t>L = K/C</t>
  </si>
  <si>
    <t>(1) Proposed Rates effective January 1, 2023</t>
  </si>
  <si>
    <t>TOTAL AFTER TAX COST OF CAPITAL</t>
  </si>
  <si>
    <t>EQUITY</t>
  </si>
  <si>
    <t>AFTER TAX SHORT TERM DEBT ( (LINE 1)* 79%)</t>
  </si>
  <si>
    <t>TOTAL</t>
  </si>
  <si>
    <t>SHORT AND LONG TERM DEBT</t>
  </si>
  <si>
    <t>COST</t>
  </si>
  <si>
    <t>STRUCTURE</t>
  </si>
  <si>
    <t>DESCRIPTION</t>
  </si>
  <si>
    <t>NO.</t>
  </si>
  <si>
    <t>WEIGHTED</t>
  </si>
  <si>
    <t>CAPITAL</t>
  </si>
  <si>
    <t>LINE</t>
  </si>
  <si>
    <t>APPROVED COST OF CAPITAL</t>
  </si>
  <si>
    <t>RATE YEARS CALENDAR 2023 AND 2024</t>
  </si>
  <si>
    <t>TEST YEAR 12 MONTHS ENDED JUNE 30, 2021</t>
  </si>
  <si>
    <t>2022 GENERAL RATE CASE</t>
  </si>
  <si>
    <t>2024 General Rate Case Docket No. UE-240004 and UG-240005</t>
  </si>
  <si>
    <t>* - average customer count for the test year</t>
  </si>
  <si>
    <t>2022 GRC, Exhibit BDJ-7</t>
  </si>
  <si>
    <t>2024 GRC, Exhibit CTM-4</t>
  </si>
  <si>
    <t>2024 GRC, Exhibit CTM-8</t>
  </si>
  <si>
    <t>2024 GRC, Exhibit CTM-3</t>
  </si>
  <si>
    <t>2022 GRC, Exhibit SEF-4E</t>
  </si>
  <si>
    <t>2024 GRC, Exhibit SEF-4E</t>
  </si>
  <si>
    <t>Advice No. 2024-03</t>
  </si>
  <si>
    <t>Filed February 15, 2024</t>
  </si>
  <si>
    <t>Advice No. 2024-04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</si>
</sst>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mmmm\ d\,\ yyyy"/>
    <numFmt numFmtId="165" formatCode="0.0%"/>
    <numFmt numFmtId="166" formatCode="_(* #,##0_);_(* \(#,##0\);_(* &quot;-&quot;??_);_(@_)"/>
    <numFmt numFmtId="167" formatCode="_(&quot;$&quot;* #,##0_);_(&quot;$&quot;* \(#,##0\);_(&quot;$&quot;* &quot;-&quot;??_);_(@_)"/>
    <numFmt numFmtId="168" formatCode="_(&quot;$&quot;* #,##0.000000_);_(&quot;$&quot;* \(#,##0.000000\);_(&quot;$&quot;* &quot;-&quot;??_);_(@_)"/>
    <numFmt numFmtId="169" formatCode="_(&quot;$&quot;* #,##0.00000_);_(&quot;$&quot;* \(#,##0.00000\);_(&quot;$&quot;* &quot;-&quot;??_);_(@_)"/>
    <numFmt numFmtId="170" formatCode="_(&quot;$&quot;* #,##0.00000_);_(&quot;$&quot;* \(#,##0.00000\);_(&quot;$&quot;* &quot;-&quot;?????_);_(@_)"/>
  </numFmts>
  <fonts count="28" x14ac:knownFonts="1">
    <font>
      <sz val="10"/>
      <name val="Arial"/>
    </font>
    <font>
      <sz val="10"/>
      <name val="Arial"/>
      <family val="2"/>
    </font>
    <font>
      <sz val="12"/>
      <name val="Arial"/>
      <family val="2"/>
    </font>
    <font>
      <b/>
      <sz val="12"/>
      <name val="Arial"/>
      <family val="2"/>
    </font>
    <font>
      <b/>
      <sz val="9"/>
      <name val="Arial"/>
      <family val="2"/>
    </font>
    <font>
      <sz val="8"/>
      <name val="Arial"/>
      <family val="2"/>
    </font>
    <font>
      <u/>
      <sz val="12"/>
      <name val="Arial"/>
      <family val="2"/>
    </font>
    <font>
      <b/>
      <i/>
      <sz val="12"/>
      <name val="Arial"/>
      <family val="2"/>
    </font>
    <font>
      <b/>
      <sz val="16"/>
      <name val="Arial"/>
      <family val="2"/>
    </font>
    <font>
      <sz val="8"/>
      <name val="Arial"/>
      <family val="2"/>
    </font>
    <font>
      <sz val="9"/>
      <name val="Arial"/>
      <family val="2"/>
    </font>
    <font>
      <b/>
      <sz val="8"/>
      <name val="Arial"/>
      <family val="2"/>
    </font>
    <font>
      <sz val="8"/>
      <color theme="1"/>
      <name val="Arial"/>
      <family val="2"/>
    </font>
    <font>
      <b/>
      <i/>
      <sz val="11"/>
      <name val="Arial"/>
      <family val="2"/>
    </font>
    <font>
      <sz val="11"/>
      <name val="Arial"/>
      <family val="2"/>
    </font>
    <font>
      <sz val="12"/>
      <color rgb="FFFF0000"/>
      <name val="Arial"/>
      <family val="2"/>
    </font>
    <font>
      <u val="singleAccounting"/>
      <sz val="12"/>
      <name val="Arial"/>
      <family val="2"/>
    </font>
    <font>
      <b/>
      <i/>
      <sz val="8"/>
      <color rgb="FF0033CC"/>
      <name val="Arial"/>
      <family val="2"/>
    </font>
    <font>
      <sz val="8"/>
      <color rgb="FFFF0000"/>
      <name val="Arial"/>
      <family val="2"/>
    </font>
    <font>
      <b/>
      <i/>
      <sz val="8"/>
      <color rgb="FF0000FF"/>
      <name val="Arial"/>
      <family val="2"/>
    </font>
    <font>
      <b/>
      <sz val="8"/>
      <color rgb="FF0033CC"/>
      <name val="Arial"/>
      <family val="2"/>
    </font>
    <font>
      <i/>
      <sz val="8"/>
      <name val="Arial"/>
      <family val="2"/>
    </font>
    <font>
      <b/>
      <sz val="8"/>
      <color theme="1"/>
      <name val="Arial"/>
      <family val="2"/>
    </font>
    <font>
      <b/>
      <sz val="8"/>
      <color rgb="FF0000FF"/>
      <name val="Arial"/>
      <family val="2"/>
    </font>
    <font>
      <sz val="8"/>
      <color rgb="FF0000FF"/>
      <name val="Arial"/>
      <family val="2"/>
    </font>
    <font>
      <sz val="8"/>
      <color rgb="FF008080"/>
      <name val="Arial"/>
      <family val="2"/>
    </font>
    <font>
      <u/>
      <sz val="8"/>
      <name val="Arial"/>
      <family val="2"/>
    </font>
    <font>
      <b/>
      <sz val="16"/>
      <color theme="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6">
    <xf numFmtId="0" fontId="0" fillId="0" borderId="0" xfId="0"/>
    <xf numFmtId="0" fontId="2" fillId="0" borderId="0" xfId="0" applyFont="1" applyAlignment="1">
      <alignment horizontal="center"/>
    </xf>
    <xf numFmtId="0" fontId="2" fillId="0" borderId="0" xfId="0" applyFont="1"/>
    <xf numFmtId="0" fontId="3" fillId="0" borderId="0" xfId="0" applyFont="1"/>
    <xf numFmtId="0" fontId="2" fillId="0" borderId="0" xfId="0" applyFont="1" applyAlignment="1">
      <alignment horizontal="right"/>
    </xf>
    <xf numFmtId="165" fontId="2" fillId="0" borderId="0" xfId="0" applyNumberFormat="1" applyFont="1"/>
    <xf numFmtId="0" fontId="5" fillId="0" borderId="0" xfId="0" applyFont="1"/>
    <xf numFmtId="0" fontId="2" fillId="0" borderId="0" xfId="0" applyFont="1" applyBorder="1"/>
    <xf numFmtId="42" fontId="2" fillId="0" borderId="0" xfId="0" applyNumberFormat="1" applyFont="1" applyFill="1"/>
    <xf numFmtId="0" fontId="7" fillId="0" borderId="0" xfId="0" applyFont="1"/>
    <xf numFmtId="167" fontId="2" fillId="0" borderId="0" xfId="0" applyNumberFormat="1" applyFont="1"/>
    <xf numFmtId="0" fontId="7" fillId="0" borderId="0" xfId="0" applyFont="1" applyAlignment="1">
      <alignment horizontal="center"/>
    </xf>
    <xf numFmtId="0" fontId="7" fillId="0" borderId="0" xfId="0" applyFont="1" applyAlignment="1">
      <alignment horizontal="center" vertical="top"/>
    </xf>
    <xf numFmtId="0" fontId="2" fillId="0" borderId="0" xfId="0" applyFont="1" applyBorder="1" applyAlignment="1">
      <alignment horizontal="center"/>
    </xf>
    <xf numFmtId="164" fontId="4" fillId="0" borderId="0" xfId="0" applyNumberFormat="1" applyFont="1" applyBorder="1" applyAlignment="1">
      <alignment horizontal="left" wrapText="1"/>
    </xf>
    <xf numFmtId="167" fontId="2" fillId="0" borderId="0" xfId="0" applyNumberFormat="1" applyFont="1" applyFill="1"/>
    <xf numFmtId="0" fontId="2" fillId="0" borderId="0" xfId="0" applyFont="1" applyFill="1" applyBorder="1"/>
    <xf numFmtId="167" fontId="2" fillId="0" borderId="0" xfId="0" applyNumberFormat="1" applyFont="1" applyFill="1" applyBorder="1"/>
    <xf numFmtId="0" fontId="2" fillId="0" borderId="0" xfId="0" applyFont="1" applyAlignment="1">
      <alignment horizontal="left"/>
    </xf>
    <xf numFmtId="165" fontId="2" fillId="0" borderId="0" xfId="0" applyNumberFormat="1" applyFont="1" applyFill="1" applyBorder="1"/>
    <xf numFmtId="0" fontId="2" fillId="0" borderId="0" xfId="0" applyFont="1" applyFill="1"/>
    <xf numFmtId="10" fontId="2" fillId="0" borderId="0" xfId="0" applyNumberFormat="1" applyFont="1" applyFill="1" applyAlignment="1">
      <alignment horizontal="right"/>
    </xf>
    <xf numFmtId="164" fontId="8" fillId="0" borderId="0" xfId="0" applyNumberFormat="1" applyFont="1" applyFill="1" applyAlignment="1">
      <alignment horizontal="center"/>
    </xf>
    <xf numFmtId="0" fontId="2" fillId="0" borderId="0" xfId="0" applyFont="1" applyFill="1" applyAlignment="1">
      <alignment horizontal="center"/>
    </xf>
    <xf numFmtId="0" fontId="10" fillId="0" borderId="0" xfId="0" applyFont="1" applyFill="1"/>
    <xf numFmtId="0" fontId="7" fillId="0" borderId="0" xfId="0" applyFont="1" applyFill="1"/>
    <xf numFmtId="167" fontId="2" fillId="0" borderId="0" xfId="0" applyNumberFormat="1" applyFont="1" applyFill="1" applyAlignment="1">
      <alignment horizontal="center"/>
    </xf>
    <xf numFmtId="0" fontId="2" fillId="0" borderId="0" xfId="0" applyFont="1" applyFill="1" applyAlignment="1">
      <alignment horizontal="right"/>
    </xf>
    <xf numFmtId="0" fontId="2" fillId="0" borderId="0" xfId="0" applyFont="1" applyFill="1" applyBorder="1" applyAlignment="1">
      <alignment horizontal="right"/>
    </xf>
    <xf numFmtId="0" fontId="1" fillId="0" borderId="0" xfId="0" applyFont="1"/>
    <xf numFmtId="0" fontId="2" fillId="0" borderId="0" xfId="0" applyFont="1" applyAlignment="1">
      <alignment wrapText="1"/>
    </xf>
    <xf numFmtId="0" fontId="5" fillId="0" borderId="0" xfId="0" applyFont="1" applyFill="1"/>
    <xf numFmtId="43" fontId="2" fillId="0" borderId="0" xfId="0" applyNumberFormat="1" applyFont="1"/>
    <xf numFmtId="0" fontId="2" fillId="0" borderId="0" xfId="0" applyFont="1" applyBorder="1" applyAlignment="1">
      <alignment horizontal="right"/>
    </xf>
    <xf numFmtId="167" fontId="2" fillId="0" borderId="0" xfId="0" applyNumberFormat="1" applyFont="1" applyFill="1"/>
    <xf numFmtId="10" fontId="2" fillId="0" borderId="0" xfId="0" applyNumberFormat="1" applyFont="1" applyFill="1" applyAlignment="1">
      <alignment horizontal="right"/>
    </xf>
    <xf numFmtId="10" fontId="2" fillId="0" borderId="0" xfId="0" applyNumberFormat="1" applyFont="1" applyAlignment="1">
      <alignment horizontal="right"/>
    </xf>
    <xf numFmtId="44" fontId="2" fillId="0" borderId="0" xfId="0" applyNumberFormat="1" applyFont="1" applyFill="1" applyBorder="1"/>
    <xf numFmtId="167" fontId="2" fillId="0" borderId="0" xfId="0" applyNumberFormat="1" applyFont="1" applyAlignment="1">
      <alignment horizontal="center"/>
    </xf>
    <xf numFmtId="167" fontId="2" fillId="0" borderId="0" xfId="0" applyNumberFormat="1" applyFont="1" applyFill="1" applyBorder="1"/>
    <xf numFmtId="10" fontId="2" fillId="0" borderId="0" xfId="0" applyNumberFormat="1" applyFont="1" applyFill="1" applyBorder="1"/>
    <xf numFmtId="166" fontId="2" fillId="0" borderId="0" xfId="0" applyNumberFormat="1" applyFont="1" applyFill="1" applyBorder="1"/>
    <xf numFmtId="166" fontId="2" fillId="0" borderId="0" xfId="0" applyNumberFormat="1" applyFont="1" applyFill="1" applyBorder="1"/>
    <xf numFmtId="0" fontId="2" fillId="0" borderId="0" xfId="0" applyFont="1" applyAlignment="1">
      <alignment horizontal="left" wrapText="1"/>
    </xf>
    <xf numFmtId="167" fontId="2" fillId="0" borderId="0" xfId="0" applyNumberFormat="1" applyFont="1" applyAlignment="1">
      <alignment vertical="top"/>
    </xf>
    <xf numFmtId="166" fontId="2" fillId="0" borderId="0" xfId="0" applyNumberFormat="1" applyFont="1" applyFill="1"/>
    <xf numFmtId="44" fontId="2" fillId="0" borderId="0" xfId="0" applyNumberFormat="1" applyFont="1" applyFill="1" applyBorder="1"/>
    <xf numFmtId="44" fontId="2" fillId="0" borderId="0" xfId="0" applyNumberFormat="1" applyFont="1" applyFill="1" applyBorder="1"/>
    <xf numFmtId="7" fontId="2" fillId="0" borderId="0" xfId="0" applyNumberFormat="1" applyFont="1" applyFill="1" applyBorder="1" applyAlignment="1">
      <alignment horizontal="right" wrapText="1"/>
    </xf>
    <xf numFmtId="0" fontId="7" fillId="0" borderId="0" xfId="0" applyFont="1" applyAlignment="1">
      <alignment horizontal="center" vertical="top" wrapText="1"/>
    </xf>
    <xf numFmtId="167" fontId="2" fillId="0" borderId="0" xfId="0" applyNumberFormat="1" applyFont="1" applyFill="1"/>
    <xf numFmtId="0" fontId="6" fillId="0" borderId="0" xfId="0" applyFont="1" applyFill="1"/>
    <xf numFmtId="167" fontId="2" fillId="0" borderId="0" xfId="0" applyNumberFormat="1" applyFont="1" applyFill="1" applyBorder="1" applyAlignment="1">
      <alignment horizontal="right"/>
    </xf>
    <xf numFmtId="10" fontId="2" fillId="0" borderId="0" xfId="0" applyNumberFormat="1" applyFont="1" applyFill="1" applyBorder="1" applyAlignment="1">
      <alignment horizontal="right"/>
    </xf>
    <xf numFmtId="167" fontId="2" fillId="0" borderId="0" xfId="0" applyNumberFormat="1" applyFont="1" applyFill="1" applyBorder="1" applyAlignment="1">
      <alignment horizontal="right"/>
    </xf>
    <xf numFmtId="0" fontId="14" fillId="0" borderId="0" xfId="0" applyFont="1" applyFill="1"/>
    <xf numFmtId="166" fontId="2" fillId="0" borderId="0" xfId="0" applyNumberFormat="1" applyFont="1"/>
    <xf numFmtId="10" fontId="2" fillId="0" borderId="0" xfId="0" applyNumberFormat="1" applyFont="1"/>
    <xf numFmtId="167" fontId="15" fillId="0" borderId="0" xfId="0" applyNumberFormat="1" applyFont="1" applyFill="1" applyBorder="1"/>
    <xf numFmtId="166" fontId="15" fillId="0" borderId="0" xfId="0" applyNumberFormat="1" applyFont="1" applyFill="1" applyBorder="1"/>
    <xf numFmtId="167" fontId="16" fillId="0" borderId="0" xfId="0" applyNumberFormat="1" applyFont="1" applyFill="1" applyBorder="1" applyAlignment="1">
      <alignment horizontal="right"/>
    </xf>
    <xf numFmtId="0" fontId="7" fillId="0" borderId="0" xfId="0" applyFont="1" applyFill="1" applyAlignment="1">
      <alignment horizontal="center"/>
    </xf>
    <xf numFmtId="10" fontId="2" fillId="0" borderId="0" xfId="0" applyNumberFormat="1" applyFont="1" applyFill="1" applyBorder="1" applyAlignment="1">
      <alignment horizontal="right"/>
    </xf>
    <xf numFmtId="10" fontId="6" fillId="0" borderId="0" xfId="0" applyNumberFormat="1" applyFont="1" applyFill="1" applyBorder="1" applyAlignment="1">
      <alignment horizontal="right"/>
    </xf>
    <xf numFmtId="0" fontId="7" fillId="0" borderId="0" xfId="0" applyFont="1" applyFill="1" applyAlignment="1">
      <alignment horizontal="center" vertical="top"/>
    </xf>
    <xf numFmtId="0" fontId="10" fillId="0" borderId="0" xfId="0" applyFont="1" applyFill="1" applyAlignment="1">
      <alignment vertical="top"/>
    </xf>
    <xf numFmtId="166" fontId="16" fillId="0" borderId="0" xfId="0" applyNumberFormat="1" applyFont="1" applyFill="1" applyBorder="1"/>
    <xf numFmtId="0" fontId="6" fillId="0" borderId="0" xfId="0" applyFont="1"/>
    <xf numFmtId="10" fontId="6" fillId="0" borderId="0" xfId="0" applyNumberFormat="1" applyFont="1" applyFill="1" applyBorder="1" applyAlignment="1">
      <alignment horizontal="right"/>
    </xf>
    <xf numFmtId="167" fontId="16" fillId="0" borderId="0" xfId="0" applyNumberFormat="1" applyFont="1" applyFill="1" applyBorder="1" applyAlignment="1">
      <alignment horizontal="right"/>
    </xf>
    <xf numFmtId="44" fontId="2" fillId="0" borderId="0" xfId="0" applyNumberFormat="1" applyFont="1" applyFill="1" applyBorder="1"/>
    <xf numFmtId="165" fontId="2" fillId="0" borderId="0" xfId="0" applyNumberFormat="1" applyFont="1" applyFill="1" applyAlignment="1">
      <alignment horizontal="right"/>
    </xf>
    <xf numFmtId="167" fontId="15" fillId="0" borderId="0" xfId="0" applyNumberFormat="1" applyFont="1" applyFill="1" applyBorder="1"/>
    <xf numFmtId="0" fontId="2" fillId="0" borderId="0" xfId="0" applyFont="1" applyFill="1" applyAlignment="1">
      <alignment horizontal="left"/>
    </xf>
    <xf numFmtId="0" fontId="6" fillId="0" borderId="0" xfId="0" applyFont="1" applyFill="1" applyAlignment="1">
      <alignment horizontal="right"/>
    </xf>
    <xf numFmtId="0" fontId="11" fillId="0" borderId="0" xfId="0" applyFont="1"/>
    <xf numFmtId="0" fontId="11" fillId="0" borderId="0" xfId="0" applyFont="1" applyAlignment="1">
      <alignment horizontal="right"/>
    </xf>
    <xf numFmtId="167" fontId="11" fillId="0" borderId="0" xfId="0" applyNumberFormat="1" applyFont="1" applyAlignment="1">
      <alignment horizontal="right"/>
    </xf>
    <xf numFmtId="0" fontId="11" fillId="2" borderId="0" xfId="0" applyFont="1" applyFill="1"/>
    <xf numFmtId="0" fontId="11" fillId="0" borderId="4" xfId="0" applyFont="1" applyBorder="1" applyAlignment="1">
      <alignment horizontal="center" wrapText="1"/>
    </xf>
    <xf numFmtId="0" fontId="11" fillId="0" borderId="4" xfId="0" quotePrefix="1" applyFont="1" applyBorder="1" applyAlignment="1">
      <alignment horizontal="center" wrapText="1"/>
    </xf>
    <xf numFmtId="17" fontId="11" fillId="0" borderId="4" xfId="0" quotePrefix="1" applyNumberFormat="1" applyFont="1" applyBorder="1" applyAlignment="1">
      <alignment horizontal="center" wrapText="1"/>
    </xf>
    <xf numFmtId="0" fontId="11" fillId="0" borderId="4" xfId="0" applyFont="1" applyBorder="1"/>
    <xf numFmtId="0" fontId="5" fillId="0" borderId="0" xfId="0" applyFont="1" applyAlignment="1">
      <alignment horizontal="center" vertical="top" wrapText="1"/>
    </xf>
    <xf numFmtId="0" fontId="5" fillId="0" borderId="0" xfId="0" quotePrefix="1" applyFont="1" applyAlignment="1">
      <alignment horizontal="center" vertical="top" wrapText="1"/>
    </xf>
    <xf numFmtId="17" fontId="5" fillId="0" borderId="0" xfId="0" quotePrefix="1" applyNumberFormat="1" applyFont="1" applyAlignment="1">
      <alignment horizontal="center" vertical="top" wrapText="1"/>
    </xf>
    <xf numFmtId="0" fontId="5" fillId="0" borderId="0" xfId="0" applyFont="1" applyAlignment="1">
      <alignment horizontal="center"/>
    </xf>
    <xf numFmtId="0" fontId="5" fillId="0" borderId="0" xfId="0" applyFont="1" applyAlignment="1">
      <alignment horizontal="left"/>
    </xf>
    <xf numFmtId="166" fontId="5" fillId="0" borderId="0" xfId="0" applyNumberFormat="1" applyFont="1" applyAlignment="1">
      <alignment horizontal="right"/>
    </xf>
    <xf numFmtId="167" fontId="5" fillId="0" borderId="0" xfId="0" applyNumberFormat="1" applyFont="1" applyAlignment="1">
      <alignment horizontal="right"/>
    </xf>
    <xf numFmtId="165" fontId="5" fillId="0" borderId="0" xfId="0" applyNumberFormat="1" applyFont="1" applyAlignment="1">
      <alignment horizontal="right"/>
    </xf>
    <xf numFmtId="167" fontId="5" fillId="2" borderId="0" xfId="0" applyNumberFormat="1" applyFont="1" applyFill="1" applyAlignment="1">
      <alignment horizontal="right"/>
    </xf>
    <xf numFmtId="10" fontId="5" fillId="0" borderId="0" xfId="0" applyNumberFormat="1" applyFont="1" applyAlignment="1">
      <alignment horizontal="right"/>
    </xf>
    <xf numFmtId="167" fontId="17" fillId="0" borderId="0" xfId="0" applyNumberFormat="1" applyFont="1" applyAlignment="1">
      <alignment horizontal="right"/>
    </xf>
    <xf numFmtId="0" fontId="5" fillId="0" borderId="0" xfId="0" applyFont="1" applyAlignment="1">
      <alignment horizontal="right"/>
    </xf>
    <xf numFmtId="0" fontId="5" fillId="0" borderId="0" xfId="0" quotePrefix="1" applyFont="1" applyAlignment="1">
      <alignment horizontal="left"/>
    </xf>
    <xf numFmtId="166" fontId="5" fillId="0" borderId="3" xfId="0" applyNumberFormat="1" applyFont="1" applyBorder="1" applyAlignment="1">
      <alignment horizontal="right"/>
    </xf>
    <xf numFmtId="167" fontId="5" fillId="0" borderId="3" xfId="0" applyNumberFormat="1" applyFont="1" applyBorder="1" applyAlignment="1">
      <alignment horizontal="right"/>
    </xf>
    <xf numFmtId="10" fontId="5" fillId="0" borderId="3" xfId="0" applyNumberFormat="1" applyFont="1" applyBorder="1" applyAlignment="1">
      <alignment horizontal="right"/>
    </xf>
    <xf numFmtId="167" fontId="17" fillId="0" borderId="3" xfId="0" applyNumberFormat="1" applyFont="1" applyBorder="1" applyAlignment="1">
      <alignment horizontal="right"/>
    </xf>
    <xf numFmtId="166" fontId="5" fillId="0" borderId="0" xfId="0" applyNumberFormat="1" applyFont="1"/>
    <xf numFmtId="167" fontId="5" fillId="0" borderId="0" xfId="0" applyNumberFormat="1" applyFont="1"/>
    <xf numFmtId="168" fontId="5" fillId="0" borderId="0" xfId="0" applyNumberFormat="1" applyFont="1"/>
    <xf numFmtId="44" fontId="5" fillId="0" borderId="0" xfId="0" applyNumberFormat="1" applyFont="1"/>
    <xf numFmtId="0" fontId="18" fillId="0" borderId="0" xfId="0" applyFont="1"/>
    <xf numFmtId="166" fontId="18" fillId="0" borderId="0" xfId="0" applyNumberFormat="1" applyFont="1"/>
    <xf numFmtId="167" fontId="18" fillId="0" borderId="0" xfId="0" applyNumberFormat="1" applyFont="1"/>
    <xf numFmtId="168" fontId="18" fillId="0" borderId="0" xfId="0" applyNumberFormat="1" applyFont="1"/>
    <xf numFmtId="0" fontId="11" fillId="0" borderId="0" xfId="0" applyFont="1" applyAlignment="1">
      <alignment horizontal="left"/>
    </xf>
    <xf numFmtId="0" fontId="19" fillId="0" borderId="0" xfId="0" applyFont="1" applyAlignment="1">
      <alignment vertical="center"/>
    </xf>
    <xf numFmtId="0" fontId="5" fillId="3" borderId="8" xfId="0" applyFont="1" applyFill="1" applyBorder="1"/>
    <xf numFmtId="0" fontId="11" fillId="3" borderId="9" xfId="0" applyFont="1" applyFill="1" applyBorder="1" applyAlignment="1">
      <alignment horizontal="right"/>
    </xf>
    <xf numFmtId="166" fontId="20" fillId="3" borderId="9" xfId="0" applyNumberFormat="1" applyFont="1" applyFill="1" applyBorder="1" applyAlignment="1">
      <alignment horizontal="right"/>
    </xf>
    <xf numFmtId="167" fontId="20" fillId="3" borderId="9" xfId="0" applyNumberFormat="1" applyFont="1" applyFill="1" applyBorder="1" applyAlignment="1">
      <alignment horizontal="right"/>
    </xf>
    <xf numFmtId="10" fontId="20" fillId="3" borderId="9" xfId="0" applyNumberFormat="1" applyFont="1" applyFill="1" applyBorder="1" applyAlignment="1">
      <alignment horizontal="right"/>
    </xf>
    <xf numFmtId="167" fontId="17" fillId="3" borderId="9" xfId="0" applyNumberFormat="1" applyFont="1" applyFill="1" applyBorder="1" applyAlignment="1">
      <alignment horizontal="right"/>
    </xf>
    <xf numFmtId="0" fontId="20" fillId="3" borderId="9" xfId="0" applyFont="1" applyFill="1" applyBorder="1" applyAlignment="1">
      <alignment horizontal="right"/>
    </xf>
    <xf numFmtId="10" fontId="20" fillId="3" borderId="10" xfId="0" applyNumberFormat="1" applyFont="1" applyFill="1" applyBorder="1" applyAlignment="1">
      <alignment horizontal="right"/>
    </xf>
    <xf numFmtId="0" fontId="5" fillId="3" borderId="11" xfId="0" applyFont="1" applyFill="1" applyBorder="1"/>
    <xf numFmtId="0" fontId="11" fillId="3" borderId="2" xfId="0" applyFont="1" applyFill="1" applyBorder="1" applyAlignment="1">
      <alignment horizontal="right"/>
    </xf>
    <xf numFmtId="166" fontId="5" fillId="3" borderId="2" xfId="0" applyNumberFormat="1" applyFont="1" applyFill="1" applyBorder="1" applyAlignment="1">
      <alignment horizontal="right"/>
    </xf>
    <xf numFmtId="167" fontId="5" fillId="3" borderId="2" xfId="0" applyNumberFormat="1" applyFont="1" applyFill="1" applyBorder="1" applyAlignment="1">
      <alignment horizontal="right"/>
    </xf>
    <xf numFmtId="10" fontId="5" fillId="3" borderId="2" xfId="0" applyNumberFormat="1" applyFont="1" applyFill="1" applyBorder="1" applyAlignment="1">
      <alignment horizontal="right"/>
    </xf>
    <xf numFmtId="167" fontId="21" fillId="3" borderId="2" xfId="0" applyNumberFormat="1" applyFont="1" applyFill="1" applyBorder="1" applyAlignment="1">
      <alignment horizontal="right"/>
    </xf>
    <xf numFmtId="0" fontId="5" fillId="3" borderId="2" xfId="0" applyFont="1" applyFill="1" applyBorder="1" applyAlignment="1">
      <alignment horizontal="right"/>
    </xf>
    <xf numFmtId="10" fontId="5" fillId="3" borderId="12" xfId="0" applyNumberFormat="1" applyFont="1" applyFill="1" applyBorder="1" applyAlignment="1">
      <alignment horizontal="right"/>
    </xf>
    <xf numFmtId="17" fontId="11" fillId="0" borderId="0" xfId="0" quotePrefix="1" applyNumberFormat="1" applyFont="1" applyAlignment="1">
      <alignment horizontal="center" wrapText="1"/>
    </xf>
    <xf numFmtId="0" fontId="11" fillId="0" borderId="0" xfId="0" quotePrefix="1" applyFont="1" applyAlignment="1">
      <alignment horizontal="center" wrapText="1"/>
    </xf>
    <xf numFmtId="0" fontId="5" fillId="0" borderId="0" xfId="0" applyFont="1" applyAlignment="1">
      <alignment vertical="top" wrapText="1"/>
    </xf>
    <xf numFmtId="167" fontId="17" fillId="0" borderId="0" xfId="0" applyNumberFormat="1" applyFont="1"/>
    <xf numFmtId="10" fontId="17" fillId="0" borderId="0" xfId="0" applyNumberFormat="1" applyFont="1"/>
    <xf numFmtId="165" fontId="5" fillId="0" borderId="0" xfId="0" applyNumberFormat="1" applyFont="1"/>
    <xf numFmtId="10" fontId="5" fillId="0" borderId="0" xfId="0" applyNumberFormat="1" applyFont="1"/>
    <xf numFmtId="166" fontId="5" fillId="0" borderId="3" xfId="0" applyNumberFormat="1" applyFont="1" applyBorder="1"/>
    <xf numFmtId="167" fontId="5" fillId="0" borderId="3" xfId="0" applyNumberFormat="1" applyFont="1" applyBorder="1"/>
    <xf numFmtId="167" fontId="17" fillId="0" borderId="3" xfId="0" applyNumberFormat="1" applyFont="1" applyBorder="1"/>
    <xf numFmtId="10" fontId="17" fillId="0" borderId="3" xfId="0" applyNumberFormat="1" applyFont="1" applyBorder="1"/>
    <xf numFmtId="10" fontId="5" fillId="0" borderId="3" xfId="0" applyNumberFormat="1" applyFont="1" applyBorder="1"/>
    <xf numFmtId="0" fontId="18" fillId="0" borderId="0" xfId="0" applyFont="1" applyAlignment="1">
      <alignment horizontal="right"/>
    </xf>
    <xf numFmtId="0" fontId="5" fillId="0" borderId="0" xfId="0" applyFont="1"/>
    <xf numFmtId="166" fontId="20" fillId="3" borderId="9" xfId="0" applyNumberFormat="1" applyFont="1" applyFill="1" applyBorder="1"/>
    <xf numFmtId="167" fontId="20" fillId="3" borderId="9" xfId="0" applyNumberFormat="1" applyFont="1" applyFill="1" applyBorder="1"/>
    <xf numFmtId="10" fontId="20" fillId="3" borderId="9" xfId="0" applyNumberFormat="1" applyFont="1" applyFill="1" applyBorder="1"/>
    <xf numFmtId="0" fontId="20" fillId="3" borderId="9" xfId="0" applyFont="1" applyFill="1" applyBorder="1"/>
    <xf numFmtId="10" fontId="20" fillId="3" borderId="10" xfId="0" applyNumberFormat="1" applyFont="1" applyFill="1" applyBorder="1"/>
    <xf numFmtId="166" fontId="5" fillId="3" borderId="2" xfId="0" applyNumberFormat="1" applyFont="1" applyFill="1" applyBorder="1"/>
    <xf numFmtId="167" fontId="5" fillId="3" borderId="2" xfId="0" applyNumberFormat="1" applyFont="1" applyFill="1" applyBorder="1"/>
    <xf numFmtId="10" fontId="5" fillId="3" borderId="2" xfId="0" applyNumberFormat="1" applyFont="1" applyFill="1" applyBorder="1"/>
    <xf numFmtId="0" fontId="5" fillId="3" borderId="2" xfId="0" applyFont="1" applyFill="1" applyBorder="1"/>
    <xf numFmtId="10" fontId="5" fillId="3" borderId="12" xfId="0" applyNumberFormat="1" applyFont="1" applyFill="1" applyBorder="1"/>
    <xf numFmtId="164" fontId="8" fillId="0" borderId="0" xfId="0" quotePrefix="1" applyNumberFormat="1" applyFont="1" applyFill="1" applyAlignment="1">
      <alignment horizontal="center"/>
    </xf>
    <xf numFmtId="0" fontId="2" fillId="0" borderId="0" xfId="0" applyFont="1" applyFill="1" applyAlignment="1">
      <alignment horizontal="left" wrapText="1"/>
    </xf>
    <xf numFmtId="0" fontId="11" fillId="0" borderId="0" xfId="0" applyFont="1" applyAlignment="1">
      <alignment horizontal="center"/>
    </xf>
    <xf numFmtId="0" fontId="11" fillId="0" borderId="0" xfId="0" quotePrefix="1" applyFont="1" applyAlignment="1">
      <alignment horizontal="center"/>
    </xf>
    <xf numFmtId="0" fontId="12" fillId="4" borderId="0" xfId="0" applyFont="1" applyFill="1"/>
    <xf numFmtId="0" fontId="12" fillId="0" borderId="0" xfId="0" applyFont="1"/>
    <xf numFmtId="0" fontId="22" fillId="4" borderId="0" xfId="0" applyFont="1" applyFill="1" applyAlignment="1">
      <alignment horizontal="centerContinuous"/>
    </xf>
    <xf numFmtId="0" fontId="23" fillId="4" borderId="0" xfId="0" applyFont="1" applyFill="1" applyAlignment="1">
      <alignment horizontal="centerContinuous"/>
    </xf>
    <xf numFmtId="0" fontId="12" fillId="4" borderId="0" xfId="0" applyFont="1" applyFill="1" applyAlignment="1">
      <alignment horizontal="centerContinuous"/>
    </xf>
    <xf numFmtId="0" fontId="22" fillId="4" borderId="0" xfId="0" applyFont="1" applyFill="1" applyAlignment="1">
      <alignment horizontal="center"/>
    </xf>
    <xf numFmtId="0" fontId="22" fillId="4" borderId="4" xfId="0" applyFont="1" applyFill="1" applyBorder="1" applyAlignment="1">
      <alignment horizontal="center"/>
    </xf>
    <xf numFmtId="0" fontId="12" fillId="4" borderId="0" xfId="0" applyFont="1" applyFill="1" applyAlignment="1">
      <alignment horizontal="center"/>
    </xf>
    <xf numFmtId="10" fontId="12" fillId="4" borderId="0" xfId="0" applyNumberFormat="1" applyFont="1" applyFill="1"/>
    <xf numFmtId="9" fontId="12" fillId="4" borderId="5" xfId="0" applyNumberFormat="1" applyFont="1" applyFill="1" applyBorder="1"/>
    <xf numFmtId="0" fontId="12" fillId="4" borderId="5" xfId="0" applyFont="1" applyFill="1" applyBorder="1"/>
    <xf numFmtId="10" fontId="22" fillId="4" borderId="5" xfId="0" applyNumberFormat="1" applyFont="1" applyFill="1" applyBorder="1"/>
    <xf numFmtId="0" fontId="5" fillId="0" borderId="0" xfId="0" applyFont="1" applyAlignment="1">
      <alignment horizontal="centerContinuous"/>
    </xf>
    <xf numFmtId="0" fontId="5" fillId="0" borderId="0" xfId="0" applyFont="1"/>
    <xf numFmtId="0" fontId="12" fillId="0" borderId="0" xfId="0" applyFont="1"/>
    <xf numFmtId="0" fontId="12" fillId="0" borderId="0" xfId="0" applyFont="1" applyAlignment="1">
      <alignment horizontal="centerContinuous"/>
    </xf>
    <xf numFmtId="0" fontId="12" fillId="0" borderId="0" xfId="0" applyFont="1" applyAlignment="1">
      <alignment horizontal="center"/>
    </xf>
    <xf numFmtId="0" fontId="24" fillId="0" borderId="0" xfId="0" applyFont="1" applyAlignment="1">
      <alignment horizontal="center"/>
    </xf>
    <xf numFmtId="0" fontId="19" fillId="0" borderId="0" xfId="0" applyFont="1" applyAlignment="1">
      <alignment horizontal="center"/>
    </xf>
    <xf numFmtId="0" fontId="12" fillId="0" borderId="4" xfId="0" applyFont="1" applyBorder="1" applyAlignment="1">
      <alignment horizontal="center"/>
    </xf>
    <xf numFmtId="0" fontId="19" fillId="0" borderId="4" xfId="0" applyFont="1" applyBorder="1" applyAlignment="1">
      <alignment horizontal="center"/>
    </xf>
    <xf numFmtId="3" fontId="12" fillId="0" borderId="0" xfId="0" applyNumberFormat="1" applyFont="1" applyAlignment="1">
      <alignment horizontal="center"/>
    </xf>
    <xf numFmtId="42" fontId="12" fillId="0" borderId="0" xfId="0" applyNumberFormat="1" applyFont="1" applyAlignment="1">
      <alignment horizontal="center"/>
    </xf>
    <xf numFmtId="3" fontId="19" fillId="0" borderId="0" xfId="0" applyNumberFormat="1" applyFont="1" applyAlignment="1">
      <alignment horizontal="center"/>
    </xf>
    <xf numFmtId="42" fontId="19" fillId="0" borderId="0" xfId="0" applyNumberFormat="1" applyFont="1" applyAlignment="1">
      <alignment horizontal="center"/>
    </xf>
    <xf numFmtId="0" fontId="12" fillId="0" borderId="0" xfId="0" applyFont="1" applyAlignment="1">
      <alignment horizontal="left"/>
    </xf>
    <xf numFmtId="42" fontId="25" fillId="0" borderId="0" xfId="0" applyNumberFormat="1" applyFont="1" applyAlignment="1">
      <alignment horizontal="left"/>
    </xf>
    <xf numFmtId="167" fontId="25" fillId="0" borderId="0" xfId="0" applyNumberFormat="1" applyFont="1"/>
    <xf numFmtId="10" fontId="12" fillId="0" borderId="0" xfId="0" applyNumberFormat="1" applyFont="1"/>
    <xf numFmtId="169" fontId="12" fillId="0" borderId="0" xfId="0" applyNumberFormat="1" applyFont="1"/>
    <xf numFmtId="167" fontId="19" fillId="0" borderId="0" xfId="0" applyNumberFormat="1" applyFont="1"/>
    <xf numFmtId="10" fontId="19" fillId="0" borderId="0" xfId="0" applyNumberFormat="1" applyFont="1"/>
    <xf numFmtId="42" fontId="12" fillId="0" borderId="0" xfId="0" applyNumberFormat="1" applyFont="1"/>
    <xf numFmtId="167" fontId="12" fillId="0" borderId="0" xfId="0" applyNumberFormat="1" applyFont="1"/>
    <xf numFmtId="42" fontId="12" fillId="0" borderId="5" xfId="0" applyNumberFormat="1" applyFont="1" applyBorder="1"/>
    <xf numFmtId="167" fontId="12" fillId="0" borderId="5" xfId="0" applyNumberFormat="1" applyFont="1" applyBorder="1"/>
    <xf numFmtId="10" fontId="12" fillId="0" borderId="5" xfId="0" applyNumberFormat="1" applyFont="1" applyBorder="1"/>
    <xf numFmtId="167" fontId="19" fillId="0" borderId="5" xfId="0" applyNumberFormat="1" applyFont="1" applyBorder="1"/>
    <xf numFmtId="10" fontId="19" fillId="0" borderId="5" xfId="0" applyNumberFormat="1" applyFont="1" applyBorder="1"/>
    <xf numFmtId="0" fontId="5" fillId="0" borderId="0" xfId="0" applyFont="1" applyAlignment="1">
      <alignment horizontal="left"/>
    </xf>
    <xf numFmtId="3" fontId="5" fillId="0" borderId="0" xfId="0" applyNumberFormat="1" applyFont="1"/>
    <xf numFmtId="167" fontId="5" fillId="0" borderId="0" xfId="0" applyNumberFormat="1" applyFont="1"/>
    <xf numFmtId="170" fontId="12" fillId="0" borderId="0" xfId="0" applyNumberFormat="1" applyFont="1"/>
    <xf numFmtId="170" fontId="5" fillId="0" borderId="0" xfId="0" applyNumberFormat="1" applyFont="1"/>
    <xf numFmtId="170" fontId="19" fillId="0" borderId="0" xfId="0" applyNumberFormat="1" applyFont="1"/>
    <xf numFmtId="10" fontId="5" fillId="0" borderId="0" xfId="0" applyNumberFormat="1" applyFont="1"/>
    <xf numFmtId="42" fontId="19" fillId="0" borderId="0" xfId="0" applyNumberFormat="1" applyFont="1"/>
    <xf numFmtId="0" fontId="26" fillId="0" borderId="0" xfId="0" applyFont="1" applyAlignment="1">
      <alignment horizontal="left"/>
    </xf>
    <xf numFmtId="0" fontId="11" fillId="0" borderId="0" xfId="0" applyFont="1" applyAlignment="1">
      <alignment horizontal="left"/>
    </xf>
    <xf numFmtId="0" fontId="5" fillId="0" borderId="0" xfId="0" applyFont="1" applyAlignment="1">
      <alignment horizontal="left" vertical="center" textRotation="180"/>
    </xf>
    <xf numFmtId="167" fontId="5" fillId="0" borderId="5" xfId="0" applyNumberFormat="1" applyFont="1" applyBorder="1" applyAlignment="1">
      <alignment horizontal="left"/>
    </xf>
    <xf numFmtId="167" fontId="5" fillId="0" borderId="0" xfId="0" applyNumberFormat="1" applyFont="1" applyAlignment="1">
      <alignment horizontal="left"/>
    </xf>
    <xf numFmtId="167" fontId="5" fillId="0" borderId="5" xfId="0" applyNumberFormat="1" applyFont="1" applyBorder="1"/>
    <xf numFmtId="3" fontId="12" fillId="0" borderId="0" xfId="0" applyNumberFormat="1" applyFont="1"/>
    <xf numFmtId="0" fontId="19" fillId="0" borderId="0" xfId="0" applyFont="1"/>
    <xf numFmtId="0" fontId="12" fillId="0" borderId="6" xfId="0" applyFont="1" applyBorder="1" applyAlignment="1">
      <alignment horizontal="centerContinuous"/>
    </xf>
    <xf numFmtId="0" fontId="12" fillId="0" borderId="1" xfId="0" applyFont="1" applyBorder="1" applyAlignment="1">
      <alignment horizontal="centerContinuous"/>
    </xf>
    <xf numFmtId="0" fontId="12" fillId="0" borderId="7" xfId="0" applyFont="1" applyBorder="1" applyAlignment="1">
      <alignment horizontal="centerContinuous"/>
    </xf>
    <xf numFmtId="0" fontId="18" fillId="0" borderId="0" xfId="0" applyFont="1" applyAlignment="1">
      <alignment horizontal="center"/>
    </xf>
    <xf numFmtId="42" fontId="25" fillId="0" borderId="0" xfId="0" applyNumberFormat="1" applyFont="1"/>
    <xf numFmtId="0" fontId="5" fillId="0" borderId="0" xfId="0" quotePrefix="1" applyFont="1" applyAlignment="1">
      <alignment horizontal="left"/>
    </xf>
    <xf numFmtId="0" fontId="8" fillId="0" borderId="0" xfId="0" quotePrefix="1" applyFont="1" applyAlignment="1">
      <alignment horizontal="center"/>
    </xf>
    <xf numFmtId="0" fontId="5" fillId="0" borderId="0" xfId="0" applyFont="1" applyAlignment="1">
      <alignment horizontal="center"/>
    </xf>
    <xf numFmtId="0" fontId="10" fillId="0" borderId="0" xfId="0" applyFont="1" applyFill="1" applyAlignment="1">
      <alignment vertical="center"/>
    </xf>
    <xf numFmtId="0" fontId="2" fillId="0" borderId="0" xfId="0" quotePrefix="1" applyFont="1" applyAlignment="1">
      <alignment horizontal="left" wrapText="1"/>
    </xf>
    <xf numFmtId="0" fontId="8" fillId="0" borderId="0" xfId="0" applyFont="1" applyAlignment="1">
      <alignment horizontal="center"/>
    </xf>
    <xf numFmtId="0" fontId="8" fillId="0" borderId="0" xfId="0" quotePrefix="1" applyFont="1" applyAlignment="1">
      <alignment horizontal="center"/>
    </xf>
    <xf numFmtId="0" fontId="27" fillId="0" borderId="0" xfId="0" quotePrefix="1" applyFont="1" applyFill="1" applyAlignment="1">
      <alignment horizontal="center"/>
    </xf>
    <xf numFmtId="0" fontId="13" fillId="0" borderId="0" xfId="0" applyFont="1" applyFill="1" applyAlignment="1">
      <alignment horizontal="left" vertical="top" wrapText="1"/>
    </xf>
    <xf numFmtId="164" fontId="8" fillId="0" borderId="0" xfId="0" quotePrefix="1" applyNumberFormat="1" applyFont="1" applyFill="1" applyAlignment="1">
      <alignment horizontal="center"/>
    </xf>
    <xf numFmtId="0" fontId="2" fillId="0" borderId="0" xfId="0" applyFont="1" applyFill="1" applyAlignment="1">
      <alignment horizontal="left" wrapText="1"/>
    </xf>
    <xf numFmtId="0" fontId="7" fillId="0" borderId="0" xfId="0" applyFont="1" applyAlignment="1">
      <alignment horizontal="left" wrapText="1"/>
    </xf>
    <xf numFmtId="0" fontId="7" fillId="0" borderId="0" xfId="0" applyFont="1" applyAlignment="1">
      <alignment horizontal="left" vertical="top" wrapText="1"/>
    </xf>
    <xf numFmtId="0" fontId="2" fillId="0" borderId="0" xfId="0" applyFont="1" applyAlignment="1">
      <alignment horizontal="left" wrapText="1"/>
    </xf>
    <xf numFmtId="0" fontId="11" fillId="0" borderId="6" xfId="0" quotePrefix="1" applyFont="1" applyBorder="1" applyAlignment="1">
      <alignment horizontal="center"/>
    </xf>
    <xf numFmtId="0" fontId="11" fillId="0" borderId="1" xfId="0" quotePrefix="1" applyFont="1" applyBorder="1" applyAlignment="1">
      <alignment horizontal="center"/>
    </xf>
    <xf numFmtId="0" fontId="11" fillId="0" borderId="7" xfId="0" quotePrefix="1" applyFont="1" applyBorder="1" applyAlignment="1">
      <alignment horizontal="center"/>
    </xf>
    <xf numFmtId="0" fontId="11" fillId="0" borderId="0" xfId="0" applyFont="1" applyAlignment="1">
      <alignment horizontal="center"/>
    </xf>
    <xf numFmtId="0" fontId="11" fillId="0" borderId="0" xfId="0" quotePrefix="1" applyFont="1" applyAlignment="1">
      <alignment horizontal="center"/>
    </xf>
    <xf numFmtId="0" fontId="11" fillId="0" borderId="6" xfId="0" applyFont="1" applyBorder="1" applyAlignment="1">
      <alignment horizontal="center"/>
    </xf>
    <xf numFmtId="0" fontId="11" fillId="0" borderId="1" xfId="0" applyFont="1" applyBorder="1" applyAlignment="1">
      <alignment horizontal="center"/>
    </xf>
    <xf numFmtId="0" fontId="11"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004-05-PSE-WP-CTM-4-ELEC-NORM-MO-REV-24GRC-02-2024(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004-05-PSE-WP-CTM-8-ELEC-BILL-IMPACTS-24GRC-02-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004-05-PSE-WP-CTM-3-ELEC-F2023-BILL-DETERMINANTS-24GRC-02-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0004-05-PSE-WP-SEF-4E-ELECTRIC-REV-REQ-MODEL-24GRC-02-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0004-05-PSE-WP-JDT-3-GAS-NORMALIZED-REVENUE-24GRC-02-2024(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0004-05-PSE-WP-JDT-6-GAS-BILL-IMPACTS-24GRC-02-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0004-05-PSE-WP-SEF-8G-GAS-REV-REQ-MODEL-24GRC-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TIAL"/>
      <sheetName val="Table of Contents"/>
      <sheetName val="Exhibits--&gt;"/>
      <sheetName val="Exh CTM-4 (Proforma KWh &amp; Rev)"/>
      <sheetName val="Exh CTM-4 (Rev Req Summary)"/>
      <sheetName val="Exh CTM-4 (Load Analysis)"/>
      <sheetName val="Workpapers--&gt;"/>
      <sheetName val="Load Analysis - Other Riders "/>
      <sheetName val="Load Analysis - Current Pricing"/>
      <sheetName val="Load Analysis - Forecasted Load"/>
      <sheetName val="2024 GRC Base Revenue"/>
      <sheetName val="Rate Change Unbilled&amp;Annualized"/>
      <sheetName val="Proforma Monthly kWh (C)"/>
      <sheetName val="Proforma Monthly Revenue (C)"/>
      <sheetName val="Summary - Delivered kWh"/>
      <sheetName val="Sum - Delivered Restated Rev"/>
      <sheetName val="Temperature Adjustment"/>
      <sheetName val="Sch 7 Res"/>
      <sheetName val="Sch 7A Master Met"/>
      <sheetName val="Sch 24 Sm Sec"/>
      <sheetName val="Sch 25 Med Sec"/>
      <sheetName val="Sch 26 Large Sec"/>
      <sheetName val="Sch 26 Primary"/>
      <sheetName val="Sch 29 Irr Sec"/>
      <sheetName val="Sch 31 Pri Gen Svc"/>
      <sheetName val="Sch 35 Pri Irr Svc"/>
      <sheetName val="Sch 43 Pri Int Svc"/>
      <sheetName val="Sch 46 HV Int Svc"/>
      <sheetName val="Sch 49 HV Gen Svc"/>
      <sheetName val="Lighting 50-59"/>
      <sheetName val="Special Contract (C)"/>
      <sheetName val="Sch 449 - Transportation"/>
      <sheetName val="Firm Resale"/>
      <sheetName val="Financial Support Data=&gt;"/>
      <sheetName val="YE 6-2023 SOE"/>
      <sheetName val="YE 6-2023 Change Unbilled Rev"/>
      <sheetName val="YE 6-2023 Change Unbilled kWh"/>
      <sheetName val="YE 6-2023 Billed kWh"/>
      <sheetName val="SAP Data =&gt;"/>
      <sheetName val="SAP to BW Recon"/>
      <sheetName val="SAP Billed kWh"/>
      <sheetName val="ELEC SCH 26P"/>
      <sheetName val="ELEC SCH 10,12,26,31 Demand"/>
      <sheetName val="Lamp Inventory (Annual)"/>
      <sheetName val="Test year BW report"/>
      <sheetName val="Temperature Adj --&gt;"/>
      <sheetName val="Summary Sheet "/>
      <sheetName val="Temp Adj. by Schedule "/>
      <sheetName val="Normalized Total Usage"/>
      <sheetName val="Actual Total Usage "/>
      <sheetName val="Restated SAP BW Actual Usag"/>
      <sheetName val="2022 GRC Compliance--&gt;"/>
      <sheetName val="Exhibit No.__(BDJ-Tariff)"/>
      <sheetName val="Exhibit No.__(BDJ-MYRP)"/>
      <sheetName val="Exhibit No.__(BDJ-TRANSP RD)"/>
      <sheetName val="BDJ-6 Combined Charges"/>
      <sheetName val="Exhibit No.__(BDJ-Prof-Prop)"/>
      <sheetName val="Base Lighting Tariff"/>
      <sheetName val="Base Lighting Tariff (Smart)"/>
      <sheetName val="Proforma Monthly kWh"/>
      <sheetName val="Proforma Monthly Revenue"/>
    </sheetNames>
    <sheetDataSet>
      <sheetData sheetId="0"/>
      <sheetData sheetId="1"/>
      <sheetData sheetId="2"/>
      <sheetData sheetId="3">
        <row r="42">
          <cell r="J42">
            <v>2669018501.8000002</v>
          </cell>
        </row>
      </sheetData>
      <sheetData sheetId="4"/>
      <sheetData sheetId="5"/>
      <sheetData sheetId="6"/>
      <sheetData sheetId="7"/>
      <sheetData sheetId="8"/>
      <sheetData sheetId="9"/>
      <sheetData sheetId="10">
        <row r="18">
          <cell r="Q18">
            <v>17613973.042186517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hibits--&gt;"/>
      <sheetName val="Overall Rate Impacts --&gt;"/>
      <sheetName val="Exh CTM-8 (Rate Impacts_RY#1)"/>
      <sheetName val="Exh CTM-8 (Rate Impacts_RY#2)"/>
      <sheetName val="Exh CTM-8 (Avg Per kWh)"/>
      <sheetName val="Bill Impacts--&gt;"/>
      <sheetName val="Exh CTM-8 (Res Bill Summary)"/>
      <sheetName val="Exh CTM-8 Typical Res Bill RY#1"/>
      <sheetName val="Exh CTM-8 Typical Res Bill RY#2"/>
      <sheetName val="Exh CTM-8 (Schedule 24 Impacts)"/>
      <sheetName val="Exh CTM-8 (Schedule 25 Impacts)"/>
      <sheetName val="Exh CTM-8 (Schedule 26 Impacts)"/>
      <sheetName val="Exh CTM-8 (Schedule 29 Impacts)"/>
      <sheetName val="Exh CTM-8 (Schedule 31 Impacts)"/>
      <sheetName val="Exh CTM-8 (Schedule 46 Impacts)"/>
      <sheetName val="Exh CTM-8 (Schedule 49 Impacts)"/>
      <sheetName val="Workpapers --&gt;"/>
      <sheetName val="Summary Installation Count"/>
      <sheetName val="Revenue by Sch RY#1"/>
      <sheetName val="Revenue by Sch RY#2"/>
      <sheetName val="Revenue &amp; Rider Impacts--&gt;"/>
      <sheetName val="Sch 95"/>
      <sheetName val="Sch 95 Imbalance"/>
      <sheetName val="Sch 95a"/>
      <sheetName val="Sch 120"/>
      <sheetName val="Sch 129"/>
      <sheetName val="Sch 129D"/>
      <sheetName val="Sch 137"/>
      <sheetName val="Sch 139"/>
      <sheetName val="Sch 139 Supplemental"/>
      <sheetName val="Sch 140"/>
      <sheetName val="Sch 141"/>
      <sheetName val="Sch 141A"/>
      <sheetName val="Sch 141CEI"/>
      <sheetName val="Sch 141COL"/>
      <sheetName val="Sch 141N"/>
      <sheetName val="Sch 141R"/>
      <sheetName val="Sch 141TEP"/>
      <sheetName val="Sch 141X"/>
      <sheetName val="Sch 141Z"/>
      <sheetName val="Sch 142"/>
      <sheetName val="Sch 142 Supplemental"/>
      <sheetName val="Sch 194"/>
      <sheetName val="Sch 141CGR"/>
      <sheetName val="Sch 141DCARB"/>
      <sheetName val="Sch 141WFP"/>
    </sheetNames>
    <sheetDataSet>
      <sheetData sheetId="0"/>
      <sheetData sheetId="1"/>
      <sheetData sheetId="2"/>
      <sheetData sheetId="3">
        <row r="10">
          <cell r="AH10">
            <v>108884874.0680659</v>
          </cell>
          <cell r="AI10">
            <v>6.9196999921477667E-2</v>
          </cell>
        </row>
        <row r="11">
          <cell r="AH11">
            <v>29004038.442589164</v>
          </cell>
          <cell r="AI11">
            <v>7.8304169712582708E-2</v>
          </cell>
        </row>
        <row r="12">
          <cell r="AH12">
            <v>21797335.39786759</v>
          </cell>
          <cell r="AI12">
            <v>5.6134288300362871E-2</v>
          </cell>
        </row>
        <row r="13">
          <cell r="AH13">
            <v>13007616.925204327</v>
          </cell>
          <cell r="AI13">
            <v>5.469144289009456E-2</v>
          </cell>
        </row>
        <row r="14">
          <cell r="AH14">
            <v>94770.987070452917</v>
          </cell>
          <cell r="AI14">
            <v>5.4839590770532812E-2</v>
          </cell>
        </row>
        <row r="15">
          <cell r="AH15">
            <v>9406794.8725212719</v>
          </cell>
          <cell r="AI15">
            <v>5.8051540783999385E-2</v>
          </cell>
        </row>
        <row r="16">
          <cell r="AH16">
            <v>55670.316767550205</v>
          </cell>
          <cell r="AI16">
            <v>0.13300715487370277</v>
          </cell>
        </row>
        <row r="17">
          <cell r="AH17">
            <v>1039823.0707038346</v>
          </cell>
          <cell r="AI17">
            <v>7.2785624071709354E-2</v>
          </cell>
        </row>
        <row r="18">
          <cell r="AH18">
            <v>404803.21882812976</v>
          </cell>
          <cell r="AI18">
            <v>4.7763827836913554E-2</v>
          </cell>
        </row>
        <row r="19">
          <cell r="AH19">
            <v>2592868.6057845028</v>
          </cell>
          <cell r="AI19">
            <v>5.4390472271986699E-2</v>
          </cell>
        </row>
        <row r="20">
          <cell r="AH20">
            <v>-3522.8209666447365</v>
          </cell>
          <cell r="AI20">
            <v>-1.5195412412640893E-4</v>
          </cell>
        </row>
        <row r="21">
          <cell r="AH21">
            <v>775772.15479512466</v>
          </cell>
          <cell r="AI21">
            <v>4.6720694766749837E-2</v>
          </cell>
        </row>
        <row r="22">
          <cell r="AH22">
            <v>4440891.9569795784</v>
          </cell>
          <cell r="AI22">
            <v>0.72657877988143393</v>
          </cell>
        </row>
        <row r="23">
          <cell r="AH23">
            <v>716301.67827279621</v>
          </cell>
          <cell r="AI23">
            <v>1.469318230928278</v>
          </cell>
        </row>
        <row r="24">
          <cell r="E24">
            <v>2851103552.6645579</v>
          </cell>
          <cell r="AI24">
            <v>6.7418820580838673E-2</v>
          </cell>
          <cell r="AK24">
            <v>3043321591.5390406</v>
          </cell>
        </row>
      </sheetData>
      <sheetData sheetId="4">
        <row r="10">
          <cell r="H10">
            <v>149355197.03339386</v>
          </cell>
          <cell r="I10">
            <v>8.7853522569833253E-2</v>
          </cell>
        </row>
        <row r="11">
          <cell r="H11">
            <v>34040192.49403353</v>
          </cell>
          <cell r="I11">
            <v>8.4928357063868309E-2</v>
          </cell>
        </row>
        <row r="12">
          <cell r="H12">
            <v>33130966.507643618</v>
          </cell>
          <cell r="I12">
            <v>8.0641535210449228E-2</v>
          </cell>
        </row>
        <row r="13">
          <cell r="H13">
            <v>20821961.690108303</v>
          </cell>
          <cell r="I13">
            <v>8.1844086033646971E-2</v>
          </cell>
        </row>
        <row r="14">
          <cell r="H14">
            <v>147263.01954256935</v>
          </cell>
          <cell r="I14">
            <v>8.1049638754509101E-2</v>
          </cell>
        </row>
        <row r="15">
          <cell r="H15">
            <v>13996740.487509873</v>
          </cell>
          <cell r="I15">
            <v>8.2159313420359495E-2</v>
          </cell>
        </row>
        <row r="16">
          <cell r="H16">
            <v>48536.218996328476</v>
          </cell>
          <cell r="I16">
            <v>0.10270394147028805</v>
          </cell>
        </row>
        <row r="17">
          <cell r="H17">
            <v>1299119.5903784402</v>
          </cell>
          <cell r="I17">
            <v>8.5137291879391244E-2</v>
          </cell>
        </row>
        <row r="18">
          <cell r="H18">
            <v>691310.45979805849</v>
          </cell>
          <cell r="I18">
            <v>7.7884392749647716E-2</v>
          </cell>
        </row>
        <row r="19">
          <cell r="H19">
            <v>3799319.1063174531</v>
          </cell>
          <cell r="I19">
            <v>7.5614901742644042E-2</v>
          </cell>
        </row>
        <row r="20">
          <cell r="H20">
            <v>2051066.7858875326</v>
          </cell>
          <cell r="I20">
            <v>8.87021472558438E-2</v>
          </cell>
        </row>
        <row r="21">
          <cell r="H21">
            <v>0</v>
          </cell>
          <cell r="I21">
            <v>0</v>
          </cell>
        </row>
        <row r="22">
          <cell r="H22">
            <v>520250.60639040545</v>
          </cell>
          <cell r="I22">
            <v>4.7898123001003184E-2</v>
          </cell>
        </row>
        <row r="23">
          <cell r="H23">
            <v>0</v>
          </cell>
          <cell r="I23">
            <v>0</v>
          </cell>
        </row>
        <row r="24">
          <cell r="F24">
            <v>22389080.988265499</v>
          </cell>
          <cell r="G24">
            <v>3065710672.527307</v>
          </cell>
          <cell r="H24">
            <v>259901923.99999997</v>
          </cell>
          <cell r="I24">
            <v>8.4777055554868239E-2</v>
          </cell>
        </row>
      </sheetData>
      <sheetData sheetId="5"/>
      <sheetData sheetId="6"/>
      <sheetData sheetId="7">
        <row r="19">
          <cell r="K19">
            <v>7.8400000000000034</v>
          </cell>
          <cell r="L19">
            <v>11.200000000000003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hibits--&gt;"/>
      <sheetName val="Summary F2023 Determinants"/>
      <sheetName val="Workpapers --&gt;"/>
      <sheetName val="Bill Determinants"/>
      <sheetName val="2024 GRC TestYear Coefficients"/>
      <sheetName val="F2023 kWh Data"/>
      <sheetName val="F2023 Customer Data"/>
      <sheetName val="F2023 kW-kVa Data"/>
    </sheetNames>
    <sheetDataSet>
      <sheetData sheetId="0">
        <row r="1">
          <cell r="A1" t="str">
            <v>Puget Sound Energy</v>
          </cell>
        </row>
      </sheetData>
      <sheetData sheetId="1"/>
      <sheetData sheetId="2">
        <row r="8">
          <cell r="D8">
            <v>13263685</v>
          </cell>
        </row>
      </sheetData>
      <sheetData sheetId="3"/>
      <sheetData sheetId="4">
        <row r="8">
          <cell r="P8">
            <v>1112351</v>
          </cell>
        </row>
      </sheetData>
      <sheetData sheetId="5"/>
      <sheetData sheetId="6">
        <row r="32">
          <cell r="C32">
            <v>1193134476.79845</v>
          </cell>
        </row>
      </sheetData>
      <sheetData sheetId="7">
        <row r="32">
          <cell r="C32">
            <v>1094795</v>
          </cell>
          <cell r="D32">
            <v>2</v>
          </cell>
          <cell r="E32">
            <v>128328.10999999997</v>
          </cell>
          <cell r="F32">
            <v>8348.64</v>
          </cell>
          <cell r="G32">
            <v>998.61</v>
          </cell>
          <cell r="H32">
            <v>552.78</v>
          </cell>
          <cell r="I32">
            <v>512.52</v>
          </cell>
          <cell r="J32">
            <v>1</v>
          </cell>
          <cell r="K32">
            <v>143.33000000000001</v>
          </cell>
          <cell r="L32">
            <v>6</v>
          </cell>
          <cell r="M32">
            <v>17</v>
          </cell>
          <cell r="N32">
            <v>9490.3000000000011</v>
          </cell>
          <cell r="O32">
            <v>8</v>
          </cell>
          <cell r="P32">
            <v>14</v>
          </cell>
          <cell r="Q32">
            <v>82</v>
          </cell>
        </row>
        <row r="33">
          <cell r="C33">
            <v>1095575</v>
          </cell>
          <cell r="D33">
            <v>2</v>
          </cell>
          <cell r="E33">
            <v>128541.58</v>
          </cell>
          <cell r="F33">
            <v>8374.75</v>
          </cell>
          <cell r="G33">
            <v>1004.85</v>
          </cell>
          <cell r="H33">
            <v>547.5</v>
          </cell>
          <cell r="I33">
            <v>512.52</v>
          </cell>
          <cell r="J33">
            <v>1</v>
          </cell>
          <cell r="K33">
            <v>143.28</v>
          </cell>
          <cell r="L33">
            <v>6</v>
          </cell>
          <cell r="M33">
            <v>17</v>
          </cell>
          <cell r="N33">
            <v>9508.07</v>
          </cell>
          <cell r="O33">
            <v>8</v>
          </cell>
          <cell r="P33">
            <v>14</v>
          </cell>
          <cell r="Q33">
            <v>82</v>
          </cell>
        </row>
        <row r="34">
          <cell r="C34">
            <v>1096367</v>
          </cell>
          <cell r="D34">
            <v>2</v>
          </cell>
          <cell r="E34">
            <v>128676.15999999999</v>
          </cell>
          <cell r="F34">
            <v>8392.91</v>
          </cell>
          <cell r="G34">
            <v>1010.1800000000001</v>
          </cell>
          <cell r="H34">
            <v>551.13</v>
          </cell>
          <cell r="I34">
            <v>512.52</v>
          </cell>
          <cell r="J34">
            <v>1</v>
          </cell>
          <cell r="K34">
            <v>143.19999999999999</v>
          </cell>
          <cell r="L34">
            <v>6</v>
          </cell>
          <cell r="M34">
            <v>17</v>
          </cell>
          <cell r="N34">
            <v>9515.65</v>
          </cell>
          <cell r="O34">
            <v>8</v>
          </cell>
          <cell r="P34">
            <v>14</v>
          </cell>
          <cell r="Q34">
            <v>82</v>
          </cell>
        </row>
        <row r="35">
          <cell r="C35">
            <v>1096854</v>
          </cell>
          <cell r="D35">
            <v>2</v>
          </cell>
          <cell r="E35">
            <v>128837.90000000001</v>
          </cell>
          <cell r="F35">
            <v>8412.869999999999</v>
          </cell>
          <cell r="G35">
            <v>1017.51</v>
          </cell>
          <cell r="H35">
            <v>583.20000000000005</v>
          </cell>
          <cell r="I35">
            <v>512.79999999999995</v>
          </cell>
          <cell r="J35">
            <v>1</v>
          </cell>
          <cell r="K35">
            <v>143.08000000000001</v>
          </cell>
          <cell r="L35">
            <v>6</v>
          </cell>
          <cell r="M35">
            <v>17</v>
          </cell>
          <cell r="N35">
            <v>9533.6</v>
          </cell>
          <cell r="O35">
            <v>8</v>
          </cell>
          <cell r="P35">
            <v>14</v>
          </cell>
          <cell r="Q35">
            <v>82</v>
          </cell>
        </row>
        <row r="36">
          <cell r="C36">
            <v>1097508</v>
          </cell>
          <cell r="D36">
            <v>2</v>
          </cell>
          <cell r="E36">
            <v>128990.54000000001</v>
          </cell>
          <cell r="F36">
            <v>8430.07</v>
          </cell>
          <cell r="G36">
            <v>1028.55</v>
          </cell>
          <cell r="H36">
            <v>634.35</v>
          </cell>
          <cell r="I36">
            <v>512.79999999999995</v>
          </cell>
          <cell r="J36">
            <v>1</v>
          </cell>
          <cell r="K36">
            <v>142.93</v>
          </cell>
          <cell r="L36">
            <v>6</v>
          </cell>
          <cell r="M36">
            <v>17</v>
          </cell>
          <cell r="N36">
            <v>9556.9699999999993</v>
          </cell>
          <cell r="O36">
            <v>8</v>
          </cell>
          <cell r="P36">
            <v>14</v>
          </cell>
          <cell r="Q36">
            <v>82</v>
          </cell>
        </row>
        <row r="37">
          <cell r="C37">
            <v>1098234</v>
          </cell>
          <cell r="D37">
            <v>2</v>
          </cell>
          <cell r="E37">
            <v>129133.25</v>
          </cell>
          <cell r="F37">
            <v>8447.619999999999</v>
          </cell>
          <cell r="G37">
            <v>1035.81</v>
          </cell>
          <cell r="H37">
            <v>660.93</v>
          </cell>
          <cell r="I37">
            <v>512.79999999999995</v>
          </cell>
          <cell r="J37">
            <v>1</v>
          </cell>
          <cell r="K37">
            <v>142.81</v>
          </cell>
          <cell r="L37">
            <v>6</v>
          </cell>
          <cell r="M37">
            <v>17</v>
          </cell>
          <cell r="N37">
            <v>9571.2100000000028</v>
          </cell>
          <cell r="O37">
            <v>8</v>
          </cell>
          <cell r="P37">
            <v>14</v>
          </cell>
          <cell r="Q37">
            <v>82</v>
          </cell>
        </row>
        <row r="38">
          <cell r="C38">
            <v>1098725</v>
          </cell>
          <cell r="D38">
            <v>2</v>
          </cell>
          <cell r="E38">
            <v>129275.40000000001</v>
          </cell>
          <cell r="F38">
            <v>8462.1699999999983</v>
          </cell>
          <cell r="G38">
            <v>1048.3800000000001</v>
          </cell>
          <cell r="H38">
            <v>687.47</v>
          </cell>
          <cell r="I38">
            <v>512.79999999999995</v>
          </cell>
          <cell r="J38">
            <v>1</v>
          </cell>
          <cell r="K38">
            <v>142.68</v>
          </cell>
          <cell r="L38">
            <v>6</v>
          </cell>
          <cell r="M38">
            <v>17</v>
          </cell>
          <cell r="N38">
            <v>9586.7499999999982</v>
          </cell>
          <cell r="O38">
            <v>8</v>
          </cell>
          <cell r="P38">
            <v>14</v>
          </cell>
          <cell r="Q38">
            <v>82</v>
          </cell>
        </row>
        <row r="39">
          <cell r="C39">
            <v>1099819</v>
          </cell>
          <cell r="D39">
            <v>2</v>
          </cell>
          <cell r="E39">
            <v>129398</v>
          </cell>
          <cell r="F39">
            <v>8476.7199999999993</v>
          </cell>
          <cell r="G39">
            <v>1059.97</v>
          </cell>
          <cell r="H39">
            <v>698.37</v>
          </cell>
          <cell r="I39">
            <v>512.67000000000007</v>
          </cell>
          <cell r="J39">
            <v>1</v>
          </cell>
          <cell r="K39">
            <v>142.6</v>
          </cell>
          <cell r="L39">
            <v>6</v>
          </cell>
          <cell r="M39">
            <v>17</v>
          </cell>
          <cell r="N39">
            <v>9599.5499999999993</v>
          </cell>
          <cell r="O39">
            <v>8</v>
          </cell>
          <cell r="P39">
            <v>14</v>
          </cell>
          <cell r="Q39">
            <v>82</v>
          </cell>
        </row>
        <row r="40">
          <cell r="C40">
            <v>1101153</v>
          </cell>
          <cell r="D40">
            <v>2</v>
          </cell>
          <cell r="E40">
            <v>129448.72</v>
          </cell>
          <cell r="F40">
            <v>8484.02</v>
          </cell>
          <cell r="G40">
            <v>1077.3500000000001</v>
          </cell>
          <cell r="H40">
            <v>688.41</v>
          </cell>
          <cell r="I40">
            <v>512.67000000000007</v>
          </cell>
          <cell r="J40">
            <v>1</v>
          </cell>
          <cell r="K40">
            <v>142.59</v>
          </cell>
          <cell r="L40">
            <v>6</v>
          </cell>
          <cell r="M40">
            <v>17</v>
          </cell>
          <cell r="N40">
            <v>9620.36</v>
          </cell>
          <cell r="O40">
            <v>8</v>
          </cell>
          <cell r="P40">
            <v>14</v>
          </cell>
          <cell r="Q40">
            <v>82</v>
          </cell>
        </row>
        <row r="41">
          <cell r="C41">
            <v>1102638</v>
          </cell>
          <cell r="D41">
            <v>2</v>
          </cell>
          <cell r="E41">
            <v>129538.11000000002</v>
          </cell>
          <cell r="F41">
            <v>8496.69</v>
          </cell>
          <cell r="G41">
            <v>1085.67</v>
          </cell>
          <cell r="H41">
            <v>642.91999999999996</v>
          </cell>
          <cell r="I41">
            <v>512.67000000000007</v>
          </cell>
          <cell r="J41">
            <v>1</v>
          </cell>
          <cell r="K41">
            <v>142.59</v>
          </cell>
          <cell r="L41">
            <v>6</v>
          </cell>
          <cell r="M41">
            <v>17</v>
          </cell>
          <cell r="N41">
            <v>9636.6800000000021</v>
          </cell>
          <cell r="O41">
            <v>8</v>
          </cell>
          <cell r="P41">
            <v>14</v>
          </cell>
          <cell r="Q41">
            <v>82</v>
          </cell>
        </row>
        <row r="42">
          <cell r="C42">
            <v>1104199</v>
          </cell>
          <cell r="D42">
            <v>2</v>
          </cell>
          <cell r="E42">
            <v>129635.66</v>
          </cell>
          <cell r="F42">
            <v>8506.57</v>
          </cell>
          <cell r="G42">
            <v>1102.8200000000002</v>
          </cell>
          <cell r="H42">
            <v>585.21</v>
          </cell>
          <cell r="I42">
            <v>512.67000000000007</v>
          </cell>
          <cell r="J42">
            <v>1</v>
          </cell>
          <cell r="K42">
            <v>142.63</v>
          </cell>
          <cell r="L42">
            <v>6</v>
          </cell>
          <cell r="M42">
            <v>17</v>
          </cell>
          <cell r="N42">
            <v>9647.9999999999982</v>
          </cell>
          <cell r="O42">
            <v>8</v>
          </cell>
          <cell r="P42">
            <v>14</v>
          </cell>
          <cell r="Q42">
            <v>82</v>
          </cell>
        </row>
        <row r="43">
          <cell r="C43">
            <v>1105526</v>
          </cell>
          <cell r="D43">
            <v>2</v>
          </cell>
          <cell r="E43">
            <v>129698.74</v>
          </cell>
          <cell r="F43">
            <v>8514.26</v>
          </cell>
          <cell r="G43">
            <v>1117.5400000000002</v>
          </cell>
          <cell r="H43">
            <v>566.28</v>
          </cell>
          <cell r="I43">
            <v>512.67000000000007</v>
          </cell>
          <cell r="J43">
            <v>1</v>
          </cell>
          <cell r="K43">
            <v>142.61000000000001</v>
          </cell>
          <cell r="L43">
            <v>6</v>
          </cell>
          <cell r="M43">
            <v>17</v>
          </cell>
          <cell r="N43">
            <v>9664.7000000000025</v>
          </cell>
          <cell r="O43">
            <v>8</v>
          </cell>
          <cell r="P43">
            <v>14</v>
          </cell>
          <cell r="Q43">
            <v>82</v>
          </cell>
        </row>
        <row r="44">
          <cell r="C44">
            <v>1106514</v>
          </cell>
          <cell r="D44">
            <v>2</v>
          </cell>
          <cell r="E44">
            <v>129763.82</v>
          </cell>
          <cell r="F44">
            <v>8512.57</v>
          </cell>
          <cell r="G44">
            <v>1142.6600000000001</v>
          </cell>
          <cell r="H44">
            <v>553.4</v>
          </cell>
          <cell r="I44">
            <v>512.95000000000005</v>
          </cell>
          <cell r="J44">
            <v>1</v>
          </cell>
          <cell r="K44">
            <v>142.55000000000001</v>
          </cell>
          <cell r="L44">
            <v>6</v>
          </cell>
          <cell r="M44">
            <v>17</v>
          </cell>
          <cell r="N44">
            <v>9673.0099999999984</v>
          </cell>
          <cell r="O44">
            <v>8</v>
          </cell>
          <cell r="P44">
            <v>14</v>
          </cell>
          <cell r="Q44">
            <v>82</v>
          </cell>
        </row>
        <row r="45">
          <cell r="C45">
            <v>1107300</v>
          </cell>
          <cell r="D45">
            <v>2</v>
          </cell>
          <cell r="E45">
            <v>129979.76000000001</v>
          </cell>
          <cell r="F45">
            <v>8541.74</v>
          </cell>
          <cell r="G45">
            <v>1151.2900000000002</v>
          </cell>
          <cell r="H45">
            <v>548.11</v>
          </cell>
          <cell r="I45">
            <v>512.95000000000005</v>
          </cell>
          <cell r="J45">
            <v>1</v>
          </cell>
          <cell r="K45">
            <v>142.5</v>
          </cell>
          <cell r="L45">
            <v>6</v>
          </cell>
          <cell r="M45">
            <v>17</v>
          </cell>
          <cell r="N45">
            <v>9689.739999999998</v>
          </cell>
          <cell r="O45">
            <v>8</v>
          </cell>
          <cell r="P45">
            <v>14</v>
          </cell>
          <cell r="Q45">
            <v>82</v>
          </cell>
        </row>
        <row r="46">
          <cell r="C46">
            <v>1108094</v>
          </cell>
          <cell r="D46">
            <v>2</v>
          </cell>
          <cell r="E46">
            <v>130115.67</v>
          </cell>
          <cell r="F46">
            <v>8562.9700000000012</v>
          </cell>
          <cell r="G46">
            <v>1158.3900000000001</v>
          </cell>
          <cell r="H46">
            <v>551.74</v>
          </cell>
          <cell r="I46">
            <v>512.95000000000005</v>
          </cell>
          <cell r="J46">
            <v>1</v>
          </cell>
          <cell r="K46">
            <v>142.43</v>
          </cell>
          <cell r="L46">
            <v>6</v>
          </cell>
          <cell r="M46">
            <v>17</v>
          </cell>
          <cell r="N46">
            <v>9698.1200000000008</v>
          </cell>
          <cell r="O46">
            <v>8</v>
          </cell>
          <cell r="P46">
            <v>14</v>
          </cell>
          <cell r="Q46">
            <v>82</v>
          </cell>
        </row>
        <row r="47">
          <cell r="C47">
            <v>1108578</v>
          </cell>
          <cell r="D47">
            <v>2</v>
          </cell>
          <cell r="E47">
            <v>130280.48</v>
          </cell>
          <cell r="F47">
            <v>8585.77</v>
          </cell>
          <cell r="G47">
            <v>1168</v>
          </cell>
          <cell r="H47">
            <v>583.84</v>
          </cell>
          <cell r="I47">
            <v>512.95000000000005</v>
          </cell>
          <cell r="J47">
            <v>1</v>
          </cell>
          <cell r="K47">
            <v>142.31</v>
          </cell>
          <cell r="L47">
            <v>6</v>
          </cell>
          <cell r="M47">
            <v>17</v>
          </cell>
          <cell r="N47">
            <v>9716.0700000000015</v>
          </cell>
          <cell r="O47">
            <v>8</v>
          </cell>
          <cell r="P47">
            <v>14</v>
          </cell>
          <cell r="Q47">
            <v>82</v>
          </cell>
        </row>
        <row r="48">
          <cell r="C48">
            <v>1109226</v>
          </cell>
          <cell r="D48">
            <v>2</v>
          </cell>
          <cell r="E48">
            <v>130432.71</v>
          </cell>
          <cell r="F48">
            <v>8603.77</v>
          </cell>
          <cell r="G48">
            <v>1185.17</v>
          </cell>
          <cell r="H48">
            <v>635.04</v>
          </cell>
          <cell r="I48">
            <v>512.54999999999995</v>
          </cell>
          <cell r="J48">
            <v>1</v>
          </cell>
          <cell r="K48">
            <v>142.15</v>
          </cell>
          <cell r="L48">
            <v>6</v>
          </cell>
          <cell r="M48">
            <v>17</v>
          </cell>
          <cell r="N48">
            <v>9740.1999999999989</v>
          </cell>
          <cell r="O48">
            <v>8</v>
          </cell>
          <cell r="P48">
            <v>14</v>
          </cell>
          <cell r="Q48">
            <v>82</v>
          </cell>
        </row>
        <row r="49">
          <cell r="C49">
            <v>1109944</v>
          </cell>
          <cell r="D49">
            <v>2</v>
          </cell>
          <cell r="E49">
            <v>130576.96000000001</v>
          </cell>
          <cell r="F49">
            <v>8622.9699999999993</v>
          </cell>
          <cell r="G49">
            <v>1196.28</v>
          </cell>
          <cell r="H49">
            <v>661.65</v>
          </cell>
          <cell r="I49">
            <v>512.54999999999995</v>
          </cell>
          <cell r="J49">
            <v>1</v>
          </cell>
          <cell r="K49">
            <v>142.04</v>
          </cell>
          <cell r="L49">
            <v>6</v>
          </cell>
          <cell r="M49">
            <v>17</v>
          </cell>
          <cell r="N49">
            <v>9754.3300000000017</v>
          </cell>
          <cell r="O49">
            <v>8</v>
          </cell>
          <cell r="P49">
            <v>14</v>
          </cell>
          <cell r="Q49">
            <v>82</v>
          </cell>
        </row>
        <row r="50">
          <cell r="C50">
            <v>1110425</v>
          </cell>
          <cell r="D50">
            <v>2</v>
          </cell>
          <cell r="E50">
            <v>130720.75</v>
          </cell>
          <cell r="F50">
            <v>8638.0600000000013</v>
          </cell>
          <cell r="G50">
            <v>1216.6799999999998</v>
          </cell>
          <cell r="H50">
            <v>688.21</v>
          </cell>
          <cell r="I50">
            <v>512.54999999999995</v>
          </cell>
          <cell r="J50">
            <v>1</v>
          </cell>
          <cell r="K50">
            <v>141.91</v>
          </cell>
          <cell r="L50">
            <v>6</v>
          </cell>
          <cell r="M50">
            <v>17</v>
          </cell>
          <cell r="N50">
            <v>9769.75</v>
          </cell>
          <cell r="O50">
            <v>8</v>
          </cell>
          <cell r="P50">
            <v>14</v>
          </cell>
          <cell r="Q50">
            <v>82</v>
          </cell>
        </row>
        <row r="51">
          <cell r="C51">
            <v>1111508</v>
          </cell>
          <cell r="D51">
            <v>2</v>
          </cell>
          <cell r="E51">
            <v>130841.95000000001</v>
          </cell>
          <cell r="F51">
            <v>8653.19</v>
          </cell>
          <cell r="G51">
            <v>1235.01</v>
          </cell>
          <cell r="H51">
            <v>699.12</v>
          </cell>
          <cell r="I51">
            <v>512.54999999999995</v>
          </cell>
          <cell r="J51">
            <v>1</v>
          </cell>
          <cell r="K51">
            <v>141.83000000000001</v>
          </cell>
          <cell r="L51">
            <v>6</v>
          </cell>
          <cell r="M51">
            <v>17</v>
          </cell>
          <cell r="N51">
            <v>9783.4300000000021</v>
          </cell>
          <cell r="O51">
            <v>8</v>
          </cell>
          <cell r="P51">
            <v>14</v>
          </cell>
          <cell r="Q51">
            <v>82</v>
          </cell>
        </row>
        <row r="52">
          <cell r="C52">
            <v>1112832</v>
          </cell>
          <cell r="D52">
            <v>2</v>
          </cell>
          <cell r="E52">
            <v>130892.12999999999</v>
          </cell>
          <cell r="F52">
            <v>8660.2099999999991</v>
          </cell>
          <cell r="G52">
            <v>1263.98</v>
          </cell>
          <cell r="H52">
            <v>689.15</v>
          </cell>
          <cell r="I52">
            <v>512.82999999999993</v>
          </cell>
          <cell r="J52">
            <v>1</v>
          </cell>
          <cell r="K52">
            <v>141.81</v>
          </cell>
          <cell r="L52">
            <v>6</v>
          </cell>
          <cell r="M52">
            <v>17</v>
          </cell>
          <cell r="N52">
            <v>9804.1299999999992</v>
          </cell>
          <cell r="O52">
            <v>8</v>
          </cell>
          <cell r="P52">
            <v>14</v>
          </cell>
          <cell r="Q52">
            <v>82</v>
          </cell>
        </row>
        <row r="53">
          <cell r="C53">
            <v>1114306</v>
          </cell>
          <cell r="D53">
            <v>2</v>
          </cell>
          <cell r="E53">
            <v>130984.11</v>
          </cell>
          <cell r="F53">
            <v>8675.0499999999993</v>
          </cell>
          <cell r="G53">
            <v>1276.67</v>
          </cell>
          <cell r="H53">
            <v>643.61</v>
          </cell>
          <cell r="I53">
            <v>512.82999999999993</v>
          </cell>
          <cell r="J53">
            <v>1</v>
          </cell>
          <cell r="K53">
            <v>141.82</v>
          </cell>
          <cell r="L53">
            <v>6</v>
          </cell>
          <cell r="M53">
            <v>17</v>
          </cell>
          <cell r="N53">
            <v>9819.3399999999983</v>
          </cell>
          <cell r="O53">
            <v>8</v>
          </cell>
          <cell r="P53">
            <v>14</v>
          </cell>
          <cell r="Q53">
            <v>82</v>
          </cell>
        </row>
        <row r="54">
          <cell r="C54">
            <v>1115858</v>
          </cell>
          <cell r="D54">
            <v>2</v>
          </cell>
          <cell r="E54">
            <v>131080.18</v>
          </cell>
          <cell r="F54">
            <v>8683.92</v>
          </cell>
          <cell r="G54">
            <v>1304.3899999999999</v>
          </cell>
          <cell r="H54">
            <v>585.84</v>
          </cell>
          <cell r="I54">
            <v>512.82999999999993</v>
          </cell>
          <cell r="J54">
            <v>1</v>
          </cell>
          <cell r="K54">
            <v>141.85</v>
          </cell>
          <cell r="L54">
            <v>6</v>
          </cell>
          <cell r="M54">
            <v>17</v>
          </cell>
          <cell r="N54">
            <v>9831.5400000000027</v>
          </cell>
          <cell r="O54">
            <v>8</v>
          </cell>
          <cell r="P54">
            <v>14</v>
          </cell>
          <cell r="Q54">
            <v>82</v>
          </cell>
        </row>
        <row r="55">
          <cell r="C55">
            <v>1117175</v>
          </cell>
          <cell r="D55">
            <v>2</v>
          </cell>
          <cell r="E55">
            <v>131143.03</v>
          </cell>
          <cell r="F55">
            <v>8691.01</v>
          </cell>
          <cell r="G55">
            <v>1328.01</v>
          </cell>
          <cell r="H55">
            <v>566.88</v>
          </cell>
          <cell r="I55">
            <v>512.82999999999993</v>
          </cell>
          <cell r="J55">
            <v>1</v>
          </cell>
          <cell r="K55">
            <v>141.83000000000001</v>
          </cell>
          <cell r="L55">
            <v>6</v>
          </cell>
          <cell r="M55">
            <v>17</v>
          </cell>
          <cell r="N55">
            <v>9848.1400000000012</v>
          </cell>
          <cell r="O55">
            <v>8</v>
          </cell>
          <cell r="P55">
            <v>14</v>
          </cell>
          <cell r="Q55">
            <v>82</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Def, COC, ConvF"/>
      <sheetName val="Summary"/>
      <sheetName val="Detailed Summary"/>
      <sheetName val="Common Adj"/>
      <sheetName val="Electric Adj"/>
      <sheetName val="Subject to Refund"/>
      <sheetName val="Targ Elec Pilot RR"/>
      <sheetName val="CTM Exh Summary"/>
      <sheetName val="SEF NOI-RB p 1 Elect wp"/>
      <sheetName val="SEF NOI-RB p 2 Elect wp"/>
      <sheetName val="O&amp;M"/>
      <sheetName val="4081"/>
      <sheetName val="BD-FF"/>
      <sheetName val="Sch139 Credit-141A"/>
      <sheetName val="Sch 141-139 Dfr"/>
      <sheetName val="Adj List"/>
      <sheetName val="Final Rate Years"/>
      <sheetName val="Named Ranges E"/>
      <sheetName val="Proofs=&gt;"/>
      <sheetName val="555 &amp; 557"/>
      <sheetName val="TBPI, ETR, Rev"/>
      <sheetName val="Prod O&amp;M"/>
      <sheetName val="Schedule 141A 2023"/>
      <sheetName val="Schedule 141A 2024"/>
      <sheetName val="E OOR"/>
      <sheetName val="E OOE"/>
      <sheetName val="SEF-12 p 1 Elect wp"/>
      <sheetName val="SEF-12 p 2 Elect wp"/>
      <sheetName val="BD-FF detail"/>
      <sheetName val="REMOVE-COS Placeholder"/>
      <sheetName val="240004-05-PSE-WP-SEF-4E-ELECTRI"/>
    </sheetNames>
    <sheetDataSet>
      <sheetData sheetId="0"/>
      <sheetData sheetId="1">
        <row r="12">
          <cell r="C12">
            <v>6606402751.560873</v>
          </cell>
          <cell r="D12">
            <v>7416985016.6452789</v>
          </cell>
        </row>
        <row r="13">
          <cell r="C13">
            <v>7.6499999999999999E-2</v>
          </cell>
          <cell r="D13">
            <v>7.9899999999999999E-2</v>
          </cell>
        </row>
        <row r="15">
          <cell r="C15">
            <v>505389810.49440676</v>
          </cell>
          <cell r="D15">
            <v>592617102.82995772</v>
          </cell>
        </row>
        <row r="22">
          <cell r="I22">
            <v>0.5</v>
          </cell>
        </row>
        <row r="23">
          <cell r="I23">
            <v>0.5</v>
          </cell>
          <cell r="J23">
            <v>9.9500000000000005E-2</v>
          </cell>
        </row>
        <row r="31">
          <cell r="I31">
            <v>0.49</v>
          </cell>
        </row>
        <row r="32">
          <cell r="I32">
            <v>0.51</v>
          </cell>
          <cell r="J32">
            <v>0.105</v>
          </cell>
        </row>
      </sheetData>
      <sheetData sheetId="2">
        <row r="15">
          <cell r="C15">
            <v>2655527874.4899998</v>
          </cell>
        </row>
        <row r="49">
          <cell r="C49">
            <v>5.5800000000000002E-2</v>
          </cell>
          <cell r="E49">
            <v>5.4600000000000003E-2</v>
          </cell>
        </row>
      </sheetData>
      <sheetData sheetId="3"/>
      <sheetData sheetId="4"/>
      <sheetData sheetId="5"/>
      <sheetData sheetId="6"/>
      <sheetData sheetId="7">
        <row r="23">
          <cell r="D23">
            <v>8724807.8197767884</v>
          </cell>
        </row>
      </sheetData>
      <sheetData sheetId="8"/>
      <sheetData sheetId="9"/>
      <sheetData sheetId="10"/>
      <sheetData sheetId="11"/>
      <sheetData sheetId="12"/>
      <sheetData sheetId="13"/>
      <sheetData sheetId="14"/>
      <sheetData sheetId="15"/>
      <sheetData sheetId="16"/>
      <sheetData sheetId="17">
        <row r="15">
          <cell r="H15">
            <v>2984842955.9272738</v>
          </cell>
        </row>
      </sheetData>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TIAL"/>
      <sheetName val="Table of Contents"/>
      <sheetName val="Revenue Exhibit"/>
      <sheetName val="Volume Exhibit"/>
      <sheetName val="Load Analysis Exhibit"/>
      <sheetName val="Work Papers --&gt;"/>
      <sheetName val="Revenue Detail"/>
      <sheetName val="Revenue Calcs--&gt;"/>
      <sheetName val="(C) Rev at Actual Rates"/>
      <sheetName val="(C) Rev at 2022 GRC Rates"/>
      <sheetName val="(C) Norm Rev at 2022 GRC Rates"/>
      <sheetName val="(C) Gap Year Revenue"/>
      <sheetName val="(C) RY#1 Revenue"/>
      <sheetName val="(C) RY#2 Revenue"/>
      <sheetName val="TY Billing Determinants--&gt;"/>
      <sheetName val="Actual Therms"/>
      <sheetName val="(C) Actual Therms By Block"/>
      <sheetName val="Weather Norm Therms"/>
      <sheetName val="(C) WN Therms By Block"/>
      <sheetName val="(C) Bills &amp; Demand Data"/>
      <sheetName val="Forecast Bill Determinants--&gt;"/>
      <sheetName val="F23 Therms"/>
      <sheetName val="(C) F23 Therms By Block"/>
      <sheetName val="(C) F23 Bills &amp; Demand Data"/>
      <sheetName val="Other WP's--&gt;"/>
      <sheetName val="F2023 Forecast"/>
      <sheetName val="Lg. Cust. Adj."/>
      <sheetName val="Puget LNG"/>
      <sheetName val="Rider &amp; Tracker Rev"/>
      <sheetName val="Load Analysis-Base Rates"/>
      <sheetName val="Load Analysis-Sch141N+R"/>
      <sheetName val="Weather Normalization--&gt;"/>
      <sheetName val="Weather Norm Calc"/>
      <sheetName val="2019 GRC PLR Rates--&gt;"/>
      <sheetName val="Rate Design Res"/>
      <sheetName val="Rate Design C&amp;I"/>
      <sheetName val="Rate Design Int &amp; Trans"/>
      <sheetName val="2022 GRC Rates--&gt;"/>
      <sheetName val="Exh JDT-5 (Rate Des Sum)"/>
    </sheetNames>
    <sheetDataSet>
      <sheetData sheetId="0" refreshError="1"/>
      <sheetData sheetId="1" refreshError="1"/>
      <sheetData sheetId="2">
        <row r="11">
          <cell r="P11">
            <v>4167.3827799999999</v>
          </cell>
        </row>
        <row r="27">
          <cell r="D27">
            <v>1320264855.1100001</v>
          </cell>
          <cell r="N27">
            <v>-23546452.091005601</v>
          </cell>
        </row>
      </sheetData>
      <sheetData sheetId="3">
        <row r="12">
          <cell r="H12">
            <v>576566861.35746062</v>
          </cell>
        </row>
      </sheetData>
      <sheetData sheetId="4" refreshError="1"/>
      <sheetData sheetId="5" refreshError="1"/>
      <sheetData sheetId="6">
        <row r="6">
          <cell r="AH6" t="str">
            <v>12ME June 2023</v>
          </cell>
        </row>
      </sheetData>
      <sheetData sheetId="7" refreshError="1"/>
      <sheetData sheetId="8" refreshError="1"/>
      <sheetData sheetId="9" refreshError="1"/>
      <sheetData sheetId="10">
        <row r="12">
          <cell r="R12">
            <v>343.27700000000004</v>
          </cell>
        </row>
      </sheetData>
      <sheetData sheetId="11" refreshError="1"/>
      <sheetData sheetId="12">
        <row r="12">
          <cell r="R12">
            <v>368.21052631578942</v>
          </cell>
        </row>
      </sheetData>
      <sheetData sheetId="13">
        <row r="12">
          <cell r="R12">
            <v>368.21052631578942</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7">
          <cell r="P37">
            <v>583</v>
          </cell>
        </row>
      </sheetData>
      <sheetData sheetId="22">
        <row r="9">
          <cell r="P9">
            <v>1224681.0556849733</v>
          </cell>
        </row>
      </sheetData>
      <sheetData sheetId="23">
        <row r="13">
          <cell r="P13">
            <v>824842</v>
          </cell>
        </row>
        <row r="78">
          <cell r="P78">
            <v>818788</v>
          </cell>
          <cell r="Q78">
            <v>818788</v>
          </cell>
          <cell r="R78">
            <v>818788</v>
          </cell>
          <cell r="S78">
            <v>818788</v>
          </cell>
          <cell r="T78">
            <v>818788</v>
          </cell>
          <cell r="U78">
            <v>818788</v>
          </cell>
          <cell r="V78">
            <v>818788</v>
          </cell>
          <cell r="W78">
            <v>818788</v>
          </cell>
          <cell r="X78">
            <v>818788</v>
          </cell>
          <cell r="Y78">
            <v>818788</v>
          </cell>
          <cell r="Z78">
            <v>818788</v>
          </cell>
          <cell r="AA78">
            <v>818788</v>
          </cell>
          <cell r="AD78">
            <v>818788</v>
          </cell>
          <cell r="AE78">
            <v>818788</v>
          </cell>
          <cell r="AF78">
            <v>818788</v>
          </cell>
          <cell r="AG78">
            <v>818788</v>
          </cell>
          <cell r="AH78">
            <v>818788</v>
          </cell>
          <cell r="AI78">
            <v>818788</v>
          </cell>
          <cell r="AJ78">
            <v>818788</v>
          </cell>
          <cell r="AK78">
            <v>818788</v>
          </cell>
          <cell r="AL78">
            <v>818788</v>
          </cell>
          <cell r="AM78">
            <v>818788</v>
          </cell>
          <cell r="AN78">
            <v>818788</v>
          </cell>
          <cell r="AO78">
            <v>818788</v>
          </cell>
        </row>
        <row r="79">
          <cell r="P79">
            <v>56288</v>
          </cell>
          <cell r="Q79">
            <v>56312</v>
          </cell>
          <cell r="R79">
            <v>56332</v>
          </cell>
          <cell r="S79">
            <v>56353</v>
          </cell>
          <cell r="T79">
            <v>56376</v>
          </cell>
          <cell r="U79">
            <v>56399</v>
          </cell>
          <cell r="V79">
            <v>56422</v>
          </cell>
          <cell r="W79">
            <v>56443</v>
          </cell>
          <cell r="X79">
            <v>56459</v>
          </cell>
          <cell r="Y79">
            <v>56477</v>
          </cell>
          <cell r="Z79">
            <v>56496</v>
          </cell>
          <cell r="AA79">
            <v>56520</v>
          </cell>
          <cell r="AD79">
            <v>56526</v>
          </cell>
          <cell r="AE79">
            <v>56549</v>
          </cell>
          <cell r="AF79">
            <v>56567</v>
          </cell>
          <cell r="AG79">
            <v>56588</v>
          </cell>
          <cell r="AH79">
            <v>56609</v>
          </cell>
          <cell r="AI79">
            <v>56632</v>
          </cell>
          <cell r="AJ79">
            <v>56654</v>
          </cell>
          <cell r="AK79">
            <v>56675</v>
          </cell>
          <cell r="AL79">
            <v>56691</v>
          </cell>
          <cell r="AM79">
            <v>56708</v>
          </cell>
          <cell r="AN79">
            <v>56727</v>
          </cell>
          <cell r="AO79">
            <v>56750</v>
          </cell>
        </row>
        <row r="80">
          <cell r="P80">
            <v>2159</v>
          </cell>
          <cell r="Q80">
            <v>2160</v>
          </cell>
          <cell r="R80">
            <v>2159</v>
          </cell>
          <cell r="S80">
            <v>2153</v>
          </cell>
          <cell r="T80">
            <v>2150</v>
          </cell>
          <cell r="U80">
            <v>2142</v>
          </cell>
          <cell r="V80">
            <v>2140</v>
          </cell>
          <cell r="W80">
            <v>2139</v>
          </cell>
          <cell r="X80">
            <v>2137</v>
          </cell>
          <cell r="Y80">
            <v>2136</v>
          </cell>
          <cell r="Z80">
            <v>2135</v>
          </cell>
          <cell r="AA80">
            <v>2141</v>
          </cell>
          <cell r="AD80">
            <v>2143</v>
          </cell>
          <cell r="AE80">
            <v>2144</v>
          </cell>
          <cell r="AF80">
            <v>2144</v>
          </cell>
          <cell r="AG80">
            <v>2137</v>
          </cell>
          <cell r="AH80">
            <v>2134</v>
          </cell>
          <cell r="AI80">
            <v>2126</v>
          </cell>
          <cell r="AJ80">
            <v>2125</v>
          </cell>
          <cell r="AK80">
            <v>2123</v>
          </cell>
          <cell r="AL80">
            <v>2122</v>
          </cell>
          <cell r="AM80">
            <v>2121</v>
          </cell>
          <cell r="AN80">
            <v>2120</v>
          </cell>
          <cell r="AO80">
            <v>2125</v>
          </cell>
        </row>
        <row r="81">
          <cell r="P81">
            <v>0</v>
          </cell>
          <cell r="Q81">
            <v>0</v>
          </cell>
          <cell r="R81">
            <v>0</v>
          </cell>
          <cell r="S81">
            <v>0</v>
          </cell>
          <cell r="T81">
            <v>0</v>
          </cell>
          <cell r="U81">
            <v>0</v>
          </cell>
          <cell r="V81">
            <v>0</v>
          </cell>
          <cell r="W81">
            <v>0</v>
          </cell>
          <cell r="X81">
            <v>0</v>
          </cell>
          <cell r="Y81">
            <v>0</v>
          </cell>
          <cell r="Z81">
            <v>0</v>
          </cell>
          <cell r="AA81">
            <v>0</v>
          </cell>
          <cell r="AD81">
            <v>0</v>
          </cell>
          <cell r="AE81">
            <v>0</v>
          </cell>
          <cell r="AF81">
            <v>0</v>
          </cell>
          <cell r="AG81">
            <v>0</v>
          </cell>
          <cell r="AH81">
            <v>0</v>
          </cell>
          <cell r="AI81">
            <v>0</v>
          </cell>
          <cell r="AJ81">
            <v>0</v>
          </cell>
          <cell r="AK81">
            <v>0</v>
          </cell>
          <cell r="AL81">
            <v>0</v>
          </cell>
          <cell r="AM81">
            <v>0</v>
          </cell>
          <cell r="AN81">
            <v>0</v>
          </cell>
          <cell r="AO81">
            <v>0</v>
          </cell>
        </row>
        <row r="82">
          <cell r="P82">
            <v>0</v>
          </cell>
          <cell r="Q82">
            <v>0</v>
          </cell>
          <cell r="R82">
            <v>0</v>
          </cell>
          <cell r="S82">
            <v>0</v>
          </cell>
          <cell r="T82">
            <v>0</v>
          </cell>
          <cell r="U82">
            <v>0</v>
          </cell>
          <cell r="V82">
            <v>0</v>
          </cell>
          <cell r="W82">
            <v>0</v>
          </cell>
          <cell r="X82">
            <v>0</v>
          </cell>
          <cell r="Y82">
            <v>0</v>
          </cell>
          <cell r="Z82">
            <v>0</v>
          </cell>
          <cell r="AA82">
            <v>0</v>
          </cell>
          <cell r="AD82">
            <v>0</v>
          </cell>
          <cell r="AE82">
            <v>0</v>
          </cell>
          <cell r="AF82">
            <v>0</v>
          </cell>
          <cell r="AG82">
            <v>0</v>
          </cell>
          <cell r="AH82">
            <v>0</v>
          </cell>
          <cell r="AI82">
            <v>0</v>
          </cell>
          <cell r="AJ82">
            <v>0</v>
          </cell>
          <cell r="AK82">
            <v>0</v>
          </cell>
          <cell r="AL82">
            <v>0</v>
          </cell>
          <cell r="AM82">
            <v>0</v>
          </cell>
          <cell r="AN82">
            <v>0</v>
          </cell>
          <cell r="AO82">
            <v>0</v>
          </cell>
        </row>
        <row r="83">
          <cell r="P83">
            <v>1180</v>
          </cell>
          <cell r="Q83">
            <v>1177</v>
          </cell>
          <cell r="R83">
            <v>1177</v>
          </cell>
          <cell r="S83">
            <v>1176</v>
          </cell>
          <cell r="T83">
            <v>1174</v>
          </cell>
          <cell r="U83">
            <v>1170</v>
          </cell>
          <cell r="V83">
            <v>1167</v>
          </cell>
          <cell r="W83">
            <v>1165</v>
          </cell>
          <cell r="X83">
            <v>1168</v>
          </cell>
          <cell r="Y83">
            <v>1170</v>
          </cell>
          <cell r="Z83">
            <v>1170</v>
          </cell>
          <cell r="AA83">
            <v>1166</v>
          </cell>
          <cell r="AD83">
            <v>1178</v>
          </cell>
          <cell r="AE83">
            <v>1175</v>
          </cell>
          <cell r="AF83">
            <v>1176</v>
          </cell>
          <cell r="AG83">
            <v>1174</v>
          </cell>
          <cell r="AH83">
            <v>1172</v>
          </cell>
          <cell r="AI83">
            <v>1168</v>
          </cell>
          <cell r="AJ83">
            <v>1165</v>
          </cell>
          <cell r="AK83">
            <v>1163</v>
          </cell>
          <cell r="AL83">
            <v>1166</v>
          </cell>
          <cell r="AM83">
            <v>1168</v>
          </cell>
          <cell r="AN83">
            <v>1168</v>
          </cell>
          <cell r="AO83">
            <v>1164</v>
          </cell>
        </row>
        <row r="84">
          <cell r="P84">
            <v>67</v>
          </cell>
          <cell r="Q84">
            <v>67</v>
          </cell>
          <cell r="R84">
            <v>67</v>
          </cell>
          <cell r="S84">
            <v>67</v>
          </cell>
          <cell r="T84">
            <v>67</v>
          </cell>
          <cell r="U84">
            <v>67</v>
          </cell>
          <cell r="V84">
            <v>67</v>
          </cell>
          <cell r="W84">
            <v>67</v>
          </cell>
          <cell r="X84">
            <v>67</v>
          </cell>
          <cell r="Y84">
            <v>67</v>
          </cell>
          <cell r="Z84">
            <v>67</v>
          </cell>
          <cell r="AA84">
            <v>67</v>
          </cell>
          <cell r="AD84">
            <v>67</v>
          </cell>
          <cell r="AE84">
            <v>67</v>
          </cell>
          <cell r="AF84">
            <v>67</v>
          </cell>
          <cell r="AG84">
            <v>67</v>
          </cell>
          <cell r="AH84">
            <v>67</v>
          </cell>
          <cell r="AI84">
            <v>67</v>
          </cell>
          <cell r="AJ84">
            <v>67</v>
          </cell>
          <cell r="AK84">
            <v>67</v>
          </cell>
          <cell r="AL84">
            <v>67</v>
          </cell>
          <cell r="AM84">
            <v>67</v>
          </cell>
          <cell r="AN84">
            <v>67</v>
          </cell>
          <cell r="AO84">
            <v>67</v>
          </cell>
        </row>
        <row r="85">
          <cell r="P85">
            <v>77</v>
          </cell>
          <cell r="Q85">
            <v>77</v>
          </cell>
          <cell r="R85">
            <v>77</v>
          </cell>
          <cell r="S85">
            <v>77</v>
          </cell>
          <cell r="T85">
            <v>77</v>
          </cell>
          <cell r="U85">
            <v>77</v>
          </cell>
          <cell r="V85">
            <v>77</v>
          </cell>
          <cell r="W85">
            <v>77</v>
          </cell>
          <cell r="X85">
            <v>77</v>
          </cell>
          <cell r="Y85">
            <v>77</v>
          </cell>
          <cell r="Z85">
            <v>77</v>
          </cell>
          <cell r="AA85">
            <v>77</v>
          </cell>
          <cell r="AD85">
            <v>77</v>
          </cell>
          <cell r="AE85">
            <v>77</v>
          </cell>
          <cell r="AF85">
            <v>77</v>
          </cell>
          <cell r="AG85">
            <v>77</v>
          </cell>
          <cell r="AH85">
            <v>77</v>
          </cell>
          <cell r="AI85">
            <v>77</v>
          </cell>
          <cell r="AJ85">
            <v>77</v>
          </cell>
          <cell r="AK85">
            <v>77</v>
          </cell>
          <cell r="AL85">
            <v>77</v>
          </cell>
          <cell r="AM85">
            <v>77</v>
          </cell>
          <cell r="AN85">
            <v>77</v>
          </cell>
          <cell r="AO85">
            <v>77</v>
          </cell>
        </row>
        <row r="86">
          <cell r="P86">
            <v>17</v>
          </cell>
          <cell r="Q86">
            <v>17</v>
          </cell>
          <cell r="R86">
            <v>17</v>
          </cell>
          <cell r="S86">
            <v>17</v>
          </cell>
          <cell r="T86">
            <v>17</v>
          </cell>
          <cell r="U86">
            <v>17</v>
          </cell>
          <cell r="V86">
            <v>17</v>
          </cell>
          <cell r="W86">
            <v>17</v>
          </cell>
          <cell r="X86">
            <v>17</v>
          </cell>
          <cell r="Y86">
            <v>17</v>
          </cell>
          <cell r="Z86">
            <v>17</v>
          </cell>
          <cell r="AA86">
            <v>17</v>
          </cell>
          <cell r="AD86">
            <v>17</v>
          </cell>
          <cell r="AE86">
            <v>17</v>
          </cell>
          <cell r="AF86">
            <v>17</v>
          </cell>
          <cell r="AG86">
            <v>17</v>
          </cell>
          <cell r="AH86">
            <v>17</v>
          </cell>
          <cell r="AI86">
            <v>17</v>
          </cell>
          <cell r="AJ86">
            <v>17</v>
          </cell>
          <cell r="AK86">
            <v>17</v>
          </cell>
          <cell r="AL86">
            <v>17</v>
          </cell>
          <cell r="AM86">
            <v>17</v>
          </cell>
          <cell r="AN86">
            <v>17</v>
          </cell>
          <cell r="AO86">
            <v>17</v>
          </cell>
        </row>
        <row r="88">
          <cell r="P88">
            <v>29</v>
          </cell>
          <cell r="Q88">
            <v>29</v>
          </cell>
          <cell r="R88">
            <v>29</v>
          </cell>
          <cell r="S88">
            <v>29</v>
          </cell>
          <cell r="T88">
            <v>29</v>
          </cell>
          <cell r="U88">
            <v>29</v>
          </cell>
          <cell r="V88">
            <v>29</v>
          </cell>
          <cell r="W88">
            <v>29</v>
          </cell>
          <cell r="X88">
            <v>29</v>
          </cell>
          <cell r="Y88">
            <v>29</v>
          </cell>
          <cell r="Z88">
            <v>29</v>
          </cell>
          <cell r="AA88">
            <v>29</v>
          </cell>
          <cell r="AD88">
            <v>29</v>
          </cell>
          <cell r="AE88">
            <v>29</v>
          </cell>
          <cell r="AF88">
            <v>29</v>
          </cell>
          <cell r="AG88">
            <v>29</v>
          </cell>
          <cell r="AH88">
            <v>29</v>
          </cell>
          <cell r="AI88">
            <v>29</v>
          </cell>
          <cell r="AJ88">
            <v>29</v>
          </cell>
          <cell r="AK88">
            <v>29</v>
          </cell>
          <cell r="AL88">
            <v>29</v>
          </cell>
          <cell r="AM88">
            <v>29</v>
          </cell>
          <cell r="AN88">
            <v>29</v>
          </cell>
          <cell r="AO88">
            <v>29</v>
          </cell>
        </row>
        <row r="89">
          <cell r="P89">
            <v>6</v>
          </cell>
          <cell r="Q89">
            <v>6</v>
          </cell>
          <cell r="R89">
            <v>6</v>
          </cell>
          <cell r="S89">
            <v>6</v>
          </cell>
          <cell r="T89">
            <v>6</v>
          </cell>
          <cell r="U89">
            <v>6</v>
          </cell>
          <cell r="V89">
            <v>6</v>
          </cell>
          <cell r="W89">
            <v>6</v>
          </cell>
          <cell r="X89">
            <v>6</v>
          </cell>
          <cell r="Y89">
            <v>6</v>
          </cell>
          <cell r="Z89">
            <v>6</v>
          </cell>
          <cell r="AA89">
            <v>6</v>
          </cell>
          <cell r="AD89">
            <v>6</v>
          </cell>
          <cell r="AE89">
            <v>6</v>
          </cell>
          <cell r="AF89">
            <v>6</v>
          </cell>
          <cell r="AG89">
            <v>6</v>
          </cell>
          <cell r="AH89">
            <v>6</v>
          </cell>
          <cell r="AI89">
            <v>6</v>
          </cell>
          <cell r="AJ89">
            <v>6</v>
          </cell>
          <cell r="AK89">
            <v>6</v>
          </cell>
          <cell r="AL89">
            <v>6</v>
          </cell>
          <cell r="AM89">
            <v>6</v>
          </cell>
          <cell r="AN89">
            <v>6</v>
          </cell>
          <cell r="AO89">
            <v>6</v>
          </cell>
        </row>
        <row r="90">
          <cell r="P90">
            <v>23</v>
          </cell>
          <cell r="Q90">
            <v>23</v>
          </cell>
          <cell r="R90">
            <v>23</v>
          </cell>
          <cell r="S90">
            <v>23</v>
          </cell>
          <cell r="T90">
            <v>23</v>
          </cell>
          <cell r="U90">
            <v>23</v>
          </cell>
          <cell r="V90">
            <v>23</v>
          </cell>
          <cell r="W90">
            <v>23</v>
          </cell>
          <cell r="X90">
            <v>23</v>
          </cell>
          <cell r="Y90">
            <v>23</v>
          </cell>
          <cell r="Z90">
            <v>23</v>
          </cell>
          <cell r="AA90">
            <v>23</v>
          </cell>
          <cell r="AD90">
            <v>23</v>
          </cell>
          <cell r="AE90">
            <v>23</v>
          </cell>
          <cell r="AF90">
            <v>23</v>
          </cell>
          <cell r="AG90">
            <v>23</v>
          </cell>
          <cell r="AH90">
            <v>23</v>
          </cell>
          <cell r="AI90">
            <v>23</v>
          </cell>
          <cell r="AJ90">
            <v>23</v>
          </cell>
          <cell r="AK90">
            <v>23</v>
          </cell>
          <cell r="AL90">
            <v>23</v>
          </cell>
          <cell r="AM90">
            <v>23</v>
          </cell>
          <cell r="AN90">
            <v>23</v>
          </cell>
          <cell r="AO90">
            <v>23</v>
          </cell>
        </row>
        <row r="91">
          <cell r="P91">
            <v>60</v>
          </cell>
          <cell r="Q91">
            <v>60</v>
          </cell>
          <cell r="R91">
            <v>60</v>
          </cell>
          <cell r="S91">
            <v>60</v>
          </cell>
          <cell r="T91">
            <v>60</v>
          </cell>
          <cell r="U91">
            <v>60</v>
          </cell>
          <cell r="V91">
            <v>60</v>
          </cell>
          <cell r="W91">
            <v>60</v>
          </cell>
          <cell r="X91">
            <v>60</v>
          </cell>
          <cell r="Y91">
            <v>60</v>
          </cell>
          <cell r="Z91">
            <v>60</v>
          </cell>
          <cell r="AA91">
            <v>60</v>
          </cell>
          <cell r="AD91">
            <v>60</v>
          </cell>
          <cell r="AE91">
            <v>60</v>
          </cell>
          <cell r="AF91">
            <v>60</v>
          </cell>
          <cell r="AG91">
            <v>60</v>
          </cell>
          <cell r="AH91">
            <v>60</v>
          </cell>
          <cell r="AI91">
            <v>60</v>
          </cell>
          <cell r="AJ91">
            <v>60</v>
          </cell>
          <cell r="AK91">
            <v>60</v>
          </cell>
          <cell r="AL91">
            <v>60</v>
          </cell>
          <cell r="AM91">
            <v>60</v>
          </cell>
          <cell r="AN91">
            <v>60</v>
          </cell>
          <cell r="AO91">
            <v>60</v>
          </cell>
        </row>
        <row r="92">
          <cell r="P92">
            <v>92</v>
          </cell>
          <cell r="Q92">
            <v>91</v>
          </cell>
          <cell r="R92">
            <v>91</v>
          </cell>
          <cell r="S92">
            <v>91</v>
          </cell>
          <cell r="T92">
            <v>90</v>
          </cell>
          <cell r="U92">
            <v>90</v>
          </cell>
          <cell r="V92">
            <v>90</v>
          </cell>
          <cell r="W92">
            <v>89</v>
          </cell>
          <cell r="X92">
            <v>89</v>
          </cell>
          <cell r="Y92">
            <v>89</v>
          </cell>
          <cell r="Z92">
            <v>88</v>
          </cell>
          <cell r="AA92">
            <v>88</v>
          </cell>
          <cell r="AD92">
            <v>88</v>
          </cell>
          <cell r="AE92">
            <v>87</v>
          </cell>
          <cell r="AF92">
            <v>87</v>
          </cell>
          <cell r="AG92">
            <v>87</v>
          </cell>
          <cell r="AH92">
            <v>86</v>
          </cell>
          <cell r="AI92">
            <v>86</v>
          </cell>
          <cell r="AJ92">
            <v>86</v>
          </cell>
          <cell r="AK92">
            <v>86</v>
          </cell>
          <cell r="AL92">
            <v>85</v>
          </cell>
          <cell r="AM92">
            <v>85</v>
          </cell>
          <cell r="AN92">
            <v>85</v>
          </cell>
          <cell r="AO92">
            <v>84</v>
          </cell>
        </row>
        <row r="93">
          <cell r="P93">
            <v>6</v>
          </cell>
          <cell r="Q93">
            <v>6</v>
          </cell>
          <cell r="R93">
            <v>6</v>
          </cell>
          <cell r="S93">
            <v>6</v>
          </cell>
          <cell r="T93">
            <v>6</v>
          </cell>
          <cell r="U93">
            <v>6</v>
          </cell>
          <cell r="V93">
            <v>6</v>
          </cell>
          <cell r="W93">
            <v>6</v>
          </cell>
          <cell r="X93">
            <v>6</v>
          </cell>
          <cell r="Y93">
            <v>6</v>
          </cell>
          <cell r="Z93">
            <v>6</v>
          </cell>
          <cell r="AA93">
            <v>6</v>
          </cell>
          <cell r="AD93">
            <v>6</v>
          </cell>
          <cell r="AE93">
            <v>6</v>
          </cell>
          <cell r="AF93">
            <v>6</v>
          </cell>
          <cell r="AG93">
            <v>6</v>
          </cell>
          <cell r="AH93">
            <v>6</v>
          </cell>
          <cell r="AI93">
            <v>6</v>
          </cell>
          <cell r="AJ93">
            <v>6</v>
          </cell>
          <cell r="AK93">
            <v>6</v>
          </cell>
          <cell r="AL93">
            <v>6</v>
          </cell>
          <cell r="AM93">
            <v>6</v>
          </cell>
          <cell r="AN93">
            <v>6</v>
          </cell>
          <cell r="AO93">
            <v>6</v>
          </cell>
        </row>
        <row r="94">
          <cell r="P94">
            <v>3</v>
          </cell>
          <cell r="Q94">
            <v>3</v>
          </cell>
          <cell r="R94">
            <v>3</v>
          </cell>
          <cell r="S94">
            <v>3</v>
          </cell>
          <cell r="T94">
            <v>3</v>
          </cell>
          <cell r="U94">
            <v>3</v>
          </cell>
          <cell r="V94">
            <v>3</v>
          </cell>
          <cell r="W94">
            <v>3</v>
          </cell>
          <cell r="X94">
            <v>3</v>
          </cell>
          <cell r="Y94">
            <v>3</v>
          </cell>
          <cell r="Z94">
            <v>3</v>
          </cell>
          <cell r="AA94">
            <v>3</v>
          </cell>
          <cell r="AD94">
            <v>3</v>
          </cell>
          <cell r="AE94">
            <v>3</v>
          </cell>
          <cell r="AF94">
            <v>3</v>
          </cell>
          <cell r="AG94">
            <v>3</v>
          </cell>
          <cell r="AH94">
            <v>3</v>
          </cell>
          <cell r="AI94">
            <v>3</v>
          </cell>
          <cell r="AJ94">
            <v>3</v>
          </cell>
          <cell r="AK94">
            <v>3</v>
          </cell>
          <cell r="AL94">
            <v>3</v>
          </cell>
          <cell r="AM94">
            <v>3</v>
          </cell>
          <cell r="AN94">
            <v>3</v>
          </cell>
          <cell r="AO94">
            <v>3</v>
          </cell>
        </row>
        <row r="95">
          <cell r="P95">
            <v>4</v>
          </cell>
          <cell r="Q95">
            <v>4</v>
          </cell>
          <cell r="R95">
            <v>4</v>
          </cell>
          <cell r="S95">
            <v>4</v>
          </cell>
          <cell r="T95">
            <v>4</v>
          </cell>
          <cell r="U95">
            <v>4</v>
          </cell>
          <cell r="V95">
            <v>4</v>
          </cell>
          <cell r="W95">
            <v>4</v>
          </cell>
          <cell r="X95">
            <v>4</v>
          </cell>
          <cell r="Y95">
            <v>4</v>
          </cell>
          <cell r="Z95">
            <v>4</v>
          </cell>
          <cell r="AA95">
            <v>4</v>
          </cell>
          <cell r="AD95">
            <v>4</v>
          </cell>
          <cell r="AE95">
            <v>4</v>
          </cell>
          <cell r="AF95">
            <v>4</v>
          </cell>
          <cell r="AG95">
            <v>4</v>
          </cell>
          <cell r="AH95">
            <v>4</v>
          </cell>
          <cell r="AI95">
            <v>4</v>
          </cell>
          <cell r="AJ95">
            <v>4</v>
          </cell>
          <cell r="AK95">
            <v>4</v>
          </cell>
          <cell r="AL95">
            <v>4</v>
          </cell>
          <cell r="AM95">
            <v>4</v>
          </cell>
          <cell r="AN95">
            <v>4</v>
          </cell>
          <cell r="AO95">
            <v>4</v>
          </cell>
        </row>
        <row r="96">
          <cell r="P96">
            <v>4</v>
          </cell>
          <cell r="Q96">
            <v>4</v>
          </cell>
          <cell r="R96">
            <v>4</v>
          </cell>
          <cell r="S96">
            <v>4</v>
          </cell>
          <cell r="T96">
            <v>4</v>
          </cell>
          <cell r="U96">
            <v>4</v>
          </cell>
          <cell r="V96">
            <v>4</v>
          </cell>
          <cell r="W96">
            <v>4</v>
          </cell>
          <cell r="X96">
            <v>4</v>
          </cell>
          <cell r="Y96">
            <v>4</v>
          </cell>
          <cell r="Z96">
            <v>4</v>
          </cell>
          <cell r="AA96">
            <v>4</v>
          </cell>
          <cell r="AD96">
            <v>4</v>
          </cell>
          <cell r="AE96">
            <v>4</v>
          </cell>
          <cell r="AF96">
            <v>4</v>
          </cell>
          <cell r="AG96">
            <v>4</v>
          </cell>
          <cell r="AH96">
            <v>4</v>
          </cell>
          <cell r="AI96">
            <v>4</v>
          </cell>
          <cell r="AJ96">
            <v>4</v>
          </cell>
          <cell r="AK96">
            <v>4</v>
          </cell>
          <cell r="AL96">
            <v>4</v>
          </cell>
          <cell r="AM96">
            <v>4</v>
          </cell>
          <cell r="AN96">
            <v>4</v>
          </cell>
          <cell r="AO96">
            <v>4</v>
          </cell>
        </row>
        <row r="97">
          <cell r="P97">
            <v>0</v>
          </cell>
          <cell r="Q97">
            <v>0</v>
          </cell>
          <cell r="R97">
            <v>0</v>
          </cell>
          <cell r="S97">
            <v>0</v>
          </cell>
          <cell r="T97">
            <v>0</v>
          </cell>
          <cell r="U97">
            <v>0</v>
          </cell>
          <cell r="V97">
            <v>0</v>
          </cell>
          <cell r="W97">
            <v>0</v>
          </cell>
          <cell r="X97">
            <v>0</v>
          </cell>
          <cell r="Y97">
            <v>0</v>
          </cell>
          <cell r="Z97">
            <v>0</v>
          </cell>
          <cell r="AA97">
            <v>0</v>
          </cell>
          <cell r="AD97">
            <v>0</v>
          </cell>
          <cell r="AE97">
            <v>0</v>
          </cell>
          <cell r="AF97">
            <v>0</v>
          </cell>
          <cell r="AG97">
            <v>0</v>
          </cell>
          <cell r="AH97">
            <v>0</v>
          </cell>
          <cell r="AI97">
            <v>0</v>
          </cell>
          <cell r="AJ97">
            <v>0</v>
          </cell>
          <cell r="AK97">
            <v>0</v>
          </cell>
          <cell r="AL97">
            <v>0</v>
          </cell>
          <cell r="AM97">
            <v>0</v>
          </cell>
          <cell r="AN97">
            <v>0</v>
          </cell>
          <cell r="AO97">
            <v>0</v>
          </cell>
        </row>
        <row r="98">
          <cell r="P98">
            <v>3</v>
          </cell>
          <cell r="Q98">
            <v>3</v>
          </cell>
          <cell r="R98">
            <v>3</v>
          </cell>
          <cell r="S98">
            <v>3</v>
          </cell>
          <cell r="T98">
            <v>3</v>
          </cell>
          <cell r="U98">
            <v>3</v>
          </cell>
          <cell r="V98">
            <v>3</v>
          </cell>
          <cell r="W98">
            <v>3</v>
          </cell>
          <cell r="X98">
            <v>3</v>
          </cell>
          <cell r="Y98">
            <v>3</v>
          </cell>
          <cell r="Z98">
            <v>3</v>
          </cell>
          <cell r="AA98">
            <v>3</v>
          </cell>
          <cell r="AD98">
            <v>3</v>
          </cell>
          <cell r="AE98">
            <v>3</v>
          </cell>
          <cell r="AF98">
            <v>3</v>
          </cell>
          <cell r="AG98">
            <v>3</v>
          </cell>
          <cell r="AH98">
            <v>3</v>
          </cell>
          <cell r="AI98">
            <v>3</v>
          </cell>
          <cell r="AJ98">
            <v>3</v>
          </cell>
          <cell r="AK98">
            <v>3</v>
          </cell>
          <cell r="AL98">
            <v>3</v>
          </cell>
          <cell r="AM98">
            <v>3</v>
          </cell>
          <cell r="AN98">
            <v>3</v>
          </cell>
          <cell r="AO98">
            <v>3</v>
          </cell>
        </row>
        <row r="99">
          <cell r="P99">
            <v>6</v>
          </cell>
          <cell r="Q99">
            <v>6</v>
          </cell>
          <cell r="R99">
            <v>6</v>
          </cell>
          <cell r="S99">
            <v>6</v>
          </cell>
          <cell r="T99">
            <v>6</v>
          </cell>
          <cell r="U99">
            <v>6</v>
          </cell>
          <cell r="V99">
            <v>6</v>
          </cell>
          <cell r="W99">
            <v>6</v>
          </cell>
          <cell r="X99">
            <v>6</v>
          </cell>
          <cell r="Y99">
            <v>6</v>
          </cell>
          <cell r="Z99">
            <v>6</v>
          </cell>
          <cell r="AA99">
            <v>6</v>
          </cell>
          <cell r="AD99">
            <v>6</v>
          </cell>
          <cell r="AE99">
            <v>6</v>
          </cell>
          <cell r="AF99">
            <v>6</v>
          </cell>
          <cell r="AG99">
            <v>6</v>
          </cell>
          <cell r="AH99">
            <v>6</v>
          </cell>
          <cell r="AI99">
            <v>6</v>
          </cell>
          <cell r="AJ99">
            <v>6</v>
          </cell>
          <cell r="AK99">
            <v>6</v>
          </cell>
          <cell r="AL99">
            <v>6</v>
          </cell>
          <cell r="AM99">
            <v>6</v>
          </cell>
          <cell r="AN99">
            <v>6</v>
          </cell>
          <cell r="AO99">
            <v>6</v>
          </cell>
        </row>
        <row r="100">
          <cell r="P100">
            <v>9</v>
          </cell>
          <cell r="Q100">
            <v>9</v>
          </cell>
          <cell r="R100">
            <v>9</v>
          </cell>
          <cell r="S100">
            <v>9</v>
          </cell>
          <cell r="T100">
            <v>9</v>
          </cell>
          <cell r="U100">
            <v>9</v>
          </cell>
          <cell r="V100">
            <v>9</v>
          </cell>
          <cell r="W100">
            <v>9</v>
          </cell>
          <cell r="X100">
            <v>9</v>
          </cell>
          <cell r="Y100">
            <v>9</v>
          </cell>
          <cell r="Z100">
            <v>9</v>
          </cell>
          <cell r="AA100">
            <v>9</v>
          </cell>
          <cell r="AD100">
            <v>9</v>
          </cell>
          <cell r="AE100">
            <v>9</v>
          </cell>
          <cell r="AF100">
            <v>9</v>
          </cell>
          <cell r="AG100">
            <v>9</v>
          </cell>
          <cell r="AH100">
            <v>9</v>
          </cell>
          <cell r="AI100">
            <v>9</v>
          </cell>
          <cell r="AJ100">
            <v>9</v>
          </cell>
          <cell r="AK100">
            <v>9</v>
          </cell>
          <cell r="AL100">
            <v>9</v>
          </cell>
          <cell r="AM100">
            <v>9</v>
          </cell>
          <cell r="AN100">
            <v>9</v>
          </cell>
          <cell r="AO100">
            <v>9</v>
          </cell>
        </row>
        <row r="101">
          <cell r="P101">
            <v>1</v>
          </cell>
          <cell r="Q101">
            <v>1</v>
          </cell>
          <cell r="R101">
            <v>1</v>
          </cell>
          <cell r="S101">
            <v>1</v>
          </cell>
          <cell r="T101">
            <v>1</v>
          </cell>
          <cell r="U101">
            <v>1</v>
          </cell>
          <cell r="V101">
            <v>1</v>
          </cell>
          <cell r="W101">
            <v>1</v>
          </cell>
          <cell r="X101">
            <v>1</v>
          </cell>
          <cell r="Y101">
            <v>1</v>
          </cell>
          <cell r="Z101">
            <v>1</v>
          </cell>
          <cell r="AA101">
            <v>1</v>
          </cell>
          <cell r="AD101">
            <v>1</v>
          </cell>
          <cell r="AE101">
            <v>1</v>
          </cell>
          <cell r="AF101">
            <v>1</v>
          </cell>
          <cell r="AG101">
            <v>1</v>
          </cell>
          <cell r="AH101">
            <v>1</v>
          </cell>
          <cell r="AI101">
            <v>1</v>
          </cell>
          <cell r="AJ101">
            <v>1</v>
          </cell>
          <cell r="AK101">
            <v>1</v>
          </cell>
          <cell r="AL101">
            <v>1</v>
          </cell>
          <cell r="AM101">
            <v>1</v>
          </cell>
          <cell r="AN101">
            <v>1</v>
          </cell>
          <cell r="AO101">
            <v>1</v>
          </cell>
        </row>
      </sheetData>
      <sheetData sheetId="24" refreshError="1"/>
      <sheetData sheetId="25">
        <row r="63">
          <cell r="N63">
            <v>4</v>
          </cell>
          <cell r="O63">
            <v>4</v>
          </cell>
          <cell r="P63">
            <v>4</v>
          </cell>
          <cell r="Q63">
            <v>4</v>
          </cell>
          <cell r="R63">
            <v>4</v>
          </cell>
          <cell r="S63">
            <v>4</v>
          </cell>
          <cell r="T63">
            <v>4</v>
          </cell>
          <cell r="U63">
            <v>4</v>
          </cell>
          <cell r="V63">
            <v>4</v>
          </cell>
          <cell r="W63">
            <v>4</v>
          </cell>
          <cell r="X63">
            <v>4</v>
          </cell>
          <cell r="Y63">
            <v>4</v>
          </cell>
          <cell r="Z63">
            <v>4</v>
          </cell>
          <cell r="AA63">
            <v>4</v>
          </cell>
          <cell r="AB63">
            <v>4</v>
          </cell>
          <cell r="AC63">
            <v>4</v>
          </cell>
          <cell r="AD63">
            <v>4</v>
          </cell>
          <cell r="AE63">
            <v>4</v>
          </cell>
          <cell r="AF63">
            <v>4</v>
          </cell>
          <cell r="AG63">
            <v>4</v>
          </cell>
          <cell r="AH63">
            <v>4</v>
          </cell>
          <cell r="AI63">
            <v>4</v>
          </cell>
          <cell r="AJ63">
            <v>4</v>
          </cell>
          <cell r="AK63">
            <v>4</v>
          </cell>
        </row>
      </sheetData>
      <sheetData sheetId="26" refreshError="1"/>
      <sheetData sheetId="27">
        <row r="23">
          <cell r="E23">
            <v>0</v>
          </cell>
        </row>
      </sheetData>
      <sheetData sheetId="28" refreshError="1"/>
      <sheetData sheetId="29" refreshError="1"/>
      <sheetData sheetId="30" refreshError="1"/>
      <sheetData sheetId="31" refreshError="1"/>
      <sheetData sheetId="32" refreshError="1">
        <row r="36">
          <cell r="D36">
            <v>6</v>
          </cell>
          <cell r="E36">
            <v>4</v>
          </cell>
          <cell r="F36">
            <v>4</v>
          </cell>
          <cell r="G36">
            <v>4</v>
          </cell>
          <cell r="H36">
            <v>4</v>
          </cell>
          <cell r="I36">
            <v>4</v>
          </cell>
          <cell r="J36">
            <v>3</v>
          </cell>
          <cell r="K36">
            <v>3</v>
          </cell>
          <cell r="L36">
            <v>3</v>
          </cell>
          <cell r="M36">
            <v>4</v>
          </cell>
          <cell r="N36">
            <v>4</v>
          </cell>
          <cell r="O36">
            <v>4</v>
          </cell>
        </row>
        <row r="199">
          <cell r="D199">
            <v>809899</v>
          </cell>
          <cell r="E199">
            <v>810234</v>
          </cell>
          <cell r="F199">
            <v>810672</v>
          </cell>
          <cell r="G199">
            <v>811227</v>
          </cell>
          <cell r="H199">
            <v>812204</v>
          </cell>
          <cell r="I199">
            <v>812921</v>
          </cell>
          <cell r="J199">
            <v>813479</v>
          </cell>
          <cell r="K199">
            <v>814245</v>
          </cell>
          <cell r="L199">
            <v>814697</v>
          </cell>
          <cell r="M199">
            <v>814920</v>
          </cell>
          <cell r="N199">
            <v>815058</v>
          </cell>
          <cell r="O199">
            <v>815310</v>
          </cell>
        </row>
        <row r="200">
          <cell r="D200">
            <v>57839</v>
          </cell>
          <cell r="E200">
            <v>57804</v>
          </cell>
          <cell r="F200">
            <v>57754</v>
          </cell>
          <cell r="G200">
            <v>57715</v>
          </cell>
          <cell r="H200">
            <v>57809</v>
          </cell>
          <cell r="I200">
            <v>57932</v>
          </cell>
          <cell r="J200">
            <v>57969</v>
          </cell>
          <cell r="K200">
            <v>58011</v>
          </cell>
          <cell r="L200">
            <v>58046</v>
          </cell>
          <cell r="M200">
            <v>58040</v>
          </cell>
          <cell r="N200">
            <v>57999</v>
          </cell>
          <cell r="O200">
            <v>57920</v>
          </cell>
        </row>
        <row r="201">
          <cell r="D201">
            <v>1201</v>
          </cell>
          <cell r="E201">
            <v>1204</v>
          </cell>
          <cell r="F201">
            <v>1224</v>
          </cell>
          <cell r="G201">
            <v>1230</v>
          </cell>
          <cell r="H201">
            <v>1231</v>
          </cell>
          <cell r="I201">
            <v>1228</v>
          </cell>
          <cell r="J201">
            <v>1242</v>
          </cell>
          <cell r="K201">
            <v>1247</v>
          </cell>
          <cell r="L201">
            <v>1255</v>
          </cell>
          <cell r="M201">
            <v>1249</v>
          </cell>
          <cell r="N201">
            <v>1257</v>
          </cell>
          <cell r="O201">
            <v>1261</v>
          </cell>
        </row>
        <row r="204">
          <cell r="D204">
            <v>32</v>
          </cell>
          <cell r="E204">
            <v>32</v>
          </cell>
          <cell r="F204">
            <v>34</v>
          </cell>
          <cell r="G204">
            <v>34</v>
          </cell>
          <cell r="H204">
            <v>35</v>
          </cell>
          <cell r="I204">
            <v>35</v>
          </cell>
          <cell r="J204">
            <v>35</v>
          </cell>
          <cell r="K204">
            <v>34</v>
          </cell>
          <cell r="L204">
            <v>34</v>
          </cell>
          <cell r="M204">
            <v>33</v>
          </cell>
          <cell r="N204">
            <v>33</v>
          </cell>
          <cell r="O204">
            <v>33</v>
          </cell>
        </row>
        <row r="205">
          <cell r="D205">
            <v>107</v>
          </cell>
          <cell r="E205">
            <v>107</v>
          </cell>
          <cell r="F205">
            <v>107</v>
          </cell>
          <cell r="G205">
            <v>108</v>
          </cell>
          <cell r="H205">
            <v>108</v>
          </cell>
          <cell r="I205">
            <v>107</v>
          </cell>
          <cell r="J205">
            <v>107</v>
          </cell>
          <cell r="K205">
            <v>107</v>
          </cell>
          <cell r="L205">
            <v>107</v>
          </cell>
          <cell r="M205">
            <v>106</v>
          </cell>
          <cell r="N205">
            <v>106</v>
          </cell>
          <cell r="O205">
            <v>105</v>
          </cell>
        </row>
        <row r="206">
          <cell r="D206">
            <v>4</v>
          </cell>
          <cell r="E206">
            <v>4</v>
          </cell>
          <cell r="F206">
            <v>4</v>
          </cell>
          <cell r="G206">
            <v>4</v>
          </cell>
          <cell r="H206">
            <v>4</v>
          </cell>
          <cell r="I206">
            <v>4</v>
          </cell>
          <cell r="J206">
            <v>4</v>
          </cell>
          <cell r="K206">
            <v>4</v>
          </cell>
          <cell r="L206">
            <v>4</v>
          </cell>
          <cell r="M206">
            <v>4</v>
          </cell>
          <cell r="N206">
            <v>4</v>
          </cell>
          <cell r="O206">
            <v>4</v>
          </cell>
        </row>
        <row r="207">
          <cell r="D207">
            <v>1</v>
          </cell>
          <cell r="E207">
            <v>1</v>
          </cell>
          <cell r="F207">
            <v>1</v>
          </cell>
          <cell r="G207">
            <v>1</v>
          </cell>
          <cell r="H207">
            <v>1</v>
          </cell>
          <cell r="I207">
            <v>1</v>
          </cell>
          <cell r="J207">
            <v>1</v>
          </cell>
          <cell r="K207">
            <v>1</v>
          </cell>
          <cell r="L207">
            <v>1</v>
          </cell>
          <cell r="M207">
            <v>1</v>
          </cell>
          <cell r="N207">
            <v>1</v>
          </cell>
          <cell r="O207">
            <v>1</v>
          </cell>
        </row>
        <row r="208">
          <cell r="D208">
            <v>95</v>
          </cell>
          <cell r="E208">
            <v>95</v>
          </cell>
          <cell r="F208">
            <v>95</v>
          </cell>
          <cell r="G208">
            <v>95</v>
          </cell>
          <cell r="H208">
            <v>94</v>
          </cell>
          <cell r="I208">
            <v>94</v>
          </cell>
          <cell r="J208">
            <v>94</v>
          </cell>
          <cell r="K208">
            <v>94</v>
          </cell>
          <cell r="L208">
            <v>94</v>
          </cell>
          <cell r="M208">
            <v>92</v>
          </cell>
          <cell r="N208">
            <v>92</v>
          </cell>
          <cell r="O208">
            <v>92</v>
          </cell>
        </row>
        <row r="209">
          <cell r="D209">
            <v>86</v>
          </cell>
          <cell r="E209">
            <v>85</v>
          </cell>
          <cell r="F209">
            <v>83</v>
          </cell>
          <cell r="G209">
            <v>83</v>
          </cell>
          <cell r="H209">
            <v>82</v>
          </cell>
          <cell r="I209">
            <v>82</v>
          </cell>
          <cell r="J209">
            <v>82</v>
          </cell>
          <cell r="K209">
            <v>82</v>
          </cell>
          <cell r="L209">
            <v>81</v>
          </cell>
          <cell r="M209">
            <v>81</v>
          </cell>
          <cell r="N209">
            <v>81</v>
          </cell>
          <cell r="O209">
            <v>81</v>
          </cell>
        </row>
        <row r="210">
          <cell r="D210">
            <v>7</v>
          </cell>
          <cell r="E210">
            <v>7</v>
          </cell>
          <cell r="F210">
            <v>7</v>
          </cell>
          <cell r="G210">
            <v>6</v>
          </cell>
          <cell r="H210">
            <v>6</v>
          </cell>
          <cell r="I210">
            <v>6</v>
          </cell>
          <cell r="J210">
            <v>6</v>
          </cell>
          <cell r="K210">
            <v>6</v>
          </cell>
          <cell r="L210">
            <v>6</v>
          </cell>
          <cell r="M210">
            <v>6</v>
          </cell>
          <cell r="N210">
            <v>6</v>
          </cell>
          <cell r="O210">
            <v>6</v>
          </cell>
        </row>
        <row r="211">
          <cell r="D211">
            <v>11</v>
          </cell>
          <cell r="E211">
            <v>11</v>
          </cell>
          <cell r="F211">
            <v>11</v>
          </cell>
          <cell r="G211">
            <v>11</v>
          </cell>
          <cell r="H211">
            <v>11</v>
          </cell>
          <cell r="I211">
            <v>11</v>
          </cell>
          <cell r="J211">
            <v>11</v>
          </cell>
          <cell r="K211">
            <v>11</v>
          </cell>
          <cell r="L211">
            <v>11</v>
          </cell>
          <cell r="M211">
            <v>11</v>
          </cell>
          <cell r="N211">
            <v>11</v>
          </cell>
          <cell r="O211">
            <v>11</v>
          </cell>
        </row>
        <row r="212">
          <cell r="D212">
            <v>9</v>
          </cell>
          <cell r="E212">
            <v>9</v>
          </cell>
          <cell r="F212">
            <v>9</v>
          </cell>
          <cell r="G212">
            <v>9</v>
          </cell>
          <cell r="H212">
            <v>9</v>
          </cell>
          <cell r="I212">
            <v>9</v>
          </cell>
          <cell r="J212">
            <v>9</v>
          </cell>
          <cell r="K212">
            <v>9</v>
          </cell>
          <cell r="L212">
            <v>9</v>
          </cell>
          <cell r="M212">
            <v>9</v>
          </cell>
          <cell r="N212">
            <v>9</v>
          </cell>
          <cell r="O212">
            <v>9</v>
          </cell>
        </row>
      </sheetData>
      <sheetData sheetId="33" refreshError="1"/>
      <sheetData sheetId="34" refreshError="1"/>
      <sheetData sheetId="35" refreshError="1"/>
      <sheetData sheetId="36" refreshError="1"/>
      <sheetData sheetId="37" refreshError="1"/>
      <sheetData sheetId="38">
        <row r="9">
          <cell r="E9">
            <v>0.45612999999999998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Overall Rate Impacts--&gt;"/>
      <sheetName val="Rate Impacts_RY#1"/>
      <sheetName val="Rate Impacts_RY#2"/>
      <sheetName val="Res. Bill Impacts--&gt;"/>
      <sheetName val="Res Bill Summary"/>
      <sheetName val="Typical Res Bill Impacts--&gt;"/>
      <sheetName val="Typical Res Bill_RY#1 "/>
      <sheetName val="Typical Res Bill_RY#2"/>
      <sheetName val="Avg Per Therm Impacts--&gt;"/>
      <sheetName val="Avg Per Therm_RY#1 "/>
      <sheetName val="Avg Per Therm_RY#2"/>
      <sheetName val="Work Papers--&gt;"/>
      <sheetName val="Revenue Calculations--&gt;"/>
      <sheetName val="Revenue by Sch_RY#1"/>
      <sheetName val="Revenue by Sch_RY#2"/>
      <sheetName val="Rider Revenue Calculation--&gt;"/>
      <sheetName val="Sch. 101"/>
      <sheetName val="Sch. 106"/>
      <sheetName val="Sch. 111 Charge"/>
      <sheetName val="Sch. 111 Credit"/>
      <sheetName val="Sch. 120"/>
      <sheetName val="Sch. 129"/>
      <sheetName val="Sch. 129D"/>
      <sheetName val="Sch. 140"/>
      <sheetName val="Sch. 141D"/>
      <sheetName val="Sch. 141DCARB"/>
      <sheetName val="Sch. 141N"/>
      <sheetName val="Sch. 141R"/>
      <sheetName val="Sch. 141R (Supp.)"/>
      <sheetName val="Sch. 142"/>
      <sheetName val="Data--&gt;"/>
      <sheetName val="Res Billing Data"/>
      <sheetName val="Rate Year Therms"/>
      <sheetName val="RY#1 Therms by Block%"/>
      <sheetName val="RY#1 Therms by Block"/>
      <sheetName val="RY#1 Bills &amp; Demand"/>
    </sheetNames>
    <sheetDataSet>
      <sheetData sheetId="0"/>
      <sheetData sheetId="1"/>
      <sheetData sheetId="2">
        <row r="11">
          <cell r="S11">
            <v>121321680.65446305</v>
          </cell>
          <cell r="T11">
            <v>0.17921111044394789</v>
          </cell>
        </row>
        <row r="12">
          <cell r="S12">
            <v>1436.4258093876997</v>
          </cell>
          <cell r="T12">
            <v>0.16827580062384781</v>
          </cell>
        </row>
        <row r="13">
          <cell r="S13">
            <v>59179442.026719213</v>
          </cell>
          <cell r="T13">
            <v>0.23109000552095396</v>
          </cell>
        </row>
        <row r="14">
          <cell r="S14">
            <v>7235790.9293426499</v>
          </cell>
          <cell r="T14">
            <v>0.15295575886731405</v>
          </cell>
        </row>
        <row r="15">
          <cell r="S15">
            <v>905515.6882310193</v>
          </cell>
          <cell r="T15">
            <v>9.4222074640677334E-2</v>
          </cell>
        </row>
        <row r="16">
          <cell r="S16">
            <v>278296.17475501169</v>
          </cell>
          <cell r="T16">
            <v>9.0064072858032945E-2</v>
          </cell>
        </row>
        <row r="17">
          <cell r="S17">
            <v>776315.11372168735</v>
          </cell>
          <cell r="T17">
            <v>9.2376474699743749E-2</v>
          </cell>
        </row>
        <row r="18">
          <cell r="S18">
            <v>0</v>
          </cell>
          <cell r="T18">
            <v>0.23109000552095396</v>
          </cell>
        </row>
        <row r="19">
          <cell r="S19">
            <v>1892038.6355661992</v>
          </cell>
          <cell r="T19">
            <v>0.25786642585267472</v>
          </cell>
        </row>
        <row r="20">
          <cell r="S20">
            <v>2864424.2832106855</v>
          </cell>
          <cell r="T20">
            <v>0.19302680956874535</v>
          </cell>
        </row>
        <row r="21">
          <cell r="S21">
            <v>49200.708533710334</v>
          </cell>
          <cell r="T21">
            <v>0.14350198914328968</v>
          </cell>
        </row>
        <row r="22">
          <cell r="S22">
            <v>2165755.2084717723</v>
          </cell>
          <cell r="T22">
            <v>0.39553867176295904</v>
          </cell>
        </row>
        <row r="23">
          <cell r="S23">
            <v>-758473.37363762013</v>
          </cell>
          <cell r="T23">
            <v>-0.51901889267474366</v>
          </cell>
        </row>
        <row r="24">
          <cell r="S24">
            <v>128967.9165922082</v>
          </cell>
          <cell r="T24">
            <v>4.3016514010527931E-2</v>
          </cell>
        </row>
        <row r="25">
          <cell r="D25">
            <v>1033938394.3014451</v>
          </cell>
          <cell r="R25">
            <v>1229978784.693224</v>
          </cell>
          <cell r="T25">
            <v>0.18960548469063174</v>
          </cell>
        </row>
      </sheetData>
      <sheetData sheetId="3">
        <row r="11">
          <cell r="L11">
            <v>15531445.977900863</v>
          </cell>
          <cell r="M11">
            <v>1.9518568322983185E-2</v>
          </cell>
        </row>
        <row r="12">
          <cell r="L12">
            <v>286.47900549246515</v>
          </cell>
          <cell r="M12">
            <v>2.8726709667872549E-2</v>
          </cell>
        </row>
        <row r="13">
          <cell r="L13">
            <v>7909449.1809999347</v>
          </cell>
          <cell r="M13">
            <v>2.5083308843279896E-2</v>
          </cell>
        </row>
        <row r="14">
          <cell r="L14">
            <v>1178570.3188426718</v>
          </cell>
          <cell r="M14">
            <v>2.1650417204560617E-2</v>
          </cell>
        </row>
        <row r="15">
          <cell r="L15">
            <v>145360.04052035324</v>
          </cell>
          <cell r="M15">
            <v>1.3873943522068635E-2</v>
          </cell>
        </row>
        <row r="16">
          <cell r="L16">
            <v>36462.208510724362</v>
          </cell>
          <cell r="M16">
            <v>1.0922899783988943E-2</v>
          </cell>
        </row>
        <row r="17">
          <cell r="L17">
            <v>67279.873444108292</v>
          </cell>
          <cell r="M17">
            <v>7.3484740537928641E-3</v>
          </cell>
        </row>
        <row r="18">
          <cell r="L18">
            <v>0</v>
          </cell>
          <cell r="M18">
            <v>2.5083308843279896E-2</v>
          </cell>
        </row>
        <row r="19">
          <cell r="L19">
            <v>27916.948788993061</v>
          </cell>
          <cell r="M19">
            <v>3.0104502003023988E-3</v>
          </cell>
        </row>
        <row r="20">
          <cell r="L20">
            <v>345500.23498651013</v>
          </cell>
          <cell r="M20">
            <v>1.9590380567669392E-2</v>
          </cell>
        </row>
        <row r="21">
          <cell r="L21">
            <v>-4806.8167194201378</v>
          </cell>
          <cell r="M21">
            <v>-1.2341973592709433E-2</v>
          </cell>
        </row>
        <row r="22">
          <cell r="L22">
            <v>274682.59633955173</v>
          </cell>
          <cell r="M22">
            <v>3.6111608922190869E-2</v>
          </cell>
        </row>
        <row r="23">
          <cell r="L23">
            <v>-307904.76261999994</v>
          </cell>
          <cell r="M23">
            <v>-0.30461756026676751</v>
          </cell>
        </row>
        <row r="24">
          <cell r="L24">
            <v>146043.71999999974</v>
          </cell>
          <cell r="M24">
            <v>4.6840358720983404E-2</v>
          </cell>
        </row>
        <row r="25">
          <cell r="E25">
            <v>-2473361.3805576265</v>
          </cell>
          <cell r="K25">
            <v>1252855709.3126659</v>
          </cell>
          <cell r="M25">
            <v>2.0651872911149362E-2</v>
          </cell>
        </row>
      </sheetData>
      <sheetData sheetId="4"/>
      <sheetData sheetId="5"/>
      <sheetData sheetId="6"/>
      <sheetData sheetId="7">
        <row r="39">
          <cell r="T39">
            <v>13.959999999999994</v>
          </cell>
        </row>
      </sheetData>
      <sheetData sheetId="8">
        <row r="39">
          <cell r="H39">
            <v>1.5100000000000193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Def, COC, ConvF"/>
      <sheetName val="Summary"/>
      <sheetName val="Detailed Summary"/>
      <sheetName val="Common Adj"/>
      <sheetName val="Gas Adj"/>
      <sheetName val="O&amp;M"/>
      <sheetName val="4081"/>
      <sheetName val="BD-FF"/>
      <sheetName val="Subject to Refund"/>
      <sheetName val="Adj List"/>
      <sheetName val="SEF-NOI-RB p1 Gas wp"/>
      <sheetName val="SEF-NOI-RB p2 Gas wp"/>
      <sheetName val="Final Rate Years"/>
      <sheetName val="Named Ranges E"/>
      <sheetName val="Proofs=&gt;"/>
      <sheetName val="GAS COS Revenues"/>
      <sheetName val="TBPI, ETR, Rev"/>
      <sheetName val="G OOR"/>
      <sheetName val="G OOE"/>
      <sheetName val="SEF-12 p1 Gas wp"/>
      <sheetName val="SEF-12 p 2 Gas wp"/>
      <sheetName val="240004-05-PSE-WP-SEF-8G-GAS-REV"/>
    </sheetNames>
    <sheetDataSet>
      <sheetData sheetId="0"/>
      <sheetData sheetId="1">
        <row r="12">
          <cell r="C12">
            <v>2866503992.9496732</v>
          </cell>
          <cell r="D12">
            <v>2863128296.2018123</v>
          </cell>
        </row>
        <row r="13">
          <cell r="C13">
            <v>7.6499999999999999E-2</v>
          </cell>
          <cell r="D13">
            <v>7.9899999999999999E-2</v>
          </cell>
        </row>
        <row r="15">
          <cell r="C15">
            <v>219287555.46065</v>
          </cell>
          <cell r="D15">
            <v>228763950.86652479</v>
          </cell>
        </row>
        <row r="22">
          <cell r="I22">
            <v>0.5</v>
          </cell>
        </row>
        <row r="23">
          <cell r="I23">
            <v>0.5</v>
          </cell>
        </row>
        <row r="27">
          <cell r="J27">
            <v>9.9500000000000005E-2</v>
          </cell>
        </row>
        <row r="31">
          <cell r="I31">
            <v>0.49</v>
          </cell>
        </row>
        <row r="32">
          <cell r="I32">
            <v>0.51</v>
          </cell>
          <cell r="J32">
            <v>0.105</v>
          </cell>
        </row>
      </sheetData>
      <sheetData sheetId="2">
        <row r="47">
          <cell r="D47">
            <v>31471903.925181746</v>
          </cell>
        </row>
        <row r="49">
          <cell r="C49">
            <v>6.1699999999999998E-2</v>
          </cell>
          <cell r="E49">
            <v>7.3400000000000007E-2</v>
          </cell>
        </row>
      </sheetData>
      <sheetData sheetId="3">
        <row r="19">
          <cell r="AK19">
            <v>0</v>
          </cell>
        </row>
      </sheetData>
      <sheetData sheetId="4">
        <row r="16">
          <cell r="BG16">
            <v>1966089.9118269086</v>
          </cell>
        </row>
      </sheetData>
      <sheetData sheetId="5">
        <row r="21">
          <cell r="CQ21">
            <v>1440049.9416229667</v>
          </cell>
        </row>
      </sheetData>
      <sheetData sheetId="6"/>
      <sheetData sheetId="7"/>
      <sheetData sheetId="8"/>
      <sheetData sheetId="9"/>
      <sheetData sheetId="10">
        <row r="34">
          <cell r="A34" t="str">
            <v>PROVISIONAL PROFORMA RETIREMENTS DEPRECIATION</v>
          </cell>
        </row>
      </sheetData>
      <sheetData sheetId="11"/>
      <sheetData sheetId="12"/>
      <sheetData sheetId="13">
        <row r="15">
          <cell r="E15">
            <v>783493199.8612268</v>
          </cell>
        </row>
      </sheetData>
      <sheetData sheetId="14"/>
      <sheetData sheetId="15"/>
      <sheetData sheetId="16"/>
      <sheetData sheetId="17"/>
      <sheetData sheetId="18">
        <row r="19">
          <cell r="E19">
            <v>-1492651.86</v>
          </cell>
        </row>
      </sheetData>
      <sheetData sheetId="19"/>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
  <sheetViews>
    <sheetView tabSelected="1" zoomScale="90" zoomScaleNormal="90" workbookViewId="0">
      <selection activeCell="G12" sqref="G12"/>
    </sheetView>
  </sheetViews>
  <sheetFormatPr defaultRowHeight="12.75" x14ac:dyDescent="0.2"/>
  <cols>
    <col min="1" max="1" width="5.7109375" style="29" customWidth="1"/>
    <col min="2" max="2" width="43.140625" style="29" customWidth="1"/>
    <col min="3" max="3" width="26.5703125" style="29" customWidth="1"/>
    <col min="4" max="5" width="18.85546875" style="29" bestFit="1" customWidth="1"/>
    <col min="6" max="6" width="19.85546875" style="29" customWidth="1"/>
    <col min="7" max="8" width="17.7109375" style="29" bestFit="1" customWidth="1"/>
    <col min="9" max="9" width="13.42578125" style="29" bestFit="1" customWidth="1"/>
    <col min="10" max="16384" width="9.140625" style="29"/>
  </cols>
  <sheetData>
    <row r="1" spans="1:6" s="3" customFormat="1" ht="20.25" x14ac:dyDescent="0.3">
      <c r="A1" s="219" t="s">
        <v>0</v>
      </c>
      <c r="B1" s="219"/>
      <c r="C1" s="219"/>
      <c r="D1" s="219"/>
      <c r="E1" s="219"/>
    </row>
    <row r="2" spans="1:6" s="3" customFormat="1" ht="20.25" x14ac:dyDescent="0.3">
      <c r="A2" s="219" t="s">
        <v>19</v>
      </c>
      <c r="B2" s="219"/>
      <c r="C2" s="219"/>
      <c r="D2" s="219"/>
      <c r="E2" s="219"/>
    </row>
    <row r="3" spans="1:6" s="3" customFormat="1" ht="20.25" x14ac:dyDescent="0.3">
      <c r="A3" s="219" t="s">
        <v>14</v>
      </c>
      <c r="B3" s="219"/>
      <c r="C3" s="219"/>
      <c r="D3" s="219"/>
      <c r="E3" s="219"/>
    </row>
    <row r="4" spans="1:6" s="3" customFormat="1" ht="20.25" x14ac:dyDescent="0.3">
      <c r="A4" s="220" t="s">
        <v>112</v>
      </c>
      <c r="B4" s="220"/>
      <c r="C4" s="220"/>
      <c r="D4" s="220"/>
      <c r="E4" s="220"/>
    </row>
    <row r="5" spans="1:6" s="3" customFormat="1" ht="20.25" x14ac:dyDescent="0.3">
      <c r="A5" s="221" t="s">
        <v>293</v>
      </c>
      <c r="B5" s="221"/>
      <c r="C5" s="221"/>
      <c r="D5" s="221"/>
      <c r="E5" s="221"/>
    </row>
    <row r="6" spans="1:6" s="3" customFormat="1" ht="20.25" x14ac:dyDescent="0.3">
      <c r="A6" s="223" t="s">
        <v>294</v>
      </c>
      <c r="B6" s="223"/>
      <c r="C6" s="223"/>
      <c r="D6" s="223"/>
      <c r="E6" s="223"/>
      <c r="F6" s="3" t="s">
        <v>10</v>
      </c>
    </row>
    <row r="7" spans="1:6" s="3" customFormat="1" ht="20.25" x14ac:dyDescent="0.3">
      <c r="A7" s="219" t="s">
        <v>285</v>
      </c>
      <c r="B7" s="219"/>
      <c r="C7" s="219"/>
      <c r="D7" s="219"/>
      <c r="E7" s="219"/>
      <c r="F7" s="215"/>
    </row>
    <row r="8" spans="1:6" s="3" customFormat="1" ht="15" customHeight="1" x14ac:dyDescent="0.3">
      <c r="A8" s="150"/>
      <c r="B8" s="22"/>
      <c r="C8" s="22"/>
      <c r="D8" s="22"/>
      <c r="E8" s="22"/>
    </row>
    <row r="9" spans="1:6" s="2" customFormat="1" ht="15" x14ac:dyDescent="0.2">
      <c r="A9" s="11" t="s">
        <v>8</v>
      </c>
      <c r="B9" s="225" t="s">
        <v>110</v>
      </c>
      <c r="C9" s="225"/>
      <c r="D9" s="225"/>
      <c r="E9" s="225"/>
    </row>
    <row r="10" spans="1:6" s="2" customFormat="1" ht="15" x14ac:dyDescent="0.2">
      <c r="A10" s="11"/>
      <c r="B10" s="225"/>
      <c r="C10" s="225"/>
      <c r="D10" s="225"/>
      <c r="E10" s="225"/>
    </row>
    <row r="11" spans="1:6" s="2" customFormat="1" ht="15" x14ac:dyDescent="0.2">
      <c r="A11" s="11"/>
      <c r="B11" s="225"/>
      <c r="C11" s="225"/>
      <c r="D11" s="225"/>
      <c r="E11" s="225"/>
    </row>
    <row r="12" spans="1:6" s="2" customFormat="1" ht="15" x14ac:dyDescent="0.2">
      <c r="A12" s="1"/>
    </row>
    <row r="13" spans="1:6" s="2" customFormat="1" ht="15" x14ac:dyDescent="0.2">
      <c r="A13" s="1"/>
      <c r="B13" s="2" t="s">
        <v>9</v>
      </c>
      <c r="D13" s="1"/>
      <c r="E13" s="1"/>
    </row>
    <row r="14" spans="1:6" s="2" customFormat="1" ht="15" x14ac:dyDescent="0.2">
      <c r="A14" s="1"/>
      <c r="B14" s="18" t="s">
        <v>109</v>
      </c>
      <c r="F14" s="2" t="s">
        <v>10</v>
      </c>
    </row>
    <row r="15" spans="1:6" s="2" customFormat="1" ht="15" x14ac:dyDescent="0.2">
      <c r="A15" s="1"/>
      <c r="C15" s="5"/>
      <c r="D15" s="51">
        <v>2023</v>
      </c>
      <c r="E15" s="51">
        <v>2024</v>
      </c>
    </row>
    <row r="16" spans="1:6" s="2" customFormat="1" ht="15" x14ac:dyDescent="0.2">
      <c r="A16" s="1"/>
      <c r="C16" s="27" t="s">
        <v>107</v>
      </c>
      <c r="D16" s="17">
        <f>'E Rate Impacts_RY#1'!AB23*1000</f>
        <v>246985251.62432185</v>
      </c>
      <c r="E16" s="17">
        <f>'E Rate Impacts_RY#2'!W23*1000</f>
        <v>33135640</v>
      </c>
      <c r="F16" s="216" t="s">
        <v>287</v>
      </c>
    </row>
    <row r="17" spans="1:8" s="2" customFormat="1" ht="15" x14ac:dyDescent="0.2">
      <c r="A17" s="1"/>
      <c r="C17" s="5"/>
      <c r="D17" s="17"/>
    </row>
    <row r="18" spans="1:8" s="2" customFormat="1" ht="15" x14ac:dyDescent="0.2">
      <c r="A18" s="1"/>
      <c r="C18" s="5"/>
      <c r="D18" s="51">
        <v>2023</v>
      </c>
      <c r="E18" s="51"/>
    </row>
    <row r="19" spans="1:8" s="20" customFormat="1" ht="15" x14ac:dyDescent="0.2">
      <c r="A19" s="23"/>
      <c r="C19" s="71" t="s">
        <v>113</v>
      </c>
      <c r="D19" s="39">
        <f>'[1]Exh CTM-4 (Proforma KWh &amp; Rev)'!$J$42</f>
        <v>2669018501.8000002</v>
      </c>
      <c r="F19" s="216" t="s">
        <v>288</v>
      </c>
    </row>
    <row r="20" spans="1:8" s="2" customFormat="1" ht="15" x14ac:dyDescent="0.2">
      <c r="A20" s="1"/>
      <c r="B20" s="6"/>
      <c r="C20" s="5"/>
    </row>
    <row r="21" spans="1:8" s="2" customFormat="1" ht="15" customHeight="1" x14ac:dyDescent="0.2">
      <c r="A21" s="12" t="s">
        <v>20</v>
      </c>
      <c r="B21" s="226" t="s">
        <v>41</v>
      </c>
      <c r="C21" s="226"/>
      <c r="D21" s="226"/>
      <c r="E21" s="226"/>
    </row>
    <row r="22" spans="1:8" s="2" customFormat="1" ht="15" x14ac:dyDescent="0.2">
      <c r="A22" s="12"/>
      <c r="B22" s="226"/>
      <c r="C22" s="226"/>
      <c r="D22" s="226"/>
      <c r="E22" s="226"/>
    </row>
    <row r="23" spans="1:8" s="2" customFormat="1" ht="15" x14ac:dyDescent="0.2">
      <c r="A23" s="1"/>
      <c r="B23" s="224"/>
      <c r="C23" s="224"/>
      <c r="D23" s="51">
        <v>2025</v>
      </c>
      <c r="E23" s="51">
        <v>2026</v>
      </c>
      <c r="G23" s="10"/>
      <c r="H23" s="10"/>
    </row>
    <row r="24" spans="1:8" s="2" customFormat="1" ht="15" x14ac:dyDescent="0.2">
      <c r="A24" s="1"/>
      <c r="B24" s="224" t="s">
        <v>71</v>
      </c>
      <c r="C24" s="224"/>
      <c r="D24" s="17">
        <f>'[2]Exh CTM-8 (Rate Impacts_RY#1)'!$E$24</f>
        <v>2851103552.6645579</v>
      </c>
      <c r="E24" s="17">
        <f>'[2]Exh CTM-8 (Rate Impacts_RY#1)'!$E$24+'[2]Exh CTM-8 (Rate Impacts_RY#2)'!$F$24</f>
        <v>2873492633.6528234</v>
      </c>
      <c r="F24" s="216" t="s">
        <v>289</v>
      </c>
      <c r="G24" s="10"/>
    </row>
    <row r="25" spans="1:8" s="2" customFormat="1" ht="15" x14ac:dyDescent="0.2">
      <c r="A25" s="1"/>
      <c r="B25" s="151"/>
      <c r="C25" s="151"/>
      <c r="D25" s="58"/>
      <c r="G25" s="10"/>
    </row>
    <row r="26" spans="1:8" s="2" customFormat="1" ht="15" x14ac:dyDescent="0.2">
      <c r="A26" s="1"/>
      <c r="B26" s="224"/>
      <c r="C26" s="224"/>
      <c r="D26" s="51">
        <v>2025</v>
      </c>
      <c r="E26" s="51">
        <v>2026</v>
      </c>
      <c r="F26" s="2" t="s">
        <v>10</v>
      </c>
      <c r="G26" s="10"/>
      <c r="H26" s="10"/>
    </row>
    <row r="27" spans="1:8" s="2" customFormat="1" ht="15" x14ac:dyDescent="0.2">
      <c r="A27" s="1"/>
      <c r="B27" s="224" t="s">
        <v>72</v>
      </c>
      <c r="C27" s="224"/>
      <c r="D27" s="17">
        <f>'[2]Exh CTM-8 (Rate Impacts_RY#1)'!$AK$24</f>
        <v>3043321591.5390406</v>
      </c>
      <c r="E27" s="10">
        <f>SUM('[2]Exh CTM-8 (Rate Impacts_RY#2)'!$G$24+'[2]Exh CTM-8 (Rate Impacts_RY#2)'!$H$24)</f>
        <v>3325612596.527307</v>
      </c>
      <c r="F27" s="216" t="s">
        <v>289</v>
      </c>
      <c r="H27" s="10"/>
    </row>
    <row r="28" spans="1:8" s="2" customFormat="1" ht="15" x14ac:dyDescent="0.2">
      <c r="A28" s="1"/>
      <c r="B28" s="24"/>
      <c r="C28" s="20"/>
      <c r="D28" s="17"/>
      <c r="E28" s="17"/>
      <c r="H28" s="10"/>
    </row>
    <row r="29" spans="1:8" s="20" customFormat="1" ht="15" x14ac:dyDescent="0.2">
      <c r="A29" s="61" t="s">
        <v>21</v>
      </c>
      <c r="B29" s="25" t="s">
        <v>40</v>
      </c>
      <c r="D29" s="17"/>
      <c r="E29" s="17"/>
    </row>
    <row r="30" spans="1:8" s="20" customFormat="1" ht="15" x14ac:dyDescent="0.2">
      <c r="A30" s="23"/>
      <c r="D30" s="51">
        <f>D$26</f>
        <v>2025</v>
      </c>
      <c r="E30" s="51">
        <f>E$26</f>
        <v>2026</v>
      </c>
    </row>
    <row r="31" spans="1:8" s="20" customFormat="1" ht="15" x14ac:dyDescent="0.2">
      <c r="A31" s="23"/>
      <c r="B31" s="20" t="s">
        <v>1</v>
      </c>
      <c r="C31" s="73" t="s">
        <v>96</v>
      </c>
      <c r="D31" s="62">
        <f>'[2]Exh CTM-8 (Rate Impacts_RY#1)'!AI10</f>
        <v>6.9196999921477667E-2</v>
      </c>
      <c r="E31" s="62">
        <f>'[2]Exh CTM-8 (Rate Impacts_RY#2)'!I10</f>
        <v>8.7853522569833253E-2</v>
      </c>
      <c r="F31" s="216" t="s">
        <v>289</v>
      </c>
    </row>
    <row r="32" spans="1:8" s="20" customFormat="1" ht="15" x14ac:dyDescent="0.2">
      <c r="A32" s="23"/>
      <c r="B32" s="20" t="s">
        <v>58</v>
      </c>
      <c r="C32" s="73" t="s">
        <v>97</v>
      </c>
      <c r="D32" s="62">
        <f>'[2]Exh CTM-8 (Rate Impacts_RY#1)'!AI11</f>
        <v>7.8304169712582708E-2</v>
      </c>
      <c r="E32" s="62">
        <f>'[2]Exh CTM-8 (Rate Impacts_RY#2)'!I11</f>
        <v>8.4928357063868309E-2</v>
      </c>
      <c r="F32" s="216" t="s">
        <v>289</v>
      </c>
    </row>
    <row r="33" spans="1:6" s="20" customFormat="1" ht="15" x14ac:dyDescent="0.2">
      <c r="A33" s="23"/>
      <c r="B33" s="20" t="s">
        <v>59</v>
      </c>
      <c r="C33" s="73" t="s">
        <v>98</v>
      </c>
      <c r="D33" s="62">
        <f>'[2]Exh CTM-8 (Rate Impacts_RY#1)'!AI12</f>
        <v>5.6134288300362871E-2</v>
      </c>
      <c r="E33" s="62">
        <f>'[2]Exh CTM-8 (Rate Impacts_RY#2)'!I12</f>
        <v>8.0641535210449228E-2</v>
      </c>
      <c r="F33" s="216" t="s">
        <v>289</v>
      </c>
    </row>
    <row r="34" spans="1:6" s="20" customFormat="1" ht="15" x14ac:dyDescent="0.2">
      <c r="A34" s="23"/>
      <c r="B34" s="20" t="s">
        <v>60</v>
      </c>
      <c r="C34" s="73" t="s">
        <v>99</v>
      </c>
      <c r="D34" s="62">
        <f>'[2]Exh CTM-8 (Rate Impacts_RY#1)'!AI13</f>
        <v>5.469144289009456E-2</v>
      </c>
      <c r="E34" s="62">
        <f>'[2]Exh CTM-8 (Rate Impacts_RY#2)'!I13</f>
        <v>8.1844086033646971E-2</v>
      </c>
      <c r="F34" s="216" t="s">
        <v>289</v>
      </c>
    </row>
    <row r="35" spans="1:6" s="20" customFormat="1" ht="15" x14ac:dyDescent="0.2">
      <c r="A35" s="23"/>
      <c r="B35" s="20" t="s">
        <v>61</v>
      </c>
      <c r="C35" s="73" t="s">
        <v>100</v>
      </c>
      <c r="D35" s="62">
        <f>'[2]Exh CTM-8 (Rate Impacts_RY#1)'!AI14</f>
        <v>5.4839590770532812E-2</v>
      </c>
      <c r="E35" s="62">
        <f>'[2]Exh CTM-8 (Rate Impacts_RY#2)'!I14</f>
        <v>8.1049638754509101E-2</v>
      </c>
      <c r="F35" s="216" t="s">
        <v>289</v>
      </c>
    </row>
    <row r="36" spans="1:6" s="20" customFormat="1" ht="15" x14ac:dyDescent="0.2">
      <c r="A36" s="23"/>
      <c r="B36" s="20" t="s">
        <v>62</v>
      </c>
      <c r="C36" s="73" t="s">
        <v>101</v>
      </c>
      <c r="D36" s="62">
        <f>'[2]Exh CTM-8 (Rate Impacts_RY#1)'!AI15</f>
        <v>5.8051540783999385E-2</v>
      </c>
      <c r="E36" s="62">
        <f>'[2]Exh CTM-8 (Rate Impacts_RY#2)'!I15</f>
        <v>8.2159313420359495E-2</v>
      </c>
      <c r="F36" s="216" t="s">
        <v>289</v>
      </c>
    </row>
    <row r="37" spans="1:6" s="20" customFormat="1" ht="15" x14ac:dyDescent="0.2">
      <c r="A37" s="23"/>
      <c r="B37" s="20" t="s">
        <v>63</v>
      </c>
      <c r="C37" s="73" t="s">
        <v>102</v>
      </c>
      <c r="D37" s="62">
        <f>'[2]Exh CTM-8 (Rate Impacts_RY#1)'!AI16</f>
        <v>0.13300715487370277</v>
      </c>
      <c r="E37" s="62">
        <f>'[2]Exh CTM-8 (Rate Impacts_RY#2)'!I16</f>
        <v>0.10270394147028805</v>
      </c>
      <c r="F37" s="216" t="s">
        <v>289</v>
      </c>
    </row>
    <row r="38" spans="1:6" s="20" customFormat="1" ht="15" x14ac:dyDescent="0.2">
      <c r="A38" s="23"/>
      <c r="B38" s="20" t="s">
        <v>64</v>
      </c>
      <c r="C38" s="73">
        <v>43</v>
      </c>
      <c r="D38" s="62">
        <f>'[2]Exh CTM-8 (Rate Impacts_RY#1)'!AI17</f>
        <v>7.2785624071709354E-2</v>
      </c>
      <c r="E38" s="62">
        <f>'[2]Exh CTM-8 (Rate Impacts_RY#2)'!I17</f>
        <v>8.5137291879391244E-2</v>
      </c>
      <c r="F38" s="216" t="s">
        <v>289</v>
      </c>
    </row>
    <row r="39" spans="1:6" s="20" customFormat="1" ht="15" x14ac:dyDescent="0.2">
      <c r="A39" s="23"/>
      <c r="B39" s="20" t="s">
        <v>65</v>
      </c>
      <c r="C39" s="73">
        <v>46</v>
      </c>
      <c r="D39" s="62">
        <f>'[2]Exh CTM-8 (Rate Impacts_RY#1)'!AI18</f>
        <v>4.7763827836913554E-2</v>
      </c>
      <c r="E39" s="62">
        <f>'[2]Exh CTM-8 (Rate Impacts_RY#2)'!I18</f>
        <v>7.7884392749647716E-2</v>
      </c>
      <c r="F39" s="216" t="s">
        <v>289</v>
      </c>
    </row>
    <row r="40" spans="1:6" s="20" customFormat="1" ht="15" x14ac:dyDescent="0.2">
      <c r="A40" s="23"/>
      <c r="B40" s="20" t="s">
        <v>66</v>
      </c>
      <c r="C40" s="73">
        <v>49</v>
      </c>
      <c r="D40" s="62">
        <f>'[2]Exh CTM-8 (Rate Impacts_RY#1)'!AI19</f>
        <v>5.4390472271986699E-2</v>
      </c>
      <c r="E40" s="62">
        <f>'[2]Exh CTM-8 (Rate Impacts_RY#2)'!I19</f>
        <v>7.5614901742644042E-2</v>
      </c>
      <c r="F40" s="216" t="s">
        <v>289</v>
      </c>
    </row>
    <row r="41" spans="1:6" s="20" customFormat="1" ht="15" x14ac:dyDescent="0.2">
      <c r="A41" s="23"/>
      <c r="B41" s="20" t="s">
        <v>67</v>
      </c>
      <c r="C41" s="73" t="s">
        <v>103</v>
      </c>
      <c r="D41" s="62">
        <f>'[2]Exh CTM-8 (Rate Impacts_RY#1)'!AI20</f>
        <v>-1.5195412412640893E-4</v>
      </c>
      <c r="E41" s="62">
        <f>'[2]Exh CTM-8 (Rate Impacts_RY#2)'!I20</f>
        <v>8.87021472558438E-2</v>
      </c>
      <c r="F41" s="216" t="s">
        <v>289</v>
      </c>
    </row>
    <row r="42" spans="1:6" s="20" customFormat="1" ht="15" x14ac:dyDescent="0.2">
      <c r="A42" s="23"/>
      <c r="B42" s="20" t="s">
        <v>47</v>
      </c>
      <c r="C42" s="73" t="s">
        <v>104</v>
      </c>
      <c r="D42" s="62">
        <f>'[2]Exh CTM-8 (Rate Impacts_RY#1)'!AI21</f>
        <v>4.6720694766749837E-2</v>
      </c>
      <c r="E42" s="62">
        <f>'[2]Exh CTM-8 (Rate Impacts_RY#2)'!I21</f>
        <v>0</v>
      </c>
      <c r="F42" s="216" t="s">
        <v>289</v>
      </c>
    </row>
    <row r="43" spans="1:6" s="20" customFormat="1" ht="15" x14ac:dyDescent="0.2">
      <c r="A43" s="23"/>
      <c r="B43" s="20" t="s">
        <v>15</v>
      </c>
      <c r="C43" s="73" t="s">
        <v>95</v>
      </c>
      <c r="D43" s="62">
        <f>'[2]Exh CTM-8 (Rate Impacts_RY#1)'!AI22</f>
        <v>0.72657877988143393</v>
      </c>
      <c r="E43" s="62">
        <f>'[2]Exh CTM-8 (Rate Impacts_RY#2)'!I22</f>
        <v>4.7898123001003184E-2</v>
      </c>
      <c r="F43" s="216" t="s">
        <v>289</v>
      </c>
    </row>
    <row r="44" spans="1:6" s="20" customFormat="1" ht="15" x14ac:dyDescent="0.2">
      <c r="A44" s="23"/>
      <c r="B44" s="51" t="s">
        <v>57</v>
      </c>
      <c r="C44" s="73">
        <v>5</v>
      </c>
      <c r="D44" s="63">
        <f>'[2]Exh CTM-8 (Rate Impacts_RY#1)'!AI23</f>
        <v>1.469318230928278</v>
      </c>
      <c r="E44" s="63">
        <f>'[2]Exh CTM-8 (Rate Impacts_RY#2)'!I23</f>
        <v>0</v>
      </c>
      <c r="F44" s="216" t="s">
        <v>289</v>
      </c>
    </row>
    <row r="45" spans="1:6" s="20" customFormat="1" ht="15" x14ac:dyDescent="0.2">
      <c r="A45" s="23"/>
      <c r="B45" s="20" t="s">
        <v>50</v>
      </c>
      <c r="D45" s="62">
        <f>'[2]Exh CTM-8 (Rate Impacts_RY#1)'!AI24</f>
        <v>6.7418820580838673E-2</v>
      </c>
      <c r="E45" s="62">
        <f>'[2]Exh CTM-8 (Rate Impacts_RY#2)'!I24</f>
        <v>8.4777055554868239E-2</v>
      </c>
      <c r="F45" s="216" t="s">
        <v>289</v>
      </c>
    </row>
    <row r="46" spans="1:6" s="2" customFormat="1" ht="15" x14ac:dyDescent="0.2">
      <c r="A46" s="1"/>
      <c r="B46" s="20"/>
      <c r="C46" s="20"/>
      <c r="D46" s="19"/>
      <c r="E46" s="17"/>
    </row>
    <row r="47" spans="1:6" s="2" customFormat="1" ht="15" x14ac:dyDescent="0.2">
      <c r="A47" s="11" t="s">
        <v>22</v>
      </c>
      <c r="B47" s="25" t="s">
        <v>39</v>
      </c>
      <c r="C47" s="20"/>
      <c r="D47" s="16"/>
      <c r="E47" s="16"/>
    </row>
    <row r="48" spans="1:6" s="2" customFormat="1" ht="15" x14ac:dyDescent="0.2">
      <c r="A48" s="1"/>
      <c r="B48" s="20"/>
      <c r="C48" s="20"/>
      <c r="D48" s="51">
        <f>D$26</f>
        <v>2025</v>
      </c>
      <c r="E48" s="51">
        <f>E$26</f>
        <v>2026</v>
      </c>
    </row>
    <row r="49" spans="1:6" s="2" customFormat="1" ht="15" x14ac:dyDescent="0.2">
      <c r="A49" s="1"/>
      <c r="B49" s="20" t="str">
        <f>B31</f>
        <v>Residential</v>
      </c>
      <c r="C49" s="73" t="s">
        <v>96</v>
      </c>
      <c r="D49" s="52">
        <f>'[2]Exh CTM-8 (Rate Impacts_RY#1)'!AH10</f>
        <v>108884874.0680659</v>
      </c>
      <c r="E49" s="52">
        <f>'[2]Exh CTM-8 (Rate Impacts_RY#2)'!H10</f>
        <v>149355197.03339386</v>
      </c>
      <c r="F49" s="216" t="s">
        <v>289</v>
      </c>
    </row>
    <row r="50" spans="1:6" s="2" customFormat="1" ht="15" x14ac:dyDescent="0.2">
      <c r="A50" s="1"/>
      <c r="B50" s="20" t="str">
        <f t="shared" ref="B50:B62" si="0">B32</f>
        <v>Sec Volt Gen Svc</v>
      </c>
      <c r="C50" s="73" t="s">
        <v>97</v>
      </c>
      <c r="D50" s="52">
        <f>'[2]Exh CTM-8 (Rate Impacts_RY#1)'!AH11</f>
        <v>29004038.442589164</v>
      </c>
      <c r="E50" s="52">
        <f>'[2]Exh CTM-8 (Rate Impacts_RY#2)'!H11</f>
        <v>34040192.49403353</v>
      </c>
      <c r="F50" s="216" t="s">
        <v>289</v>
      </c>
    </row>
    <row r="51" spans="1:6" s="2" customFormat="1" ht="15" x14ac:dyDescent="0.2">
      <c r="A51" s="1"/>
      <c r="B51" s="20" t="str">
        <f t="shared" si="0"/>
        <v>Sec Volt Gen Med Dem Svc</v>
      </c>
      <c r="C51" s="73" t="s">
        <v>98</v>
      </c>
      <c r="D51" s="52">
        <f>'[2]Exh CTM-8 (Rate Impacts_RY#1)'!AH12</f>
        <v>21797335.39786759</v>
      </c>
      <c r="E51" s="52">
        <f>'[2]Exh CTM-8 (Rate Impacts_RY#2)'!H12</f>
        <v>33130966.507643618</v>
      </c>
      <c r="F51" s="216" t="s">
        <v>289</v>
      </c>
    </row>
    <row r="52" spans="1:6" s="2" customFormat="1" ht="15" x14ac:dyDescent="0.2">
      <c r="A52" s="1"/>
      <c r="B52" s="20" t="str">
        <f t="shared" si="0"/>
        <v>Sec Volt Gen Lg Dem Svc</v>
      </c>
      <c r="C52" s="73" t="s">
        <v>99</v>
      </c>
      <c r="D52" s="52">
        <f>'[2]Exh CTM-8 (Rate Impacts_RY#1)'!AH13</f>
        <v>13007616.925204327</v>
      </c>
      <c r="E52" s="52">
        <f>'[2]Exh CTM-8 (Rate Impacts_RY#2)'!H13</f>
        <v>20821961.690108303</v>
      </c>
      <c r="F52" s="216" t="s">
        <v>289</v>
      </c>
    </row>
    <row r="53" spans="1:6" s="2" customFormat="1" ht="15" x14ac:dyDescent="0.2">
      <c r="A53" s="1"/>
      <c r="B53" s="20" t="str">
        <f t="shared" si="0"/>
        <v>Sec Volt Irrig &amp; Pump Svc</v>
      </c>
      <c r="C53" s="73" t="s">
        <v>100</v>
      </c>
      <c r="D53" s="52">
        <f>'[2]Exh CTM-8 (Rate Impacts_RY#1)'!AH14</f>
        <v>94770.987070452917</v>
      </c>
      <c r="E53" s="52">
        <f>'[2]Exh CTM-8 (Rate Impacts_RY#2)'!H14</f>
        <v>147263.01954256935</v>
      </c>
      <c r="F53" s="216" t="s">
        <v>289</v>
      </c>
    </row>
    <row r="54" spans="1:6" s="2" customFormat="1" ht="15" x14ac:dyDescent="0.2">
      <c r="A54" s="1"/>
      <c r="B54" s="20" t="str">
        <f t="shared" si="0"/>
        <v>Pri Volt Gen Svc</v>
      </c>
      <c r="C54" s="73" t="s">
        <v>101</v>
      </c>
      <c r="D54" s="52">
        <f>'[2]Exh CTM-8 (Rate Impacts_RY#1)'!AH15</f>
        <v>9406794.8725212719</v>
      </c>
      <c r="E54" s="52">
        <f>'[2]Exh CTM-8 (Rate Impacts_RY#2)'!H15</f>
        <v>13996740.487509873</v>
      </c>
      <c r="F54" s="216" t="s">
        <v>289</v>
      </c>
    </row>
    <row r="55" spans="1:6" s="2" customFormat="1" ht="15" x14ac:dyDescent="0.2">
      <c r="A55" s="1"/>
      <c r="B55" s="20" t="str">
        <f t="shared" si="0"/>
        <v>Pri Volt Irrig &amp; Pump Svc</v>
      </c>
      <c r="C55" s="73" t="s">
        <v>102</v>
      </c>
      <c r="D55" s="52">
        <f>'[2]Exh CTM-8 (Rate Impacts_RY#1)'!AH16</f>
        <v>55670.316767550205</v>
      </c>
      <c r="E55" s="52">
        <f>'[2]Exh CTM-8 (Rate Impacts_RY#2)'!H16</f>
        <v>48536.218996328476</v>
      </c>
      <c r="F55" s="216" t="s">
        <v>289</v>
      </c>
    </row>
    <row r="56" spans="1:6" s="2" customFormat="1" ht="15" x14ac:dyDescent="0.2">
      <c r="A56" s="1"/>
      <c r="B56" s="20" t="str">
        <f t="shared" si="0"/>
        <v>Pri Volt Interr Elec Sch</v>
      </c>
      <c r="C56" s="73">
        <v>43</v>
      </c>
      <c r="D56" s="52">
        <f>'[2]Exh CTM-8 (Rate Impacts_RY#1)'!AH17</f>
        <v>1039823.0707038346</v>
      </c>
      <c r="E56" s="52">
        <f>'[2]Exh CTM-8 (Rate Impacts_RY#2)'!H17</f>
        <v>1299119.5903784402</v>
      </c>
      <c r="F56" s="216" t="s">
        <v>289</v>
      </c>
    </row>
    <row r="57" spans="1:6" s="2" customFormat="1" ht="15" x14ac:dyDescent="0.2">
      <c r="A57" s="1"/>
      <c r="B57" s="20" t="str">
        <f t="shared" si="0"/>
        <v>High Volt Interr Svc</v>
      </c>
      <c r="C57" s="73">
        <v>46</v>
      </c>
      <c r="D57" s="52">
        <f>'[2]Exh CTM-8 (Rate Impacts_RY#1)'!AH18</f>
        <v>404803.21882812976</v>
      </c>
      <c r="E57" s="52">
        <f>'[2]Exh CTM-8 (Rate Impacts_RY#2)'!H18</f>
        <v>691310.45979805849</v>
      </c>
      <c r="F57" s="216" t="s">
        <v>289</v>
      </c>
    </row>
    <row r="58" spans="1:6" s="2" customFormat="1" ht="15" x14ac:dyDescent="0.2">
      <c r="A58" s="1"/>
      <c r="B58" s="20" t="str">
        <f t="shared" si="0"/>
        <v>High Volt Gen Svc</v>
      </c>
      <c r="C58" s="73">
        <v>49</v>
      </c>
      <c r="D58" s="52">
        <f>'[2]Exh CTM-8 (Rate Impacts_RY#1)'!AH19</f>
        <v>2592868.6057845028</v>
      </c>
      <c r="E58" s="52">
        <f>'[2]Exh CTM-8 (Rate Impacts_RY#2)'!H19</f>
        <v>3799319.1063174531</v>
      </c>
      <c r="F58" s="216" t="s">
        <v>289</v>
      </c>
    </row>
    <row r="59" spans="1:6" s="2" customFormat="1" ht="15" x14ac:dyDescent="0.2">
      <c r="A59" s="1"/>
      <c r="B59" s="20" t="str">
        <f t="shared" si="0"/>
        <v>Area &amp; Street Lighting</v>
      </c>
      <c r="C59" s="73" t="s">
        <v>103</v>
      </c>
      <c r="D59" s="52">
        <f>'[2]Exh CTM-8 (Rate Impacts_RY#1)'!AH20</f>
        <v>-3522.8209666447365</v>
      </c>
      <c r="E59" s="52">
        <f>'[2]Exh CTM-8 (Rate Impacts_RY#2)'!H20</f>
        <v>2051066.7858875326</v>
      </c>
      <c r="F59" s="216" t="s">
        <v>289</v>
      </c>
    </row>
    <row r="60" spans="1:6" s="2" customFormat="1" ht="15" x14ac:dyDescent="0.2">
      <c r="A60" s="1"/>
      <c r="B60" s="20" t="str">
        <f t="shared" si="0"/>
        <v>Retail Wheeling</v>
      </c>
      <c r="C60" s="73" t="s">
        <v>104</v>
      </c>
      <c r="D60" s="52">
        <f>'[2]Exh CTM-8 (Rate Impacts_RY#1)'!AH21</f>
        <v>775772.15479512466</v>
      </c>
      <c r="E60" s="52">
        <f>'[2]Exh CTM-8 (Rate Impacts_RY#2)'!H21</f>
        <v>0</v>
      </c>
      <c r="F60" s="216" t="s">
        <v>289</v>
      </c>
    </row>
    <row r="61" spans="1:6" s="2" customFormat="1" ht="15" x14ac:dyDescent="0.2">
      <c r="A61" s="1"/>
      <c r="B61" s="20" t="str">
        <f t="shared" si="0"/>
        <v>Special Contract</v>
      </c>
      <c r="C61" s="73" t="s">
        <v>95</v>
      </c>
      <c r="D61" s="52">
        <f>'[2]Exh CTM-8 (Rate Impacts_RY#1)'!AH22</f>
        <v>4440891.9569795784</v>
      </c>
      <c r="E61" s="52">
        <f>'[2]Exh CTM-8 (Rate Impacts_RY#2)'!H22</f>
        <v>520250.60639040545</v>
      </c>
      <c r="F61" s="216" t="s">
        <v>289</v>
      </c>
    </row>
    <row r="62" spans="1:6" s="2" customFormat="1" ht="17.25" x14ac:dyDescent="0.35">
      <c r="A62" s="1"/>
      <c r="B62" s="51" t="str">
        <f t="shared" si="0"/>
        <v>Firm Resale</v>
      </c>
      <c r="C62" s="73">
        <v>5</v>
      </c>
      <c r="D62" s="60">
        <f>'[2]Exh CTM-8 (Rate Impacts_RY#1)'!AH23</f>
        <v>716301.67827279621</v>
      </c>
      <c r="E62" s="60">
        <f>'[2]Exh CTM-8 (Rate Impacts_RY#2)'!H23</f>
        <v>0</v>
      </c>
      <c r="F62" s="216" t="s">
        <v>289</v>
      </c>
    </row>
    <row r="63" spans="1:6" s="2" customFormat="1" ht="15" x14ac:dyDescent="0.2">
      <c r="A63" s="1"/>
      <c r="B63" s="20" t="s">
        <v>68</v>
      </c>
      <c r="C63" s="20"/>
      <c r="D63" s="17">
        <f>SUM(D49:D62)</f>
        <v>192218038.87448356</v>
      </c>
      <c r="E63" s="17">
        <f>SUM(E49:E62)</f>
        <v>259901923.99999997</v>
      </c>
      <c r="F63" s="216" t="s">
        <v>289</v>
      </c>
    </row>
    <row r="64" spans="1:6" s="2" customFormat="1" ht="15" x14ac:dyDescent="0.2">
      <c r="A64" s="1"/>
      <c r="B64" s="65"/>
      <c r="C64" s="20"/>
      <c r="E64" s="17"/>
    </row>
    <row r="65" spans="1:5" s="2" customFormat="1" ht="15" x14ac:dyDescent="0.2">
      <c r="A65" s="1"/>
      <c r="B65" s="20"/>
      <c r="C65" s="20"/>
      <c r="D65" s="50"/>
      <c r="E65" s="26"/>
    </row>
    <row r="66" spans="1:5" s="20" customFormat="1" ht="45.75" customHeight="1" x14ac:dyDescent="0.2">
      <c r="A66" s="64" t="s">
        <v>23</v>
      </c>
      <c r="B66" s="222" t="s">
        <v>43</v>
      </c>
      <c r="C66" s="222"/>
      <c r="D66" s="222"/>
      <c r="E66" s="222"/>
    </row>
    <row r="67" spans="1:5" s="2" customFormat="1" ht="15" x14ac:dyDescent="0.2">
      <c r="A67" s="1"/>
      <c r="B67" s="20"/>
      <c r="C67" s="20"/>
      <c r="D67" s="16"/>
      <c r="E67" s="16"/>
    </row>
    <row r="68" spans="1:5" s="2" customFormat="1" ht="15" x14ac:dyDescent="0.2">
      <c r="A68" s="1"/>
      <c r="B68" s="20" t="s">
        <v>48</v>
      </c>
      <c r="C68" s="20"/>
      <c r="D68" s="51">
        <f>D$26</f>
        <v>2025</v>
      </c>
      <c r="E68" s="51">
        <f>E$26</f>
        <v>2026</v>
      </c>
    </row>
    <row r="69" spans="1:5" s="2" customFormat="1" ht="15" x14ac:dyDescent="0.2">
      <c r="A69" s="1"/>
      <c r="B69" s="20" t="str">
        <f t="shared" ref="B69:B78" si="1">B49</f>
        <v>Residential</v>
      </c>
      <c r="C69" s="73" t="s">
        <v>96</v>
      </c>
      <c r="D69" s="47">
        <f t="shared" ref="D69:E82" si="2">(+D49/D90)/12</f>
        <v>8.2542362332822545</v>
      </c>
      <c r="E69" s="47">
        <f t="shared" si="2"/>
        <v>11.202961726988326</v>
      </c>
    </row>
    <row r="70" spans="1:5" s="2" customFormat="1" ht="15" x14ac:dyDescent="0.2">
      <c r="A70" s="1"/>
      <c r="B70" s="20" t="str">
        <f t="shared" si="1"/>
        <v>Sec Volt Gen Svc</v>
      </c>
      <c r="C70" s="73" t="s">
        <v>97</v>
      </c>
      <c r="D70" s="47">
        <f t="shared" si="2"/>
        <v>18.718294820193226</v>
      </c>
      <c r="E70" s="47">
        <f t="shared" si="2"/>
        <v>21.725773271223034</v>
      </c>
    </row>
    <row r="71" spans="1:5" s="2" customFormat="1" ht="15" x14ac:dyDescent="0.2">
      <c r="A71" s="1"/>
      <c r="B71" s="20" t="str">
        <f t="shared" si="1"/>
        <v>Sec Volt Gen Med Dem Svc</v>
      </c>
      <c r="C71" s="73" t="s">
        <v>98</v>
      </c>
      <c r="D71" s="47">
        <f t="shared" si="2"/>
        <v>215.02474120500577</v>
      </c>
      <c r="E71" s="47">
        <f t="shared" si="2"/>
        <v>320.24448167234868</v>
      </c>
    </row>
    <row r="72" spans="1:5" s="2" customFormat="1" ht="15" x14ac:dyDescent="0.2">
      <c r="A72" s="1"/>
      <c r="B72" s="20" t="str">
        <f t="shared" si="1"/>
        <v>Sec Volt Gen Lg Dem Svc</v>
      </c>
      <c r="C72" s="73" t="s">
        <v>99</v>
      </c>
      <c r="D72" s="47">
        <f t="shared" si="2"/>
        <v>1033.3970691910479</v>
      </c>
      <c r="E72" s="47">
        <f t="shared" si="2"/>
        <v>1423.5749484059654</v>
      </c>
    </row>
    <row r="73" spans="1:5" s="2" customFormat="1" ht="15" x14ac:dyDescent="0.2">
      <c r="A73" s="1"/>
      <c r="B73" s="20" t="str">
        <f t="shared" si="1"/>
        <v>Sec Volt Irrig &amp; Pump Svc</v>
      </c>
      <c r="C73" s="73" t="s">
        <v>100</v>
      </c>
      <c r="D73" s="47">
        <f t="shared" si="2"/>
        <v>12.809400094674352</v>
      </c>
      <c r="E73" s="47">
        <f t="shared" si="2"/>
        <v>19.882701694378838</v>
      </c>
    </row>
    <row r="74" spans="1:5" s="2" customFormat="1" ht="15" x14ac:dyDescent="0.2">
      <c r="A74" s="1"/>
      <c r="B74" s="20" t="str">
        <f t="shared" si="1"/>
        <v>Pri Volt Gen Svc</v>
      </c>
      <c r="C74" s="73" t="s">
        <v>101</v>
      </c>
      <c r="D74" s="47">
        <f t="shared" si="2"/>
        <v>1529.0355459381044</v>
      </c>
      <c r="E74" s="47">
        <f t="shared" si="2"/>
        <v>2274.664813061871</v>
      </c>
    </row>
    <row r="75" spans="1:5" s="2" customFormat="1" ht="15" x14ac:dyDescent="0.2">
      <c r="A75" s="1"/>
      <c r="B75" s="20" t="str">
        <f t="shared" si="1"/>
        <v>Pri Volt Irrig &amp; Pump Svc</v>
      </c>
      <c r="C75" s="73" t="s">
        <v>102</v>
      </c>
      <c r="D75" s="47">
        <f t="shared" si="2"/>
        <v>4639.193063962517</v>
      </c>
      <c r="E75" s="47">
        <f t="shared" si="2"/>
        <v>4044.6849163607062</v>
      </c>
    </row>
    <row r="76" spans="1:5" s="2" customFormat="1" ht="15" x14ac:dyDescent="0.2">
      <c r="A76" s="1"/>
      <c r="B76" s="20" t="str">
        <f t="shared" si="1"/>
        <v>Pri Volt Interr Elec Sch</v>
      </c>
      <c r="C76" s="73">
        <v>43</v>
      </c>
      <c r="D76" s="47">
        <f t="shared" si="2"/>
        <v>606.54778875936063</v>
      </c>
      <c r="E76" s="47">
        <f t="shared" si="2"/>
        <v>761.93356737326656</v>
      </c>
    </row>
    <row r="77" spans="1:5" s="2" customFormat="1" ht="15" x14ac:dyDescent="0.2">
      <c r="A77" s="1"/>
      <c r="B77" s="20" t="str">
        <f t="shared" si="1"/>
        <v>High Volt Interr Svc</v>
      </c>
      <c r="C77" s="73">
        <v>46</v>
      </c>
      <c r="D77" s="47">
        <f t="shared" si="2"/>
        <v>5622.2669281684684</v>
      </c>
      <c r="E77" s="47">
        <f t="shared" si="2"/>
        <v>9601.5341638619229</v>
      </c>
    </row>
    <row r="78" spans="1:5" s="2" customFormat="1" ht="15" x14ac:dyDescent="0.2">
      <c r="A78" s="1"/>
      <c r="B78" s="20" t="str">
        <f t="shared" si="1"/>
        <v>High Volt Gen Svc</v>
      </c>
      <c r="C78" s="73">
        <v>49</v>
      </c>
      <c r="D78" s="47">
        <f t="shared" si="2"/>
        <v>12710.140224433837</v>
      </c>
      <c r="E78" s="47">
        <f t="shared" si="2"/>
        <v>18624.113266262026</v>
      </c>
    </row>
    <row r="79" spans="1:5" s="2" customFormat="1" ht="15" x14ac:dyDescent="0.2">
      <c r="A79" s="1"/>
      <c r="B79" s="20" t="s">
        <v>73</v>
      </c>
      <c r="C79" s="73" t="s">
        <v>103</v>
      </c>
      <c r="D79" s="47">
        <f t="shared" si="2"/>
        <v>-3.0651392744123266E-2</v>
      </c>
      <c r="E79" s="47">
        <f t="shared" si="2"/>
        <v>17.51135755890175</v>
      </c>
    </row>
    <row r="80" spans="1:5" s="2" customFormat="1" ht="15" x14ac:dyDescent="0.2">
      <c r="A80" s="1"/>
      <c r="B80" s="20" t="str">
        <f>B60</f>
        <v>Retail Wheeling</v>
      </c>
      <c r="C80" s="73" t="s">
        <v>104</v>
      </c>
      <c r="D80" s="47">
        <f t="shared" si="2"/>
        <v>4617.6913975900279</v>
      </c>
      <c r="E80" s="47">
        <f t="shared" si="2"/>
        <v>0</v>
      </c>
    </row>
    <row r="81" spans="1:6" s="2" customFormat="1" ht="15" x14ac:dyDescent="0.2">
      <c r="A81" s="1"/>
      <c r="B81" s="20" t="str">
        <f>B61</f>
        <v>Special Contract</v>
      </c>
      <c r="C81" s="73" t="s">
        <v>95</v>
      </c>
      <c r="D81" s="47">
        <f t="shared" si="2"/>
        <v>4513.1015822963191</v>
      </c>
      <c r="E81" s="47">
        <f t="shared" si="2"/>
        <v>528.70996584390798</v>
      </c>
    </row>
    <row r="82" spans="1:6" s="2" customFormat="1" ht="15" x14ac:dyDescent="0.2">
      <c r="A82" s="1"/>
      <c r="B82" s="20" t="str">
        <f>B62</f>
        <v>Firm Resale</v>
      </c>
      <c r="C82" s="73">
        <v>5</v>
      </c>
      <c r="D82" s="47">
        <f t="shared" si="2"/>
        <v>7461.4758153416269</v>
      </c>
      <c r="E82" s="47">
        <f t="shared" si="2"/>
        <v>0</v>
      </c>
    </row>
    <row r="83" spans="1:6" s="2" customFormat="1" ht="15" x14ac:dyDescent="0.2">
      <c r="A83" s="1"/>
      <c r="B83" s="217" t="s">
        <v>74</v>
      </c>
      <c r="C83" s="20"/>
      <c r="D83" s="16"/>
      <c r="E83" s="16"/>
    </row>
    <row r="84" spans="1:6" s="2" customFormat="1" ht="15" x14ac:dyDescent="0.2">
      <c r="A84" s="1"/>
      <c r="B84" s="20"/>
      <c r="C84" s="20"/>
      <c r="D84" s="51">
        <f>D$26</f>
        <v>2025</v>
      </c>
      <c r="E84" s="51">
        <f>E$26</f>
        <v>2026</v>
      </c>
    </row>
    <row r="85" spans="1:6" s="2" customFormat="1" ht="15" x14ac:dyDescent="0.2">
      <c r="A85" s="1"/>
      <c r="B85" s="20" t="s">
        <v>46</v>
      </c>
      <c r="C85" s="20"/>
      <c r="D85" s="48">
        <f>'[2]Exh CTM-8 (Res Bill Summary)'!$K$19</f>
        <v>7.8400000000000034</v>
      </c>
      <c r="E85" s="48">
        <f>'[2]Exh CTM-8 (Res Bill Summary)'!$L$19</f>
        <v>11.200000000000003</v>
      </c>
      <c r="F85" s="216" t="s">
        <v>289</v>
      </c>
    </row>
    <row r="86" spans="1:6" s="2" customFormat="1" ht="15" x14ac:dyDescent="0.2">
      <c r="A86" s="1"/>
      <c r="B86" s="20"/>
      <c r="C86" s="20"/>
      <c r="D86" s="16"/>
      <c r="E86" s="16"/>
    </row>
    <row r="87" spans="1:6" s="2" customFormat="1" ht="15" x14ac:dyDescent="0.2">
      <c r="A87" s="13"/>
      <c r="B87" s="16"/>
      <c r="C87" s="16"/>
      <c r="D87" s="16"/>
      <c r="E87" s="16"/>
    </row>
    <row r="88" spans="1:6" s="20" customFormat="1" ht="15" x14ac:dyDescent="0.2">
      <c r="A88" s="61" t="s">
        <v>24</v>
      </c>
      <c r="B88" s="25" t="s">
        <v>38</v>
      </c>
    </row>
    <row r="89" spans="1:6" s="2" customFormat="1" ht="15" x14ac:dyDescent="0.2">
      <c r="A89" s="1"/>
      <c r="B89" s="20"/>
      <c r="C89" s="74" t="s">
        <v>105</v>
      </c>
      <c r="D89" s="51">
        <f>D$26</f>
        <v>2025</v>
      </c>
      <c r="E89" s="51">
        <f>E$26</f>
        <v>2026</v>
      </c>
    </row>
    <row r="90" spans="1:6" s="2" customFormat="1" ht="15" x14ac:dyDescent="0.2">
      <c r="A90" s="1"/>
      <c r="B90" s="20" t="str">
        <f>B69</f>
        <v>Residential</v>
      </c>
      <c r="C90" s="42">
        <v>1071481.25</v>
      </c>
      <c r="D90" s="42">
        <f>AVERAGE('[3]F2023 Customer Data'!$C$32:$C$43)</f>
        <v>1099282.75</v>
      </c>
      <c r="E90" s="42">
        <f>AVERAGE('[3]F2023 Customer Data'!$C$44:$C$55)</f>
        <v>1110980</v>
      </c>
      <c r="F90" s="216" t="s">
        <v>290</v>
      </c>
    </row>
    <row r="91" spans="1:6" s="2" customFormat="1" ht="15" x14ac:dyDescent="0.2">
      <c r="A91" s="1"/>
      <c r="B91" s="20" t="str">
        <f t="shared" ref="B91:B103" si="3">B70</f>
        <v>Sec Volt Gen Svc</v>
      </c>
      <c r="C91" s="42">
        <v>125773.75</v>
      </c>
      <c r="D91" s="42">
        <f>AVERAGE('[3]F2023 Customer Data'!$E$32:$E$43)</f>
        <v>129125.18083333335</v>
      </c>
      <c r="E91" s="42">
        <f>AVERAGE('[3]F2023 Customer Data'!$E$44:$E$55)</f>
        <v>130567.62916666665</v>
      </c>
      <c r="F91" s="216" t="s">
        <v>290</v>
      </c>
    </row>
    <row r="92" spans="1:6" s="2" customFormat="1" ht="15" x14ac:dyDescent="0.2">
      <c r="A92" s="1"/>
      <c r="B92" s="20" t="str">
        <f t="shared" si="3"/>
        <v>Sec Volt Gen Med Dem Svc</v>
      </c>
      <c r="C92" s="42">
        <v>8157.916666666667</v>
      </c>
      <c r="D92" s="42">
        <f>AVERAGE('[3]F2023 Customer Data'!$D$32:$D$43)+AVERAGE('[3]F2023 Customer Data'!$F$32:$F$43)</f>
        <v>8447.6075000000001</v>
      </c>
      <c r="E92" s="42">
        <f>AVERAGE('[3]F2023 Customer Data'!$D$44:$D$55)+AVERAGE('[3]F2023 Customer Data'!$F$44:$F$55)</f>
        <v>8621.2691666666669</v>
      </c>
      <c r="F92" s="216" t="s">
        <v>290</v>
      </c>
    </row>
    <row r="93" spans="1:6" s="2" customFormat="1" ht="15" x14ac:dyDescent="0.2">
      <c r="A93" s="1"/>
      <c r="B93" s="20" t="str">
        <f t="shared" si="3"/>
        <v>Sec Volt Gen Lg Dem Svc</v>
      </c>
      <c r="C93" s="42">
        <v>853.58333333333337</v>
      </c>
      <c r="D93" s="42">
        <f>AVERAGE('[3]F2023 Customer Data'!$G$32:$G$43)</f>
        <v>1048.9366666666667</v>
      </c>
      <c r="E93" s="42">
        <f>AVERAGE('[3]F2023 Customer Data'!$G$44:$G$55)</f>
        <v>1218.8774999999998</v>
      </c>
      <c r="F93" s="216" t="s">
        <v>290</v>
      </c>
    </row>
    <row r="94" spans="1:6" s="2" customFormat="1" ht="15" x14ac:dyDescent="0.2">
      <c r="A94" s="1"/>
      <c r="B94" s="20" t="str">
        <f t="shared" si="3"/>
        <v>Sec Volt Irrig &amp; Pump Svc</v>
      </c>
      <c r="C94" s="42">
        <v>626.25</v>
      </c>
      <c r="D94" s="42">
        <f>AVERAGE('[3]F2023 Customer Data'!$H$32:$H$43)</f>
        <v>616.54583333333323</v>
      </c>
      <c r="E94" s="42">
        <f>AVERAGE('[3]F2023 Customer Data'!$H$44:$H$55)</f>
        <v>617.21583333333331</v>
      </c>
      <c r="F94" s="216" t="s">
        <v>290</v>
      </c>
    </row>
    <row r="95" spans="1:6" s="2" customFormat="1" ht="15" x14ac:dyDescent="0.2">
      <c r="A95" s="1"/>
      <c r="B95" s="20" t="str">
        <f t="shared" si="3"/>
        <v>Pri Volt Gen Svc</v>
      </c>
      <c r="C95" s="42">
        <v>501.25</v>
      </c>
      <c r="D95" s="42">
        <f>AVERAGE('[3]F2023 Customer Data'!$I$32:$I$43)</f>
        <v>512.67583333333334</v>
      </c>
      <c r="E95" s="42">
        <f>AVERAGE('[3]F2023 Customer Data'!$I$44:$I$55)</f>
        <v>512.77666666666676</v>
      </c>
      <c r="F95" s="216" t="s">
        <v>290</v>
      </c>
    </row>
    <row r="96" spans="1:6" s="2" customFormat="1" ht="15" x14ac:dyDescent="0.2">
      <c r="A96" s="1"/>
      <c r="B96" s="20" t="str">
        <f t="shared" si="3"/>
        <v>Pri Volt Irrig &amp; Pump Svc</v>
      </c>
      <c r="C96" s="42">
        <v>1.5</v>
      </c>
      <c r="D96" s="42">
        <f>AVERAGE('[3]F2023 Customer Data'!$J$32:$J$43)</f>
        <v>1</v>
      </c>
      <c r="E96" s="42">
        <f>AVERAGE('[3]F2023 Customer Data'!$J$44:$J$55)</f>
        <v>1</v>
      </c>
      <c r="F96" s="216" t="s">
        <v>290</v>
      </c>
    </row>
    <row r="97" spans="1:6" s="2" customFormat="1" ht="15" x14ac:dyDescent="0.2">
      <c r="A97" s="1"/>
      <c r="B97" s="20" t="str">
        <f t="shared" si="3"/>
        <v>Pri Volt Interr Elec Sch</v>
      </c>
      <c r="C97" s="42">
        <v>143.41666666666666</v>
      </c>
      <c r="D97" s="42">
        <f>AVERAGE('[3]F2023 Customer Data'!$K$32:$K$43)</f>
        <v>142.86083333333332</v>
      </c>
      <c r="E97" s="42">
        <f>AVERAGE('[3]F2023 Customer Data'!$K$44:$K$55)</f>
        <v>142.08583333333328</v>
      </c>
      <c r="F97" s="216" t="s">
        <v>290</v>
      </c>
    </row>
    <row r="98" spans="1:6" s="2" customFormat="1" ht="15" x14ac:dyDescent="0.2">
      <c r="A98" s="1"/>
      <c r="B98" s="20" t="str">
        <f t="shared" si="3"/>
        <v>High Volt Interr Svc</v>
      </c>
      <c r="C98" s="42">
        <v>6</v>
      </c>
      <c r="D98" s="42">
        <f>AVERAGE('[3]F2023 Customer Data'!$L$32:$L$43)</f>
        <v>6</v>
      </c>
      <c r="E98" s="42">
        <f>AVERAGE('[3]F2023 Customer Data'!$L$44:$L$55)</f>
        <v>6</v>
      </c>
      <c r="F98" s="216" t="s">
        <v>290</v>
      </c>
    </row>
    <row r="99" spans="1:6" s="2" customFormat="1" ht="15" x14ac:dyDescent="0.2">
      <c r="A99" s="1"/>
      <c r="B99" s="20" t="str">
        <f t="shared" si="3"/>
        <v>High Volt Gen Svc</v>
      </c>
      <c r="C99" s="42">
        <v>17</v>
      </c>
      <c r="D99" s="42">
        <f>AVERAGE('[3]F2023 Customer Data'!$M$32:$M$43)</f>
        <v>17</v>
      </c>
      <c r="E99" s="42">
        <f>AVERAGE('[3]F2023 Customer Data'!$M$44:$M$55)</f>
        <v>17</v>
      </c>
      <c r="F99" s="216" t="s">
        <v>290</v>
      </c>
    </row>
    <row r="100" spans="1:6" s="2" customFormat="1" ht="15" x14ac:dyDescent="0.2">
      <c r="A100" s="1"/>
      <c r="B100" s="20" t="str">
        <f t="shared" si="3"/>
        <v>Area &amp; Street Lighting*</v>
      </c>
      <c r="C100" s="42">
        <v>9096.4166666666661</v>
      </c>
      <c r="D100" s="42">
        <f>AVERAGE('[3]F2023 Customer Data'!$N$32:$N$43)</f>
        <v>9577.6533333333336</v>
      </c>
      <c r="E100" s="42">
        <f>AVERAGE('[3]F2023 Customer Data'!$N$44:$N$55)</f>
        <v>9760.6500000000015</v>
      </c>
      <c r="F100" s="216" t="s">
        <v>290</v>
      </c>
    </row>
    <row r="101" spans="1:6" s="2" customFormat="1" ht="15" x14ac:dyDescent="0.2">
      <c r="A101" s="1"/>
      <c r="B101" s="20" t="str">
        <f t="shared" si="3"/>
        <v>Retail Wheeling</v>
      </c>
      <c r="C101" s="42">
        <v>15</v>
      </c>
      <c r="D101" s="42">
        <f>AVERAGE('[3]F2023 Customer Data'!$P$32:$P$43)</f>
        <v>14</v>
      </c>
      <c r="E101" s="42">
        <f>AVERAGE('[3]F2023 Customer Data'!$P$44:$P$55)</f>
        <v>14</v>
      </c>
      <c r="F101" s="216" t="s">
        <v>290</v>
      </c>
    </row>
    <row r="102" spans="1:6" s="2" customFormat="1" ht="15" x14ac:dyDescent="0.2">
      <c r="A102" s="1"/>
      <c r="B102" s="20" t="str">
        <f t="shared" si="3"/>
        <v>Special Contract</v>
      </c>
      <c r="C102" s="42">
        <v>88.916666666666671</v>
      </c>
      <c r="D102" s="42">
        <f>AVERAGE('[3]F2023 Customer Data'!$Q$32:$Q$43)</f>
        <v>82</v>
      </c>
      <c r="E102" s="42">
        <f>AVERAGE('[3]F2023 Customer Data'!$Q$44:$Q$55)</f>
        <v>82</v>
      </c>
      <c r="F102" s="216" t="s">
        <v>290</v>
      </c>
    </row>
    <row r="103" spans="1:6" s="2" customFormat="1" ht="17.25" x14ac:dyDescent="0.35">
      <c r="A103" s="1"/>
      <c r="B103" s="51" t="str">
        <f t="shared" si="3"/>
        <v>Firm Resale</v>
      </c>
      <c r="C103" s="66">
        <v>8</v>
      </c>
      <c r="D103" s="66">
        <f>AVERAGE('[3]F2023 Customer Data'!$O$32:$O$43)</f>
        <v>8</v>
      </c>
      <c r="E103" s="66">
        <f>AVERAGE('[3]F2023 Customer Data'!$O$44:$O$55)</f>
        <v>8</v>
      </c>
      <c r="F103" s="216" t="s">
        <v>290</v>
      </c>
    </row>
    <row r="104" spans="1:6" s="2" customFormat="1" ht="15" x14ac:dyDescent="0.2">
      <c r="A104" s="1"/>
      <c r="B104" s="20" t="s">
        <v>69</v>
      </c>
      <c r="C104" s="41">
        <f>SUM(C90:C103)</f>
        <v>1216770.2500000002</v>
      </c>
      <c r="D104" s="41">
        <f>SUM(D90:D103)</f>
        <v>1248882.2108333334</v>
      </c>
      <c r="E104" s="41">
        <f>SUM(E90:E103)</f>
        <v>1262548.5041666667</v>
      </c>
    </row>
    <row r="105" spans="1:6" s="2" customFormat="1" ht="15" x14ac:dyDescent="0.2">
      <c r="A105" s="1"/>
      <c r="B105" s="217" t="s">
        <v>286</v>
      </c>
      <c r="C105" s="59"/>
      <c r="D105" s="59"/>
      <c r="E105" s="59"/>
    </row>
    <row r="106" spans="1:6" s="2" customFormat="1" ht="15" x14ac:dyDescent="0.2">
      <c r="A106" s="1"/>
      <c r="B106" s="65"/>
      <c r="C106" s="59"/>
      <c r="D106" s="59"/>
      <c r="E106" s="59"/>
    </row>
    <row r="107" spans="1:6" s="2" customFormat="1" ht="15" x14ac:dyDescent="0.2">
      <c r="A107" s="1"/>
      <c r="B107" s="20"/>
      <c r="C107" s="20"/>
      <c r="D107" s="45"/>
      <c r="E107" s="16"/>
    </row>
    <row r="108" spans="1:6" s="2" customFormat="1" ht="15" x14ac:dyDescent="0.2">
      <c r="A108" s="11" t="s">
        <v>25</v>
      </c>
      <c r="B108" s="25" t="s">
        <v>33</v>
      </c>
      <c r="C108" s="20"/>
      <c r="D108" s="20"/>
      <c r="E108" s="16"/>
    </row>
    <row r="109" spans="1:6" s="2" customFormat="1" ht="15" x14ac:dyDescent="0.2">
      <c r="A109" s="11"/>
      <c r="B109" s="25"/>
      <c r="C109" s="20"/>
      <c r="D109" s="20"/>
      <c r="E109" s="20"/>
    </row>
    <row r="110" spans="1:6" s="2" customFormat="1" ht="15" x14ac:dyDescent="0.2">
      <c r="A110" s="1"/>
      <c r="B110" s="20" t="s">
        <v>4</v>
      </c>
      <c r="C110" s="20"/>
      <c r="D110" s="21">
        <f>ROR!F18</f>
        <v>7.1599999999999997E-2</v>
      </c>
      <c r="F110" s="216" t="s">
        <v>291</v>
      </c>
    </row>
    <row r="111" spans="1:6" s="2" customFormat="1" ht="15" x14ac:dyDescent="0.2">
      <c r="A111" s="1"/>
      <c r="B111" s="20" t="s">
        <v>3</v>
      </c>
      <c r="C111" s="20"/>
      <c r="D111" s="21">
        <f>ROR!E17</f>
        <v>9.4E-2</v>
      </c>
      <c r="F111" s="216" t="s">
        <v>291</v>
      </c>
    </row>
    <row r="112" spans="1:6" s="2" customFormat="1" ht="15" x14ac:dyDescent="0.2">
      <c r="A112" s="1"/>
      <c r="B112" s="20"/>
      <c r="C112" s="20"/>
      <c r="D112" s="21"/>
      <c r="E112" s="21"/>
    </row>
    <row r="113" spans="1:6" s="2" customFormat="1" ht="15" x14ac:dyDescent="0.2">
      <c r="A113" s="11" t="s">
        <v>26</v>
      </c>
      <c r="B113" s="9" t="s">
        <v>27</v>
      </c>
      <c r="D113" s="35"/>
      <c r="E113" s="7"/>
    </row>
    <row r="114" spans="1:6" s="2" customFormat="1" ht="15" x14ac:dyDescent="0.2">
      <c r="A114" s="11"/>
      <c r="B114" s="57"/>
      <c r="D114" s="35"/>
      <c r="E114" s="7"/>
    </row>
    <row r="115" spans="1:6" s="2" customFormat="1" ht="15" x14ac:dyDescent="0.2">
      <c r="A115" s="1"/>
      <c r="B115" s="2" t="s">
        <v>54</v>
      </c>
      <c r="D115" s="57">
        <f>[4]Summary!$C$49</f>
        <v>5.5800000000000002E-2</v>
      </c>
      <c r="F115" s="216" t="s">
        <v>292</v>
      </c>
    </row>
    <row r="116" spans="1:6" s="2" customFormat="1" ht="15" x14ac:dyDescent="0.2">
      <c r="A116" s="1"/>
      <c r="B116" s="2" t="s">
        <v>53</v>
      </c>
      <c r="D116" s="57">
        <f>[4]Summary!$E$49</f>
        <v>5.4600000000000003E-2</v>
      </c>
      <c r="F116" s="216" t="s">
        <v>292</v>
      </c>
    </row>
    <row r="117" spans="1:6" s="2" customFormat="1" ht="30" customHeight="1" x14ac:dyDescent="0.2">
      <c r="A117" s="1"/>
      <c r="B117" s="227" t="s">
        <v>55</v>
      </c>
      <c r="C117" s="227"/>
      <c r="D117" s="227"/>
      <c r="E117" s="227"/>
    </row>
    <row r="118" spans="1:6" s="2" customFormat="1" ht="15" x14ac:dyDescent="0.2">
      <c r="A118" s="1"/>
      <c r="B118" s="20"/>
      <c r="C118" s="20"/>
      <c r="D118" s="16"/>
      <c r="E118" s="16"/>
    </row>
    <row r="119" spans="1:6" s="2" customFormat="1" ht="15" x14ac:dyDescent="0.2">
      <c r="A119" s="11" t="s">
        <v>29</v>
      </c>
      <c r="B119" s="25" t="s">
        <v>34</v>
      </c>
      <c r="C119" s="20"/>
      <c r="D119" s="16"/>
      <c r="E119" s="16"/>
    </row>
    <row r="120" spans="1:6" s="2" customFormat="1" ht="15" x14ac:dyDescent="0.2">
      <c r="A120" s="11"/>
      <c r="B120" s="25" t="s">
        <v>35</v>
      </c>
      <c r="C120" s="20"/>
      <c r="D120" s="16"/>
      <c r="E120" s="16"/>
    </row>
    <row r="121" spans="1:6" s="2" customFormat="1" ht="15" x14ac:dyDescent="0.2">
      <c r="A121" s="1"/>
      <c r="B121" s="20"/>
      <c r="C121" s="20"/>
      <c r="D121" s="51">
        <f>D$26</f>
        <v>2025</v>
      </c>
      <c r="E121" s="51">
        <f>E$26</f>
        <v>2026</v>
      </c>
    </row>
    <row r="122" spans="1:6" s="2" customFormat="1" ht="15" x14ac:dyDescent="0.2">
      <c r="A122" s="1"/>
      <c r="B122" s="20" t="s">
        <v>6</v>
      </c>
      <c r="C122" s="20"/>
      <c r="D122" s="21">
        <f>'[4]Def, COC, ConvF'!$C$13</f>
        <v>7.6499999999999999E-2</v>
      </c>
      <c r="E122" s="21">
        <f>'[4]Def, COC, ConvF'!$D$13</f>
        <v>7.9899999999999999E-2</v>
      </c>
      <c r="F122" s="216" t="s">
        <v>292</v>
      </c>
    </row>
    <row r="123" spans="1:6" s="2" customFormat="1" ht="15" x14ac:dyDescent="0.2">
      <c r="A123" s="1"/>
      <c r="B123" s="20" t="s">
        <v>7</v>
      </c>
      <c r="C123" s="20"/>
      <c r="D123" s="21">
        <f>'[4]Def, COC, ConvF'!$J$23</f>
        <v>9.9500000000000005E-2</v>
      </c>
      <c r="E123" s="21">
        <f>'[4]Def, COC, ConvF'!$J$32</f>
        <v>0.105</v>
      </c>
      <c r="F123" s="216" t="s">
        <v>292</v>
      </c>
    </row>
    <row r="124" spans="1:6" s="2" customFormat="1" ht="15" x14ac:dyDescent="0.2">
      <c r="A124" s="1"/>
      <c r="B124" s="20"/>
      <c r="C124" s="20"/>
      <c r="D124" s="21"/>
      <c r="E124" s="21"/>
    </row>
    <row r="125" spans="1:6" s="2" customFormat="1" ht="15" x14ac:dyDescent="0.2">
      <c r="A125" s="1"/>
      <c r="B125" s="2" t="s">
        <v>51</v>
      </c>
      <c r="C125" s="20"/>
      <c r="D125" s="21"/>
      <c r="E125" s="21"/>
    </row>
    <row r="126" spans="1:6" s="2" customFormat="1" ht="15" x14ac:dyDescent="0.2">
      <c r="A126" s="1"/>
      <c r="B126" s="20"/>
      <c r="C126" s="20"/>
      <c r="D126" s="16"/>
      <c r="E126" s="16"/>
    </row>
    <row r="127" spans="1:6" s="2" customFormat="1" ht="15" x14ac:dyDescent="0.2">
      <c r="A127" s="11" t="s">
        <v>28</v>
      </c>
      <c r="B127" s="25" t="s">
        <v>37</v>
      </c>
      <c r="C127" s="20"/>
      <c r="D127" s="51">
        <f>D$26</f>
        <v>2025</v>
      </c>
      <c r="E127" s="51">
        <f>E$26</f>
        <v>2026</v>
      </c>
    </row>
    <row r="128" spans="1:6" s="2" customFormat="1" ht="15" x14ac:dyDescent="0.2">
      <c r="A128" s="1"/>
      <c r="B128" s="20"/>
      <c r="C128" s="27" t="s">
        <v>12</v>
      </c>
      <c r="D128" s="21">
        <f>'[4]Def, COC, ConvF'!$I$22</f>
        <v>0.5</v>
      </c>
      <c r="E128" s="21">
        <f>'[4]Def, COC, ConvF'!$I$31</f>
        <v>0.49</v>
      </c>
      <c r="F128" s="216" t="s">
        <v>292</v>
      </c>
    </row>
    <row r="129" spans="1:6" s="2" customFormat="1" ht="15" x14ac:dyDescent="0.2">
      <c r="A129" s="1"/>
      <c r="B129" s="20"/>
      <c r="C129" s="28" t="s">
        <v>2</v>
      </c>
      <c r="D129" s="21">
        <f>'[4]Def, COC, ConvF'!$I$23</f>
        <v>0.5</v>
      </c>
      <c r="E129" s="21">
        <f>'[4]Def, COC, ConvF'!$I$32</f>
        <v>0.51</v>
      </c>
      <c r="F129" s="216" t="s">
        <v>292</v>
      </c>
    </row>
    <row r="130" spans="1:6" s="2" customFormat="1" ht="15" x14ac:dyDescent="0.2">
      <c r="A130" s="1"/>
      <c r="B130" s="20"/>
      <c r="C130" s="27"/>
      <c r="D130" s="21"/>
      <c r="E130" s="21"/>
    </row>
    <row r="131" spans="1:6" s="2" customFormat="1" ht="15" x14ac:dyDescent="0.2">
      <c r="A131" s="11" t="s">
        <v>30</v>
      </c>
      <c r="B131" s="9" t="s">
        <v>13</v>
      </c>
      <c r="D131" s="7"/>
      <c r="E131" s="7"/>
    </row>
    <row r="132" spans="1:6" s="2" customFormat="1" ht="15" x14ac:dyDescent="0.2">
      <c r="A132" s="1"/>
      <c r="D132" s="51">
        <f>D$26</f>
        <v>2025</v>
      </c>
      <c r="E132" s="51">
        <f>E$26</f>
        <v>2026</v>
      </c>
    </row>
    <row r="133" spans="1:6" s="2" customFormat="1" ht="15" x14ac:dyDescent="0.2">
      <c r="A133" s="1"/>
      <c r="C133" s="4" t="s">
        <v>11</v>
      </c>
      <c r="D133" s="15">
        <f>'[4]Def, COC, ConvF'!$C$15</f>
        <v>505389810.49440676</v>
      </c>
      <c r="E133" s="15">
        <f>'[4]Def, COC, ConvF'!$D$15</f>
        <v>592617102.82995772</v>
      </c>
      <c r="F133" s="216" t="s">
        <v>292</v>
      </c>
    </row>
    <row r="134" spans="1:6" s="2" customFormat="1" ht="15" x14ac:dyDescent="0.2">
      <c r="A134" s="1"/>
      <c r="D134" s="15"/>
      <c r="E134" s="15"/>
    </row>
    <row r="135" spans="1:6" s="2" customFormat="1" ht="15" x14ac:dyDescent="0.2">
      <c r="A135" s="11" t="s">
        <v>31</v>
      </c>
      <c r="B135" s="9" t="s">
        <v>36</v>
      </c>
      <c r="D135" s="51">
        <f>D$26</f>
        <v>2025</v>
      </c>
      <c r="E135" s="51">
        <f>E$26</f>
        <v>2026</v>
      </c>
    </row>
    <row r="136" spans="1:6" s="2" customFormat="1" ht="15" x14ac:dyDescent="0.2">
      <c r="A136" s="1"/>
      <c r="B136" s="4"/>
      <c r="C136" s="4" t="s">
        <v>5</v>
      </c>
      <c r="D136" s="8">
        <f>'[4]Def, COC, ConvF'!$C$12</f>
        <v>6606402751.560873</v>
      </c>
      <c r="E136" s="8">
        <f>'[4]Def, COC, ConvF'!$D$12</f>
        <v>7416985016.6452789</v>
      </c>
      <c r="F136" s="216" t="s">
        <v>292</v>
      </c>
    </row>
    <row r="137" spans="1:6" s="2" customFormat="1" ht="15" x14ac:dyDescent="0.2">
      <c r="A137" s="1"/>
      <c r="B137" s="18"/>
      <c r="D137" s="8"/>
      <c r="E137" s="8"/>
    </row>
    <row r="138" spans="1:6" s="2" customFormat="1" ht="15" customHeight="1" x14ac:dyDescent="0.2">
      <c r="A138" s="1"/>
      <c r="B138" s="218" t="s">
        <v>52</v>
      </c>
      <c r="C138" s="218"/>
      <c r="D138" s="218"/>
      <c r="E138" s="218"/>
      <c r="F138" s="2" t="s">
        <v>10</v>
      </c>
    </row>
    <row r="139" spans="1:6" s="2" customFormat="1" ht="15" x14ac:dyDescent="0.2">
      <c r="A139" s="1"/>
      <c r="B139" s="218"/>
      <c r="C139" s="218"/>
      <c r="D139" s="218"/>
      <c r="E139" s="218"/>
    </row>
    <row r="140" spans="1:6" s="2" customFormat="1" ht="15" x14ac:dyDescent="0.2">
      <c r="A140" s="1"/>
    </row>
    <row r="141" spans="1:6" s="2" customFormat="1" ht="15" x14ac:dyDescent="0.2">
      <c r="A141" s="11" t="s">
        <v>32</v>
      </c>
      <c r="B141" s="9" t="s">
        <v>42</v>
      </c>
    </row>
    <row r="142" spans="1:6" s="2" customFormat="1" ht="15" x14ac:dyDescent="0.2">
      <c r="A142" s="1"/>
    </row>
    <row r="143" spans="1:6" s="2" customFormat="1" ht="15" x14ac:dyDescent="0.2">
      <c r="A143" s="1"/>
      <c r="B143" s="44" t="s">
        <v>45</v>
      </c>
      <c r="F143" s="2" t="s">
        <v>10</v>
      </c>
    </row>
    <row r="144" spans="1:6" s="2" customFormat="1" ht="15" x14ac:dyDescent="0.2">
      <c r="A144" s="1"/>
      <c r="B144" s="10"/>
    </row>
    <row r="145" spans="1:2" s="2" customFormat="1" ht="15" x14ac:dyDescent="0.2">
      <c r="A145" s="1"/>
      <c r="B145" s="44"/>
    </row>
    <row r="146" spans="1:2" s="2" customFormat="1" ht="15" x14ac:dyDescent="0.2">
      <c r="A146" s="1"/>
      <c r="B146" s="44"/>
    </row>
    <row r="147" spans="1:2" s="2" customFormat="1" ht="15" x14ac:dyDescent="0.2">
      <c r="A147" s="1"/>
    </row>
    <row r="148" spans="1:2" s="2" customFormat="1" ht="15" x14ac:dyDescent="0.2">
      <c r="A148" s="1"/>
    </row>
    <row r="149" spans="1:2" s="2" customFormat="1" ht="15" x14ac:dyDescent="0.2">
      <c r="A149" s="1"/>
    </row>
    <row r="150" spans="1:2" s="2" customFormat="1" ht="15" x14ac:dyDescent="0.2">
      <c r="A150" s="1"/>
    </row>
    <row r="151" spans="1:2" s="2" customFormat="1" ht="15" x14ac:dyDescent="0.2">
      <c r="A151" s="1"/>
    </row>
    <row r="152" spans="1:2" s="2" customFormat="1" ht="15" x14ac:dyDescent="0.2">
      <c r="A152" s="1"/>
    </row>
    <row r="153" spans="1:2" s="2" customFormat="1" ht="15" x14ac:dyDescent="0.2">
      <c r="A153" s="1"/>
    </row>
    <row r="154" spans="1:2" s="2" customFormat="1" ht="15" x14ac:dyDescent="0.2">
      <c r="A154" s="1"/>
    </row>
    <row r="155" spans="1:2" s="2" customFormat="1" ht="15" x14ac:dyDescent="0.2">
      <c r="A155" s="1"/>
    </row>
    <row r="156" spans="1:2" s="2" customFormat="1" ht="15" x14ac:dyDescent="0.2">
      <c r="A156" s="1"/>
    </row>
    <row r="157" spans="1:2" s="2" customFormat="1" ht="15" x14ac:dyDescent="0.2">
      <c r="A157" s="1"/>
    </row>
    <row r="158" spans="1:2" s="2" customFormat="1" ht="15" x14ac:dyDescent="0.2">
      <c r="A158" s="1"/>
    </row>
    <row r="159" spans="1:2" s="2" customFormat="1" ht="15" x14ac:dyDescent="0.2">
      <c r="A159" s="1"/>
    </row>
    <row r="160" spans="1:2" s="2" customFormat="1" ht="15" x14ac:dyDescent="0.2">
      <c r="A160" s="1"/>
    </row>
    <row r="161" spans="1:1" s="2" customFormat="1" ht="15" x14ac:dyDescent="0.2">
      <c r="A161" s="1"/>
    </row>
    <row r="162" spans="1:1" s="2" customFormat="1" ht="15" x14ac:dyDescent="0.2">
      <c r="A162" s="1"/>
    </row>
    <row r="163" spans="1:1" s="2" customFormat="1" ht="15" x14ac:dyDescent="0.2">
      <c r="A163" s="1"/>
    </row>
    <row r="164" spans="1:1" s="2" customFormat="1" ht="15" x14ac:dyDescent="0.2">
      <c r="A164" s="1"/>
    </row>
    <row r="165" spans="1:1" s="2" customFormat="1" ht="15" x14ac:dyDescent="0.2">
      <c r="A165" s="1"/>
    </row>
    <row r="166" spans="1:1" s="2" customFormat="1" ht="15" x14ac:dyDescent="0.2">
      <c r="A166" s="1"/>
    </row>
    <row r="167" spans="1:1" s="2" customFormat="1" ht="15" x14ac:dyDescent="0.2">
      <c r="A167" s="1"/>
    </row>
    <row r="168" spans="1:1" s="2" customFormat="1" ht="15" x14ac:dyDescent="0.2">
      <c r="A168" s="1"/>
    </row>
    <row r="169" spans="1:1" s="2" customFormat="1" ht="15" x14ac:dyDescent="0.2">
      <c r="A169" s="1"/>
    </row>
    <row r="170" spans="1:1" s="2" customFormat="1" ht="15" x14ac:dyDescent="0.2">
      <c r="A170" s="1"/>
    </row>
    <row r="171" spans="1:1" s="2" customFormat="1" ht="15" x14ac:dyDescent="0.2">
      <c r="A171" s="1"/>
    </row>
    <row r="172" spans="1:1" s="2" customFormat="1" ht="15" x14ac:dyDescent="0.2">
      <c r="A172" s="1"/>
    </row>
    <row r="173" spans="1:1" s="2" customFormat="1" ht="15" x14ac:dyDescent="0.2">
      <c r="A173" s="1"/>
    </row>
    <row r="174" spans="1:1" s="2" customFormat="1" ht="15" x14ac:dyDescent="0.2">
      <c r="A174" s="1"/>
    </row>
    <row r="175" spans="1:1" s="2" customFormat="1" ht="15" x14ac:dyDescent="0.2">
      <c r="A175" s="1"/>
    </row>
    <row r="176" spans="1:1" s="2" customFormat="1" ht="15" x14ac:dyDescent="0.2">
      <c r="A176" s="1"/>
    </row>
    <row r="177" spans="1:1" s="2" customFormat="1" ht="15" x14ac:dyDescent="0.2">
      <c r="A177" s="1"/>
    </row>
    <row r="178" spans="1:1" s="2" customFormat="1" ht="15" x14ac:dyDescent="0.2">
      <c r="A178" s="1"/>
    </row>
    <row r="179" spans="1:1" s="2" customFormat="1" ht="15" x14ac:dyDescent="0.2">
      <c r="A179" s="1"/>
    </row>
    <row r="180" spans="1:1" s="2" customFormat="1" ht="15" x14ac:dyDescent="0.2">
      <c r="A180" s="1"/>
    </row>
    <row r="181" spans="1:1" s="2" customFormat="1" ht="15" x14ac:dyDescent="0.2"/>
    <row r="182" spans="1:1" s="2" customFormat="1" ht="15" x14ac:dyDescent="0.2"/>
    <row r="183" spans="1:1" s="2" customFormat="1" ht="15" x14ac:dyDescent="0.2"/>
    <row r="184" spans="1:1" s="2" customFormat="1" ht="15" x14ac:dyDescent="0.2"/>
    <row r="185" spans="1:1" s="2" customFormat="1" ht="15" x14ac:dyDescent="0.2"/>
    <row r="186" spans="1:1" s="2" customFormat="1" ht="15" x14ac:dyDescent="0.2"/>
    <row r="187" spans="1:1" s="2" customFormat="1" ht="15" x14ac:dyDescent="0.2"/>
    <row r="188" spans="1:1" s="2" customFormat="1" ht="15" x14ac:dyDescent="0.2"/>
    <row r="189" spans="1:1" s="2" customFormat="1" ht="15" x14ac:dyDescent="0.2"/>
    <row r="190" spans="1:1" s="2" customFormat="1" ht="15" x14ac:dyDescent="0.2"/>
    <row r="191" spans="1:1" s="2" customFormat="1" ht="15" x14ac:dyDescent="0.2"/>
    <row r="192" spans="1:1" s="2" customFormat="1" ht="15" x14ac:dyDescent="0.2"/>
    <row r="193" s="2" customFormat="1" ht="15" x14ac:dyDescent="0.2"/>
    <row r="194" s="2" customFormat="1" ht="15" x14ac:dyDescent="0.2"/>
    <row r="195" s="2" customFormat="1" ht="15" x14ac:dyDescent="0.2"/>
    <row r="196" s="2" customFormat="1" ht="15" x14ac:dyDescent="0.2"/>
    <row r="197" s="2" customFormat="1" ht="15" x14ac:dyDescent="0.2"/>
    <row r="198" s="2" customFormat="1" ht="15" x14ac:dyDescent="0.2"/>
    <row r="199" s="2" customFormat="1" ht="15" x14ac:dyDescent="0.2"/>
    <row r="200" s="2" customFormat="1" ht="15" x14ac:dyDescent="0.2"/>
    <row r="201" s="2" customFormat="1" ht="15" x14ac:dyDescent="0.2"/>
    <row r="202" s="2" customFormat="1" ht="15" x14ac:dyDescent="0.2"/>
    <row r="203" s="2" customFormat="1" ht="15" x14ac:dyDescent="0.2"/>
    <row r="204" s="2" customFormat="1" ht="15" x14ac:dyDescent="0.2"/>
    <row r="205" s="2" customFormat="1" ht="15" x14ac:dyDescent="0.2"/>
    <row r="206" s="2" customFormat="1" ht="15" x14ac:dyDescent="0.2"/>
    <row r="207" s="2" customFormat="1" ht="15" x14ac:dyDescent="0.2"/>
    <row r="208" s="2" customFormat="1" ht="15" x14ac:dyDescent="0.2"/>
    <row r="209" s="2" customFormat="1" ht="15" x14ac:dyDescent="0.2"/>
    <row r="210" s="2" customFormat="1" ht="15" x14ac:dyDescent="0.2"/>
    <row r="211" s="2" customFormat="1" ht="15" x14ac:dyDescent="0.2"/>
    <row r="212" s="2" customFormat="1" ht="15" x14ac:dyDescent="0.2"/>
    <row r="213" s="2" customFormat="1" ht="15" x14ac:dyDescent="0.2"/>
    <row r="214" s="2" customFormat="1" ht="15" x14ac:dyDescent="0.2"/>
    <row r="215" s="2" customFormat="1" ht="15" x14ac:dyDescent="0.2"/>
    <row r="216" s="2" customFormat="1" ht="15" x14ac:dyDescent="0.2"/>
    <row r="217" s="2" customFormat="1" ht="15" x14ac:dyDescent="0.2"/>
    <row r="218" s="2" customFormat="1" ht="15" x14ac:dyDescent="0.2"/>
    <row r="219" s="2" customFormat="1" ht="15" x14ac:dyDescent="0.2"/>
    <row r="220" s="2" customFormat="1" ht="15" x14ac:dyDescent="0.2"/>
    <row r="221" s="2" customFormat="1" ht="15" x14ac:dyDescent="0.2"/>
    <row r="222" s="2" customFormat="1" ht="15" x14ac:dyDescent="0.2"/>
    <row r="223" s="2" customFormat="1" ht="15" x14ac:dyDescent="0.2"/>
    <row r="224" s="2" customFormat="1" ht="15" x14ac:dyDescent="0.2"/>
    <row r="225" s="2" customFormat="1" ht="15" x14ac:dyDescent="0.2"/>
    <row r="226" s="2" customFormat="1" ht="15" x14ac:dyDescent="0.2"/>
    <row r="227" s="2" customFormat="1" ht="15" x14ac:dyDescent="0.2"/>
    <row r="228" s="2" customFormat="1" ht="15" x14ac:dyDescent="0.2"/>
    <row r="229" s="2" customFormat="1" ht="15" x14ac:dyDescent="0.2"/>
    <row r="230" s="2" customFormat="1" ht="15" x14ac:dyDescent="0.2"/>
    <row r="231" s="2" customFormat="1" ht="15" x14ac:dyDescent="0.2"/>
    <row r="232" s="2" customFormat="1" ht="15" x14ac:dyDescent="0.2"/>
    <row r="233" s="2" customFormat="1" ht="15" x14ac:dyDescent="0.2"/>
    <row r="234" s="2" customFormat="1" ht="15" x14ac:dyDescent="0.2"/>
    <row r="235" s="2" customFormat="1" ht="15" x14ac:dyDescent="0.2"/>
    <row r="236" s="2" customFormat="1" ht="15" x14ac:dyDescent="0.2"/>
    <row r="237" s="2" customFormat="1" ht="15" x14ac:dyDescent="0.2"/>
    <row r="238" s="2" customFormat="1" ht="15" x14ac:dyDescent="0.2"/>
    <row r="239" s="2" customFormat="1" ht="15" x14ac:dyDescent="0.2"/>
    <row r="240" s="2" customFormat="1" ht="15" x14ac:dyDescent="0.2"/>
    <row r="241" s="2" customFormat="1" ht="15" x14ac:dyDescent="0.2"/>
    <row r="242" s="2" customFormat="1" ht="15" x14ac:dyDescent="0.2"/>
    <row r="243" s="2" customFormat="1" ht="15" x14ac:dyDescent="0.2"/>
    <row r="244" s="2" customFormat="1" ht="15" x14ac:dyDescent="0.2"/>
    <row r="245" s="2" customFormat="1" ht="15" x14ac:dyDescent="0.2"/>
    <row r="246" s="2" customFormat="1" ht="15" x14ac:dyDescent="0.2"/>
    <row r="247" s="2" customFormat="1" ht="15" x14ac:dyDescent="0.2"/>
    <row r="248" s="2" customFormat="1" ht="15" x14ac:dyDescent="0.2"/>
    <row r="249" s="2" customFormat="1" ht="15" x14ac:dyDescent="0.2"/>
    <row r="250" s="2" customFormat="1" ht="15" x14ac:dyDescent="0.2"/>
    <row r="251" s="2" customFormat="1" ht="15" x14ac:dyDescent="0.2"/>
    <row r="252" s="2" customFormat="1" ht="15" x14ac:dyDescent="0.2"/>
    <row r="253" s="2" customFormat="1" ht="15" x14ac:dyDescent="0.2"/>
    <row r="254" s="2" customFormat="1" ht="15" x14ac:dyDescent="0.2"/>
    <row r="255" s="2" customFormat="1" ht="15" x14ac:dyDescent="0.2"/>
    <row r="256" s="2" customFormat="1" ht="15" x14ac:dyDescent="0.2"/>
    <row r="257" s="2" customFormat="1" ht="15" x14ac:dyDescent="0.2"/>
    <row r="258" s="2" customFormat="1" ht="15" x14ac:dyDescent="0.2"/>
    <row r="259" s="2" customFormat="1" ht="15" x14ac:dyDescent="0.2"/>
    <row r="260" s="2" customFormat="1" ht="15" x14ac:dyDescent="0.2"/>
    <row r="261" s="2" customFormat="1" ht="15" x14ac:dyDescent="0.2"/>
    <row r="262" s="2" customFormat="1" ht="15" x14ac:dyDescent="0.2"/>
    <row r="263" s="2" customFormat="1" ht="15" x14ac:dyDescent="0.2"/>
    <row r="264" s="2" customFormat="1" ht="15" x14ac:dyDescent="0.2"/>
    <row r="265" s="2" customFormat="1" ht="15" x14ac:dyDescent="0.2"/>
    <row r="266" s="2" customFormat="1" ht="15" x14ac:dyDescent="0.2"/>
    <row r="267" s="2" customFormat="1" ht="15" x14ac:dyDescent="0.2"/>
    <row r="268" s="2" customFormat="1" ht="15" x14ac:dyDescent="0.2"/>
    <row r="269" s="2" customFormat="1" ht="15" x14ac:dyDescent="0.2"/>
    <row r="270" s="2" customFormat="1" ht="15" x14ac:dyDescent="0.2"/>
    <row r="271" s="2" customFormat="1" ht="15" x14ac:dyDescent="0.2"/>
    <row r="272" s="2" customFormat="1" ht="15" x14ac:dyDescent="0.2"/>
    <row r="273" s="2" customFormat="1" ht="15" x14ac:dyDescent="0.2"/>
    <row r="274" s="2" customFormat="1" ht="15" x14ac:dyDescent="0.2"/>
    <row r="275" s="2" customFormat="1" ht="15" x14ac:dyDescent="0.2"/>
    <row r="276" s="2" customFormat="1" ht="15" x14ac:dyDescent="0.2"/>
    <row r="277" s="2" customFormat="1" ht="15" x14ac:dyDescent="0.2"/>
    <row r="278" s="2" customFormat="1" ht="15" x14ac:dyDescent="0.2"/>
    <row r="279" s="2" customFormat="1" ht="15" x14ac:dyDescent="0.2"/>
    <row r="280" s="2" customFormat="1" ht="15" x14ac:dyDescent="0.2"/>
    <row r="281" s="2" customFormat="1" ht="15" x14ac:dyDescent="0.2"/>
    <row r="282" s="2" customFormat="1" ht="15" x14ac:dyDescent="0.2"/>
    <row r="283" s="2" customFormat="1" ht="15" x14ac:dyDescent="0.2"/>
    <row r="284" s="2" customFormat="1" ht="15" x14ac:dyDescent="0.2"/>
    <row r="285" s="2" customFormat="1" ht="15" x14ac:dyDescent="0.2"/>
    <row r="286" s="2" customFormat="1" ht="15" x14ac:dyDescent="0.2"/>
    <row r="287" s="2" customFormat="1" ht="15" x14ac:dyDescent="0.2"/>
    <row r="288" s="2" customFormat="1" ht="15" x14ac:dyDescent="0.2"/>
    <row r="289" s="2" customFormat="1" ht="15" x14ac:dyDescent="0.2"/>
    <row r="290" s="2" customFormat="1" ht="15" x14ac:dyDescent="0.2"/>
    <row r="291" s="2" customFormat="1" ht="15" x14ac:dyDescent="0.2"/>
    <row r="292" s="2" customFormat="1" ht="15" x14ac:dyDescent="0.2"/>
    <row r="293" s="2" customFormat="1" ht="15" x14ac:dyDescent="0.2"/>
    <row r="294" s="2" customFormat="1" ht="15" x14ac:dyDescent="0.2"/>
    <row r="295" s="2" customFormat="1" ht="15" x14ac:dyDescent="0.2"/>
    <row r="296" s="2" customFormat="1" ht="15" x14ac:dyDescent="0.2"/>
    <row r="297" s="2" customFormat="1" ht="15" x14ac:dyDescent="0.2"/>
    <row r="298" s="2" customFormat="1" ht="15" x14ac:dyDescent="0.2"/>
    <row r="299" s="2" customFormat="1" ht="15" x14ac:dyDescent="0.2"/>
    <row r="300" s="2" customFormat="1" ht="15" x14ac:dyDescent="0.2"/>
    <row r="301" s="2" customFormat="1" ht="15" x14ac:dyDescent="0.2"/>
    <row r="302" s="2" customFormat="1" ht="15" x14ac:dyDescent="0.2"/>
    <row r="303" s="2" customFormat="1" ht="15" x14ac:dyDescent="0.2"/>
    <row r="304" s="2" customFormat="1" ht="15" x14ac:dyDescent="0.2"/>
    <row r="305" s="2" customFormat="1" ht="15" x14ac:dyDescent="0.2"/>
    <row r="306" s="2" customFormat="1" ht="15" x14ac:dyDescent="0.2"/>
    <row r="307" s="2" customFormat="1" ht="15" x14ac:dyDescent="0.2"/>
    <row r="308" s="2" customFormat="1" ht="15" x14ac:dyDescent="0.2"/>
    <row r="309" s="2" customFormat="1" ht="15" x14ac:dyDescent="0.2"/>
    <row r="310" s="2" customFormat="1" ht="15" x14ac:dyDescent="0.2"/>
    <row r="311" s="2" customFormat="1" ht="15" x14ac:dyDescent="0.2"/>
    <row r="312" s="2" customFormat="1" ht="15" x14ac:dyDescent="0.2"/>
    <row r="313" s="2" customFormat="1" ht="15" x14ac:dyDescent="0.2"/>
    <row r="314" s="2" customFormat="1" ht="15" x14ac:dyDescent="0.2"/>
    <row r="315" s="2" customFormat="1" ht="15" x14ac:dyDescent="0.2"/>
    <row r="316" s="2" customFormat="1" ht="15" x14ac:dyDescent="0.2"/>
    <row r="317" s="2" customFormat="1" ht="15" x14ac:dyDescent="0.2"/>
    <row r="318" s="2" customFormat="1" ht="15" x14ac:dyDescent="0.2"/>
    <row r="319" s="2" customFormat="1" ht="15" x14ac:dyDescent="0.2"/>
    <row r="320" s="2" customFormat="1" ht="15" x14ac:dyDescent="0.2"/>
    <row r="321" s="2" customFormat="1" ht="15" x14ac:dyDescent="0.2"/>
    <row r="322" s="2" customFormat="1" ht="15" x14ac:dyDescent="0.2"/>
    <row r="323" s="2" customFormat="1" ht="15" x14ac:dyDescent="0.2"/>
    <row r="324" s="2" customFormat="1" ht="15" x14ac:dyDescent="0.2"/>
    <row r="325" s="2" customFormat="1" ht="15" x14ac:dyDescent="0.2"/>
    <row r="326" s="2" customFormat="1" ht="15" x14ac:dyDescent="0.2"/>
    <row r="327" s="2" customFormat="1" ht="15" x14ac:dyDescent="0.2"/>
  </sheetData>
  <mergeCells count="16">
    <mergeCell ref="B138:E139"/>
    <mergeCell ref="A1:E1"/>
    <mergeCell ref="A2:E2"/>
    <mergeCell ref="A3:E3"/>
    <mergeCell ref="A4:E4"/>
    <mergeCell ref="A5:E5"/>
    <mergeCell ref="B66:E66"/>
    <mergeCell ref="A6:E6"/>
    <mergeCell ref="B27:C27"/>
    <mergeCell ref="B24:C24"/>
    <mergeCell ref="B26:C26"/>
    <mergeCell ref="B9:E11"/>
    <mergeCell ref="B23:C23"/>
    <mergeCell ref="B21:E22"/>
    <mergeCell ref="A7:E7"/>
    <mergeCell ref="B117:E117"/>
  </mergeCells>
  <phoneticPr fontId="9" type="noConversion"/>
  <pageMargins left="0.75" right="0.75" top="0.7" bottom="0.7" header="0.5" footer="0.5"/>
  <pageSetup scale="70" fitToHeight="2" orientation="portrait" cellComments="asDisplayed" r:id="rId1"/>
  <headerFooter alignWithMargins="0">
    <oddFooter>&amp;L&amp;A&amp;Cper WAC 480-07-510(5)(a)&amp;R&amp;F
&amp;A
&amp;P of &amp;N</oddFooter>
  </headerFooter>
  <rowBreaks count="2" manualBreakCount="2">
    <brk id="64" max="4" man="1"/>
    <brk id="117" max="4" man="1"/>
  </row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4"/>
  <sheetViews>
    <sheetView zoomScale="90" zoomScaleNormal="90" workbookViewId="0">
      <selection activeCell="G16" sqref="G16"/>
    </sheetView>
  </sheetViews>
  <sheetFormatPr defaultRowHeight="12.75" x14ac:dyDescent="0.2"/>
  <cols>
    <col min="1" max="1" width="5.7109375" style="29" customWidth="1"/>
    <col min="2" max="2" width="43.140625" style="29" customWidth="1"/>
    <col min="3" max="3" width="26.5703125" style="29" customWidth="1"/>
    <col min="4" max="5" width="18.85546875" style="29" bestFit="1" customWidth="1"/>
    <col min="6" max="7" width="17.7109375" style="29" bestFit="1" customWidth="1"/>
    <col min="8" max="8" width="13.42578125" style="29" bestFit="1" customWidth="1"/>
    <col min="9" max="16384" width="9.140625" style="29"/>
  </cols>
  <sheetData>
    <row r="1" spans="1:5" s="3" customFormat="1" ht="20.25" x14ac:dyDescent="0.3">
      <c r="A1" s="219" t="s">
        <v>0</v>
      </c>
      <c r="B1" s="219"/>
      <c r="C1" s="219"/>
      <c r="D1" s="219"/>
      <c r="E1" s="219"/>
    </row>
    <row r="2" spans="1:5" s="3" customFormat="1" ht="20.25" x14ac:dyDescent="0.3">
      <c r="A2" s="219" t="s">
        <v>19</v>
      </c>
      <c r="B2" s="219"/>
      <c r="C2" s="219"/>
      <c r="D2" s="219"/>
      <c r="E2" s="219"/>
    </row>
    <row r="3" spans="1:5" s="3" customFormat="1" ht="20.25" x14ac:dyDescent="0.3">
      <c r="A3" s="219" t="s">
        <v>14</v>
      </c>
      <c r="B3" s="219"/>
      <c r="C3" s="219"/>
      <c r="D3" s="219"/>
      <c r="E3" s="219"/>
    </row>
    <row r="4" spans="1:5" s="3" customFormat="1" ht="20.25" x14ac:dyDescent="0.3">
      <c r="A4" s="220" t="s">
        <v>111</v>
      </c>
      <c r="B4" s="220"/>
      <c r="C4" s="220"/>
      <c r="D4" s="220"/>
      <c r="E4" s="220"/>
    </row>
    <row r="5" spans="1:5" s="3" customFormat="1" ht="20.25" x14ac:dyDescent="0.3">
      <c r="A5" s="221" t="s">
        <v>295</v>
      </c>
      <c r="B5" s="221"/>
      <c r="C5" s="221"/>
      <c r="D5" s="221"/>
      <c r="E5" s="221"/>
    </row>
    <row r="6" spans="1:5" s="3" customFormat="1" ht="20.25" x14ac:dyDescent="0.3">
      <c r="A6" s="223" t="s">
        <v>294</v>
      </c>
      <c r="B6" s="223"/>
      <c r="C6" s="223"/>
      <c r="D6" s="223"/>
      <c r="E6" s="223"/>
    </row>
    <row r="7" spans="1:5" s="3" customFormat="1" ht="20.25" x14ac:dyDescent="0.3">
      <c r="A7" s="219" t="s">
        <v>285</v>
      </c>
      <c r="B7" s="219"/>
      <c r="C7" s="219"/>
      <c r="D7" s="219"/>
      <c r="E7" s="219"/>
    </row>
    <row r="8" spans="1:5" s="2" customFormat="1" ht="15" x14ac:dyDescent="0.2">
      <c r="A8" s="14"/>
      <c r="B8" s="14"/>
      <c r="C8" s="14"/>
      <c r="D8" s="14"/>
      <c r="E8" s="14"/>
    </row>
    <row r="9" spans="1:5" s="2" customFormat="1" ht="15" x14ac:dyDescent="0.2">
      <c r="A9" s="11" t="s">
        <v>8</v>
      </c>
      <c r="B9" s="225" t="s">
        <v>70</v>
      </c>
      <c r="C9" s="225"/>
      <c r="D9" s="225"/>
      <c r="E9" s="225"/>
    </row>
    <row r="10" spans="1:5" s="2" customFormat="1" ht="15" x14ac:dyDescent="0.2">
      <c r="A10" s="11"/>
      <c r="B10" s="225"/>
      <c r="C10" s="225"/>
      <c r="D10" s="225"/>
      <c r="E10" s="225"/>
    </row>
    <row r="11" spans="1:5" s="2" customFormat="1" ht="15" x14ac:dyDescent="0.2">
      <c r="A11" s="11"/>
      <c r="B11" s="225"/>
      <c r="C11" s="225"/>
      <c r="D11" s="225"/>
      <c r="E11" s="225"/>
    </row>
    <row r="12" spans="1:5" s="2" customFormat="1" ht="15" x14ac:dyDescent="0.2">
      <c r="A12" s="1"/>
    </row>
    <row r="13" spans="1:5" s="2" customFormat="1" ht="15" x14ac:dyDescent="0.2">
      <c r="A13" s="1"/>
      <c r="B13" s="2" t="s">
        <v>9</v>
      </c>
      <c r="D13" s="1"/>
    </row>
    <row r="14" spans="1:5" s="2" customFormat="1" ht="15" x14ac:dyDescent="0.2">
      <c r="A14" s="1"/>
      <c r="B14" s="18" t="s">
        <v>108</v>
      </c>
    </row>
    <row r="15" spans="1:5" s="2" customFormat="1" ht="15" x14ac:dyDescent="0.2">
      <c r="A15" s="1"/>
      <c r="B15" s="18"/>
      <c r="D15" s="51">
        <v>2023</v>
      </c>
      <c r="E15" s="51">
        <v>2024</v>
      </c>
    </row>
    <row r="16" spans="1:5" s="20" customFormat="1" ht="15" x14ac:dyDescent="0.2">
      <c r="A16" s="23"/>
      <c r="C16" s="27" t="s">
        <v>107</v>
      </c>
      <c r="D16" s="39">
        <f>'G Rate Impacts_RY#1'!U25</f>
        <v>70797612.240712062</v>
      </c>
      <c r="E16" s="39">
        <f>'G Rate Impacts_RY#2'!P24</f>
        <v>19488121.179025438</v>
      </c>
    </row>
    <row r="17" spans="1:7" s="2" customFormat="1" ht="15" x14ac:dyDescent="0.2">
      <c r="A17" s="1"/>
      <c r="C17" s="4"/>
      <c r="D17" s="39"/>
    </row>
    <row r="18" spans="1:7" s="2" customFormat="1" ht="15" x14ac:dyDescent="0.2">
      <c r="A18" s="1"/>
      <c r="D18" s="51">
        <v>2023</v>
      </c>
      <c r="E18" s="51"/>
    </row>
    <row r="19" spans="1:7" s="20" customFormat="1" ht="15" x14ac:dyDescent="0.2">
      <c r="A19" s="23"/>
      <c r="B19" s="31"/>
      <c r="C19" s="71" t="s">
        <v>113</v>
      </c>
      <c r="D19" s="39">
        <f>SUM('[5]Revenue Exhibit'!$D$27,'[5]Revenue Exhibit'!$N$27)</f>
        <v>1296718403.0189946</v>
      </c>
      <c r="E19" s="72"/>
    </row>
    <row r="20" spans="1:7" s="2" customFormat="1" ht="15" x14ac:dyDescent="0.2">
      <c r="A20" s="1"/>
      <c r="B20" s="29"/>
      <c r="C20" s="5"/>
    </row>
    <row r="21" spans="1:7" s="30" customFormat="1" ht="31.5" customHeight="1" x14ac:dyDescent="0.2">
      <c r="A21" s="49" t="s">
        <v>20</v>
      </c>
      <c r="B21" s="226" t="s">
        <v>41</v>
      </c>
      <c r="C21" s="226"/>
      <c r="D21" s="226"/>
      <c r="E21" s="226"/>
    </row>
    <row r="22" spans="1:7" s="2" customFormat="1" ht="15" x14ac:dyDescent="0.2">
      <c r="A22" s="1"/>
      <c r="B22" s="224"/>
      <c r="C22" s="224"/>
      <c r="D22" s="51">
        <v>2025</v>
      </c>
      <c r="E22" s="51">
        <v>2026</v>
      </c>
      <c r="F22" s="10"/>
      <c r="G22" s="10"/>
    </row>
    <row r="23" spans="1:7" s="2" customFormat="1" ht="15" x14ac:dyDescent="0.2">
      <c r="A23" s="1"/>
      <c r="B23" s="224" t="s">
        <v>17</v>
      </c>
      <c r="C23" s="224"/>
      <c r="D23" s="39">
        <f>'[6]Rate Impacts_RY#1'!$D$25</f>
        <v>1033938394.3014451</v>
      </c>
      <c r="E23" s="39">
        <f>'[6]Rate Impacts_RY#1'!$D$25+'[6]Rate Impacts_RY#2'!$E$25</f>
        <v>1031465032.9208875</v>
      </c>
      <c r="F23" s="10"/>
    </row>
    <row r="24" spans="1:7" s="2" customFormat="1" ht="15" x14ac:dyDescent="0.2">
      <c r="A24" s="1"/>
      <c r="B24" s="224"/>
      <c r="C24" s="224"/>
      <c r="D24" s="51">
        <f>D$22</f>
        <v>2025</v>
      </c>
      <c r="E24" s="51">
        <f>E$22</f>
        <v>2026</v>
      </c>
      <c r="F24" s="10"/>
      <c r="G24" s="10"/>
    </row>
    <row r="25" spans="1:7" s="2" customFormat="1" ht="15" x14ac:dyDescent="0.2">
      <c r="A25" s="1"/>
      <c r="B25" s="224" t="s">
        <v>18</v>
      </c>
      <c r="C25" s="224"/>
      <c r="D25" s="39">
        <f>'[6]Rate Impacts_RY#1'!$R$25</f>
        <v>1229978784.693224</v>
      </c>
      <c r="E25" s="10">
        <f>'[6]Rate Impacts_RY#2'!$K$25</f>
        <v>1252855709.3126659</v>
      </c>
      <c r="G25" s="10"/>
    </row>
    <row r="26" spans="1:7" s="2" customFormat="1" ht="15" x14ac:dyDescent="0.2">
      <c r="A26" s="1"/>
      <c r="D26" s="39"/>
    </row>
    <row r="27" spans="1:7" s="2" customFormat="1" ht="15" x14ac:dyDescent="0.2">
      <c r="A27" s="11" t="s">
        <v>21</v>
      </c>
      <c r="B27" s="9" t="s">
        <v>40</v>
      </c>
      <c r="D27" s="39"/>
      <c r="E27" s="39"/>
    </row>
    <row r="28" spans="1:7" s="2" customFormat="1" ht="15" x14ac:dyDescent="0.2">
      <c r="A28" s="11"/>
      <c r="B28" s="9"/>
      <c r="D28" s="39"/>
      <c r="E28" s="39"/>
    </row>
    <row r="29" spans="1:7" s="2" customFormat="1" ht="15" x14ac:dyDescent="0.2">
      <c r="A29" s="1"/>
      <c r="D29" s="51">
        <f>D$22</f>
        <v>2025</v>
      </c>
      <c r="E29" s="51">
        <f>E$22</f>
        <v>2026</v>
      </c>
    </row>
    <row r="30" spans="1:7" s="2" customFormat="1" ht="15" x14ac:dyDescent="0.2">
      <c r="A30" s="1"/>
      <c r="B30" s="2" t="s">
        <v>1</v>
      </c>
      <c r="C30" s="18" t="s">
        <v>88</v>
      </c>
      <c r="D30" s="53">
        <f>'[6]Rate Impacts_RY#1'!T11</f>
        <v>0.17921111044394789</v>
      </c>
      <c r="E30" s="53">
        <f>'[6]Rate Impacts_RY#2'!M11</f>
        <v>1.9518568322983185E-2</v>
      </c>
    </row>
    <row r="31" spans="1:7" s="2" customFormat="1" ht="15" x14ac:dyDescent="0.2">
      <c r="A31" s="1"/>
      <c r="B31" s="2" t="s">
        <v>75</v>
      </c>
      <c r="C31" s="18">
        <v>16</v>
      </c>
      <c r="D31" s="53">
        <f>'[6]Rate Impacts_RY#1'!T12</f>
        <v>0.16827580062384781</v>
      </c>
      <c r="E31" s="53">
        <f>'[6]Rate Impacts_RY#2'!M12</f>
        <v>2.8726709667872549E-2</v>
      </c>
    </row>
    <row r="32" spans="1:7" s="2" customFormat="1" ht="15" x14ac:dyDescent="0.2">
      <c r="A32" s="1"/>
      <c r="B32" s="2" t="s">
        <v>76</v>
      </c>
      <c r="C32" s="18">
        <v>31</v>
      </c>
      <c r="D32" s="53">
        <f>'[6]Rate Impacts_RY#1'!T13</f>
        <v>0.23109000552095396</v>
      </c>
      <c r="E32" s="53">
        <f>'[6]Rate Impacts_RY#2'!M13</f>
        <v>2.5083308843279896E-2</v>
      </c>
    </row>
    <row r="33" spans="1:5" s="2" customFormat="1" ht="15" x14ac:dyDescent="0.2">
      <c r="A33" s="1"/>
      <c r="B33" s="2" t="s">
        <v>77</v>
      </c>
      <c r="C33" s="18">
        <v>41</v>
      </c>
      <c r="D33" s="53">
        <f>'[6]Rate Impacts_RY#1'!T14</f>
        <v>0.15295575886731405</v>
      </c>
      <c r="E33" s="53">
        <f>'[6]Rate Impacts_RY#2'!M14</f>
        <v>2.1650417204560617E-2</v>
      </c>
    </row>
    <row r="34" spans="1:5" s="2" customFormat="1" ht="15" x14ac:dyDescent="0.2">
      <c r="A34" s="1"/>
      <c r="B34" s="2" t="s">
        <v>78</v>
      </c>
      <c r="C34" s="18">
        <v>85</v>
      </c>
      <c r="D34" s="53">
        <f>'[6]Rate Impacts_RY#1'!T15</f>
        <v>9.4222074640677334E-2</v>
      </c>
      <c r="E34" s="53">
        <f>'[6]Rate Impacts_RY#2'!M15</f>
        <v>1.3873943522068635E-2</v>
      </c>
    </row>
    <row r="35" spans="1:5" s="2" customFormat="1" ht="15" x14ac:dyDescent="0.2">
      <c r="A35" s="1"/>
      <c r="B35" s="2" t="s">
        <v>79</v>
      </c>
      <c r="C35" s="18">
        <v>86</v>
      </c>
      <c r="D35" s="53">
        <f>'[6]Rate Impacts_RY#1'!T16</f>
        <v>9.0064072858032945E-2</v>
      </c>
      <c r="E35" s="53">
        <f>'[6]Rate Impacts_RY#2'!M16</f>
        <v>1.0922899783988943E-2</v>
      </c>
    </row>
    <row r="36" spans="1:5" s="2" customFormat="1" ht="15" x14ac:dyDescent="0.2">
      <c r="A36" s="1"/>
      <c r="B36" s="2" t="s">
        <v>80</v>
      </c>
      <c r="C36" s="18">
        <v>87</v>
      </c>
      <c r="D36" s="53">
        <f>'[6]Rate Impacts_RY#1'!T17</f>
        <v>9.2376474699743749E-2</v>
      </c>
      <c r="E36" s="53">
        <f>'[6]Rate Impacts_RY#2'!M17</f>
        <v>7.3484740537928641E-3</v>
      </c>
    </row>
    <row r="37" spans="1:5" s="2" customFormat="1" ht="15" x14ac:dyDescent="0.2">
      <c r="A37" s="1"/>
      <c r="B37" s="2" t="s">
        <v>81</v>
      </c>
      <c r="C37" s="18" t="s">
        <v>89</v>
      </c>
      <c r="D37" s="53">
        <f>'[6]Rate Impacts_RY#1'!T18</f>
        <v>0.23109000552095396</v>
      </c>
      <c r="E37" s="53">
        <f>'[6]Rate Impacts_RY#2'!M18</f>
        <v>2.5083308843279896E-2</v>
      </c>
    </row>
    <row r="38" spans="1:5" s="2" customFormat="1" ht="15" x14ac:dyDescent="0.2">
      <c r="A38" s="1"/>
      <c r="B38" s="2" t="s">
        <v>82</v>
      </c>
      <c r="C38" s="18" t="s">
        <v>90</v>
      </c>
      <c r="D38" s="53">
        <f>'[6]Rate Impacts_RY#1'!T19</f>
        <v>0.25786642585267472</v>
      </c>
      <c r="E38" s="53">
        <f>'[6]Rate Impacts_RY#2'!M19</f>
        <v>3.0104502003023988E-3</v>
      </c>
    </row>
    <row r="39" spans="1:5" s="2" customFormat="1" ht="15" x14ac:dyDescent="0.2">
      <c r="A39" s="1"/>
      <c r="B39" s="2" t="s">
        <v>83</v>
      </c>
      <c r="C39" s="18" t="s">
        <v>91</v>
      </c>
      <c r="D39" s="53">
        <f>'[6]Rate Impacts_RY#1'!T20</f>
        <v>0.19302680956874535</v>
      </c>
      <c r="E39" s="53">
        <f>'[6]Rate Impacts_RY#2'!M20</f>
        <v>1.9590380567669392E-2</v>
      </c>
    </row>
    <row r="40" spans="1:5" s="2" customFormat="1" ht="15" x14ac:dyDescent="0.2">
      <c r="A40" s="1"/>
      <c r="B40" s="2" t="s">
        <v>84</v>
      </c>
      <c r="C40" s="18" t="s">
        <v>92</v>
      </c>
      <c r="D40" s="53">
        <f>'[6]Rate Impacts_RY#1'!T21</f>
        <v>0.14350198914328968</v>
      </c>
      <c r="E40" s="53">
        <f>'[6]Rate Impacts_RY#2'!M21</f>
        <v>-1.2341973592709433E-2</v>
      </c>
    </row>
    <row r="41" spans="1:5" s="2" customFormat="1" ht="15" x14ac:dyDescent="0.2">
      <c r="A41" s="1"/>
      <c r="B41" s="2" t="s">
        <v>85</v>
      </c>
      <c r="C41" s="18" t="s">
        <v>93</v>
      </c>
      <c r="D41" s="53">
        <f>'[6]Rate Impacts_RY#1'!T22</f>
        <v>0.39553867176295904</v>
      </c>
      <c r="E41" s="53">
        <f>'[6]Rate Impacts_RY#2'!M22</f>
        <v>3.6111608922190869E-2</v>
      </c>
    </row>
    <row r="42" spans="1:5" s="2" customFormat="1" ht="15" x14ac:dyDescent="0.2">
      <c r="A42" s="1"/>
      <c r="B42" s="2" t="s">
        <v>86</v>
      </c>
      <c r="C42" s="18" t="s">
        <v>94</v>
      </c>
      <c r="D42" s="53">
        <f>'[6]Rate Impacts_RY#1'!T23</f>
        <v>-0.51901889267474366</v>
      </c>
      <c r="E42" s="53">
        <f>'[6]Rate Impacts_RY#2'!M23</f>
        <v>-0.30461756026676751</v>
      </c>
    </row>
    <row r="43" spans="1:5" s="2" customFormat="1" ht="15" x14ac:dyDescent="0.2">
      <c r="A43" s="1"/>
      <c r="B43" s="67" t="s">
        <v>16</v>
      </c>
      <c r="C43" s="2" t="s">
        <v>95</v>
      </c>
      <c r="D43" s="68">
        <f>'[6]Rate Impacts_RY#1'!T24</f>
        <v>4.3016514010527931E-2</v>
      </c>
      <c r="E43" s="68">
        <f>'[6]Rate Impacts_RY#2'!M24</f>
        <v>4.6840358720983404E-2</v>
      </c>
    </row>
    <row r="44" spans="1:5" s="2" customFormat="1" ht="15" x14ac:dyDescent="0.2">
      <c r="A44" s="1"/>
      <c r="B44" s="20" t="s">
        <v>50</v>
      </c>
      <c r="D44" s="53">
        <f>'[6]Rate Impacts_RY#1'!T25</f>
        <v>0.18960548469063174</v>
      </c>
      <c r="E44" s="53">
        <f>'[6]Rate Impacts_RY#2'!M25</f>
        <v>2.0651872911149362E-2</v>
      </c>
    </row>
    <row r="45" spans="1:5" s="2" customFormat="1" ht="15" x14ac:dyDescent="0.2">
      <c r="A45" s="1"/>
      <c r="B45" s="31"/>
      <c r="C45" s="20"/>
      <c r="D45" s="16"/>
      <c r="E45" s="40"/>
    </row>
    <row r="46" spans="1:5" s="2" customFormat="1" ht="15" x14ac:dyDescent="0.2">
      <c r="A46" s="11" t="s">
        <v>22</v>
      </c>
      <c r="B46" s="9" t="s">
        <v>39</v>
      </c>
      <c r="D46" s="16"/>
      <c r="E46" s="16"/>
    </row>
    <row r="47" spans="1:5" s="2" customFormat="1" ht="15" x14ac:dyDescent="0.2">
      <c r="A47" s="1"/>
      <c r="D47" s="51">
        <f>D$22</f>
        <v>2025</v>
      </c>
      <c r="E47" s="51">
        <f>E$22</f>
        <v>2026</v>
      </c>
    </row>
    <row r="48" spans="1:5" s="2" customFormat="1" ht="15" x14ac:dyDescent="0.2">
      <c r="A48" s="1"/>
      <c r="B48" s="2" t="str">
        <f>B30</f>
        <v>Residential</v>
      </c>
      <c r="C48" s="18" t="s">
        <v>88</v>
      </c>
      <c r="D48" s="54">
        <f>'[6]Rate Impacts_RY#1'!S11</f>
        <v>121321680.65446305</v>
      </c>
      <c r="E48" s="54">
        <f>'[6]Rate Impacts_RY#2'!L11</f>
        <v>15531445.977900863</v>
      </c>
    </row>
    <row r="49" spans="1:6" s="2" customFormat="1" ht="15" x14ac:dyDescent="0.2">
      <c r="A49" s="1"/>
      <c r="B49" s="2" t="str">
        <f t="shared" ref="B49:B61" si="0">B31</f>
        <v>Residential Gas Lights</v>
      </c>
      <c r="C49" s="18">
        <v>16</v>
      </c>
      <c r="D49" s="54">
        <f>'[6]Rate Impacts_RY#1'!S12</f>
        <v>1436.4258093876997</v>
      </c>
      <c r="E49" s="54">
        <f>'[6]Rate Impacts_RY#2'!L12</f>
        <v>286.47900549246515</v>
      </c>
    </row>
    <row r="50" spans="1:6" s="2" customFormat="1" ht="15" x14ac:dyDescent="0.2">
      <c r="A50" s="1"/>
      <c r="B50" s="2" t="str">
        <f t="shared" si="0"/>
        <v>Commercial &amp; Industrial</v>
      </c>
      <c r="C50" s="18">
        <v>31</v>
      </c>
      <c r="D50" s="54">
        <f>'[6]Rate Impacts_RY#1'!S13</f>
        <v>59179442.026719213</v>
      </c>
      <c r="E50" s="54">
        <f>'[6]Rate Impacts_RY#2'!L13</f>
        <v>7909449.1809999347</v>
      </c>
    </row>
    <row r="51" spans="1:6" s="2" customFormat="1" ht="15" x14ac:dyDescent="0.2">
      <c r="A51" s="1"/>
      <c r="B51" s="2" t="str">
        <f t="shared" si="0"/>
        <v>Large Volume</v>
      </c>
      <c r="C51" s="18">
        <v>41</v>
      </c>
      <c r="D51" s="54">
        <f>'[6]Rate Impacts_RY#1'!S14</f>
        <v>7235790.9293426499</v>
      </c>
      <c r="E51" s="54">
        <f>'[6]Rate Impacts_RY#2'!L14</f>
        <v>1178570.3188426718</v>
      </c>
    </row>
    <row r="52" spans="1:6" s="2" customFormat="1" ht="15" x14ac:dyDescent="0.2">
      <c r="A52" s="1"/>
      <c r="B52" s="2" t="str">
        <f t="shared" si="0"/>
        <v>Interruptible</v>
      </c>
      <c r="C52" s="18">
        <v>85</v>
      </c>
      <c r="D52" s="54">
        <f>'[6]Rate Impacts_RY#1'!S15</f>
        <v>905515.6882310193</v>
      </c>
      <c r="E52" s="54">
        <f>'[6]Rate Impacts_RY#2'!L15</f>
        <v>145360.04052035324</v>
      </c>
    </row>
    <row r="53" spans="1:6" s="2" customFormat="1" ht="15" x14ac:dyDescent="0.2">
      <c r="A53" s="1"/>
      <c r="B53" s="2" t="str">
        <f t="shared" si="0"/>
        <v>Limited Interruptible</v>
      </c>
      <c r="C53" s="18">
        <v>86</v>
      </c>
      <c r="D53" s="54">
        <f>'[6]Rate Impacts_RY#1'!S16</f>
        <v>278296.17475501169</v>
      </c>
      <c r="E53" s="54">
        <f>'[6]Rate Impacts_RY#2'!L16</f>
        <v>36462.208510724362</v>
      </c>
    </row>
    <row r="54" spans="1:6" s="2" customFormat="1" ht="15" x14ac:dyDescent="0.2">
      <c r="A54" s="1"/>
      <c r="B54" s="2" t="str">
        <f t="shared" si="0"/>
        <v>Non-exclusive Interruptible</v>
      </c>
      <c r="C54" s="18">
        <v>87</v>
      </c>
      <c r="D54" s="54">
        <f>'[6]Rate Impacts_RY#1'!S17</f>
        <v>776315.11372168735</v>
      </c>
      <c r="E54" s="54">
        <f>'[6]Rate Impacts_RY#2'!L17</f>
        <v>67279.873444108292</v>
      </c>
    </row>
    <row r="55" spans="1:6" s="2" customFormat="1" ht="15" x14ac:dyDescent="0.2">
      <c r="A55" s="1"/>
      <c r="B55" s="2" t="str">
        <f t="shared" si="0"/>
        <v>Commercial &amp; Industrial Transportation</v>
      </c>
      <c r="C55" s="18" t="s">
        <v>89</v>
      </c>
      <c r="D55" s="54">
        <f>'[6]Rate Impacts_RY#1'!S18</f>
        <v>0</v>
      </c>
      <c r="E55" s="54">
        <f>'[6]Rate Impacts_RY#2'!L18</f>
        <v>0</v>
      </c>
    </row>
    <row r="56" spans="1:6" s="2" customFormat="1" ht="15" x14ac:dyDescent="0.2">
      <c r="A56" s="1"/>
      <c r="B56" s="2" t="str">
        <f t="shared" si="0"/>
        <v>Large Volume Transportation</v>
      </c>
      <c r="C56" s="18" t="s">
        <v>90</v>
      </c>
      <c r="D56" s="54">
        <f>'[6]Rate Impacts_RY#1'!S19</f>
        <v>1892038.6355661992</v>
      </c>
      <c r="E56" s="54">
        <f>'[6]Rate Impacts_RY#2'!L19</f>
        <v>27916.948788993061</v>
      </c>
    </row>
    <row r="57" spans="1:6" s="2" customFormat="1" ht="15" x14ac:dyDescent="0.2">
      <c r="A57" s="1"/>
      <c r="B57" s="2" t="str">
        <f t="shared" si="0"/>
        <v>Interruptible Transportation</v>
      </c>
      <c r="C57" s="18" t="s">
        <v>91</v>
      </c>
      <c r="D57" s="54">
        <f>'[6]Rate Impacts_RY#1'!S20</f>
        <v>2864424.2832106855</v>
      </c>
      <c r="E57" s="54">
        <f>'[6]Rate Impacts_RY#2'!L20</f>
        <v>345500.23498651013</v>
      </c>
    </row>
    <row r="58" spans="1:6" s="2" customFormat="1" ht="15" x14ac:dyDescent="0.2">
      <c r="A58" s="1"/>
      <c r="B58" s="2" t="str">
        <f t="shared" si="0"/>
        <v>Limited Interruptible Transportation</v>
      </c>
      <c r="C58" s="18" t="s">
        <v>92</v>
      </c>
      <c r="D58" s="54">
        <f>'[6]Rate Impacts_RY#1'!S21</f>
        <v>49200.708533710334</v>
      </c>
      <c r="E58" s="54">
        <f>'[6]Rate Impacts_RY#2'!L21</f>
        <v>-4806.8167194201378</v>
      </c>
    </row>
    <row r="59" spans="1:6" s="2" customFormat="1" ht="15" x14ac:dyDescent="0.2">
      <c r="A59" s="1"/>
      <c r="B59" s="2" t="str">
        <f t="shared" si="0"/>
        <v>Non-exclusive Interruptible Transportation</v>
      </c>
      <c r="C59" s="18" t="s">
        <v>93</v>
      </c>
      <c r="D59" s="54">
        <f>'[6]Rate Impacts_RY#1'!S22</f>
        <v>2165755.2084717723</v>
      </c>
      <c r="E59" s="54">
        <f>'[6]Rate Impacts_RY#2'!L22</f>
        <v>274682.59633955173</v>
      </c>
    </row>
    <row r="60" spans="1:6" s="2" customFormat="1" ht="15" x14ac:dyDescent="0.2">
      <c r="A60" s="1"/>
      <c r="B60" s="2" t="str">
        <f t="shared" si="0"/>
        <v>Exclusive Interruptible Transportation</v>
      </c>
      <c r="C60" s="18" t="s">
        <v>94</v>
      </c>
      <c r="D60" s="54">
        <f>'[6]Rate Impacts_RY#1'!S23</f>
        <v>-758473.37363762013</v>
      </c>
      <c r="E60" s="54">
        <f>'[6]Rate Impacts_RY#2'!L23</f>
        <v>-307904.76261999994</v>
      </c>
    </row>
    <row r="61" spans="1:6" s="2" customFormat="1" ht="17.25" x14ac:dyDescent="0.35">
      <c r="A61" s="1"/>
      <c r="B61" s="67" t="str">
        <f t="shared" si="0"/>
        <v>Contracts</v>
      </c>
      <c r="C61" s="2" t="s">
        <v>95</v>
      </c>
      <c r="D61" s="69">
        <f>'[6]Rate Impacts_RY#1'!S24</f>
        <v>128967.9165922082</v>
      </c>
      <c r="E61" s="69">
        <f>'[6]Rate Impacts_RY#2'!L24</f>
        <v>146043.71999999974</v>
      </c>
      <c r="F61" s="32"/>
    </row>
    <row r="62" spans="1:6" s="2" customFormat="1" ht="15" x14ac:dyDescent="0.2">
      <c r="A62" s="1"/>
      <c r="B62" s="2" t="str">
        <f>B44</f>
        <v>Total requested revenue change</v>
      </c>
      <c r="D62" s="39">
        <f>SUM(D48:D61)</f>
        <v>196040390.39177901</v>
      </c>
      <c r="E62" s="39">
        <f>SUM(E48:E61)</f>
        <v>25350285.99999978</v>
      </c>
    </row>
    <row r="63" spans="1:6" s="2" customFormat="1" ht="15" x14ac:dyDescent="0.2">
      <c r="A63" s="1"/>
      <c r="D63" s="10"/>
      <c r="E63" s="10"/>
    </row>
    <row r="64" spans="1:6" s="2" customFormat="1" ht="15" x14ac:dyDescent="0.2">
      <c r="A64" s="1"/>
      <c r="E64" s="7"/>
    </row>
    <row r="65" spans="1:5" s="2" customFormat="1" ht="44.25" customHeight="1" x14ac:dyDescent="0.2">
      <c r="A65" s="12" t="s">
        <v>23</v>
      </c>
      <c r="B65" s="222" t="s">
        <v>43</v>
      </c>
      <c r="C65" s="222"/>
      <c r="D65" s="222"/>
      <c r="E65" s="222"/>
    </row>
    <row r="66" spans="1:5" s="2" customFormat="1" ht="15" x14ac:dyDescent="0.2">
      <c r="A66" s="1"/>
      <c r="D66" s="38"/>
      <c r="E66" s="7"/>
    </row>
    <row r="67" spans="1:5" s="20" customFormat="1" ht="15" x14ac:dyDescent="0.2">
      <c r="A67" s="23"/>
      <c r="B67" s="55" t="s">
        <v>49</v>
      </c>
      <c r="D67" s="51">
        <f>D$22</f>
        <v>2025</v>
      </c>
      <c r="E67" s="51">
        <f>E$22</f>
        <v>2026</v>
      </c>
    </row>
    <row r="68" spans="1:5" s="2" customFormat="1" ht="15" x14ac:dyDescent="0.2">
      <c r="A68" s="1"/>
      <c r="B68" s="2" t="str">
        <f>B48</f>
        <v>Residential</v>
      </c>
      <c r="C68" s="18" t="s">
        <v>88</v>
      </c>
      <c r="D68" s="70">
        <f>IFERROR((D48/D89)/12, 0)</f>
        <v>12.347689578423948</v>
      </c>
      <c r="E68" s="70">
        <f>IFERROR((E48/E89)/12, 0)</f>
        <v>1.5807353855028063</v>
      </c>
    </row>
    <row r="69" spans="1:5" s="2" customFormat="1" ht="15" x14ac:dyDescent="0.2">
      <c r="A69" s="1"/>
      <c r="B69" s="2" t="str">
        <f t="shared" ref="B69:B81" si="1">B49</f>
        <v>Residential Gas Lights</v>
      </c>
      <c r="C69" s="18">
        <v>16</v>
      </c>
      <c r="D69" s="70">
        <f t="shared" ref="D69:E69" si="2">IFERROR((D49/D90)/12, 0)</f>
        <v>29.925537695577077</v>
      </c>
      <c r="E69" s="70">
        <f t="shared" si="2"/>
        <v>5.968312614426357</v>
      </c>
    </row>
    <row r="70" spans="1:5" s="2" customFormat="1" ht="15" x14ac:dyDescent="0.2">
      <c r="A70" s="1"/>
      <c r="B70" s="2" t="str">
        <f t="shared" si="1"/>
        <v>Commercial &amp; Industrial</v>
      </c>
      <c r="C70" s="18">
        <v>31</v>
      </c>
      <c r="D70" s="70">
        <f t="shared" ref="D70:E70" si="3">IFERROR((D50/D91)/12, 0)</f>
        <v>84.225852124764756</v>
      </c>
      <c r="E70" s="70">
        <f t="shared" si="3"/>
        <v>11.215258892008301</v>
      </c>
    </row>
    <row r="71" spans="1:5" s="2" customFormat="1" ht="15" x14ac:dyDescent="0.2">
      <c r="A71" s="1"/>
      <c r="B71" s="2" t="str">
        <f t="shared" si="1"/>
        <v>Large Volume</v>
      </c>
      <c r="C71" s="18">
        <v>41</v>
      </c>
      <c r="D71" s="70">
        <f t="shared" ref="D71:E71" si="4">IFERROR((D51/D92)/12, 0)</f>
        <v>486.79971268451624</v>
      </c>
      <c r="E71" s="70">
        <f t="shared" si="4"/>
        <v>79.413133807874928</v>
      </c>
    </row>
    <row r="72" spans="1:5" s="2" customFormat="1" ht="15" x14ac:dyDescent="0.2">
      <c r="A72" s="1"/>
      <c r="B72" s="2" t="str">
        <f t="shared" si="1"/>
        <v>Interruptible</v>
      </c>
      <c r="C72" s="18">
        <v>85</v>
      </c>
      <c r="D72" s="70">
        <f t="shared" ref="D72:E72" si="5">IFERROR((D52/D93)/12, 0)</f>
        <v>2155.9897338833794</v>
      </c>
      <c r="E72" s="70">
        <f t="shared" si="5"/>
        <v>346.09533457226962</v>
      </c>
    </row>
    <row r="73" spans="1:5" s="2" customFormat="1" ht="15" x14ac:dyDescent="0.2">
      <c r="A73" s="1"/>
      <c r="B73" s="2" t="str">
        <f t="shared" si="1"/>
        <v>Limited Interruptible</v>
      </c>
      <c r="C73" s="18">
        <v>86</v>
      </c>
      <c r="D73" s="70">
        <f t="shared" ref="D73:E73" si="6">IFERROR((D53/D94)/12, 0)</f>
        <v>241.99667370001018</v>
      </c>
      <c r="E73" s="70">
        <f t="shared" si="6"/>
        <v>33.027362781453228</v>
      </c>
    </row>
    <row r="74" spans="1:5" s="2" customFormat="1" ht="15" x14ac:dyDescent="0.2">
      <c r="A74" s="1"/>
      <c r="B74" s="2" t="str">
        <f t="shared" si="1"/>
        <v>Non-exclusive Interruptible</v>
      </c>
      <c r="C74" s="18">
        <v>87</v>
      </c>
      <c r="D74" s="70">
        <f t="shared" ref="D74:E74" si="7">IFERROR((D54/D95)/12, 0)</f>
        <v>16173.231535868486</v>
      </c>
      <c r="E74" s="70">
        <f t="shared" si="7"/>
        <v>1401.6640300855895</v>
      </c>
    </row>
    <row r="75" spans="1:5" s="2" customFormat="1" ht="15" x14ac:dyDescent="0.2">
      <c r="A75" s="1"/>
      <c r="B75" s="2" t="str">
        <f t="shared" si="1"/>
        <v>Commercial &amp; Industrial Transportation</v>
      </c>
      <c r="C75" s="18" t="s">
        <v>89</v>
      </c>
      <c r="D75" s="70">
        <f t="shared" ref="D75:E75" si="8">IFERROR((D55/D96)/12, 0)</f>
        <v>0</v>
      </c>
      <c r="E75" s="70">
        <f t="shared" si="8"/>
        <v>0</v>
      </c>
    </row>
    <row r="76" spans="1:5" s="2" customFormat="1" ht="15" x14ac:dyDescent="0.2">
      <c r="A76" s="1"/>
      <c r="B76" s="2" t="str">
        <f t="shared" si="1"/>
        <v>Large Volume Transportation</v>
      </c>
      <c r="C76" s="18" t="s">
        <v>90</v>
      </c>
      <c r="D76" s="70">
        <f t="shared" ref="D76:E76" si="9">IFERROR((D56/D97)/12, 0)</f>
        <v>1677.3392159274815</v>
      </c>
      <c r="E76" s="70">
        <f t="shared" si="9"/>
        <v>24.749068075348458</v>
      </c>
    </row>
    <row r="77" spans="1:5" s="2" customFormat="1" ht="15" x14ac:dyDescent="0.2">
      <c r="A77" s="1"/>
      <c r="B77" s="2" t="str">
        <f t="shared" si="1"/>
        <v>Interruptible Transportation</v>
      </c>
      <c r="C77" s="18" t="s">
        <v>91</v>
      </c>
      <c r="D77" s="70">
        <f t="shared" ref="D77:E77" si="10">IFERROR((D57/D98)/12, 0)</f>
        <v>2875.9279951914509</v>
      </c>
      <c r="E77" s="70">
        <f t="shared" si="10"/>
        <v>346.88778613103426</v>
      </c>
    </row>
    <row r="78" spans="1:5" s="2" customFormat="1" ht="15" x14ac:dyDescent="0.2">
      <c r="A78" s="1"/>
      <c r="B78" s="2" t="str">
        <f t="shared" si="1"/>
        <v>Limited Interruptible Transportation</v>
      </c>
      <c r="C78" s="18" t="s">
        <v>92</v>
      </c>
      <c r="D78" s="70">
        <f t="shared" ref="D78:E78" si="11">IFERROR((D58/D99)/12, 0)</f>
        <v>585.72272063940875</v>
      </c>
      <c r="E78" s="70">
        <f t="shared" si="11"/>
        <v>-57.224008564525455</v>
      </c>
    </row>
    <row r="79" spans="1:5" s="2" customFormat="1" ht="15" x14ac:dyDescent="0.2">
      <c r="A79" s="1"/>
      <c r="B79" s="2" t="str">
        <f t="shared" si="1"/>
        <v>Non-exclusive Interruptible Transportation</v>
      </c>
      <c r="C79" s="18" t="s">
        <v>93</v>
      </c>
      <c r="D79" s="70">
        <f t="shared" ref="D79:E79" si="12">IFERROR((D59/D100)/12, 0)</f>
        <v>20053.288967331224</v>
      </c>
      <c r="E79" s="70">
        <f t="shared" si="12"/>
        <v>2543.3573735143677</v>
      </c>
    </row>
    <row r="80" spans="1:5" s="2" customFormat="1" ht="15" x14ac:dyDescent="0.2">
      <c r="A80" s="1"/>
      <c r="B80" s="2" t="str">
        <f t="shared" si="1"/>
        <v>Exclusive Interruptible Transportation</v>
      </c>
      <c r="C80" s="18" t="s">
        <v>94</v>
      </c>
      <c r="D80" s="70">
        <f>IFERROR((D60/D101)/12, 0)</f>
        <v>-63206.11446980168</v>
      </c>
      <c r="E80" s="70">
        <f t="shared" ref="E80" si="13">IFERROR((E60/E101)/12, 0)</f>
        <v>-25658.730218333327</v>
      </c>
    </row>
    <row r="81" spans="1:5" s="2" customFormat="1" ht="15" x14ac:dyDescent="0.2">
      <c r="A81" s="1"/>
      <c r="B81" s="2" t="str">
        <f t="shared" si="1"/>
        <v>Contracts</v>
      </c>
      <c r="C81" s="2" t="s">
        <v>95</v>
      </c>
      <c r="D81" s="70">
        <f t="shared" ref="D81:E81" si="14">IFERROR((D61/D102)/12, 0)</f>
        <v>1194.1473758537797</v>
      </c>
      <c r="E81" s="70">
        <f t="shared" si="14"/>
        <v>1352.2566666666642</v>
      </c>
    </row>
    <row r="82" spans="1:5" s="2" customFormat="1" ht="15" x14ac:dyDescent="0.2">
      <c r="A82" s="1"/>
      <c r="D82" s="46"/>
      <c r="E82" s="16"/>
    </row>
    <row r="83" spans="1:5" s="2" customFormat="1" ht="15" x14ac:dyDescent="0.2">
      <c r="A83" s="1"/>
      <c r="C83" s="2" t="s">
        <v>10</v>
      </c>
      <c r="D83" s="51">
        <f>D$22</f>
        <v>2025</v>
      </c>
      <c r="E83" s="51">
        <f>E$22</f>
        <v>2026</v>
      </c>
    </row>
    <row r="84" spans="1:5" s="2" customFormat="1" ht="15" x14ac:dyDescent="0.2">
      <c r="A84" s="1"/>
      <c r="B84" s="20" t="s">
        <v>87</v>
      </c>
      <c r="D84" s="37">
        <f>'[6]Typical Res Bill_RY#1 '!$T$39</f>
        <v>13.959999999999994</v>
      </c>
      <c r="E84" s="37">
        <f>'[6]Typical Res Bill_RY#2'!$H$39</f>
        <v>1.5100000000000193</v>
      </c>
    </row>
    <row r="85" spans="1:5" s="2" customFormat="1" ht="15" x14ac:dyDescent="0.2">
      <c r="A85" s="1"/>
      <c r="B85" s="6"/>
      <c r="D85" s="37" t="s">
        <v>10</v>
      </c>
      <c r="E85" s="7"/>
    </row>
    <row r="86" spans="1:5" s="2" customFormat="1" ht="15" x14ac:dyDescent="0.2">
      <c r="A86" s="13"/>
      <c r="B86" s="7"/>
      <c r="C86" s="7"/>
      <c r="D86" s="7"/>
      <c r="E86" s="7"/>
    </row>
    <row r="87" spans="1:5" s="20" customFormat="1" ht="15" x14ac:dyDescent="0.2">
      <c r="A87" s="61" t="s">
        <v>24</v>
      </c>
      <c r="B87" s="25" t="s">
        <v>38</v>
      </c>
      <c r="E87" s="16"/>
    </row>
    <row r="88" spans="1:5" s="2" customFormat="1" ht="15" x14ac:dyDescent="0.2">
      <c r="A88" s="1"/>
      <c r="C88" s="74" t="s">
        <v>105</v>
      </c>
      <c r="D88" s="51">
        <f>D$22</f>
        <v>2025</v>
      </c>
      <c r="E88" s="51">
        <f>E$22</f>
        <v>2026</v>
      </c>
    </row>
    <row r="89" spans="1:5" s="2" customFormat="1" ht="15" x14ac:dyDescent="0.2">
      <c r="A89" s="1"/>
      <c r="B89" s="2" t="str">
        <f>B68</f>
        <v>Residential</v>
      </c>
      <c r="C89" s="42">
        <f>AVERAGE('[5]Weather Norm Calc'!$D$199:$O$199)-C90</f>
        <v>812901.58333333337</v>
      </c>
      <c r="D89" s="42">
        <f>AVERAGE('[5](C) F23 Bills &amp; Demand Data'!$P$78:$AA$78)</f>
        <v>818788</v>
      </c>
      <c r="E89" s="42">
        <f>AVERAGE('[5](C) F23 Bills &amp; Demand Data'!$AD$78:$AO$78)</f>
        <v>818788</v>
      </c>
    </row>
    <row r="90" spans="1:5" s="2" customFormat="1" ht="15" x14ac:dyDescent="0.2">
      <c r="A90" s="1"/>
      <c r="B90" s="2" t="str">
        <f t="shared" ref="B90:B102" si="15">B69</f>
        <v>Residential Gas Lights</v>
      </c>
      <c r="C90" s="42">
        <f>AVERAGE('[5]Weather Norm Calc'!$D$36:$O$36)</f>
        <v>3.9166666666666665</v>
      </c>
      <c r="D90" s="42">
        <f>AVERAGE('[5]F2023 Forecast'!$N$63:$Y$63)</f>
        <v>4</v>
      </c>
      <c r="E90" s="42">
        <f>AVERAGE('[5]F2023 Forecast'!$Z$63:$AK$63)</f>
        <v>4</v>
      </c>
    </row>
    <row r="91" spans="1:5" s="2" customFormat="1" ht="15" x14ac:dyDescent="0.2">
      <c r="A91" s="1"/>
      <c r="B91" s="2" t="str">
        <f t="shared" si="15"/>
        <v>Commercial &amp; Industrial</v>
      </c>
      <c r="C91" s="42">
        <f>AVERAGE('[5]Weather Norm Calc'!$D$200:$O$200)</f>
        <v>57903.166666666664</v>
      </c>
      <c r="D91" s="42">
        <f>AVERAGE('[5](C) F23 Bills &amp; Demand Data'!$P$79:$AA$79)+AVERAGE('[5](C) F23 Bills &amp; Demand Data'!$P$80:$AA$80)</f>
        <v>58552.333333333328</v>
      </c>
      <c r="E91" s="42">
        <f>AVERAGE('[5](C) F23 Bills &amp; Demand Data'!$AD$79:$AO$79)+AVERAGE('[5](C) F23 Bills &amp; Demand Data'!$AD$80:$AO$80)</f>
        <v>58770</v>
      </c>
    </row>
    <row r="92" spans="1:5" s="2" customFormat="1" ht="15" x14ac:dyDescent="0.2">
      <c r="A92" s="1"/>
      <c r="B92" s="2" t="str">
        <f t="shared" si="15"/>
        <v>Large Volume</v>
      </c>
      <c r="C92" s="42">
        <f>AVERAGE('[5]Weather Norm Calc'!$D$201:$O$201)</f>
        <v>1235.75</v>
      </c>
      <c r="D92" s="42">
        <f>AVERAGE('[5](C) F23 Bills &amp; Demand Data'!$P$83:$AA$83)+AVERAGE('[5](C) F23 Bills &amp; Demand Data'!$P$84:$AA$84)</f>
        <v>1238.6666666666667</v>
      </c>
      <c r="E92" s="42">
        <f>AVERAGE('[5](C) F23 Bills &amp; Demand Data'!$AD$83:$AO$83)+AVERAGE('[5](C) F23 Bills &amp; Demand Data'!$AD$84:$AO$84)</f>
        <v>1236.75</v>
      </c>
    </row>
    <row r="93" spans="1:5" s="2" customFormat="1" ht="15" x14ac:dyDescent="0.2">
      <c r="A93" s="1"/>
      <c r="B93" s="2" t="str">
        <f t="shared" si="15"/>
        <v>Interruptible</v>
      </c>
      <c r="C93" s="42">
        <f>AVERAGE('[5]Weather Norm Calc'!D204:O204)</f>
        <v>33.666666666666664</v>
      </c>
      <c r="D93" s="42">
        <f>AVERAGE('[5](C) F23 Bills &amp; Demand Data'!$P$88:$AA$88)+AVERAGE('[5](C) F23 Bills &amp; Demand Data'!$P$89:$AA$89)</f>
        <v>35</v>
      </c>
      <c r="E93" s="42">
        <f>AVERAGE('[5](C) F23 Bills &amp; Demand Data'!$AD$88:$AO$88)+AVERAGE('[5](C) F23 Bills &amp; Demand Data'!$AD$89:$AO$89)</f>
        <v>35</v>
      </c>
    </row>
    <row r="94" spans="1:5" s="2" customFormat="1" ht="15" x14ac:dyDescent="0.2">
      <c r="A94" s="1"/>
      <c r="B94" s="2" t="str">
        <f t="shared" si="15"/>
        <v>Limited Interruptible</v>
      </c>
      <c r="C94" s="42">
        <f>AVERAGE('[5]Weather Norm Calc'!D205:O205)</f>
        <v>106.83333333333333</v>
      </c>
      <c r="D94" s="42">
        <f>AVERAGE('[5](C) F23 Bills &amp; Demand Data'!$P$92:$AA$92)+AVERAGE('[5](C) F23 Bills &amp; Demand Data'!$P$93:$AA$93)</f>
        <v>95.833333333333329</v>
      </c>
      <c r="E94" s="42">
        <f>AVERAGE('[5](C) F23 Bills &amp; Demand Data'!$AD$92:$AO$92)+AVERAGE('[5](C) F23 Bills &amp; Demand Data'!$AD$93:$AO$93)</f>
        <v>92</v>
      </c>
    </row>
    <row r="95" spans="1:5" s="2" customFormat="1" ht="15" x14ac:dyDescent="0.2">
      <c r="A95" s="1"/>
      <c r="B95" s="2" t="str">
        <f t="shared" si="15"/>
        <v>Non-exclusive Interruptible</v>
      </c>
      <c r="C95" s="42">
        <f>AVERAGE('[5]Weather Norm Calc'!D206:O206)</f>
        <v>4</v>
      </c>
      <c r="D95" s="42">
        <f>AVERAGE('[5](C) F23 Bills &amp; Demand Data'!$P$96:$AA$96)+AVERAGE('[5](C) F23 Bills &amp; Demand Data'!$P$97:$AA$97)</f>
        <v>4</v>
      </c>
      <c r="E95" s="42">
        <f>AVERAGE('[5](C) F23 Bills &amp; Demand Data'!$AD$96:$AO$96)+AVERAGE('[5](C) F23 Bills &amp; Demand Data'!$AD$97:$AO$97)</f>
        <v>4</v>
      </c>
    </row>
    <row r="96" spans="1:5" s="2" customFormat="1" ht="15" x14ac:dyDescent="0.2">
      <c r="A96" s="1"/>
      <c r="B96" s="2" t="str">
        <f t="shared" si="15"/>
        <v>Commercial &amp; Industrial Transportation</v>
      </c>
      <c r="C96" s="42">
        <f>AVERAGE('[5]Weather Norm Calc'!D207:O207)</f>
        <v>1</v>
      </c>
      <c r="D96" s="42">
        <f>AVERAGE('[5](C) F23 Bills &amp; Demand Data'!$P$81:$AA$81)+AVERAGE('[5](C) F23 Bills &amp; Demand Data'!$P$82:$AA$82)</f>
        <v>0</v>
      </c>
      <c r="E96" s="42">
        <f>AVERAGE('[5](C) F23 Bills &amp; Demand Data'!$AD$81:$AO$81)+AVERAGE('[5](C) F23 Bills &amp; Demand Data'!$AD$82:$AO$82)</f>
        <v>0</v>
      </c>
    </row>
    <row r="97" spans="1:5" s="2" customFormat="1" ht="15" x14ac:dyDescent="0.2">
      <c r="A97" s="1"/>
      <c r="B97" s="2" t="str">
        <f t="shared" si="15"/>
        <v>Large Volume Transportation</v>
      </c>
      <c r="C97" s="42">
        <f>AVERAGE('[5]Weather Norm Calc'!D208:O208)</f>
        <v>93.833333333333329</v>
      </c>
      <c r="D97" s="42">
        <f>AVERAGE('[5](C) F23 Bills &amp; Demand Data'!$P$85:$AA$85)+AVERAGE('[5](C) F23 Bills &amp; Demand Data'!$P$86:$AA$86)</f>
        <v>94</v>
      </c>
      <c r="E97" s="42">
        <f>AVERAGE('[5](C) F23 Bills &amp; Demand Data'!$AD$85:$AO$85)+AVERAGE('[5](C) F23 Bills &amp; Demand Data'!$AD$86:$AO$86)</f>
        <v>94</v>
      </c>
    </row>
    <row r="98" spans="1:5" s="2" customFormat="1" ht="15" x14ac:dyDescent="0.2">
      <c r="A98" s="1"/>
      <c r="B98" s="2" t="str">
        <f t="shared" si="15"/>
        <v>Interruptible Transportation</v>
      </c>
      <c r="C98" s="42">
        <f>AVERAGE('[5]Weather Norm Calc'!D209:O209)</f>
        <v>82.416666666666671</v>
      </c>
      <c r="D98" s="42">
        <f>AVERAGE('[5](C) F23 Bills &amp; Demand Data'!$P$90:$AA$90)+AVERAGE('[5](C) F23 Bills &amp; Demand Data'!$P$91:$AA$91)</f>
        <v>83</v>
      </c>
      <c r="E98" s="42">
        <f>AVERAGE('[5](C) F23 Bills &amp; Demand Data'!$AD$90:$AO$90)+AVERAGE('[5](C) F23 Bills &amp; Demand Data'!$AD$91:$AO$91)</f>
        <v>83</v>
      </c>
    </row>
    <row r="99" spans="1:5" s="2" customFormat="1" ht="15" x14ac:dyDescent="0.2">
      <c r="A99" s="1"/>
      <c r="B99" s="2" t="str">
        <f t="shared" si="15"/>
        <v>Limited Interruptible Transportation</v>
      </c>
      <c r="C99" s="42">
        <f>AVERAGE('[5]Weather Norm Calc'!D210:O210)</f>
        <v>6.25</v>
      </c>
      <c r="D99" s="42">
        <f>AVERAGE('[5](C) F23 Bills &amp; Demand Data'!$P$94:$AA$94)+AVERAGE('[5](C) F23 Bills &amp; Demand Data'!$P$95:$AA$95)</f>
        <v>7</v>
      </c>
      <c r="E99" s="42">
        <f>AVERAGE('[5](C) F23 Bills &amp; Demand Data'!$AD$94:$AO$94)+AVERAGE('[5](C) F23 Bills &amp; Demand Data'!$AD$95:$AO$95)</f>
        <v>7</v>
      </c>
    </row>
    <row r="100" spans="1:5" s="2" customFormat="1" ht="15" x14ac:dyDescent="0.2">
      <c r="A100" s="1"/>
      <c r="B100" s="2" t="str">
        <f t="shared" si="15"/>
        <v>Non-exclusive Interruptible Transportation</v>
      </c>
      <c r="C100" s="42">
        <f>AVERAGE('[5]Weather Norm Calc'!D211:O211)</f>
        <v>11</v>
      </c>
      <c r="D100" s="42">
        <f>AVERAGE('[5](C) F23 Bills &amp; Demand Data'!$P$98:$AA$98)+AVERAGE('[5](C) F23 Bills &amp; Demand Data'!$P$99:$AA$99)</f>
        <v>9</v>
      </c>
      <c r="E100" s="42">
        <f>AVERAGE('[5](C) F23 Bills &amp; Demand Data'!$AD$98:$AO$98)+AVERAGE('[5](C) F23 Bills &amp; Demand Data'!$AD$99:$AO$99)</f>
        <v>9</v>
      </c>
    </row>
    <row r="101" spans="1:5" s="2" customFormat="1" ht="15" x14ac:dyDescent="0.2">
      <c r="A101" s="1"/>
      <c r="B101" s="2" t="str">
        <f t="shared" si="15"/>
        <v>Exclusive Interruptible Transportation</v>
      </c>
      <c r="C101" s="42">
        <v>0</v>
      </c>
      <c r="D101" s="42">
        <f>AVERAGE('[5](C) F23 Bills &amp; Demand Data'!$P$101:$AA$101)</f>
        <v>1</v>
      </c>
      <c r="E101" s="42">
        <f>AVERAGE('[5](C) F23 Bills &amp; Demand Data'!$AD$101:$AO$101)</f>
        <v>1</v>
      </c>
    </row>
    <row r="102" spans="1:5" s="2" customFormat="1" ht="17.25" x14ac:dyDescent="0.35">
      <c r="A102" s="1"/>
      <c r="B102" s="67" t="str">
        <f t="shared" si="15"/>
        <v>Contracts</v>
      </c>
      <c r="C102" s="66">
        <f>AVERAGE('[5]Weather Norm Calc'!$D$212:$O$212)</f>
        <v>9</v>
      </c>
      <c r="D102" s="66">
        <f>AVERAGE('[5](C) F23 Bills &amp; Demand Data'!$P$100:$AA$100)</f>
        <v>9</v>
      </c>
      <c r="E102" s="66">
        <f>AVERAGE('[5](C) F23 Bills &amp; Demand Data'!$AD$100:$AO$100)</f>
        <v>9</v>
      </c>
    </row>
    <row r="103" spans="1:5" s="2" customFormat="1" ht="15" x14ac:dyDescent="0.2">
      <c r="A103" s="1"/>
      <c r="B103" s="20" t="s">
        <v>69</v>
      </c>
      <c r="C103" s="42">
        <f>SUM(C89:C102)</f>
        <v>872392.41666666663</v>
      </c>
      <c r="D103" s="42">
        <f>SUM(D89:D102)</f>
        <v>878920.83333333337</v>
      </c>
      <c r="E103" s="42">
        <f>SUM(E89:E102)</f>
        <v>879132.75</v>
      </c>
    </row>
    <row r="104" spans="1:5" s="2" customFormat="1" ht="15" x14ac:dyDescent="0.2">
      <c r="A104" s="1"/>
      <c r="B104" s="217" t="s">
        <v>106</v>
      </c>
      <c r="C104" s="42"/>
      <c r="D104" s="42"/>
      <c r="E104" s="42"/>
    </row>
    <row r="105" spans="1:5" s="2" customFormat="1" ht="15" x14ac:dyDescent="0.2">
      <c r="A105" s="1"/>
      <c r="D105" s="56"/>
      <c r="E105" s="41"/>
    </row>
    <row r="106" spans="1:5" s="2" customFormat="1" ht="15" x14ac:dyDescent="0.2">
      <c r="A106" s="11" t="s">
        <v>25</v>
      </c>
      <c r="B106" s="25" t="s">
        <v>33</v>
      </c>
      <c r="E106" s="7"/>
    </row>
    <row r="107" spans="1:5" s="2" customFormat="1" ht="15" x14ac:dyDescent="0.2">
      <c r="A107" s="1"/>
      <c r="E107" s="7"/>
    </row>
    <row r="108" spans="1:5" s="2" customFormat="1" ht="15" x14ac:dyDescent="0.2">
      <c r="A108" s="1"/>
      <c r="B108" s="2" t="s">
        <v>4</v>
      </c>
      <c r="D108" s="35">
        <f>ROR!F18</f>
        <v>7.1599999999999997E-2</v>
      </c>
      <c r="E108" s="7"/>
    </row>
    <row r="109" spans="1:5" s="2" customFormat="1" ht="15" x14ac:dyDescent="0.2">
      <c r="A109" s="1"/>
      <c r="B109" s="2" t="s">
        <v>3</v>
      </c>
      <c r="D109" s="35">
        <f>ROR!E17</f>
        <v>9.4E-2</v>
      </c>
      <c r="E109" s="7"/>
    </row>
    <row r="110" spans="1:5" s="2" customFormat="1" ht="15" x14ac:dyDescent="0.2">
      <c r="A110" s="1"/>
      <c r="D110" s="35"/>
      <c r="E110" s="7"/>
    </row>
    <row r="111" spans="1:5" s="2" customFormat="1" ht="15" x14ac:dyDescent="0.2">
      <c r="A111" s="11" t="s">
        <v>26</v>
      </c>
      <c r="B111" s="9" t="s">
        <v>27</v>
      </c>
      <c r="D111" s="35"/>
      <c r="E111" s="7"/>
    </row>
    <row r="112" spans="1:5" s="2" customFormat="1" ht="15" x14ac:dyDescent="0.2">
      <c r="A112" s="11"/>
      <c r="B112" s="9"/>
      <c r="D112" s="35"/>
      <c r="E112" s="7"/>
    </row>
    <row r="113" spans="1:5" s="2" customFormat="1" ht="15" x14ac:dyDescent="0.2">
      <c r="A113" s="1"/>
      <c r="B113" s="2" t="s">
        <v>54</v>
      </c>
      <c r="D113" s="57">
        <f>[7]Summary!$C$49</f>
        <v>6.1699999999999998E-2</v>
      </c>
      <c r="E113" s="7"/>
    </row>
    <row r="114" spans="1:5" s="2" customFormat="1" ht="15" x14ac:dyDescent="0.2">
      <c r="A114" s="1"/>
      <c r="B114" s="2" t="s">
        <v>53</v>
      </c>
      <c r="D114" s="57">
        <f>[7]Summary!$E$49</f>
        <v>7.3400000000000007E-2</v>
      </c>
      <c r="E114" s="7"/>
    </row>
    <row r="115" spans="1:5" s="2" customFormat="1" ht="30.75" customHeight="1" x14ac:dyDescent="0.2">
      <c r="A115" s="1"/>
      <c r="B115" s="227" t="s">
        <v>56</v>
      </c>
      <c r="C115" s="227"/>
      <c r="D115" s="227"/>
      <c r="E115" s="227"/>
    </row>
    <row r="116" spans="1:5" s="2" customFormat="1" ht="15" x14ac:dyDescent="0.2">
      <c r="A116" s="1"/>
      <c r="D116" s="7"/>
      <c r="E116" s="7"/>
    </row>
    <row r="117" spans="1:5" s="2" customFormat="1" ht="15" x14ac:dyDescent="0.2">
      <c r="A117" s="11" t="s">
        <v>29</v>
      </c>
      <c r="B117" s="9" t="s">
        <v>34</v>
      </c>
      <c r="D117" s="7"/>
      <c r="E117" s="7"/>
    </row>
    <row r="118" spans="1:5" s="2" customFormat="1" ht="15" x14ac:dyDescent="0.2">
      <c r="A118" s="11"/>
      <c r="B118" s="9" t="s">
        <v>44</v>
      </c>
      <c r="D118" s="7"/>
      <c r="E118" s="7"/>
    </row>
    <row r="119" spans="1:5" s="2" customFormat="1" ht="15" x14ac:dyDescent="0.2">
      <c r="A119" s="1"/>
      <c r="D119" s="51">
        <f>D$22</f>
        <v>2025</v>
      </c>
      <c r="E119" s="51">
        <f>E$22</f>
        <v>2026</v>
      </c>
    </row>
    <row r="120" spans="1:5" s="2" customFormat="1" ht="15" x14ac:dyDescent="0.2">
      <c r="A120" s="1"/>
      <c r="B120" s="2" t="s">
        <v>6</v>
      </c>
      <c r="D120" s="21">
        <f>'[7]Def, COC, ConvF'!$C$13</f>
        <v>7.6499999999999999E-2</v>
      </c>
      <c r="E120" s="21">
        <f>'[7]Def, COC, ConvF'!$D$13</f>
        <v>7.9899999999999999E-2</v>
      </c>
    </row>
    <row r="121" spans="1:5" s="2" customFormat="1" ht="15" x14ac:dyDescent="0.2">
      <c r="A121" s="1"/>
      <c r="B121" s="2" t="s">
        <v>7</v>
      </c>
      <c r="D121" s="21">
        <f>'[7]Def, COC, ConvF'!$J$27</f>
        <v>9.9500000000000005E-2</v>
      </c>
      <c r="E121" s="21">
        <f>'[7]Def, COC, ConvF'!$J$32</f>
        <v>0.105</v>
      </c>
    </row>
    <row r="122" spans="1:5" s="2" customFormat="1" ht="15" x14ac:dyDescent="0.2">
      <c r="A122" s="1"/>
      <c r="D122" s="36"/>
      <c r="E122" s="7"/>
    </row>
    <row r="123" spans="1:5" s="2" customFormat="1" ht="15" x14ac:dyDescent="0.2">
      <c r="A123" s="1"/>
      <c r="B123" s="2" t="s">
        <v>51</v>
      </c>
      <c r="D123" s="36"/>
      <c r="E123" s="7"/>
    </row>
    <row r="124" spans="1:5" s="2" customFormat="1" ht="15" x14ac:dyDescent="0.2">
      <c r="A124" s="1"/>
      <c r="D124" s="7"/>
      <c r="E124" s="7"/>
    </row>
    <row r="125" spans="1:5" s="2" customFormat="1" ht="15" x14ac:dyDescent="0.2">
      <c r="A125" s="11" t="s">
        <v>28</v>
      </c>
      <c r="B125" s="9" t="s">
        <v>37</v>
      </c>
      <c r="D125" s="51">
        <f>D$22</f>
        <v>2025</v>
      </c>
      <c r="E125" s="51">
        <f>E$22</f>
        <v>2026</v>
      </c>
    </row>
    <row r="126" spans="1:5" s="2" customFormat="1" ht="15" x14ac:dyDescent="0.2">
      <c r="A126" s="1"/>
      <c r="C126" s="4" t="s">
        <v>12</v>
      </c>
      <c r="D126" s="21">
        <f>'[7]Def, COC, ConvF'!$I$22</f>
        <v>0.5</v>
      </c>
      <c r="E126" s="21">
        <f>'[7]Def, COC, ConvF'!$I$31</f>
        <v>0.49</v>
      </c>
    </row>
    <row r="127" spans="1:5" s="2" customFormat="1" ht="15" x14ac:dyDescent="0.2">
      <c r="A127" s="1"/>
      <c r="C127" s="33" t="s">
        <v>2</v>
      </c>
      <c r="D127" s="21">
        <f>'[7]Def, COC, ConvF'!$I$23</f>
        <v>0.5</v>
      </c>
      <c r="E127" s="21">
        <f>'[7]Def, COC, ConvF'!$I$32</f>
        <v>0.51</v>
      </c>
    </row>
    <row r="128" spans="1:5" s="2" customFormat="1" ht="15" x14ac:dyDescent="0.2">
      <c r="A128" s="1"/>
      <c r="C128" s="4"/>
      <c r="D128" s="21"/>
      <c r="E128" s="7"/>
    </row>
    <row r="129" spans="1:5" s="2" customFormat="1" ht="15" x14ac:dyDescent="0.2">
      <c r="A129" s="11" t="s">
        <v>30</v>
      </c>
      <c r="B129" s="9" t="s">
        <v>13</v>
      </c>
      <c r="D129" s="7"/>
      <c r="E129" s="7"/>
    </row>
    <row r="130" spans="1:5" s="2" customFormat="1" ht="15" x14ac:dyDescent="0.2">
      <c r="A130" s="1"/>
      <c r="D130" s="51">
        <f>D$22</f>
        <v>2025</v>
      </c>
      <c r="E130" s="51">
        <f>E$22</f>
        <v>2026</v>
      </c>
    </row>
    <row r="131" spans="1:5" s="2" customFormat="1" ht="15" x14ac:dyDescent="0.2">
      <c r="A131" s="1"/>
      <c r="C131" s="4" t="s">
        <v>11</v>
      </c>
      <c r="D131" s="34">
        <f>'[7]Def, COC, ConvF'!$C$15</f>
        <v>219287555.46065</v>
      </c>
      <c r="E131" s="34">
        <f>'[7]Def, COC, ConvF'!$D$15</f>
        <v>228763950.86652479</v>
      </c>
    </row>
    <row r="132" spans="1:5" s="2" customFormat="1" ht="15" x14ac:dyDescent="0.2">
      <c r="A132" s="1"/>
      <c r="E132" s="7"/>
    </row>
    <row r="133" spans="1:5" s="2" customFormat="1" ht="15" x14ac:dyDescent="0.2">
      <c r="A133" s="11" t="s">
        <v>31</v>
      </c>
      <c r="B133" s="9" t="s">
        <v>36</v>
      </c>
      <c r="D133" s="51">
        <f>D$22</f>
        <v>2025</v>
      </c>
      <c r="E133" s="51">
        <f>E$22</f>
        <v>2026</v>
      </c>
    </row>
    <row r="134" spans="1:5" s="2" customFormat="1" ht="15" x14ac:dyDescent="0.2">
      <c r="A134" s="1"/>
      <c r="C134" s="4" t="s">
        <v>5</v>
      </c>
      <c r="D134" s="8">
        <f>'[7]Def, COC, ConvF'!$C$12</f>
        <v>2866503992.9496732</v>
      </c>
      <c r="E134" s="8">
        <f>'[7]Def, COC, ConvF'!$D$12</f>
        <v>2863128296.2018123</v>
      </c>
    </row>
    <row r="135" spans="1:5" s="2" customFormat="1" ht="15" x14ac:dyDescent="0.2">
      <c r="A135" s="1"/>
      <c r="B135" s="4"/>
      <c r="D135" s="8"/>
      <c r="E135" s="7"/>
    </row>
    <row r="136" spans="1:5" s="2" customFormat="1" ht="30.75" customHeight="1" x14ac:dyDescent="0.2">
      <c r="A136" s="1"/>
      <c r="B136" s="218" t="s">
        <v>52</v>
      </c>
      <c r="C136" s="218"/>
      <c r="D136" s="218"/>
      <c r="E136" s="43"/>
    </row>
    <row r="137" spans="1:5" s="2" customFormat="1" ht="15" x14ac:dyDescent="0.2">
      <c r="A137" s="1"/>
      <c r="E137" s="7"/>
    </row>
    <row r="138" spans="1:5" s="2" customFormat="1" ht="15" x14ac:dyDescent="0.2">
      <c r="A138" s="11" t="s">
        <v>32</v>
      </c>
      <c r="B138" s="9" t="s">
        <v>42</v>
      </c>
    </row>
    <row r="139" spans="1:5" s="2" customFormat="1" ht="15" x14ac:dyDescent="0.2">
      <c r="A139" s="1"/>
    </row>
    <row r="140" spans="1:5" s="2" customFormat="1" ht="15" x14ac:dyDescent="0.2">
      <c r="A140" s="1"/>
      <c r="B140" s="44" t="s">
        <v>45</v>
      </c>
    </row>
    <row r="141" spans="1:5" s="2" customFormat="1" ht="15" x14ac:dyDescent="0.2">
      <c r="A141" s="1"/>
    </row>
    <row r="142" spans="1:5" s="2" customFormat="1" ht="15" x14ac:dyDescent="0.2">
      <c r="A142" s="1"/>
      <c r="B142" s="44"/>
    </row>
    <row r="143" spans="1:5" s="2" customFormat="1" ht="15" x14ac:dyDescent="0.2">
      <c r="A143" s="1"/>
      <c r="B143" s="44"/>
    </row>
    <row r="144" spans="1:5" s="2" customFormat="1" ht="15" x14ac:dyDescent="0.2">
      <c r="A144" s="1"/>
    </row>
    <row r="145" spans="1:1" s="2" customFormat="1" ht="15" x14ac:dyDescent="0.2">
      <c r="A145" s="1"/>
    </row>
    <row r="146" spans="1:1" s="2" customFormat="1" ht="15" x14ac:dyDescent="0.2">
      <c r="A146" s="1"/>
    </row>
    <row r="147" spans="1:1" s="2" customFormat="1" ht="15" x14ac:dyDescent="0.2">
      <c r="A147" s="1"/>
    </row>
    <row r="148" spans="1:1" s="2" customFormat="1" ht="15" x14ac:dyDescent="0.2">
      <c r="A148" s="1"/>
    </row>
    <row r="149" spans="1:1" s="2" customFormat="1" ht="15" x14ac:dyDescent="0.2">
      <c r="A149" s="1"/>
    </row>
    <row r="150" spans="1:1" s="2" customFormat="1" ht="15" x14ac:dyDescent="0.2">
      <c r="A150" s="1"/>
    </row>
    <row r="151" spans="1:1" s="2" customFormat="1" ht="15" x14ac:dyDescent="0.2">
      <c r="A151" s="1"/>
    </row>
    <row r="152" spans="1:1" s="2" customFormat="1" ht="15" x14ac:dyDescent="0.2">
      <c r="A152" s="1"/>
    </row>
    <row r="153" spans="1:1" s="2" customFormat="1" ht="15" x14ac:dyDescent="0.2">
      <c r="A153" s="1"/>
    </row>
    <row r="154" spans="1:1" s="2" customFormat="1" ht="15" x14ac:dyDescent="0.2">
      <c r="A154" s="1"/>
    </row>
    <row r="155" spans="1:1" s="2" customFormat="1" ht="15" x14ac:dyDescent="0.2">
      <c r="A155" s="1"/>
    </row>
    <row r="156" spans="1:1" s="2" customFormat="1" ht="15" x14ac:dyDescent="0.2">
      <c r="A156" s="1"/>
    </row>
    <row r="157" spans="1:1" s="2" customFormat="1" ht="15" x14ac:dyDescent="0.2">
      <c r="A157" s="1"/>
    </row>
    <row r="158" spans="1:1" s="2" customFormat="1" ht="15" x14ac:dyDescent="0.2">
      <c r="A158" s="1"/>
    </row>
    <row r="159" spans="1:1" s="2" customFormat="1" ht="15" x14ac:dyDescent="0.2">
      <c r="A159" s="1"/>
    </row>
    <row r="160" spans="1:1" s="2" customFormat="1" ht="15" x14ac:dyDescent="0.2">
      <c r="A160" s="1"/>
    </row>
    <row r="161" spans="1:1" s="2" customFormat="1" ht="15" x14ac:dyDescent="0.2">
      <c r="A161" s="1"/>
    </row>
    <row r="162" spans="1:1" s="2" customFormat="1" ht="15" x14ac:dyDescent="0.2">
      <c r="A162" s="1"/>
    </row>
    <row r="163" spans="1:1" s="2" customFormat="1" ht="15" x14ac:dyDescent="0.2">
      <c r="A163" s="1"/>
    </row>
    <row r="164" spans="1:1" s="2" customFormat="1" ht="15" x14ac:dyDescent="0.2">
      <c r="A164" s="1"/>
    </row>
    <row r="165" spans="1:1" s="2" customFormat="1" ht="15" x14ac:dyDescent="0.2">
      <c r="A165" s="1"/>
    </row>
    <row r="166" spans="1:1" s="2" customFormat="1" ht="15" x14ac:dyDescent="0.2">
      <c r="A166" s="1"/>
    </row>
    <row r="167" spans="1:1" s="2" customFormat="1" ht="15" x14ac:dyDescent="0.2">
      <c r="A167" s="1"/>
    </row>
    <row r="168" spans="1:1" s="2" customFormat="1" ht="15" x14ac:dyDescent="0.2">
      <c r="A168" s="1"/>
    </row>
    <row r="169" spans="1:1" s="2" customFormat="1" ht="15" x14ac:dyDescent="0.2">
      <c r="A169" s="1"/>
    </row>
    <row r="170" spans="1:1" s="2" customFormat="1" ht="15" x14ac:dyDescent="0.2">
      <c r="A170" s="1"/>
    </row>
    <row r="171" spans="1:1" s="2" customFormat="1" ht="15" x14ac:dyDescent="0.2">
      <c r="A171" s="1"/>
    </row>
    <row r="172" spans="1:1" s="2" customFormat="1" ht="15" x14ac:dyDescent="0.2">
      <c r="A172" s="1"/>
    </row>
    <row r="173" spans="1:1" s="2" customFormat="1" ht="15" x14ac:dyDescent="0.2">
      <c r="A173" s="1"/>
    </row>
    <row r="174" spans="1:1" s="2" customFormat="1" ht="15" x14ac:dyDescent="0.2">
      <c r="A174" s="1"/>
    </row>
    <row r="175" spans="1:1" s="2" customFormat="1" ht="15" x14ac:dyDescent="0.2">
      <c r="A175" s="1"/>
    </row>
    <row r="176" spans="1:1" s="2" customFormat="1" ht="15" x14ac:dyDescent="0.2">
      <c r="A176" s="1"/>
    </row>
    <row r="177" spans="1:1" s="2" customFormat="1" ht="15" x14ac:dyDescent="0.2">
      <c r="A177" s="1"/>
    </row>
    <row r="178" spans="1:1" s="2" customFormat="1" ht="15" x14ac:dyDescent="0.2"/>
    <row r="179" spans="1:1" s="2" customFormat="1" ht="15" x14ac:dyDescent="0.2"/>
    <row r="180" spans="1:1" s="2" customFormat="1" ht="15" x14ac:dyDescent="0.2"/>
    <row r="181" spans="1:1" s="2" customFormat="1" ht="15" x14ac:dyDescent="0.2"/>
    <row r="182" spans="1:1" s="2" customFormat="1" ht="15" x14ac:dyDescent="0.2"/>
    <row r="183" spans="1:1" s="2" customFormat="1" ht="15" x14ac:dyDescent="0.2"/>
    <row r="184" spans="1:1" s="2" customFormat="1" ht="15" x14ac:dyDescent="0.2"/>
    <row r="185" spans="1:1" s="2" customFormat="1" ht="15" x14ac:dyDescent="0.2"/>
    <row r="186" spans="1:1" s="2" customFormat="1" ht="15" x14ac:dyDescent="0.2"/>
    <row r="187" spans="1:1" s="2" customFormat="1" ht="15" x14ac:dyDescent="0.2"/>
    <row r="188" spans="1:1" s="2" customFormat="1" ht="15" x14ac:dyDescent="0.2"/>
    <row r="189" spans="1:1" s="2" customFormat="1" ht="15" x14ac:dyDescent="0.2"/>
    <row r="190" spans="1:1" s="2" customFormat="1" ht="15" x14ac:dyDescent="0.2"/>
    <row r="191" spans="1:1" s="2" customFormat="1" ht="15" x14ac:dyDescent="0.2"/>
    <row r="192" spans="1:1" s="2" customFormat="1" ht="15" x14ac:dyDescent="0.2"/>
    <row r="193" s="2" customFormat="1" ht="15" x14ac:dyDescent="0.2"/>
    <row r="194" s="2" customFormat="1" ht="15" x14ac:dyDescent="0.2"/>
    <row r="195" s="2" customFormat="1" ht="15" x14ac:dyDescent="0.2"/>
    <row r="196" s="2" customFormat="1" ht="15" x14ac:dyDescent="0.2"/>
    <row r="197" s="2" customFormat="1" ht="15" x14ac:dyDescent="0.2"/>
    <row r="198" s="2" customFormat="1" ht="15" x14ac:dyDescent="0.2"/>
    <row r="199" s="2" customFormat="1" ht="15" x14ac:dyDescent="0.2"/>
    <row r="200" s="2" customFormat="1" ht="15" x14ac:dyDescent="0.2"/>
    <row r="201" s="2" customFormat="1" ht="15" x14ac:dyDescent="0.2"/>
    <row r="202" s="2" customFormat="1" ht="15" x14ac:dyDescent="0.2"/>
    <row r="203" s="2" customFormat="1" ht="15" x14ac:dyDescent="0.2"/>
    <row r="204" s="2" customFormat="1" ht="15" x14ac:dyDescent="0.2"/>
    <row r="205" s="2" customFormat="1" ht="15" x14ac:dyDescent="0.2"/>
    <row r="206" s="2" customFormat="1" ht="15" x14ac:dyDescent="0.2"/>
    <row r="207" s="2" customFormat="1" ht="15" x14ac:dyDescent="0.2"/>
    <row r="208" s="2" customFormat="1" ht="15" x14ac:dyDescent="0.2"/>
    <row r="209" s="2" customFormat="1" ht="15" x14ac:dyDescent="0.2"/>
    <row r="210" s="2" customFormat="1" ht="15" x14ac:dyDescent="0.2"/>
    <row r="211" s="2" customFormat="1" ht="15" x14ac:dyDescent="0.2"/>
    <row r="212" s="2" customFormat="1" ht="15" x14ac:dyDescent="0.2"/>
    <row r="213" s="2" customFormat="1" ht="15" x14ac:dyDescent="0.2"/>
    <row r="214" s="2" customFormat="1" ht="15" x14ac:dyDescent="0.2"/>
    <row r="215" s="2" customFormat="1" ht="15" x14ac:dyDescent="0.2"/>
    <row r="216" s="2" customFormat="1" ht="15" x14ac:dyDescent="0.2"/>
    <row r="217" s="2" customFormat="1" ht="15" x14ac:dyDescent="0.2"/>
    <row r="218" s="2" customFormat="1" ht="15" x14ac:dyDescent="0.2"/>
    <row r="219" s="2" customFormat="1" ht="15" x14ac:dyDescent="0.2"/>
    <row r="220" s="2" customFormat="1" ht="15" x14ac:dyDescent="0.2"/>
    <row r="221" s="2" customFormat="1" ht="15" x14ac:dyDescent="0.2"/>
    <row r="222" s="2" customFormat="1" ht="15" x14ac:dyDescent="0.2"/>
    <row r="223" s="2" customFormat="1" ht="15" x14ac:dyDescent="0.2"/>
    <row r="224" s="2" customFormat="1" ht="15" x14ac:dyDescent="0.2"/>
    <row r="225" s="2" customFormat="1" ht="15" x14ac:dyDescent="0.2"/>
    <row r="226" s="2" customFormat="1" ht="15" x14ac:dyDescent="0.2"/>
    <row r="227" s="2" customFormat="1" ht="15" x14ac:dyDescent="0.2"/>
    <row r="228" s="2" customFormat="1" ht="15" x14ac:dyDescent="0.2"/>
    <row r="229" s="2" customFormat="1" ht="15" x14ac:dyDescent="0.2"/>
    <row r="230" s="2" customFormat="1" ht="15" x14ac:dyDescent="0.2"/>
    <row r="231" s="2" customFormat="1" ht="15" x14ac:dyDescent="0.2"/>
    <row r="232" s="2" customFormat="1" ht="15" x14ac:dyDescent="0.2"/>
    <row r="233" s="2" customFormat="1" ht="15" x14ac:dyDescent="0.2"/>
    <row r="234" s="2" customFormat="1" ht="15" x14ac:dyDescent="0.2"/>
    <row r="235" s="2" customFormat="1" ht="15" x14ac:dyDescent="0.2"/>
    <row r="236" s="2" customFormat="1" ht="15" x14ac:dyDescent="0.2"/>
    <row r="237" s="2" customFormat="1" ht="15" x14ac:dyDescent="0.2"/>
    <row r="238" s="2" customFormat="1" ht="15" x14ac:dyDescent="0.2"/>
    <row r="239" s="2" customFormat="1" ht="15" x14ac:dyDescent="0.2"/>
    <row r="240" s="2" customFormat="1" ht="15" x14ac:dyDescent="0.2"/>
    <row r="241" s="2" customFormat="1" ht="15" x14ac:dyDescent="0.2"/>
    <row r="242" s="2" customFormat="1" ht="15" x14ac:dyDescent="0.2"/>
    <row r="243" s="2" customFormat="1" ht="15" x14ac:dyDescent="0.2"/>
    <row r="244" s="2" customFormat="1" ht="15" x14ac:dyDescent="0.2"/>
    <row r="245" s="2" customFormat="1" ht="15" x14ac:dyDescent="0.2"/>
    <row r="246" s="2" customFormat="1" ht="15" x14ac:dyDescent="0.2"/>
    <row r="247" s="2" customFormat="1" ht="15" x14ac:dyDescent="0.2"/>
    <row r="248" s="2" customFormat="1" ht="15" x14ac:dyDescent="0.2"/>
    <row r="249" s="2" customFormat="1" ht="15" x14ac:dyDescent="0.2"/>
    <row r="250" s="2" customFormat="1" ht="15" x14ac:dyDescent="0.2"/>
    <row r="251" s="2" customFormat="1" ht="15" x14ac:dyDescent="0.2"/>
    <row r="252" s="2" customFormat="1" ht="15" x14ac:dyDescent="0.2"/>
    <row r="253" s="2" customFormat="1" ht="15" x14ac:dyDescent="0.2"/>
    <row r="254" s="2" customFormat="1" ht="15" x14ac:dyDescent="0.2"/>
    <row r="255" s="2" customFormat="1" ht="15" x14ac:dyDescent="0.2"/>
    <row r="256" s="2" customFormat="1" ht="15" x14ac:dyDescent="0.2"/>
    <row r="257" s="2" customFormat="1" ht="15" x14ac:dyDescent="0.2"/>
    <row r="258" s="2" customFormat="1" ht="15" x14ac:dyDescent="0.2"/>
    <row r="259" s="2" customFormat="1" ht="15" x14ac:dyDescent="0.2"/>
    <row r="260" s="2" customFormat="1" ht="15" x14ac:dyDescent="0.2"/>
    <row r="261" s="2" customFormat="1" ht="15" x14ac:dyDescent="0.2"/>
    <row r="262" s="2" customFormat="1" ht="15" x14ac:dyDescent="0.2"/>
    <row r="263" s="2" customFormat="1" ht="15" x14ac:dyDescent="0.2"/>
    <row r="264" s="2" customFormat="1" ht="15" x14ac:dyDescent="0.2"/>
    <row r="265" s="2" customFormat="1" ht="15" x14ac:dyDescent="0.2"/>
    <row r="266" s="2" customFormat="1" ht="15" x14ac:dyDescent="0.2"/>
    <row r="267" s="2" customFormat="1" ht="15" x14ac:dyDescent="0.2"/>
    <row r="268" s="2" customFormat="1" ht="15" x14ac:dyDescent="0.2"/>
    <row r="269" s="2" customFormat="1" ht="15" x14ac:dyDescent="0.2"/>
    <row r="270" s="2" customFormat="1" ht="15" x14ac:dyDescent="0.2"/>
    <row r="271" s="2" customFormat="1" ht="15" x14ac:dyDescent="0.2"/>
    <row r="272" s="2" customFormat="1" ht="15" x14ac:dyDescent="0.2"/>
    <row r="273" s="2" customFormat="1" ht="15" x14ac:dyDescent="0.2"/>
    <row r="274" s="2" customFormat="1" ht="15" x14ac:dyDescent="0.2"/>
    <row r="275" s="2" customFormat="1" ht="15" x14ac:dyDescent="0.2"/>
    <row r="276" s="2" customFormat="1" ht="15" x14ac:dyDescent="0.2"/>
    <row r="277" s="2" customFormat="1" ht="15" x14ac:dyDescent="0.2"/>
    <row r="278" s="2" customFormat="1" ht="15" x14ac:dyDescent="0.2"/>
    <row r="279" s="2" customFormat="1" ht="15" x14ac:dyDescent="0.2"/>
    <row r="280" s="2" customFormat="1" ht="15" x14ac:dyDescent="0.2"/>
    <row r="281" s="2" customFormat="1" ht="15" x14ac:dyDescent="0.2"/>
    <row r="282" s="2" customFormat="1" ht="15" x14ac:dyDescent="0.2"/>
    <row r="283" s="2" customFormat="1" ht="15" x14ac:dyDescent="0.2"/>
    <row r="284" s="2" customFormat="1" ht="15" x14ac:dyDescent="0.2"/>
    <row r="285" s="2" customFormat="1" ht="15" x14ac:dyDescent="0.2"/>
    <row r="286" s="2" customFormat="1" ht="15" x14ac:dyDescent="0.2"/>
    <row r="287" s="2" customFormat="1" ht="15" x14ac:dyDescent="0.2"/>
    <row r="288" s="2" customFormat="1" ht="15" x14ac:dyDescent="0.2"/>
    <row r="289" s="2" customFormat="1" ht="15" x14ac:dyDescent="0.2"/>
    <row r="290" s="2" customFormat="1" ht="15" x14ac:dyDescent="0.2"/>
    <row r="291" s="2" customFormat="1" ht="15" x14ac:dyDescent="0.2"/>
    <row r="292" s="2" customFormat="1" ht="15" x14ac:dyDescent="0.2"/>
    <row r="293" s="2" customFormat="1" ht="15" x14ac:dyDescent="0.2"/>
    <row r="294" s="2" customFormat="1" ht="15" x14ac:dyDescent="0.2"/>
    <row r="295" s="2" customFormat="1" ht="15" x14ac:dyDescent="0.2"/>
    <row r="296" s="2" customFormat="1" ht="15" x14ac:dyDescent="0.2"/>
    <row r="297" s="2" customFormat="1" ht="15" x14ac:dyDescent="0.2"/>
    <row r="298" s="2" customFormat="1" ht="15" x14ac:dyDescent="0.2"/>
    <row r="299" s="2" customFormat="1" ht="15" x14ac:dyDescent="0.2"/>
    <row r="300" s="2" customFormat="1" ht="15" x14ac:dyDescent="0.2"/>
    <row r="301" s="2" customFormat="1" ht="15" x14ac:dyDescent="0.2"/>
    <row r="302" s="2" customFormat="1" ht="15" x14ac:dyDescent="0.2"/>
    <row r="303" s="2" customFormat="1" ht="15" x14ac:dyDescent="0.2"/>
    <row r="304" s="2" customFormat="1" ht="15" x14ac:dyDescent="0.2"/>
    <row r="305" s="2" customFormat="1" ht="15" x14ac:dyDescent="0.2"/>
    <row r="306" s="2" customFormat="1" ht="15" x14ac:dyDescent="0.2"/>
    <row r="307" s="2" customFormat="1" ht="15" x14ac:dyDescent="0.2"/>
    <row r="308" s="2" customFormat="1" ht="15" x14ac:dyDescent="0.2"/>
    <row r="309" s="2" customFormat="1" ht="15" x14ac:dyDescent="0.2"/>
    <row r="310" s="2" customFormat="1" ht="15" x14ac:dyDescent="0.2"/>
    <row r="311" s="2" customFormat="1" ht="15" x14ac:dyDescent="0.2"/>
    <row r="312" s="2" customFormat="1" ht="15" x14ac:dyDescent="0.2"/>
    <row r="313" s="2" customFormat="1" ht="15" x14ac:dyDescent="0.2"/>
    <row r="314" s="2" customFormat="1" ht="15" x14ac:dyDescent="0.2"/>
    <row r="315" s="2" customFormat="1" ht="15" x14ac:dyDescent="0.2"/>
    <row r="316" s="2" customFormat="1" ht="15" x14ac:dyDescent="0.2"/>
    <row r="317" s="2" customFormat="1" ht="15" x14ac:dyDescent="0.2"/>
    <row r="318" s="2" customFormat="1" ht="15" x14ac:dyDescent="0.2"/>
    <row r="319" s="2" customFormat="1" ht="15" x14ac:dyDescent="0.2"/>
    <row r="320" s="2" customFormat="1" ht="15" x14ac:dyDescent="0.2"/>
    <row r="321" s="2" customFormat="1" ht="15" x14ac:dyDescent="0.2"/>
    <row r="322" s="2" customFormat="1" ht="15" x14ac:dyDescent="0.2"/>
    <row r="323" s="2" customFormat="1" ht="15" x14ac:dyDescent="0.2"/>
    <row r="324" s="2" customFormat="1" ht="15" x14ac:dyDescent="0.2"/>
  </sheetData>
  <mergeCells count="16">
    <mergeCell ref="A6:E6"/>
    <mergeCell ref="B136:D136"/>
    <mergeCell ref="B23:C23"/>
    <mergeCell ref="B24:C24"/>
    <mergeCell ref="B65:E65"/>
    <mergeCell ref="B25:C25"/>
    <mergeCell ref="B9:E11"/>
    <mergeCell ref="B22:C22"/>
    <mergeCell ref="B21:E21"/>
    <mergeCell ref="A7:E7"/>
    <mergeCell ref="B115:E115"/>
    <mergeCell ref="A1:E1"/>
    <mergeCell ref="A2:E2"/>
    <mergeCell ref="A3:E3"/>
    <mergeCell ref="A4:E4"/>
    <mergeCell ref="A5:E5"/>
  </mergeCells>
  <pageMargins left="0.75" right="0.75" top="0.7" bottom="0.7" header="0.5" footer="0.5"/>
  <pageSetup scale="70" fitToHeight="2" orientation="portrait" cellComments="asDisplayed" r:id="rId1"/>
  <headerFooter alignWithMargins="0">
    <oddFooter>&amp;L&amp;A&amp;Cper WAC 480-07-510(5)(a)&amp;R&amp;F
&amp;A
&amp;P of &amp;N</oddFooter>
  </headerFooter>
  <rowBreaks count="2" manualBreakCount="2">
    <brk id="63" max="4" man="1"/>
    <brk id="115" max="4" man="1"/>
  </rowBreaks>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J37" sqref="J37"/>
    </sheetView>
  </sheetViews>
  <sheetFormatPr defaultRowHeight="12.75" x14ac:dyDescent="0.2"/>
  <sheetData/>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P56"/>
  <sheetViews>
    <sheetView zoomScaleNormal="100" workbookViewId="0">
      <pane xSplit="5" ySplit="7" topLeftCell="AA15" activePane="bottomRight" state="frozen"/>
      <selection activeCell="G16" sqref="G16"/>
      <selection pane="topRight" activeCell="G16" sqref="G16"/>
      <selection pane="bottomLeft" activeCell="G16" sqref="G16"/>
      <selection pane="bottomRight" activeCell="AB21" sqref="AB21"/>
    </sheetView>
  </sheetViews>
  <sheetFormatPr defaultColWidth="6.28515625" defaultRowHeight="11.25" x14ac:dyDescent="0.2"/>
  <cols>
    <col min="1" max="1" width="4.85546875" style="6" bestFit="1" customWidth="1"/>
    <col min="2" max="2" width="30.85546875" style="6" bestFit="1" customWidth="1"/>
    <col min="3" max="3" width="15.140625" style="6" bestFit="1" customWidth="1"/>
    <col min="4" max="4" width="14.5703125" style="6" bestFit="1" customWidth="1"/>
    <col min="5" max="5" width="13.28515625" style="6" bestFit="1" customWidth="1"/>
    <col min="6" max="6" width="0.7109375" style="6" customWidth="1"/>
    <col min="7" max="7" width="11.140625" style="6" bestFit="1" customWidth="1"/>
    <col min="8" max="8" width="11.5703125" style="6" bestFit="1" customWidth="1"/>
    <col min="9" max="9" width="0.7109375" style="6" customWidth="1"/>
    <col min="10" max="11" width="11.140625" style="6" bestFit="1" customWidth="1"/>
    <col min="12" max="12" width="0.7109375" style="6" customWidth="1"/>
    <col min="13" max="14" width="12.140625" style="6" bestFit="1" customWidth="1"/>
    <col min="15" max="15" width="0.7109375" style="6" customWidth="1"/>
    <col min="16" max="16" width="10.85546875" style="6" bestFit="1" customWidth="1"/>
    <col min="17" max="17" width="11.140625" style="6" bestFit="1" customWidth="1"/>
    <col min="18" max="18" width="0.7109375" style="6" customWidth="1"/>
    <col min="19" max="19" width="10.85546875" style="6" bestFit="1" customWidth="1"/>
    <col min="20" max="20" width="11.140625" style="6" bestFit="1" customWidth="1"/>
    <col min="21" max="21" width="0.7109375" style="6" customWidth="1"/>
    <col min="22" max="22" width="10.85546875" style="6" bestFit="1" customWidth="1"/>
    <col min="23" max="23" width="11.140625" style="6" bestFit="1" customWidth="1"/>
    <col min="24" max="24" width="0.7109375" style="6" customWidth="1"/>
    <col min="25" max="25" width="10.85546875" style="6" bestFit="1" customWidth="1"/>
    <col min="26" max="26" width="11.140625" style="6" bestFit="1" customWidth="1"/>
    <col min="27" max="27" width="0.7109375" style="6" customWidth="1"/>
    <col min="28" max="28" width="14.5703125" style="6" bestFit="1" customWidth="1"/>
    <col min="29" max="29" width="10.42578125" style="6" bestFit="1" customWidth="1"/>
    <col min="30" max="30" width="0.7109375" style="6" customWidth="1"/>
    <col min="31" max="31" width="14" style="6" bestFit="1" customWidth="1"/>
    <col min="32" max="32" width="11.85546875" style="6" bestFit="1" customWidth="1"/>
    <col min="33" max="33" width="0.7109375" style="6" customWidth="1"/>
    <col min="34" max="34" width="10.85546875" style="6" bestFit="1" customWidth="1"/>
    <col min="35" max="35" width="11.140625" style="6" bestFit="1" customWidth="1"/>
    <col min="36" max="36" width="0.7109375" style="6" customWidth="1"/>
    <col min="37" max="38" width="9.5703125" style="6" customWidth="1"/>
    <col min="39" max="39" width="0.7109375" style="6" customWidth="1"/>
    <col min="40" max="40" width="11.5703125" style="6" customWidth="1"/>
    <col min="41" max="41" width="11.28515625" style="6" customWidth="1"/>
    <col min="42" max="42" width="10" style="6" bestFit="1" customWidth="1"/>
    <col min="43" max="16384" width="6.28515625" style="6"/>
  </cols>
  <sheetData>
    <row r="1" spans="1:42" s="75" customFormat="1" x14ac:dyDescent="0.2">
      <c r="A1" s="231" t="s">
        <v>114</v>
      </c>
      <c r="B1" s="231"/>
      <c r="C1" s="152"/>
      <c r="Z1" s="76"/>
      <c r="AB1" s="77"/>
    </row>
    <row r="2" spans="1:42" s="75" customFormat="1" x14ac:dyDescent="0.2">
      <c r="A2" s="231" t="s">
        <v>115</v>
      </c>
      <c r="B2" s="231"/>
      <c r="C2" s="152"/>
      <c r="Z2" s="76"/>
      <c r="AB2" s="77"/>
    </row>
    <row r="3" spans="1:42" s="75" customFormat="1" x14ac:dyDescent="0.2">
      <c r="A3" s="232" t="s">
        <v>116</v>
      </c>
      <c r="B3" s="231"/>
      <c r="C3" s="152"/>
    </row>
    <row r="4" spans="1:42" s="75" customFormat="1" x14ac:dyDescent="0.2">
      <c r="A4" s="231" t="s">
        <v>117</v>
      </c>
      <c r="B4" s="231"/>
      <c r="C4" s="152"/>
    </row>
    <row r="5" spans="1:42" s="75" customFormat="1" x14ac:dyDescent="0.2">
      <c r="A5" s="232" t="s">
        <v>118</v>
      </c>
      <c r="B5" s="231"/>
      <c r="C5" s="152"/>
      <c r="D5" s="152"/>
      <c r="E5" s="152"/>
      <c r="G5" s="78" t="s">
        <v>119</v>
      </c>
    </row>
    <row r="6" spans="1:42" s="75" customFormat="1" x14ac:dyDescent="0.2">
      <c r="A6" s="153"/>
      <c r="B6" s="152"/>
      <c r="C6" s="152"/>
      <c r="D6" s="152"/>
      <c r="E6" s="152"/>
      <c r="G6" s="233" t="s">
        <v>120</v>
      </c>
      <c r="H6" s="234"/>
      <c r="I6" s="234"/>
      <c r="J6" s="234"/>
      <c r="K6" s="234"/>
      <c r="L6" s="234"/>
      <c r="M6" s="234"/>
      <c r="N6" s="234"/>
      <c r="O6" s="234"/>
      <c r="P6" s="234"/>
      <c r="Q6" s="234"/>
      <c r="R6" s="234"/>
      <c r="S6" s="234"/>
      <c r="T6" s="234"/>
      <c r="U6" s="234"/>
      <c r="V6" s="234"/>
      <c r="W6" s="234"/>
      <c r="X6" s="234"/>
      <c r="Y6" s="234"/>
      <c r="Z6" s="234"/>
      <c r="AA6" s="234"/>
      <c r="AB6" s="234"/>
      <c r="AC6" s="235"/>
      <c r="AE6" s="228" t="s">
        <v>121</v>
      </c>
      <c r="AF6" s="229"/>
      <c r="AG6" s="229"/>
      <c r="AH6" s="229"/>
      <c r="AI6" s="229"/>
      <c r="AJ6" s="229"/>
      <c r="AK6" s="229"/>
      <c r="AL6" s="230"/>
    </row>
    <row r="7" spans="1:42" s="75" customFormat="1" ht="78.75" x14ac:dyDescent="0.2">
      <c r="A7" s="79" t="s">
        <v>122</v>
      </c>
      <c r="B7" s="79" t="s">
        <v>123</v>
      </c>
      <c r="C7" s="79" t="s">
        <v>124</v>
      </c>
      <c r="D7" s="80" t="s">
        <v>125</v>
      </c>
      <c r="E7" s="81" t="s">
        <v>126</v>
      </c>
      <c r="F7" s="82"/>
      <c r="G7" s="81" t="s">
        <v>127</v>
      </c>
      <c r="H7" s="81" t="s">
        <v>128</v>
      </c>
      <c r="I7" s="81"/>
      <c r="J7" s="81" t="s">
        <v>129</v>
      </c>
      <c r="K7" s="81" t="s">
        <v>130</v>
      </c>
      <c r="L7" s="81"/>
      <c r="M7" s="81" t="s">
        <v>131</v>
      </c>
      <c r="N7" s="81" t="s">
        <v>132</v>
      </c>
      <c r="O7" s="82"/>
      <c r="P7" s="81" t="s">
        <v>133</v>
      </c>
      <c r="Q7" s="81" t="s">
        <v>134</v>
      </c>
      <c r="R7" s="82"/>
      <c r="S7" s="81" t="s">
        <v>135</v>
      </c>
      <c r="T7" s="81" t="s">
        <v>136</v>
      </c>
      <c r="U7" s="82"/>
      <c r="V7" s="81" t="s">
        <v>137</v>
      </c>
      <c r="W7" s="81" t="s">
        <v>138</v>
      </c>
      <c r="X7" s="82"/>
      <c r="Y7" s="81" t="s">
        <v>139</v>
      </c>
      <c r="Z7" s="81" t="s">
        <v>140</v>
      </c>
      <c r="AA7" s="82"/>
      <c r="AB7" s="81" t="s">
        <v>141</v>
      </c>
      <c r="AC7" s="81" t="s">
        <v>142</v>
      </c>
      <c r="AD7" s="82"/>
      <c r="AE7" s="81" t="s">
        <v>143</v>
      </c>
      <c r="AF7" s="81" t="s">
        <v>144</v>
      </c>
      <c r="AG7" s="81"/>
      <c r="AH7" s="81" t="s">
        <v>145</v>
      </c>
      <c r="AI7" s="81" t="s">
        <v>146</v>
      </c>
      <c r="AJ7" s="82"/>
      <c r="AK7" s="81" t="s">
        <v>147</v>
      </c>
      <c r="AL7" s="81" t="s">
        <v>148</v>
      </c>
      <c r="AM7" s="82"/>
      <c r="AN7" s="81" t="s">
        <v>149</v>
      </c>
      <c r="AO7" s="81" t="s">
        <v>150</v>
      </c>
      <c r="AP7" s="81" t="s">
        <v>151</v>
      </c>
    </row>
    <row r="8" spans="1:42" s="83" customFormat="1" ht="33.75" x14ac:dyDescent="0.2">
      <c r="B8" s="83" t="s">
        <v>152</v>
      </c>
      <c r="C8" s="83" t="s">
        <v>153</v>
      </c>
      <c r="D8" s="84" t="s">
        <v>154</v>
      </c>
      <c r="E8" s="85" t="s">
        <v>155</v>
      </c>
      <c r="G8" s="83" t="s">
        <v>156</v>
      </c>
      <c r="H8" s="83" t="s">
        <v>157</v>
      </c>
      <c r="J8" s="83" t="s">
        <v>158</v>
      </c>
      <c r="K8" s="83" t="s">
        <v>159</v>
      </c>
      <c r="M8" s="83" t="s">
        <v>160</v>
      </c>
      <c r="N8" s="83" t="s">
        <v>161</v>
      </c>
      <c r="P8" s="83" t="s">
        <v>162</v>
      </c>
      <c r="Q8" s="83" t="s">
        <v>163</v>
      </c>
      <c r="S8" s="83" t="s">
        <v>164</v>
      </c>
      <c r="T8" s="83" t="s">
        <v>165</v>
      </c>
      <c r="V8" s="83" t="s">
        <v>166</v>
      </c>
      <c r="W8" s="83" t="s">
        <v>167</v>
      </c>
      <c r="Y8" s="83" t="s">
        <v>168</v>
      </c>
      <c r="Z8" s="83" t="s">
        <v>169</v>
      </c>
      <c r="AB8" s="84" t="s">
        <v>170</v>
      </c>
      <c r="AC8" s="84" t="s">
        <v>171</v>
      </c>
      <c r="AE8" s="83" t="s">
        <v>172</v>
      </c>
      <c r="AF8" s="84" t="s">
        <v>173</v>
      </c>
      <c r="AH8" s="83" t="s">
        <v>174</v>
      </c>
      <c r="AI8" s="83" t="s">
        <v>175</v>
      </c>
      <c r="AK8" s="83" t="s">
        <v>176</v>
      </c>
      <c r="AL8" s="84" t="s">
        <v>177</v>
      </c>
      <c r="AN8" s="84" t="s">
        <v>178</v>
      </c>
      <c r="AO8" s="84" t="s">
        <v>179</v>
      </c>
      <c r="AP8" s="84" t="s">
        <v>180</v>
      </c>
    </row>
    <row r="9" spans="1:42" x14ac:dyDescent="0.2">
      <c r="A9" s="86">
        <v>1</v>
      </c>
      <c r="B9" s="87" t="s">
        <v>1</v>
      </c>
      <c r="C9" s="87">
        <v>7</v>
      </c>
      <c r="D9" s="88">
        <v>10963050.375499999</v>
      </c>
      <c r="E9" s="89">
        <v>1252945.8622809658</v>
      </c>
      <c r="F9" s="90"/>
      <c r="G9" s="91">
        <v>-22929.124451969317</v>
      </c>
      <c r="H9" s="92">
        <f>+G9/$E9</f>
        <v>-1.8300171733060557E-2</v>
      </c>
      <c r="I9" s="92"/>
      <c r="J9" s="89">
        <v>-36334</v>
      </c>
      <c r="K9" s="92">
        <f>+J9/$E9</f>
        <v>-2.8998858684807494E-2</v>
      </c>
      <c r="L9" s="92"/>
      <c r="M9" s="93">
        <v>0</v>
      </c>
      <c r="N9" s="92">
        <f>+M9/$E9</f>
        <v>0</v>
      </c>
      <c r="O9" s="94"/>
      <c r="P9" s="89">
        <v>29260</v>
      </c>
      <c r="Q9" s="92">
        <f>+P9/$E9</f>
        <v>2.3352964306640262E-2</v>
      </c>
      <c r="R9" s="94"/>
      <c r="S9" s="93">
        <v>20040</v>
      </c>
      <c r="T9" s="92">
        <f>+S9/$E9</f>
        <v>1.5994306380897841E-2</v>
      </c>
      <c r="U9" s="94"/>
      <c r="V9" s="93">
        <v>109707</v>
      </c>
      <c r="W9" s="92">
        <f>+V9/$E9</f>
        <v>8.7559250006445086E-2</v>
      </c>
      <c r="X9" s="94"/>
      <c r="Y9" s="89">
        <v>55133</v>
      </c>
      <c r="Z9" s="92">
        <f>+Y9/$E9</f>
        <v>4.4002699286329376E-2</v>
      </c>
      <c r="AA9" s="94"/>
      <c r="AB9" s="89">
        <f>+G9+J9+M9+V9+Y9+P9+S9</f>
        <v>154876.87554803069</v>
      </c>
      <c r="AC9" s="92">
        <f>+AB9/$E9</f>
        <v>0.12361018956244452</v>
      </c>
      <c r="AD9" s="94"/>
      <c r="AE9" s="89">
        <v>-23402</v>
      </c>
      <c r="AF9" s="92">
        <f t="shared" ref="AF9:AF23" si="0">+AE9/$E9</f>
        <v>-1.8677582730826911E-2</v>
      </c>
      <c r="AG9" s="92"/>
      <c r="AH9" s="89">
        <v>-9319</v>
      </c>
      <c r="AI9" s="92">
        <f>+AH9/$E9</f>
        <v>-7.4376717147498494E-3</v>
      </c>
      <c r="AJ9" s="94"/>
      <c r="AK9" s="89">
        <v>-3442</v>
      </c>
      <c r="AL9" s="92">
        <f>+AK9/$E9</f>
        <v>-2.7471258763997193E-3</v>
      </c>
      <c r="AM9" s="94"/>
      <c r="AN9" s="89">
        <f>SUM(E9,AB9,AE9,AH9,AK9)</f>
        <v>1371659.7378289965</v>
      </c>
      <c r="AO9" s="89">
        <f t="shared" ref="AO9:AO22" si="1">+AN9-E9</f>
        <v>118713.87554803072</v>
      </c>
      <c r="AP9" s="92">
        <f>+AO9/$E9</f>
        <v>9.4747809240468064E-2</v>
      </c>
    </row>
    <row r="10" spans="1:42" x14ac:dyDescent="0.2">
      <c r="A10" s="86">
        <f>+A9+1</f>
        <v>2</v>
      </c>
      <c r="B10" s="87" t="s">
        <v>58</v>
      </c>
      <c r="C10" s="87" t="s">
        <v>181</v>
      </c>
      <c r="D10" s="88">
        <v>2697633</v>
      </c>
      <c r="E10" s="89">
        <v>318694.06554000004</v>
      </c>
      <c r="F10" s="90"/>
      <c r="G10" s="91">
        <v>-4598.3141444966805</v>
      </c>
      <c r="H10" s="92">
        <f t="shared" ref="H10:H23" si="2">+G10/$E10</f>
        <v>-1.4428615533537557E-2</v>
      </c>
      <c r="I10" s="92"/>
      <c r="J10" s="89">
        <v>-9303</v>
      </c>
      <c r="K10" s="92">
        <f t="shared" ref="K10:K23" si="3">+J10/$E10</f>
        <v>-2.9191004809696899E-2</v>
      </c>
      <c r="L10" s="92"/>
      <c r="M10" s="93">
        <v>-597</v>
      </c>
      <c r="N10" s="92">
        <f t="shared" ref="N10:N23" si="4">+M10/$E10</f>
        <v>-1.8732698991066376E-3</v>
      </c>
      <c r="O10" s="94"/>
      <c r="P10" s="89">
        <v>6329</v>
      </c>
      <c r="Q10" s="92">
        <f t="shared" ref="Q10:Q23" si="5">+P10/$E10</f>
        <v>1.9859171174951271E-2</v>
      </c>
      <c r="R10" s="94"/>
      <c r="S10" s="93">
        <v>4554</v>
      </c>
      <c r="T10" s="92">
        <f t="shared" ref="T10:T23" si="6">+S10/$E10</f>
        <v>1.4289566366049626E-2</v>
      </c>
      <c r="U10" s="94"/>
      <c r="V10" s="93">
        <v>21050</v>
      </c>
      <c r="W10" s="92">
        <f t="shared" ref="W10:W23" si="7">+V10/$E10</f>
        <v>6.6050806325284289E-2</v>
      </c>
      <c r="X10" s="94"/>
      <c r="Y10" s="89">
        <v>10580</v>
      </c>
      <c r="Z10" s="92">
        <f t="shared" ref="Z10:Z23" si="8">+Y10/$E10</f>
        <v>3.3197982466579942E-2</v>
      </c>
      <c r="AA10" s="94"/>
      <c r="AB10" s="89">
        <f t="shared" ref="AB10:AB23" si="9">+G10+J10+M10+V10+Y10+P10+S10</f>
        <v>28014.685855503318</v>
      </c>
      <c r="AC10" s="92">
        <f t="shared" ref="AC10:AC23" si="10">+AB10/$E10</f>
        <v>8.7904636090524027E-2</v>
      </c>
      <c r="AD10" s="94"/>
      <c r="AE10" s="89">
        <v>-5813</v>
      </c>
      <c r="AF10" s="92">
        <f t="shared" si="0"/>
        <v>-1.8240063523462118E-2</v>
      </c>
      <c r="AG10" s="92"/>
      <c r="AH10" s="89">
        <v>-2004</v>
      </c>
      <c r="AI10" s="92">
        <f t="shared" ref="AI10:AI23" si="11">+AH10/$E10</f>
        <v>-6.2881622743881102E-3</v>
      </c>
      <c r="AJ10" s="94"/>
      <c r="AK10" s="89">
        <v>-3240</v>
      </c>
      <c r="AL10" s="92">
        <f t="shared" ref="AL10:AL23" si="12">+AK10/$E10</f>
        <v>-1.0166489904699339E-2</v>
      </c>
      <c r="AM10" s="94"/>
      <c r="AN10" s="89">
        <f t="shared" ref="AN10:AN22" si="13">SUM(E10,AB10,AE10,AH10,AK10)</f>
        <v>335651.75139550335</v>
      </c>
      <c r="AO10" s="89">
        <f t="shared" si="1"/>
        <v>16957.68585550331</v>
      </c>
      <c r="AP10" s="92">
        <f t="shared" ref="AP10:AP23" si="14">+AO10/$E10</f>
        <v>5.3209920387974438E-2</v>
      </c>
    </row>
    <row r="11" spans="1:42" x14ac:dyDescent="0.2">
      <c r="A11" s="86">
        <f>+A10+1</f>
        <v>3</v>
      </c>
      <c r="B11" s="95" t="s">
        <v>59</v>
      </c>
      <c r="C11" s="87" t="s">
        <v>182</v>
      </c>
      <c r="D11" s="88">
        <v>2911699.0000000005</v>
      </c>
      <c r="E11" s="89">
        <v>315215.63184349728</v>
      </c>
      <c r="F11" s="90"/>
      <c r="G11" s="91">
        <v>-4655.0908396825344</v>
      </c>
      <c r="H11" s="92">
        <f t="shared" si="2"/>
        <v>-1.4767956818822233E-2</v>
      </c>
      <c r="I11" s="92"/>
      <c r="J11" s="89">
        <v>-9876</v>
      </c>
      <c r="K11" s="92">
        <f t="shared" si="3"/>
        <v>-3.1330933501747704E-2</v>
      </c>
      <c r="L11" s="92"/>
      <c r="M11" s="93">
        <v>-881</v>
      </c>
      <c r="N11" s="92">
        <f t="shared" si="4"/>
        <v>-2.794912152191143E-3</v>
      </c>
      <c r="O11" s="94"/>
      <c r="P11" s="89">
        <v>6781</v>
      </c>
      <c r="Q11" s="92">
        <f t="shared" si="5"/>
        <v>2.1512258006819683E-2</v>
      </c>
      <c r="R11" s="94"/>
      <c r="S11" s="93">
        <v>4833</v>
      </c>
      <c r="T11" s="92">
        <f t="shared" si="6"/>
        <v>1.5332361443291481E-2</v>
      </c>
      <c r="U11" s="94"/>
      <c r="V11" s="93">
        <v>23566</v>
      </c>
      <c r="W11" s="92">
        <f t="shared" si="7"/>
        <v>7.4761520747487487E-2</v>
      </c>
      <c r="X11" s="94"/>
      <c r="Y11" s="89">
        <v>11860</v>
      </c>
      <c r="Z11" s="92">
        <f t="shared" si="8"/>
        <v>3.7625037599304148E-2</v>
      </c>
      <c r="AA11" s="94"/>
      <c r="AB11" s="89">
        <f t="shared" si="9"/>
        <v>31627.909160317467</v>
      </c>
      <c r="AC11" s="92">
        <f t="shared" si="10"/>
        <v>0.10033737532414173</v>
      </c>
      <c r="AD11" s="94"/>
      <c r="AE11" s="89">
        <v>-6474</v>
      </c>
      <c r="AF11" s="92">
        <f t="shared" si="0"/>
        <v>-2.0538321536078843E-2</v>
      </c>
      <c r="AG11" s="92"/>
      <c r="AH11" s="89">
        <v>-2079</v>
      </c>
      <c r="AI11" s="92">
        <f t="shared" si="11"/>
        <v>-6.595485090130972E-3</v>
      </c>
      <c r="AJ11" s="94"/>
      <c r="AK11" s="89">
        <v>178</v>
      </c>
      <c r="AL11" s="92">
        <f t="shared" si="12"/>
        <v>5.6469280713964071E-4</v>
      </c>
      <c r="AM11" s="94"/>
      <c r="AN11" s="89">
        <f t="shared" si="13"/>
        <v>338468.54100381472</v>
      </c>
      <c r="AO11" s="89">
        <f t="shared" si="1"/>
        <v>23252.909160317446</v>
      </c>
      <c r="AP11" s="92">
        <f t="shared" si="14"/>
        <v>7.3768261505071486E-2</v>
      </c>
    </row>
    <row r="12" spans="1:42" x14ac:dyDescent="0.2">
      <c r="A12" s="86">
        <f t="shared" ref="A12:A23" si="15">+A11+1</f>
        <v>4</v>
      </c>
      <c r="B12" s="95" t="s">
        <v>60</v>
      </c>
      <c r="C12" s="87" t="s">
        <v>183</v>
      </c>
      <c r="D12" s="88">
        <v>1831289</v>
      </c>
      <c r="E12" s="89">
        <v>183650.94462513478</v>
      </c>
      <c r="F12" s="90"/>
      <c r="G12" s="91">
        <v>-3127.8893724042282</v>
      </c>
      <c r="H12" s="92">
        <f t="shared" si="2"/>
        <v>-1.7031708596919135E-2</v>
      </c>
      <c r="I12" s="92"/>
      <c r="J12" s="89">
        <v>-6021</v>
      </c>
      <c r="K12" s="92">
        <f t="shared" si="3"/>
        <v>-3.278502058505587E-2</v>
      </c>
      <c r="L12" s="92"/>
      <c r="M12" s="93">
        <v>-1590</v>
      </c>
      <c r="N12" s="92">
        <f t="shared" si="4"/>
        <v>-8.6577284056201364E-3</v>
      </c>
      <c r="O12" s="94"/>
      <c r="P12" s="89">
        <v>3929</v>
      </c>
      <c r="Q12" s="92">
        <f t="shared" si="5"/>
        <v>2.1393845852629882E-2</v>
      </c>
      <c r="R12" s="94"/>
      <c r="S12" s="93">
        <v>2732</v>
      </c>
      <c r="T12" s="92">
        <f t="shared" si="6"/>
        <v>1.4876046543493214E-2</v>
      </c>
      <c r="U12" s="94"/>
      <c r="V12" s="93">
        <v>13001</v>
      </c>
      <c r="W12" s="92">
        <f t="shared" si="7"/>
        <v>7.0791903774507794E-2</v>
      </c>
      <c r="X12" s="94"/>
      <c r="Y12" s="89">
        <v>6524</v>
      </c>
      <c r="Z12" s="92">
        <f t="shared" si="8"/>
        <v>3.5523912024066517E-2</v>
      </c>
      <c r="AA12" s="94"/>
      <c r="AB12" s="89">
        <f t="shared" si="9"/>
        <v>15447.110627595772</v>
      </c>
      <c r="AC12" s="92">
        <f t="shared" si="10"/>
        <v>8.4111250607102256E-2</v>
      </c>
      <c r="AD12" s="94"/>
      <c r="AE12" s="89">
        <v>-4261</v>
      </c>
      <c r="AF12" s="92">
        <f t="shared" si="0"/>
        <v>-2.3201623104621004E-2</v>
      </c>
      <c r="AG12" s="92"/>
      <c r="AH12" s="89">
        <v>-1161</v>
      </c>
      <c r="AI12" s="92">
        <f t="shared" si="11"/>
        <v>-6.3217752697641372E-3</v>
      </c>
      <c r="AJ12" s="94"/>
      <c r="AK12" s="89">
        <v>-545</v>
      </c>
      <c r="AL12" s="92">
        <f t="shared" si="12"/>
        <v>-2.9675861516119334E-3</v>
      </c>
      <c r="AM12" s="94"/>
      <c r="AN12" s="89">
        <f t="shared" si="13"/>
        <v>193131.05525273056</v>
      </c>
      <c r="AO12" s="89">
        <f t="shared" si="1"/>
        <v>9480.1106275957718</v>
      </c>
      <c r="AP12" s="92">
        <f t="shared" si="14"/>
        <v>5.1620266081105183E-2</v>
      </c>
    </row>
    <row r="13" spans="1:42" x14ac:dyDescent="0.2">
      <c r="A13" s="86">
        <f t="shared" si="15"/>
        <v>5</v>
      </c>
      <c r="B13" s="87" t="s">
        <v>61</v>
      </c>
      <c r="C13" s="87">
        <v>29</v>
      </c>
      <c r="D13" s="88">
        <v>15100.966499999999</v>
      </c>
      <c r="E13" s="89">
        <v>1428.6643270637867</v>
      </c>
      <c r="F13" s="90"/>
      <c r="G13" s="91">
        <v>-35.569240673520923</v>
      </c>
      <c r="H13" s="92">
        <f t="shared" si="2"/>
        <v>-2.4896849455619419E-2</v>
      </c>
      <c r="I13" s="92"/>
      <c r="J13" s="89">
        <v>-55</v>
      </c>
      <c r="K13" s="92">
        <f t="shared" si="3"/>
        <v>-3.8497496548427761E-2</v>
      </c>
      <c r="L13" s="92"/>
      <c r="M13" s="93">
        <v>0</v>
      </c>
      <c r="N13" s="92">
        <f t="shared" si="4"/>
        <v>0</v>
      </c>
      <c r="O13" s="94"/>
      <c r="P13" s="89">
        <v>36</v>
      </c>
      <c r="Q13" s="92">
        <f t="shared" si="5"/>
        <v>2.5198361377152718E-2</v>
      </c>
      <c r="R13" s="94"/>
      <c r="S13" s="93">
        <v>26</v>
      </c>
      <c r="T13" s="92">
        <f t="shared" si="6"/>
        <v>1.819881655016585E-2</v>
      </c>
      <c r="U13" s="94"/>
      <c r="V13" s="93">
        <v>122</v>
      </c>
      <c r="W13" s="92">
        <f t="shared" si="7"/>
        <v>8.5394446889239764E-2</v>
      </c>
      <c r="X13" s="94"/>
      <c r="Y13" s="89">
        <v>61</v>
      </c>
      <c r="Z13" s="92">
        <f t="shared" si="8"/>
        <v>4.2697223444619882E-2</v>
      </c>
      <c r="AA13" s="94"/>
      <c r="AB13" s="89">
        <f t="shared" si="9"/>
        <v>154.43075932647906</v>
      </c>
      <c r="AC13" s="92">
        <f t="shared" si="10"/>
        <v>0.10809450225713102</v>
      </c>
      <c r="AD13" s="94"/>
      <c r="AE13" s="89">
        <v>-28</v>
      </c>
      <c r="AF13" s="92">
        <f t="shared" si="0"/>
        <v>-1.9598725515563225E-2</v>
      </c>
      <c r="AG13" s="92"/>
      <c r="AH13" s="89">
        <v>-11</v>
      </c>
      <c r="AI13" s="92">
        <f t="shared" si="11"/>
        <v>-7.6994993096855526E-3</v>
      </c>
      <c r="AJ13" s="94"/>
      <c r="AK13" s="89">
        <v>1</v>
      </c>
      <c r="AL13" s="92">
        <f t="shared" si="12"/>
        <v>6.999544826986866E-4</v>
      </c>
      <c r="AM13" s="94"/>
      <c r="AN13" s="89">
        <f t="shared" si="13"/>
        <v>1545.0950863902658</v>
      </c>
      <c r="AO13" s="89">
        <f t="shared" si="1"/>
        <v>116.43075932647912</v>
      </c>
      <c r="AP13" s="92">
        <f t="shared" si="14"/>
        <v>8.1496231914580969E-2</v>
      </c>
    </row>
    <row r="14" spans="1:42" x14ac:dyDescent="0.2">
      <c r="A14" s="86">
        <f t="shared" si="15"/>
        <v>6</v>
      </c>
      <c r="B14" s="95" t="s">
        <v>62</v>
      </c>
      <c r="C14" s="87" t="s">
        <v>184</v>
      </c>
      <c r="D14" s="88">
        <v>1332008</v>
      </c>
      <c r="E14" s="89">
        <v>131885.5205557844</v>
      </c>
      <c r="F14" s="90"/>
      <c r="G14" s="91">
        <v>-2232.1080687775711</v>
      </c>
      <c r="H14" s="92">
        <f t="shared" si="2"/>
        <v>-1.6924587774087323E-2</v>
      </c>
      <c r="I14" s="92"/>
      <c r="J14" s="89">
        <v>-4214</v>
      </c>
      <c r="K14" s="92">
        <f t="shared" si="3"/>
        <v>-3.195195334743043E-2</v>
      </c>
      <c r="L14" s="92"/>
      <c r="M14" s="93">
        <v>-710</v>
      </c>
      <c r="N14" s="92">
        <f t="shared" si="4"/>
        <v>-5.3834567813658288E-3</v>
      </c>
      <c r="O14" s="94"/>
      <c r="P14" s="89">
        <v>2755</v>
      </c>
      <c r="Q14" s="92">
        <f t="shared" si="5"/>
        <v>2.0889328778398393E-2</v>
      </c>
      <c r="R14" s="94"/>
      <c r="S14" s="93">
        <v>2031</v>
      </c>
      <c r="T14" s="92">
        <f t="shared" si="6"/>
        <v>1.5399719328104224E-2</v>
      </c>
      <c r="U14" s="94"/>
      <c r="V14" s="93">
        <v>9160</v>
      </c>
      <c r="W14" s="92">
        <f t="shared" si="7"/>
        <v>6.9454174813114083E-2</v>
      </c>
      <c r="X14" s="94"/>
      <c r="Y14" s="89">
        <v>4613</v>
      </c>
      <c r="Z14" s="92">
        <f t="shared" si="8"/>
        <v>3.4977304411888128E-2</v>
      </c>
      <c r="AA14" s="94"/>
      <c r="AB14" s="89">
        <f t="shared" si="9"/>
        <v>11402.891931222428</v>
      </c>
      <c r="AC14" s="92">
        <f t="shared" si="10"/>
        <v>8.646052942862123E-2</v>
      </c>
      <c r="AD14" s="94"/>
      <c r="AE14" s="89">
        <v>-2836</v>
      </c>
      <c r="AF14" s="92">
        <f t="shared" si="0"/>
        <v>-2.1503497791483792E-2</v>
      </c>
      <c r="AG14" s="92"/>
      <c r="AH14" s="89">
        <v>-850</v>
      </c>
      <c r="AI14" s="92">
        <f t="shared" si="11"/>
        <v>-6.4449834706492319E-3</v>
      </c>
      <c r="AJ14" s="94"/>
      <c r="AK14" s="89">
        <v>-1152</v>
      </c>
      <c r="AL14" s="92">
        <f t="shared" si="12"/>
        <v>-8.7348481861034295E-3</v>
      </c>
      <c r="AM14" s="94"/>
      <c r="AN14" s="89">
        <f t="shared" si="13"/>
        <v>138450.41248700683</v>
      </c>
      <c r="AO14" s="89">
        <f t="shared" si="1"/>
        <v>6564.8919312224316</v>
      </c>
      <c r="AP14" s="92">
        <f t="shared" si="14"/>
        <v>4.9777199980384809E-2</v>
      </c>
    </row>
    <row r="15" spans="1:42" x14ac:dyDescent="0.2">
      <c r="A15" s="86">
        <f t="shared" si="15"/>
        <v>7</v>
      </c>
      <c r="B15" s="95" t="s">
        <v>63</v>
      </c>
      <c r="C15" s="87">
        <v>35</v>
      </c>
      <c r="D15" s="88">
        <v>4663</v>
      </c>
      <c r="E15" s="89">
        <v>311.0139698738783</v>
      </c>
      <c r="F15" s="90"/>
      <c r="G15" s="91">
        <v>-0.39256580282677894</v>
      </c>
      <c r="H15" s="92">
        <f t="shared" si="2"/>
        <v>-1.2622127648670295E-3</v>
      </c>
      <c r="I15" s="92"/>
      <c r="J15" s="89">
        <v>-8</v>
      </c>
      <c r="K15" s="92">
        <f t="shared" si="3"/>
        <v>-2.5722317242676086E-2</v>
      </c>
      <c r="L15" s="92"/>
      <c r="M15" s="93">
        <v>0</v>
      </c>
      <c r="N15" s="92">
        <f t="shared" si="4"/>
        <v>0</v>
      </c>
      <c r="O15" s="94"/>
      <c r="P15" s="89">
        <v>7</v>
      </c>
      <c r="Q15" s="92">
        <f t="shared" si="5"/>
        <v>2.2507027587341574E-2</v>
      </c>
      <c r="R15" s="94"/>
      <c r="S15" s="93">
        <v>7</v>
      </c>
      <c r="T15" s="92">
        <f t="shared" si="6"/>
        <v>2.2507027587341574E-2</v>
      </c>
      <c r="U15" s="94"/>
      <c r="V15" s="93">
        <v>45</v>
      </c>
      <c r="W15" s="92">
        <f t="shared" si="7"/>
        <v>0.14468803449005296</v>
      </c>
      <c r="X15" s="94"/>
      <c r="Y15" s="89">
        <v>23</v>
      </c>
      <c r="Z15" s="92">
        <f t="shared" si="8"/>
        <v>7.3951662072693741E-2</v>
      </c>
      <c r="AA15" s="94"/>
      <c r="AB15" s="89">
        <f t="shared" si="9"/>
        <v>73.60743419717322</v>
      </c>
      <c r="AC15" s="92">
        <f t="shared" si="10"/>
        <v>0.23666922172988675</v>
      </c>
      <c r="AD15" s="94"/>
      <c r="AE15" s="89">
        <v>-7</v>
      </c>
      <c r="AF15" s="92">
        <f t="shared" si="0"/>
        <v>-2.2507027587341574E-2</v>
      </c>
      <c r="AG15" s="92"/>
      <c r="AH15" s="89">
        <v>-5</v>
      </c>
      <c r="AI15" s="92">
        <f t="shared" si="11"/>
        <v>-1.6076448276672553E-2</v>
      </c>
      <c r="AJ15" s="94"/>
      <c r="AK15" s="89">
        <v>0</v>
      </c>
      <c r="AL15" s="92">
        <f t="shared" si="12"/>
        <v>0</v>
      </c>
      <c r="AM15" s="94"/>
      <c r="AN15" s="89">
        <f t="shared" si="13"/>
        <v>372.62140407105153</v>
      </c>
      <c r="AO15" s="89">
        <f t="shared" si="1"/>
        <v>61.607434197173234</v>
      </c>
      <c r="AP15" s="92">
        <f t="shared" si="14"/>
        <v>0.19808574586587266</v>
      </c>
    </row>
    <row r="16" spans="1:42" x14ac:dyDescent="0.2">
      <c r="A16" s="86">
        <f t="shared" si="15"/>
        <v>8</v>
      </c>
      <c r="B16" s="87" t="s">
        <v>64</v>
      </c>
      <c r="C16" s="87">
        <v>43</v>
      </c>
      <c r="D16" s="88">
        <v>118190</v>
      </c>
      <c r="E16" s="89">
        <v>12421.279326430144</v>
      </c>
      <c r="F16" s="90"/>
      <c r="G16" s="91">
        <v>-65.493075001491462</v>
      </c>
      <c r="H16" s="92">
        <f t="shared" si="2"/>
        <v>-5.2726513332756741E-3</v>
      </c>
      <c r="I16" s="92"/>
      <c r="J16" s="89">
        <v>-296</v>
      </c>
      <c r="K16" s="92">
        <f t="shared" si="3"/>
        <v>-2.383007355531952E-2</v>
      </c>
      <c r="L16" s="92"/>
      <c r="M16" s="93">
        <v>-49</v>
      </c>
      <c r="N16" s="92">
        <f t="shared" si="4"/>
        <v>-3.9448432574684337E-3</v>
      </c>
      <c r="O16" s="94"/>
      <c r="P16" s="89">
        <v>52</v>
      </c>
      <c r="Q16" s="92">
        <f t="shared" si="5"/>
        <v>4.1863642732318075E-3</v>
      </c>
      <c r="R16" s="94"/>
      <c r="S16" s="93">
        <v>177</v>
      </c>
      <c r="T16" s="92">
        <f t="shared" si="6"/>
        <v>1.4249739930039036E-2</v>
      </c>
      <c r="U16" s="94"/>
      <c r="V16" s="93">
        <v>735</v>
      </c>
      <c r="W16" s="92">
        <f t="shared" si="7"/>
        <v>5.9172648862026507E-2</v>
      </c>
      <c r="X16" s="94"/>
      <c r="Y16" s="89">
        <v>369</v>
      </c>
      <c r="Z16" s="92">
        <f t="shared" si="8"/>
        <v>2.9707084938894939E-2</v>
      </c>
      <c r="AA16" s="94"/>
      <c r="AB16" s="89">
        <f t="shared" si="9"/>
        <v>922.50692499850857</v>
      </c>
      <c r="AC16" s="92">
        <f t="shared" si="10"/>
        <v>7.4268269858128663E-2</v>
      </c>
      <c r="AD16" s="94"/>
      <c r="AE16" s="89">
        <v>-201</v>
      </c>
      <c r="AF16" s="92">
        <f t="shared" si="0"/>
        <v>-1.6181908056146024E-2</v>
      </c>
      <c r="AG16" s="92"/>
      <c r="AH16" s="89">
        <v>-103</v>
      </c>
      <c r="AI16" s="92">
        <f t="shared" si="11"/>
        <v>-8.2922215412091563E-3</v>
      </c>
      <c r="AJ16" s="94"/>
      <c r="AK16" s="89">
        <v>7</v>
      </c>
      <c r="AL16" s="92">
        <f t="shared" si="12"/>
        <v>5.6354903678120481E-4</v>
      </c>
      <c r="AM16" s="94"/>
      <c r="AN16" s="89">
        <f t="shared" si="13"/>
        <v>13046.786251428652</v>
      </c>
      <c r="AO16" s="89">
        <f t="shared" si="1"/>
        <v>625.50692499850811</v>
      </c>
      <c r="AP16" s="92">
        <f t="shared" si="14"/>
        <v>5.0357689297554652E-2</v>
      </c>
    </row>
    <row r="17" spans="1:42" x14ac:dyDescent="0.2">
      <c r="A17" s="86">
        <f t="shared" si="15"/>
        <v>9</v>
      </c>
      <c r="B17" s="87" t="s">
        <v>65</v>
      </c>
      <c r="C17" s="87">
        <v>46</v>
      </c>
      <c r="D17" s="88">
        <v>89530.525500000018</v>
      </c>
      <c r="E17" s="89">
        <v>6706.6978688740001</v>
      </c>
      <c r="F17" s="90"/>
      <c r="G17" s="91">
        <v>-180.99377246334393</v>
      </c>
      <c r="H17" s="92">
        <f t="shared" si="2"/>
        <v>-2.698701745658498E-2</v>
      </c>
      <c r="I17" s="92"/>
      <c r="J17" s="89">
        <v>-200</v>
      </c>
      <c r="K17" s="92">
        <f t="shared" si="3"/>
        <v>-2.9820934819235919E-2</v>
      </c>
      <c r="L17" s="92"/>
      <c r="M17" s="93">
        <v>-85</v>
      </c>
      <c r="N17" s="92">
        <f t="shared" si="4"/>
        <v>-1.2673897298175266E-2</v>
      </c>
      <c r="O17" s="94"/>
      <c r="P17" s="89">
        <v>47</v>
      </c>
      <c r="Q17" s="92">
        <f t="shared" si="5"/>
        <v>7.0079196825204408E-3</v>
      </c>
      <c r="R17" s="94"/>
      <c r="S17" s="93">
        <v>116</v>
      </c>
      <c r="T17" s="92">
        <f t="shared" si="6"/>
        <v>1.7296142195156832E-2</v>
      </c>
      <c r="U17" s="94"/>
      <c r="V17" s="93">
        <v>334</v>
      </c>
      <c r="W17" s="92">
        <f t="shared" si="7"/>
        <v>4.9800961148123983E-2</v>
      </c>
      <c r="X17" s="94"/>
      <c r="Y17" s="89">
        <v>168</v>
      </c>
      <c r="Z17" s="92">
        <f t="shared" si="8"/>
        <v>2.504958524815817E-2</v>
      </c>
      <c r="AA17" s="94"/>
      <c r="AB17" s="89">
        <f t="shared" si="9"/>
        <v>199.00622753665607</v>
      </c>
      <c r="AC17" s="92">
        <f t="shared" si="10"/>
        <v>2.9672758699963265E-2</v>
      </c>
      <c r="AD17" s="94"/>
      <c r="AE17" s="89">
        <v>-163</v>
      </c>
      <c r="AF17" s="92">
        <f t="shared" si="0"/>
        <v>-2.4304061877677273E-2</v>
      </c>
      <c r="AG17" s="92"/>
      <c r="AH17" s="89">
        <v>-43</v>
      </c>
      <c r="AI17" s="92">
        <f t="shared" si="11"/>
        <v>-6.4115009861357222E-3</v>
      </c>
      <c r="AJ17" s="94"/>
      <c r="AK17" s="89">
        <v>0</v>
      </c>
      <c r="AL17" s="92">
        <f t="shared" si="12"/>
        <v>0</v>
      </c>
      <c r="AM17" s="94"/>
      <c r="AN17" s="89">
        <f t="shared" si="13"/>
        <v>6699.7040964106563</v>
      </c>
      <c r="AO17" s="89">
        <f t="shared" si="1"/>
        <v>-6.9937724633437028</v>
      </c>
      <c r="AP17" s="92">
        <f t="shared" si="14"/>
        <v>-1.042804163849698E-3</v>
      </c>
    </row>
    <row r="18" spans="1:42" x14ac:dyDescent="0.2">
      <c r="A18" s="86">
        <f t="shared" si="15"/>
        <v>10</v>
      </c>
      <c r="B18" s="95" t="s">
        <v>66</v>
      </c>
      <c r="C18" s="87">
        <v>49</v>
      </c>
      <c r="D18" s="88">
        <v>504715</v>
      </c>
      <c r="E18" s="89">
        <v>38866.047725176562</v>
      </c>
      <c r="F18" s="90"/>
      <c r="G18" s="91">
        <v>-933.55623713568593</v>
      </c>
      <c r="H18" s="92">
        <f t="shared" si="2"/>
        <v>-2.4019839725842485E-2</v>
      </c>
      <c r="I18" s="92"/>
      <c r="J18" s="89">
        <v>-1402</v>
      </c>
      <c r="K18" s="92">
        <f t="shared" si="3"/>
        <v>-3.6072615613339444E-2</v>
      </c>
      <c r="L18" s="92"/>
      <c r="M18" s="93">
        <v>-829</v>
      </c>
      <c r="N18" s="92">
        <f t="shared" si="4"/>
        <v>-2.1329670715733523E-2</v>
      </c>
      <c r="O18" s="94"/>
      <c r="P18" s="89">
        <v>966</v>
      </c>
      <c r="Q18" s="92">
        <f t="shared" si="5"/>
        <v>2.4854598204340873E-2</v>
      </c>
      <c r="R18" s="94"/>
      <c r="S18" s="93">
        <v>657</v>
      </c>
      <c r="T18" s="92">
        <f t="shared" si="6"/>
        <v>1.6904214306679041E-2</v>
      </c>
      <c r="U18" s="94"/>
      <c r="V18" s="93">
        <v>1888</v>
      </c>
      <c r="W18" s="92">
        <f t="shared" si="7"/>
        <v>4.8577102908691064E-2</v>
      </c>
      <c r="X18" s="94"/>
      <c r="Y18" s="89">
        <v>942</v>
      </c>
      <c r="Z18" s="92">
        <f t="shared" si="8"/>
        <v>2.4237092658891408E-2</v>
      </c>
      <c r="AA18" s="94"/>
      <c r="AB18" s="89">
        <f t="shared" si="9"/>
        <v>1288.4437628643141</v>
      </c>
      <c r="AC18" s="92">
        <f t="shared" si="10"/>
        <v>3.3150882023686934E-2</v>
      </c>
      <c r="AD18" s="94"/>
      <c r="AE18" s="89">
        <v>-993</v>
      </c>
      <c r="AF18" s="92">
        <f t="shared" si="0"/>
        <v>-2.5549291942971519E-2</v>
      </c>
      <c r="AG18" s="92"/>
      <c r="AH18" s="89">
        <v>-244</v>
      </c>
      <c r="AI18" s="92">
        <f t="shared" si="11"/>
        <v>-6.2779730454028699E-3</v>
      </c>
      <c r="AJ18" s="94"/>
      <c r="AK18" s="89">
        <v>0</v>
      </c>
      <c r="AL18" s="92">
        <f t="shared" si="12"/>
        <v>0</v>
      </c>
      <c r="AM18" s="94"/>
      <c r="AN18" s="89">
        <f t="shared" si="13"/>
        <v>38917.491488040876</v>
      </c>
      <c r="AO18" s="89">
        <f t="shared" si="1"/>
        <v>51.443762864313612</v>
      </c>
      <c r="AP18" s="92">
        <f t="shared" si="14"/>
        <v>1.3236170353125329E-3</v>
      </c>
    </row>
    <row r="19" spans="1:42" x14ac:dyDescent="0.2">
      <c r="A19" s="86">
        <f t="shared" si="15"/>
        <v>11</v>
      </c>
      <c r="B19" s="87" t="s">
        <v>67</v>
      </c>
      <c r="C19" s="87" t="s">
        <v>185</v>
      </c>
      <c r="D19" s="88">
        <v>62703</v>
      </c>
      <c r="E19" s="89">
        <v>17200.345846223234</v>
      </c>
      <c r="F19" s="90"/>
      <c r="G19" s="91">
        <v>-712.62203188385831</v>
      </c>
      <c r="H19" s="92">
        <f t="shared" si="2"/>
        <v>-4.1430680420901672E-2</v>
      </c>
      <c r="I19" s="92"/>
      <c r="J19" s="89">
        <v>-190</v>
      </c>
      <c r="K19" s="92">
        <f t="shared" si="3"/>
        <v>-1.1046289516423837E-2</v>
      </c>
      <c r="L19" s="92"/>
      <c r="M19" s="93">
        <v>0</v>
      </c>
      <c r="N19" s="92">
        <f t="shared" si="4"/>
        <v>0</v>
      </c>
      <c r="O19" s="94"/>
      <c r="P19" s="89">
        <v>77</v>
      </c>
      <c r="Q19" s="92">
        <f t="shared" si="5"/>
        <v>4.4766541724454495E-3</v>
      </c>
      <c r="R19" s="94"/>
      <c r="S19" s="93">
        <v>124</v>
      </c>
      <c r="T19" s="92">
        <f t="shared" si="6"/>
        <v>7.2091573686134513E-3</v>
      </c>
      <c r="U19" s="94"/>
      <c r="V19" s="93">
        <v>2206</v>
      </c>
      <c r="W19" s="92">
        <f t="shared" si="7"/>
        <v>0.12825323512226833</v>
      </c>
      <c r="X19" s="94"/>
      <c r="Y19" s="89">
        <v>1109</v>
      </c>
      <c r="Z19" s="92">
        <f t="shared" si="8"/>
        <v>6.4475447756389664E-2</v>
      </c>
      <c r="AA19" s="94"/>
      <c r="AB19" s="89">
        <f t="shared" si="9"/>
        <v>2613.3779681161418</v>
      </c>
      <c r="AC19" s="92">
        <f t="shared" si="10"/>
        <v>0.1519375244823914</v>
      </c>
      <c r="AD19" s="94"/>
      <c r="AE19" s="89">
        <v>-134</v>
      </c>
      <c r="AF19" s="92">
        <f t="shared" si="0"/>
        <v>-7.7905410273726005E-3</v>
      </c>
      <c r="AG19" s="92"/>
      <c r="AH19" s="89">
        <v>-171</v>
      </c>
      <c r="AI19" s="92">
        <f t="shared" si="11"/>
        <v>-9.941660564781454E-3</v>
      </c>
      <c r="AJ19" s="94"/>
      <c r="AK19" s="89">
        <v>0</v>
      </c>
      <c r="AL19" s="92">
        <f t="shared" si="12"/>
        <v>0</v>
      </c>
      <c r="AM19" s="94"/>
      <c r="AN19" s="89">
        <f t="shared" si="13"/>
        <v>19508.723814339377</v>
      </c>
      <c r="AO19" s="89">
        <f t="shared" si="1"/>
        <v>2308.3779681161432</v>
      </c>
      <c r="AP19" s="92">
        <f t="shared" si="14"/>
        <v>0.13420532289023743</v>
      </c>
    </row>
    <row r="20" spans="1:42" x14ac:dyDescent="0.2">
      <c r="A20" s="86">
        <f t="shared" si="15"/>
        <v>12</v>
      </c>
      <c r="B20" s="87" t="s">
        <v>47</v>
      </c>
      <c r="C20" s="87" t="s">
        <v>186</v>
      </c>
      <c r="D20" s="88">
        <v>1895530</v>
      </c>
      <c r="E20" s="89">
        <v>11482.98</v>
      </c>
      <c r="F20" s="90"/>
      <c r="G20" s="91">
        <v>-39.196705770214464</v>
      </c>
      <c r="H20" s="92">
        <f t="shared" si="2"/>
        <v>-3.4134611198673574E-3</v>
      </c>
      <c r="I20" s="92"/>
      <c r="J20" s="89">
        <v>0</v>
      </c>
      <c r="K20" s="92">
        <f t="shared" si="3"/>
        <v>0</v>
      </c>
      <c r="L20" s="92"/>
      <c r="M20" s="93">
        <v>0</v>
      </c>
      <c r="N20" s="92">
        <f t="shared" si="4"/>
        <v>0</v>
      </c>
      <c r="O20" s="94"/>
      <c r="P20" s="89">
        <v>0</v>
      </c>
      <c r="Q20" s="92">
        <f t="shared" si="5"/>
        <v>0</v>
      </c>
      <c r="R20" s="94"/>
      <c r="S20" s="93">
        <v>0</v>
      </c>
      <c r="T20" s="92">
        <f t="shared" si="6"/>
        <v>0</v>
      </c>
      <c r="U20" s="94"/>
      <c r="V20" s="93">
        <v>116.16</v>
      </c>
      <c r="W20" s="92">
        <f t="shared" si="7"/>
        <v>1.0115841009912061E-2</v>
      </c>
      <c r="X20" s="94"/>
      <c r="Y20" s="89">
        <v>58.32</v>
      </c>
      <c r="Z20" s="92">
        <f t="shared" si="8"/>
        <v>5.0788210029103949E-3</v>
      </c>
      <c r="AA20" s="94"/>
      <c r="AB20" s="89">
        <f t="shared" si="9"/>
        <v>135.28329422978553</v>
      </c>
      <c r="AC20" s="92">
        <f t="shared" si="10"/>
        <v>1.1781200892955097E-2</v>
      </c>
      <c r="AD20" s="94"/>
      <c r="AE20" s="89">
        <v>0</v>
      </c>
      <c r="AF20" s="92">
        <f t="shared" si="0"/>
        <v>0</v>
      </c>
      <c r="AG20" s="92"/>
      <c r="AH20" s="89">
        <v>-10</v>
      </c>
      <c r="AI20" s="92">
        <f t="shared" si="11"/>
        <v>-8.7085408143182353E-4</v>
      </c>
      <c r="AJ20" s="94"/>
      <c r="AK20" s="89">
        <v>0</v>
      </c>
      <c r="AL20" s="92">
        <f t="shared" si="12"/>
        <v>0</v>
      </c>
      <c r="AM20" s="94"/>
      <c r="AN20" s="89">
        <f t="shared" si="13"/>
        <v>11608.263294229786</v>
      </c>
      <c r="AO20" s="89">
        <f t="shared" si="1"/>
        <v>125.28329422978641</v>
      </c>
      <c r="AP20" s="92">
        <f t="shared" si="14"/>
        <v>1.0910346811523352E-2</v>
      </c>
    </row>
    <row r="21" spans="1:42" x14ac:dyDescent="0.2">
      <c r="A21" s="86">
        <f t="shared" si="15"/>
        <v>13</v>
      </c>
      <c r="B21" s="87" t="s">
        <v>15</v>
      </c>
      <c r="C21" s="87" t="s">
        <v>15</v>
      </c>
      <c r="D21" s="88">
        <v>289426</v>
      </c>
      <c r="E21" s="89">
        <v>6419.3731384850562</v>
      </c>
      <c r="F21" s="90"/>
      <c r="G21" s="91">
        <v>-887.76002866246631</v>
      </c>
      <c r="H21" s="92">
        <f t="shared" si="2"/>
        <v>-0.13829388158482617</v>
      </c>
      <c r="I21" s="92"/>
      <c r="J21" s="89">
        <v>0</v>
      </c>
      <c r="K21" s="92">
        <f t="shared" si="3"/>
        <v>0</v>
      </c>
      <c r="L21" s="92"/>
      <c r="M21" s="93">
        <v>0</v>
      </c>
      <c r="N21" s="92">
        <f t="shared" si="4"/>
        <v>0</v>
      </c>
      <c r="O21" s="94"/>
      <c r="P21" s="89">
        <v>0</v>
      </c>
      <c r="Q21" s="92">
        <f t="shared" si="5"/>
        <v>0</v>
      </c>
      <c r="R21" s="94"/>
      <c r="S21" s="93">
        <v>0</v>
      </c>
      <c r="T21" s="92">
        <f t="shared" si="6"/>
        <v>0</v>
      </c>
      <c r="U21" s="94"/>
      <c r="V21" s="93">
        <v>522</v>
      </c>
      <c r="W21" s="92">
        <f t="shared" si="7"/>
        <v>8.1316351104523843E-2</v>
      </c>
      <c r="X21" s="94"/>
      <c r="Y21" s="89">
        <v>262</v>
      </c>
      <c r="Z21" s="92">
        <f t="shared" si="8"/>
        <v>4.0813954002653731E-2</v>
      </c>
      <c r="AA21" s="94"/>
      <c r="AB21" s="89">
        <f t="shared" si="9"/>
        <v>-103.76002866246631</v>
      </c>
      <c r="AC21" s="92">
        <f t="shared" si="10"/>
        <v>-1.6163576477648597E-2</v>
      </c>
      <c r="AD21" s="94"/>
      <c r="AE21" s="89">
        <v>0</v>
      </c>
      <c r="AF21" s="92">
        <f t="shared" si="0"/>
        <v>0</v>
      </c>
      <c r="AG21" s="92"/>
      <c r="AH21" s="89">
        <v>-96</v>
      </c>
      <c r="AI21" s="92">
        <f t="shared" si="11"/>
        <v>-1.495473123761358E-2</v>
      </c>
      <c r="AJ21" s="94"/>
      <c r="AK21" s="89">
        <v>-746</v>
      </c>
      <c r="AL21" s="92">
        <f t="shared" si="12"/>
        <v>-0.11621072399228886</v>
      </c>
      <c r="AM21" s="94"/>
      <c r="AN21" s="89">
        <f t="shared" si="13"/>
        <v>5473.6131098225896</v>
      </c>
      <c r="AO21" s="89">
        <f t="shared" si="1"/>
        <v>-945.76002866246654</v>
      </c>
      <c r="AP21" s="92">
        <f t="shared" si="14"/>
        <v>-0.14732903170755107</v>
      </c>
    </row>
    <row r="22" spans="1:42" x14ac:dyDescent="0.2">
      <c r="A22" s="86">
        <f t="shared" si="15"/>
        <v>14</v>
      </c>
      <c r="B22" s="87" t="s">
        <v>57</v>
      </c>
      <c r="C22" s="87">
        <v>5</v>
      </c>
      <c r="D22" s="88">
        <v>7521</v>
      </c>
      <c r="E22" s="89">
        <v>371.26370234227704</v>
      </c>
      <c r="F22" s="90"/>
      <c r="G22" s="91">
        <v>236.88215904556571</v>
      </c>
      <c r="H22" s="92">
        <f t="shared" si="2"/>
        <v>0.63804287236024571</v>
      </c>
      <c r="I22" s="92"/>
      <c r="J22" s="89">
        <v>-24</v>
      </c>
      <c r="K22" s="92">
        <f t="shared" si="3"/>
        <v>-6.4644078719750031E-2</v>
      </c>
      <c r="L22" s="92"/>
      <c r="M22" s="93">
        <v>0</v>
      </c>
      <c r="N22" s="92">
        <f t="shared" si="4"/>
        <v>0</v>
      </c>
      <c r="O22" s="94"/>
      <c r="P22" s="89">
        <v>14</v>
      </c>
      <c r="Q22" s="92">
        <f t="shared" si="5"/>
        <v>3.7709045919854182E-2</v>
      </c>
      <c r="R22" s="94"/>
      <c r="S22" s="93">
        <v>12</v>
      </c>
      <c r="T22" s="92">
        <f t="shared" si="6"/>
        <v>3.2322039359875016E-2</v>
      </c>
      <c r="U22" s="94"/>
      <c r="V22" s="93">
        <v>48</v>
      </c>
      <c r="W22" s="92">
        <f t="shared" si="7"/>
        <v>0.12928815743950006</v>
      </c>
      <c r="X22" s="94"/>
      <c r="Y22" s="93">
        <v>46</v>
      </c>
      <c r="Z22" s="92">
        <f t="shared" si="8"/>
        <v>0.12390115087952089</v>
      </c>
      <c r="AA22" s="94"/>
      <c r="AB22" s="89">
        <f t="shared" si="9"/>
        <v>332.88215904556569</v>
      </c>
      <c r="AC22" s="92">
        <f t="shared" si="10"/>
        <v>0.89661918723924572</v>
      </c>
      <c r="AD22" s="94"/>
      <c r="AE22" s="89">
        <v>-15</v>
      </c>
      <c r="AF22" s="92">
        <f t="shared" si="0"/>
        <v>-4.0402549199843769E-2</v>
      </c>
      <c r="AG22" s="92"/>
      <c r="AH22" s="89">
        <v>-5</v>
      </c>
      <c r="AI22" s="92">
        <f t="shared" si="11"/>
        <v>-1.3467516399947923E-2</v>
      </c>
      <c r="AJ22" s="94"/>
      <c r="AK22" s="89">
        <v>0</v>
      </c>
      <c r="AL22" s="92">
        <f t="shared" si="12"/>
        <v>0</v>
      </c>
      <c r="AM22" s="94"/>
      <c r="AN22" s="89">
        <f t="shared" si="13"/>
        <v>684.14586138784273</v>
      </c>
      <c r="AO22" s="89">
        <f t="shared" si="1"/>
        <v>312.88215904556569</v>
      </c>
      <c r="AP22" s="92">
        <f t="shared" si="14"/>
        <v>0.84274912163945404</v>
      </c>
    </row>
    <row r="23" spans="1:42" ht="12" thickBot="1" x14ac:dyDescent="0.25">
      <c r="A23" s="86">
        <f t="shared" si="15"/>
        <v>15</v>
      </c>
      <c r="B23" s="87"/>
      <c r="C23" s="87" t="s">
        <v>187</v>
      </c>
      <c r="D23" s="96">
        <f>SUM(D9:D22)</f>
        <v>22723058.8675</v>
      </c>
      <c r="E23" s="97">
        <f>SUM(E9:E22)</f>
        <v>2297599.6907498511</v>
      </c>
      <c r="F23" s="89"/>
      <c r="G23" s="97">
        <f>SUM(G9:G22)</f>
        <v>-40161.228375678162</v>
      </c>
      <c r="H23" s="98">
        <f t="shared" si="2"/>
        <v>-1.7479645622067014E-2</v>
      </c>
      <c r="I23" s="92"/>
      <c r="J23" s="97">
        <f>SUM(J9:J22)</f>
        <v>-67923</v>
      </c>
      <c r="K23" s="98">
        <f t="shared" si="3"/>
        <v>-2.9562591026390878E-2</v>
      </c>
      <c r="L23" s="92"/>
      <c r="M23" s="99">
        <f>SUM(M9:M22)</f>
        <v>-4741</v>
      </c>
      <c r="N23" s="98">
        <f t="shared" si="4"/>
        <v>-2.0634577986266677E-3</v>
      </c>
      <c r="O23" s="94"/>
      <c r="P23" s="97">
        <f>SUM(P9:P22)</f>
        <v>50253</v>
      </c>
      <c r="Q23" s="98">
        <f t="shared" si="5"/>
        <v>2.1871956286518862E-2</v>
      </c>
      <c r="R23" s="94"/>
      <c r="S23" s="99">
        <f>SUM(S9:S22)</f>
        <v>35309</v>
      </c>
      <c r="T23" s="98">
        <f t="shared" si="6"/>
        <v>1.536777713809513E-2</v>
      </c>
      <c r="U23" s="94"/>
      <c r="V23" s="99">
        <f>SUM(V9:V22)</f>
        <v>182500.16</v>
      </c>
      <c r="W23" s="98">
        <f t="shared" si="7"/>
        <v>7.9430790635438647E-2</v>
      </c>
      <c r="X23" s="94"/>
      <c r="Y23" s="97">
        <f>SUM(Y9:Y22)</f>
        <v>91748.32</v>
      </c>
      <c r="Z23" s="98">
        <f t="shared" si="8"/>
        <v>3.993224771459504E-2</v>
      </c>
      <c r="AA23" s="94"/>
      <c r="AB23" s="97">
        <f t="shared" si="9"/>
        <v>246985.25162432186</v>
      </c>
      <c r="AC23" s="98">
        <f t="shared" si="10"/>
        <v>0.10749707732756313</v>
      </c>
      <c r="AD23" s="94"/>
      <c r="AE23" s="97">
        <f>SUM(AE9:AE22)</f>
        <v>-44327</v>
      </c>
      <c r="AF23" s="98">
        <f t="shared" si="0"/>
        <v>-1.9292742847442375E-2</v>
      </c>
      <c r="AG23" s="92"/>
      <c r="AH23" s="97">
        <f>SUM(AH9:AH22)</f>
        <v>-16101</v>
      </c>
      <c r="AI23" s="98">
        <f t="shared" si="11"/>
        <v>-7.007748157706808E-3</v>
      </c>
      <c r="AJ23" s="94"/>
      <c r="AK23" s="97">
        <f>SUM(AK9:AK22)</f>
        <v>-8939</v>
      </c>
      <c r="AL23" s="98">
        <f t="shared" si="12"/>
        <v>-3.8905819999839235E-3</v>
      </c>
      <c r="AM23" s="94"/>
      <c r="AN23" s="97">
        <f>SUM(AN9:AN22)</f>
        <v>2475217.9423741722</v>
      </c>
      <c r="AO23" s="97">
        <f>SUM(AO9:AO22)</f>
        <v>177618.25162432183</v>
      </c>
      <c r="AP23" s="98">
        <f t="shared" si="14"/>
        <v>7.7306004322430011E-2</v>
      </c>
    </row>
    <row r="24" spans="1:42" ht="12" thickTop="1" x14ac:dyDescent="0.2">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row>
    <row r="25" spans="1:42" x14ac:dyDescent="0.2">
      <c r="D25" s="100">
        <v>22723058.8675</v>
      </c>
      <c r="E25" s="101">
        <v>2297599.6907498511</v>
      </c>
      <c r="H25" s="102"/>
      <c r="I25" s="102"/>
      <c r="J25" s="102"/>
      <c r="K25" s="102"/>
      <c r="L25" s="102"/>
      <c r="M25" s="102"/>
      <c r="N25" s="102"/>
      <c r="AB25" s="103"/>
      <c r="AE25" s="102"/>
      <c r="AF25" s="102"/>
      <c r="AG25" s="102"/>
    </row>
    <row r="26" spans="1:42" s="104" customFormat="1" x14ac:dyDescent="0.2">
      <c r="D26" s="105">
        <f>+D25-D23</f>
        <v>0</v>
      </c>
      <c r="E26" s="106">
        <f>+E25-E23</f>
        <v>0</v>
      </c>
      <c r="H26" s="107"/>
      <c r="I26" s="107"/>
      <c r="J26" s="107"/>
      <c r="K26" s="107"/>
      <c r="L26" s="107"/>
      <c r="M26" s="107"/>
      <c r="N26" s="107"/>
      <c r="W26" s="6"/>
      <c r="X26" s="6"/>
      <c r="Y26" s="6"/>
      <c r="Z26" s="6"/>
      <c r="AA26" s="6"/>
      <c r="AB26" s="6"/>
      <c r="AC26" s="6"/>
      <c r="AD26" s="6"/>
      <c r="AE26" s="102"/>
      <c r="AF26" s="107"/>
      <c r="AG26" s="107"/>
    </row>
    <row r="27" spans="1:42" ht="12.75" customHeight="1" x14ac:dyDescent="0.2">
      <c r="B27" s="95" t="s">
        <v>188</v>
      </c>
      <c r="H27" s="102"/>
      <c r="I27" s="102"/>
      <c r="J27" s="102"/>
      <c r="K27" s="102"/>
      <c r="L27" s="102"/>
      <c r="M27" s="102"/>
      <c r="N27" s="102"/>
      <c r="AE27" s="102"/>
      <c r="AF27" s="102"/>
      <c r="AG27" s="102"/>
    </row>
    <row r="28" spans="1:42" x14ac:dyDescent="0.2">
      <c r="B28" s="95" t="s">
        <v>189</v>
      </c>
      <c r="AE28" s="102"/>
      <c r="AF28" s="102"/>
      <c r="AG28" s="102"/>
    </row>
    <row r="29" spans="1:42" x14ac:dyDescent="0.2">
      <c r="AE29" s="102"/>
      <c r="AF29" s="102"/>
      <c r="AG29" s="102"/>
    </row>
    <row r="30" spans="1:42" x14ac:dyDescent="0.2">
      <c r="B30" s="6" t="s">
        <v>190</v>
      </c>
      <c r="M30" s="101">
        <v>3624</v>
      </c>
      <c r="AE30" s="102"/>
      <c r="AF30" s="102"/>
      <c r="AG30" s="102"/>
    </row>
    <row r="31" spans="1:42" x14ac:dyDescent="0.2">
      <c r="B31" s="6" t="s">
        <v>191</v>
      </c>
      <c r="M31" s="101">
        <v>-1117</v>
      </c>
      <c r="AE31" s="102"/>
    </row>
    <row r="32" spans="1:42" x14ac:dyDescent="0.2">
      <c r="B32" s="6" t="s">
        <v>192</v>
      </c>
      <c r="M32" s="101">
        <f>+M31-M30</f>
        <v>-4741</v>
      </c>
      <c r="AE32" s="102"/>
    </row>
    <row r="33" spans="2:42" x14ac:dyDescent="0.2">
      <c r="AE33" s="102"/>
    </row>
    <row r="34" spans="2:42" x14ac:dyDescent="0.2">
      <c r="B34" s="108" t="s">
        <v>193</v>
      </c>
      <c r="C34" s="75"/>
      <c r="D34" s="75"/>
      <c r="E34" s="75"/>
      <c r="F34" s="75"/>
      <c r="G34" s="75"/>
      <c r="H34" s="75"/>
      <c r="I34" s="75"/>
      <c r="J34" s="75"/>
      <c r="K34" s="75"/>
      <c r="L34" s="75"/>
      <c r="M34" s="75"/>
      <c r="AE34" s="102"/>
    </row>
    <row r="35" spans="2:42" x14ac:dyDescent="0.2">
      <c r="AE35" s="102"/>
    </row>
    <row r="36" spans="2:42" x14ac:dyDescent="0.2">
      <c r="B36" s="109" t="s">
        <v>194</v>
      </c>
      <c r="AE36" s="102"/>
    </row>
    <row r="37" spans="2:42" x14ac:dyDescent="0.2">
      <c r="AE37" s="102"/>
    </row>
    <row r="38" spans="2:42" ht="12" thickBot="1" x14ac:dyDescent="0.25">
      <c r="AE38" s="102"/>
    </row>
    <row r="39" spans="2:42" x14ac:dyDescent="0.2">
      <c r="B39" s="110"/>
      <c r="C39" s="111" t="s">
        <v>195</v>
      </c>
      <c r="D39" s="112">
        <v>22723059</v>
      </c>
      <c r="E39" s="113">
        <v>2297600</v>
      </c>
      <c r="F39" s="113"/>
      <c r="G39" s="113">
        <v>-40161</v>
      </c>
      <c r="H39" s="114">
        <v>-1.7500000000000002E-2</v>
      </c>
      <c r="I39" s="114"/>
      <c r="J39" s="113">
        <v>-67923</v>
      </c>
      <c r="K39" s="114">
        <v>-2.9600000000000001E-2</v>
      </c>
      <c r="L39" s="114"/>
      <c r="M39" s="115">
        <v>-4741</v>
      </c>
      <c r="N39" s="114">
        <v>-2.0999999999999999E-3</v>
      </c>
      <c r="O39" s="116"/>
      <c r="P39" s="113">
        <v>50253</v>
      </c>
      <c r="Q39" s="114">
        <v>2.1899999999999999E-2</v>
      </c>
      <c r="R39" s="116"/>
      <c r="S39" s="115">
        <v>35309</v>
      </c>
      <c r="T39" s="114">
        <v>1.54E-2</v>
      </c>
      <c r="U39" s="116"/>
      <c r="V39" s="115">
        <v>325017</v>
      </c>
      <c r="W39" s="114">
        <v>0.14149999999999999</v>
      </c>
      <c r="X39" s="116"/>
      <c r="Y39" s="113">
        <v>91748</v>
      </c>
      <c r="Z39" s="114">
        <v>3.9899999999999998E-2</v>
      </c>
      <c r="AA39" s="116"/>
      <c r="AB39" s="113">
        <v>389502</v>
      </c>
      <c r="AC39" s="114">
        <v>0.16950000000000001</v>
      </c>
      <c r="AD39" s="116"/>
      <c r="AE39" s="113">
        <v>-44327</v>
      </c>
      <c r="AF39" s="114">
        <v>-1.9300000000000001E-2</v>
      </c>
      <c r="AG39" s="114"/>
      <c r="AH39" s="113">
        <v>-16101</v>
      </c>
      <c r="AI39" s="114">
        <v>-7.0000000000000001E-3</v>
      </c>
      <c r="AJ39" s="116"/>
      <c r="AK39" s="113">
        <v>-8939</v>
      </c>
      <c r="AL39" s="114">
        <v>-3.8999999999999998E-3</v>
      </c>
      <c r="AM39" s="116"/>
      <c r="AN39" s="113">
        <v>2617735</v>
      </c>
      <c r="AO39" s="113">
        <v>320135</v>
      </c>
      <c r="AP39" s="117">
        <v>0.13930000000000001</v>
      </c>
    </row>
    <row r="40" spans="2:42" ht="12" thickBot="1" x14ac:dyDescent="0.25">
      <c r="B40" s="118"/>
      <c r="C40" s="119" t="s">
        <v>196</v>
      </c>
      <c r="D40" s="120">
        <f>D23-D39</f>
        <v>-0.13250000029802322</v>
      </c>
      <c r="E40" s="121">
        <f>E23-E39</f>
        <v>-0.30925014894455671</v>
      </c>
      <c r="F40" s="121"/>
      <c r="G40" s="121">
        <f t="shared" ref="G40:H40" si="16">G23-G39</f>
        <v>-0.22837567816168303</v>
      </c>
      <c r="H40" s="122">
        <f t="shared" si="16"/>
        <v>2.0354377932987194E-5</v>
      </c>
      <c r="I40" s="122"/>
      <c r="J40" s="121">
        <f t="shared" ref="J40:K40" si="17">J23-J39</f>
        <v>0</v>
      </c>
      <c r="K40" s="122">
        <f t="shared" si="17"/>
        <v>3.740897360912307E-5</v>
      </c>
      <c r="L40" s="122"/>
      <c r="M40" s="123">
        <f t="shared" ref="M40:N40" si="18">M23-M39</f>
        <v>0</v>
      </c>
      <c r="N40" s="122">
        <f t="shared" si="18"/>
        <v>3.6542201373332157E-5</v>
      </c>
      <c r="O40" s="124"/>
      <c r="P40" s="121">
        <f t="shared" ref="P40:Q40" si="19">P23-P39</f>
        <v>0</v>
      </c>
      <c r="Q40" s="122">
        <f t="shared" si="19"/>
        <v>-2.8043713481137184E-5</v>
      </c>
      <c r="R40" s="124"/>
      <c r="S40" s="123">
        <f t="shared" ref="S40:T40" si="20">S23-S39</f>
        <v>0</v>
      </c>
      <c r="T40" s="122">
        <f t="shared" si="20"/>
        <v>-3.2222861904870545E-5</v>
      </c>
      <c r="U40" s="124"/>
      <c r="V40" s="123">
        <f>V23-V39</f>
        <v>-142516.84</v>
      </c>
      <c r="W40" s="122">
        <f>W23-W39</f>
        <v>-6.206920936456134E-2</v>
      </c>
      <c r="X40" s="124"/>
      <c r="Y40" s="121">
        <f>Y23-Y39</f>
        <v>0.32000000000698492</v>
      </c>
      <c r="Z40" s="122">
        <f>Z23-Z39</f>
        <v>3.2247714595041999E-5</v>
      </c>
      <c r="AA40" s="124"/>
      <c r="AB40" s="121">
        <f>AB23-AB39</f>
        <v>-142516.74837567814</v>
      </c>
      <c r="AC40" s="122">
        <f>AC23-AC39</f>
        <v>-6.2002922672436886E-2</v>
      </c>
      <c r="AD40" s="124"/>
      <c r="AE40" s="121">
        <f t="shared" ref="AE40:AF40" si="21">AE23-AE39</f>
        <v>0</v>
      </c>
      <c r="AF40" s="122">
        <f t="shared" si="21"/>
        <v>7.2571525576263507E-6</v>
      </c>
      <c r="AG40" s="122"/>
      <c r="AH40" s="121">
        <f>AH23-AH39</f>
        <v>0</v>
      </c>
      <c r="AI40" s="122">
        <f>AI23-AI39</f>
        <v>-7.7481577068078122E-6</v>
      </c>
      <c r="AJ40" s="124"/>
      <c r="AK40" s="121">
        <f>AK23-AK39</f>
        <v>0</v>
      </c>
      <c r="AL40" s="122">
        <f>AL23-AL39</f>
        <v>9.4180000160763028E-6</v>
      </c>
      <c r="AM40" s="124"/>
      <c r="AN40" s="121">
        <f>AN23-AN39</f>
        <v>-142517.05762582785</v>
      </c>
      <c r="AO40" s="121">
        <f>AO23-AO39</f>
        <v>-142516.74837567817</v>
      </c>
      <c r="AP40" s="125">
        <f>AP23-AP39</f>
        <v>-6.1993995677569996E-2</v>
      </c>
    </row>
    <row r="41" spans="2:42" x14ac:dyDescent="0.2">
      <c r="AE41" s="102"/>
    </row>
    <row r="42" spans="2:42" x14ac:dyDescent="0.2">
      <c r="AE42" s="102"/>
    </row>
    <row r="43" spans="2:42" x14ac:dyDescent="0.2">
      <c r="AE43" s="102"/>
    </row>
    <row r="44" spans="2:42" x14ac:dyDescent="0.2">
      <c r="AE44" s="102"/>
    </row>
    <row r="45" spans="2:42" x14ac:dyDescent="0.2">
      <c r="AE45" s="102"/>
    </row>
    <row r="46" spans="2:42" x14ac:dyDescent="0.2">
      <c r="AE46" s="102"/>
    </row>
    <row r="47" spans="2:42" x14ac:dyDescent="0.2">
      <c r="AE47" s="102"/>
    </row>
    <row r="48" spans="2:42" x14ac:dyDescent="0.2">
      <c r="AE48" s="102"/>
    </row>
    <row r="49" spans="31:31" x14ac:dyDescent="0.2">
      <c r="AE49" s="102"/>
    </row>
    <row r="50" spans="31:31" x14ac:dyDescent="0.2">
      <c r="AE50" s="102"/>
    </row>
    <row r="51" spans="31:31" x14ac:dyDescent="0.2">
      <c r="AE51" s="102"/>
    </row>
    <row r="52" spans="31:31" x14ac:dyDescent="0.2">
      <c r="AE52" s="102"/>
    </row>
    <row r="53" spans="31:31" x14ac:dyDescent="0.2">
      <c r="AE53" s="102"/>
    </row>
    <row r="54" spans="31:31" x14ac:dyDescent="0.2">
      <c r="AE54" s="102"/>
    </row>
    <row r="55" spans="31:31" x14ac:dyDescent="0.2">
      <c r="AE55" s="102"/>
    </row>
    <row r="56" spans="31:31" x14ac:dyDescent="0.2">
      <c r="AE56" s="102"/>
    </row>
  </sheetData>
  <mergeCells count="7">
    <mergeCell ref="AE6:AL6"/>
    <mergeCell ref="A1:B1"/>
    <mergeCell ref="A2:B2"/>
    <mergeCell ref="A3:B3"/>
    <mergeCell ref="A4:B4"/>
    <mergeCell ref="A5:B5"/>
    <mergeCell ref="G6:AC6"/>
  </mergeCells>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Q35"/>
  <sheetViews>
    <sheetView zoomScaleNormal="100" workbookViewId="0">
      <pane xSplit="5" ySplit="7" topLeftCell="F8" activePane="bottomRight" state="frozen"/>
      <selection activeCell="G16" sqref="G16"/>
      <selection pane="topRight" activeCell="G16" sqref="G16"/>
      <selection pane="bottomLeft" activeCell="G16" sqref="G16"/>
      <selection pane="bottomRight" activeCell="W23" sqref="W23"/>
    </sheetView>
  </sheetViews>
  <sheetFormatPr defaultColWidth="6.28515625" defaultRowHeight="11.25" x14ac:dyDescent="0.2"/>
  <cols>
    <col min="1" max="1" width="5" style="6" bestFit="1" customWidth="1"/>
    <col min="2" max="2" width="32.42578125" style="6" bestFit="1" customWidth="1"/>
    <col min="3" max="3" width="15.7109375" style="6" bestFit="1" customWidth="1"/>
    <col min="4" max="4" width="11.28515625" style="6" bestFit="1" customWidth="1"/>
    <col min="5" max="5" width="11.28515625" style="6" customWidth="1"/>
    <col min="6" max="6" width="1.42578125" style="6" customWidth="1"/>
    <col min="7" max="8" width="10.7109375" style="6" bestFit="1" customWidth="1"/>
    <col min="9" max="9" width="1" style="6" customWidth="1"/>
    <col min="10" max="10" width="11.28515625" style="6" customWidth="1"/>
    <col min="11" max="11" width="12" style="6" customWidth="1"/>
    <col min="12" max="12" width="1" style="6" customWidth="1"/>
    <col min="13" max="14" width="12" style="6" customWidth="1"/>
    <col min="15" max="15" width="1" style="6" customWidth="1"/>
    <col min="16" max="17" width="9.7109375" style="6" customWidth="1"/>
    <col min="18" max="18" width="1" style="6" customWidth="1"/>
    <col min="19" max="20" width="9.7109375" style="6" customWidth="1"/>
    <col min="21" max="21" width="1" style="6" customWidth="1"/>
    <col min="22" max="22" width="11.85546875" style="6" bestFit="1" customWidth="1"/>
    <col min="23" max="23" width="9.7109375" style="6" customWidth="1"/>
    <col min="24" max="24" width="12.85546875" style="6" bestFit="1" customWidth="1"/>
    <col min="25" max="26" width="9.7109375" style="6" customWidth="1"/>
    <col min="27" max="27" width="6.28515625" style="6"/>
    <col min="28" max="29" width="9.7109375" style="6" customWidth="1"/>
    <col min="30" max="30" width="6.28515625" style="6"/>
    <col min="31" max="32" width="9.7109375" style="6" customWidth="1"/>
    <col min="33" max="33" width="6.28515625" style="6"/>
    <col min="34" max="35" width="9.7109375" style="6" customWidth="1"/>
    <col min="36" max="36" width="6.28515625" style="6"/>
    <col min="37" max="38" width="9.7109375" style="6" customWidth="1"/>
    <col min="39" max="39" width="6.28515625" style="6"/>
    <col min="40" max="41" width="9.5703125" style="6" customWidth="1"/>
    <col min="42" max="42" width="6.28515625" style="6"/>
    <col min="43" max="45" width="9.5703125" style="6" customWidth="1"/>
    <col min="46" max="16384" width="6.28515625" style="6"/>
  </cols>
  <sheetData>
    <row r="1" spans="1:43" s="75" customFormat="1" x14ac:dyDescent="0.2">
      <c r="A1" s="231" t="s">
        <v>114</v>
      </c>
      <c r="B1" s="231"/>
      <c r="C1" s="152"/>
    </row>
    <row r="2" spans="1:43" s="75" customFormat="1" x14ac:dyDescent="0.2">
      <c r="A2" s="231" t="s">
        <v>115</v>
      </c>
      <c r="B2" s="231"/>
      <c r="C2" s="152"/>
    </row>
    <row r="3" spans="1:43" s="75" customFormat="1" x14ac:dyDescent="0.2">
      <c r="A3" s="232" t="s">
        <v>197</v>
      </c>
      <c r="B3" s="231"/>
      <c r="C3" s="152"/>
    </row>
    <row r="4" spans="1:43" s="75" customFormat="1" x14ac:dyDescent="0.2">
      <c r="A4" s="231" t="s">
        <v>117</v>
      </c>
      <c r="B4" s="231"/>
      <c r="C4" s="152"/>
    </row>
    <row r="5" spans="1:43" s="75" customFormat="1" x14ac:dyDescent="0.2">
      <c r="A5" s="232" t="s">
        <v>198</v>
      </c>
      <c r="B5" s="231"/>
      <c r="C5" s="152"/>
      <c r="D5" s="152"/>
      <c r="E5" s="152"/>
      <c r="F5" s="152"/>
      <c r="G5" s="152"/>
      <c r="H5" s="152"/>
    </row>
    <row r="6" spans="1:43" s="75" customFormat="1" x14ac:dyDescent="0.2">
      <c r="A6" s="153"/>
      <c r="B6" s="152"/>
      <c r="C6" s="152"/>
      <c r="D6" s="152"/>
      <c r="E6" s="152"/>
      <c r="F6" s="152"/>
      <c r="G6" s="152"/>
      <c r="H6" s="152"/>
    </row>
    <row r="7" spans="1:43" s="75" customFormat="1" ht="78.75" x14ac:dyDescent="0.2">
      <c r="A7" s="79" t="s">
        <v>122</v>
      </c>
      <c r="B7" s="79" t="s">
        <v>123</v>
      </c>
      <c r="C7" s="79" t="s">
        <v>124</v>
      </c>
      <c r="D7" s="80" t="s">
        <v>199</v>
      </c>
      <c r="E7" s="81" t="s">
        <v>200</v>
      </c>
      <c r="F7" s="126"/>
      <c r="G7" s="126" t="s">
        <v>131</v>
      </c>
      <c r="H7" s="126" t="s">
        <v>132</v>
      </c>
      <c r="J7" s="126" t="s">
        <v>133</v>
      </c>
      <c r="K7" s="126" t="s">
        <v>134</v>
      </c>
      <c r="L7" s="126"/>
      <c r="M7" s="126" t="s">
        <v>135</v>
      </c>
      <c r="N7" s="126" t="s">
        <v>136</v>
      </c>
      <c r="P7" s="126" t="s">
        <v>137</v>
      </c>
      <c r="Q7" s="126" t="s">
        <v>138</v>
      </c>
      <c r="S7" s="126" t="s">
        <v>139</v>
      </c>
      <c r="T7" s="126" t="s">
        <v>140</v>
      </c>
      <c r="V7" s="126" t="s">
        <v>201</v>
      </c>
      <c r="W7" s="126" t="s">
        <v>150</v>
      </c>
      <c r="X7" s="126" t="s">
        <v>151</v>
      </c>
      <c r="AQ7" s="127"/>
    </row>
    <row r="8" spans="1:43" s="128" customFormat="1" ht="25.5" customHeight="1" x14ac:dyDescent="0.2">
      <c r="A8" s="83"/>
      <c r="B8" s="83" t="s">
        <v>152</v>
      </c>
      <c r="C8" s="83" t="s">
        <v>153</v>
      </c>
      <c r="D8" s="84" t="s">
        <v>154</v>
      </c>
      <c r="E8" s="85" t="s">
        <v>155</v>
      </c>
      <c r="F8" s="85"/>
      <c r="G8" s="83" t="s">
        <v>156</v>
      </c>
      <c r="H8" s="83" t="s">
        <v>157</v>
      </c>
      <c r="I8" s="83"/>
      <c r="J8" s="83" t="s">
        <v>158</v>
      </c>
      <c r="K8" s="83" t="s">
        <v>159</v>
      </c>
      <c r="L8" s="83"/>
      <c r="M8" s="83" t="s">
        <v>160</v>
      </c>
      <c r="N8" s="83" t="s">
        <v>161</v>
      </c>
      <c r="O8" s="83"/>
      <c r="P8" s="83" t="s">
        <v>162</v>
      </c>
      <c r="Q8" s="84" t="s">
        <v>163</v>
      </c>
      <c r="R8" s="83"/>
      <c r="S8" s="83" t="s">
        <v>164</v>
      </c>
      <c r="T8" s="84" t="s">
        <v>165</v>
      </c>
      <c r="U8" s="83"/>
      <c r="V8" s="84" t="s">
        <v>202</v>
      </c>
      <c r="W8" s="84" t="s">
        <v>203</v>
      </c>
      <c r="X8" s="128" t="s">
        <v>204</v>
      </c>
    </row>
    <row r="9" spans="1:43" x14ac:dyDescent="0.2">
      <c r="A9" s="86">
        <v>1</v>
      </c>
      <c r="B9" s="87" t="s">
        <v>1</v>
      </c>
      <c r="C9" s="87">
        <v>7</v>
      </c>
      <c r="D9" s="100">
        <v>11064440.8695</v>
      </c>
      <c r="E9" s="101">
        <v>1384797.0741398777</v>
      </c>
      <c r="F9" s="101"/>
      <c r="G9" s="129">
        <v>0</v>
      </c>
      <c r="H9" s="130">
        <f>+G9/$E9</f>
        <v>0</v>
      </c>
      <c r="I9" s="131"/>
      <c r="J9" s="101">
        <v>1926</v>
      </c>
      <c r="K9" s="132">
        <f>+J9/$E9</f>
        <v>1.3908174966330523E-3</v>
      </c>
      <c r="L9" s="132"/>
      <c r="M9" s="129">
        <v>221</v>
      </c>
      <c r="N9" s="132">
        <f>+M9/$E9</f>
        <v>1.5959016965519447E-4</v>
      </c>
      <c r="O9" s="131"/>
      <c r="P9" s="129">
        <v>-45541</v>
      </c>
      <c r="Q9" s="132">
        <f>+P9/$E9</f>
        <v>-3.2886406860937606E-2</v>
      </c>
      <c r="S9" s="101">
        <v>63211</v>
      </c>
      <c r="T9" s="132">
        <f>+S9/$E9</f>
        <v>4.5646399158708134E-2</v>
      </c>
      <c r="V9" s="101">
        <f>SUM(E9,G9,J9,P9,S9,M9)</f>
        <v>1404614.0741398777</v>
      </c>
      <c r="W9" s="101">
        <f t="shared" ref="W9:W22" si="0">+V9-E9</f>
        <v>19817</v>
      </c>
      <c r="X9" s="132">
        <f>+W9/$E9</f>
        <v>1.4310399964058773E-2</v>
      </c>
    </row>
    <row r="10" spans="1:43" x14ac:dyDescent="0.2">
      <c r="A10" s="86">
        <f>+A9+1</f>
        <v>2</v>
      </c>
      <c r="B10" s="87" t="s">
        <v>58</v>
      </c>
      <c r="C10" s="87" t="s">
        <v>181</v>
      </c>
      <c r="D10" s="100">
        <v>2730372</v>
      </c>
      <c r="E10" s="101">
        <v>339070.43306399998</v>
      </c>
      <c r="F10" s="101"/>
      <c r="G10" s="129">
        <v>-3</v>
      </c>
      <c r="H10" s="130">
        <f t="shared" ref="H10:H23" si="1">+G10/$E10</f>
        <v>-8.8477192567060134E-6</v>
      </c>
      <c r="I10" s="131"/>
      <c r="J10" s="101">
        <v>397</v>
      </c>
      <c r="K10" s="132">
        <f t="shared" ref="K10:K23" si="2">+J10/$E10</f>
        <v>1.1708481816374292E-3</v>
      </c>
      <c r="L10" s="132"/>
      <c r="M10" s="129">
        <v>34</v>
      </c>
      <c r="N10" s="132">
        <f t="shared" ref="N10:N23" si="3">+M10/$E10</f>
        <v>1.0027415157600149E-4</v>
      </c>
      <c r="O10" s="131"/>
      <c r="P10" s="129">
        <v>-8797</v>
      </c>
      <c r="Q10" s="132">
        <f t="shared" ref="Q10:Q23" si="4">+P10/$E10</f>
        <v>-2.5944462100414265E-2</v>
      </c>
      <c r="S10" s="101">
        <v>12098</v>
      </c>
      <c r="T10" s="132">
        <f t="shared" ref="T10:T23" si="5">+S10/$E10</f>
        <v>3.5679902522543119E-2</v>
      </c>
      <c r="V10" s="101">
        <f t="shared" ref="V10:V22" si="6">SUM(E10,G10,J10,P10,S10,M10)</f>
        <v>342799.43306399998</v>
      </c>
      <c r="W10" s="101">
        <f t="shared" si="0"/>
        <v>3729</v>
      </c>
      <c r="X10" s="132">
        <f t="shared" ref="X10:X23" si="7">+W10/$E10</f>
        <v>1.0997715036085575E-2</v>
      </c>
    </row>
    <row r="11" spans="1:43" x14ac:dyDescent="0.2">
      <c r="A11" s="86">
        <f>+A10+1</f>
        <v>3</v>
      </c>
      <c r="B11" s="95" t="s">
        <v>59</v>
      </c>
      <c r="C11" s="87" t="s">
        <v>182</v>
      </c>
      <c r="D11" s="100">
        <v>2948172</v>
      </c>
      <c r="E11" s="101">
        <v>342201.85321436683</v>
      </c>
      <c r="F11" s="101"/>
      <c r="G11" s="129">
        <v>-4</v>
      </c>
      <c r="H11" s="130">
        <f t="shared" si="1"/>
        <v>-1.1689007416024322E-5</v>
      </c>
      <c r="I11" s="131"/>
      <c r="J11" s="101">
        <v>445</v>
      </c>
      <c r="K11" s="132">
        <f t="shared" si="2"/>
        <v>1.3004020750327057E-3</v>
      </c>
      <c r="L11" s="132"/>
      <c r="M11" s="129">
        <v>34</v>
      </c>
      <c r="N11" s="132">
        <f t="shared" si="3"/>
        <v>9.935656303620673E-5</v>
      </c>
      <c r="O11" s="131"/>
      <c r="P11" s="129">
        <v>-9866</v>
      </c>
      <c r="Q11" s="132">
        <f t="shared" si="4"/>
        <v>-2.8830936791623987E-2</v>
      </c>
      <c r="S11" s="101">
        <v>13505</v>
      </c>
      <c r="T11" s="132">
        <f t="shared" si="5"/>
        <v>3.9465011288352114E-2</v>
      </c>
      <c r="V11" s="101">
        <f t="shared" si="6"/>
        <v>346315.85321436683</v>
      </c>
      <c r="W11" s="101">
        <f t="shared" si="0"/>
        <v>4114</v>
      </c>
      <c r="X11" s="132">
        <f t="shared" si="7"/>
        <v>1.2022144127381014E-2</v>
      </c>
    </row>
    <row r="12" spans="1:43" x14ac:dyDescent="0.2">
      <c r="A12" s="86">
        <f t="shared" ref="A12:A23" si="8">+A11+1</f>
        <v>4</v>
      </c>
      <c r="B12" s="95" t="s">
        <v>60</v>
      </c>
      <c r="C12" s="87" t="s">
        <v>183</v>
      </c>
      <c r="D12" s="100">
        <v>1853862</v>
      </c>
      <c r="E12" s="101">
        <v>195136.74323055093</v>
      </c>
      <c r="F12" s="101"/>
      <c r="G12" s="129">
        <v>-6</v>
      </c>
      <c r="H12" s="130">
        <f t="shared" si="1"/>
        <v>-3.074766904821762E-5</v>
      </c>
      <c r="I12" s="131"/>
      <c r="J12" s="101">
        <v>277</v>
      </c>
      <c r="K12" s="132">
        <f t="shared" si="2"/>
        <v>1.4195173877260467E-3</v>
      </c>
      <c r="L12" s="132"/>
      <c r="M12" s="129">
        <v>16</v>
      </c>
      <c r="N12" s="132">
        <f t="shared" si="3"/>
        <v>8.1993784128580317E-5</v>
      </c>
      <c r="O12" s="131"/>
      <c r="P12" s="129">
        <v>-5404</v>
      </c>
      <c r="Q12" s="132">
        <f t="shared" si="4"/>
        <v>-2.7693400589428003E-2</v>
      </c>
      <c r="S12" s="101">
        <v>7492</v>
      </c>
      <c r="T12" s="132">
        <f t="shared" si="5"/>
        <v>3.8393589418207738E-2</v>
      </c>
      <c r="V12" s="101">
        <f t="shared" si="6"/>
        <v>197511.74323055093</v>
      </c>
      <c r="W12" s="101">
        <f t="shared" si="0"/>
        <v>2375</v>
      </c>
      <c r="X12" s="132">
        <f t="shared" si="7"/>
        <v>1.2170952331586141E-2</v>
      </c>
    </row>
    <row r="13" spans="1:43" x14ac:dyDescent="0.2">
      <c r="A13" s="86">
        <f t="shared" si="8"/>
        <v>5</v>
      </c>
      <c r="B13" s="87" t="s">
        <v>61</v>
      </c>
      <c r="C13" s="87">
        <v>29</v>
      </c>
      <c r="D13" s="100">
        <v>15233.452499999999</v>
      </c>
      <c r="E13" s="101">
        <v>1569.0961887460082</v>
      </c>
      <c r="F13" s="101"/>
      <c r="G13" s="129">
        <v>0</v>
      </c>
      <c r="H13" s="130">
        <f t="shared" si="1"/>
        <v>0</v>
      </c>
      <c r="I13" s="131"/>
      <c r="J13" s="101">
        <v>2</v>
      </c>
      <c r="K13" s="132">
        <f t="shared" si="2"/>
        <v>1.2746191179001983E-3</v>
      </c>
      <c r="L13" s="132"/>
      <c r="M13" s="129">
        <v>0</v>
      </c>
      <c r="N13" s="132">
        <f t="shared" si="3"/>
        <v>0</v>
      </c>
      <c r="O13" s="131"/>
      <c r="P13" s="129">
        <v>-51</v>
      </c>
      <c r="Q13" s="132">
        <f t="shared" si="4"/>
        <v>-3.2502787506455057E-2</v>
      </c>
      <c r="S13" s="101">
        <v>70</v>
      </c>
      <c r="T13" s="132">
        <f t="shared" si="5"/>
        <v>4.4611669126506937E-2</v>
      </c>
      <c r="V13" s="101">
        <f t="shared" si="6"/>
        <v>1590.0961887460082</v>
      </c>
      <c r="W13" s="101">
        <f t="shared" si="0"/>
        <v>21</v>
      </c>
      <c r="X13" s="132">
        <f t="shared" si="7"/>
        <v>1.3383500737952081E-2</v>
      </c>
    </row>
    <row r="14" spans="1:43" x14ac:dyDescent="0.2">
      <c r="A14" s="86">
        <f t="shared" si="8"/>
        <v>6</v>
      </c>
      <c r="B14" s="95" t="s">
        <v>62</v>
      </c>
      <c r="C14" s="87" t="s">
        <v>184</v>
      </c>
      <c r="D14" s="100">
        <v>1335448</v>
      </c>
      <c r="E14" s="101">
        <v>138562.9344936033</v>
      </c>
      <c r="F14" s="101"/>
      <c r="G14" s="129">
        <v>-3</v>
      </c>
      <c r="H14" s="130">
        <f t="shared" si="1"/>
        <v>-2.1650811676036595E-5</v>
      </c>
      <c r="I14" s="131"/>
      <c r="J14" s="101">
        <v>206</v>
      </c>
      <c r="K14" s="132">
        <f t="shared" si="2"/>
        <v>1.4866890684211793E-3</v>
      </c>
      <c r="L14" s="132"/>
      <c r="M14" s="129">
        <v>36</v>
      </c>
      <c r="N14" s="132">
        <f t="shared" si="3"/>
        <v>2.5980974011243911E-4</v>
      </c>
      <c r="O14" s="131"/>
      <c r="P14" s="129">
        <v>-3712</v>
      </c>
      <c r="Q14" s="132">
        <f t="shared" si="4"/>
        <v>-2.6789270980482612E-2</v>
      </c>
      <c r="S14" s="101">
        <v>5323</v>
      </c>
      <c r="T14" s="132">
        <f t="shared" si="5"/>
        <v>3.8415756850514265E-2</v>
      </c>
      <c r="V14" s="101">
        <f t="shared" si="6"/>
        <v>140412.9344936033</v>
      </c>
      <c r="W14" s="101">
        <f t="shared" si="0"/>
        <v>1850</v>
      </c>
      <c r="X14" s="132">
        <f t="shared" si="7"/>
        <v>1.3351333866889232E-2</v>
      </c>
    </row>
    <row r="15" spans="1:43" x14ac:dyDescent="0.2">
      <c r="A15" s="86">
        <f t="shared" si="8"/>
        <v>7</v>
      </c>
      <c r="B15" s="95" t="s">
        <v>63</v>
      </c>
      <c r="C15" s="87">
        <v>35</v>
      </c>
      <c r="D15" s="100">
        <v>4695</v>
      </c>
      <c r="E15" s="101">
        <v>375.08723693641753</v>
      </c>
      <c r="F15" s="101"/>
      <c r="G15" s="129">
        <v>0</v>
      </c>
      <c r="H15" s="130">
        <f t="shared" si="1"/>
        <v>0</v>
      </c>
      <c r="I15" s="131"/>
      <c r="J15" s="101">
        <v>0</v>
      </c>
      <c r="K15" s="132">
        <f t="shared" si="2"/>
        <v>0</v>
      </c>
      <c r="L15" s="132"/>
      <c r="M15" s="129">
        <v>1</v>
      </c>
      <c r="N15" s="132">
        <f t="shared" si="3"/>
        <v>2.6660464593987608E-3</v>
      </c>
      <c r="O15" s="131"/>
      <c r="P15" s="129">
        <v>-18</v>
      </c>
      <c r="Q15" s="132">
        <f t="shared" si="4"/>
        <v>-4.7988836269177694E-2</v>
      </c>
      <c r="S15" s="101">
        <v>26</v>
      </c>
      <c r="T15" s="132">
        <f t="shared" si="5"/>
        <v>6.9317207944367784E-2</v>
      </c>
      <c r="V15" s="101">
        <f t="shared" si="6"/>
        <v>384.08723693641753</v>
      </c>
      <c r="W15" s="101">
        <f t="shared" si="0"/>
        <v>9</v>
      </c>
      <c r="X15" s="132">
        <f t="shared" si="7"/>
        <v>2.3994418134588847E-2</v>
      </c>
    </row>
    <row r="16" spans="1:43" x14ac:dyDescent="0.2">
      <c r="A16" s="86">
        <f t="shared" si="8"/>
        <v>8</v>
      </c>
      <c r="B16" s="87" t="s">
        <v>64</v>
      </c>
      <c r="C16" s="87">
        <v>43</v>
      </c>
      <c r="D16" s="100">
        <v>119782</v>
      </c>
      <c r="E16" s="101">
        <v>13029.074082303612</v>
      </c>
      <c r="F16" s="101"/>
      <c r="G16" s="129">
        <v>0</v>
      </c>
      <c r="H16" s="130">
        <f t="shared" si="1"/>
        <v>0</v>
      </c>
      <c r="I16" s="131"/>
      <c r="J16" s="101">
        <v>3</v>
      </c>
      <c r="K16" s="132">
        <f t="shared" si="2"/>
        <v>2.3025427448253357E-4</v>
      </c>
      <c r="L16" s="132"/>
      <c r="M16" s="129">
        <v>1</v>
      </c>
      <c r="N16" s="132">
        <f t="shared" si="3"/>
        <v>7.6751424827511193E-5</v>
      </c>
      <c r="O16" s="131"/>
      <c r="P16" s="129">
        <v>-310</v>
      </c>
      <c r="Q16" s="132">
        <f t="shared" si="4"/>
        <v>-2.3792941696528468E-2</v>
      </c>
      <c r="S16" s="101">
        <v>419</v>
      </c>
      <c r="T16" s="132">
        <f t="shared" si="5"/>
        <v>3.2158847002727191E-2</v>
      </c>
      <c r="V16" s="101">
        <f t="shared" si="6"/>
        <v>13142.074082303612</v>
      </c>
      <c r="W16" s="101">
        <f t="shared" si="0"/>
        <v>113</v>
      </c>
      <c r="X16" s="132">
        <f t="shared" si="7"/>
        <v>8.6729110055087637E-3</v>
      </c>
    </row>
    <row r="17" spans="1:24" x14ac:dyDescent="0.2">
      <c r="A17" s="86">
        <f t="shared" si="8"/>
        <v>9</v>
      </c>
      <c r="B17" s="87" t="s">
        <v>65</v>
      </c>
      <c r="C17" s="87">
        <v>46</v>
      </c>
      <c r="D17" s="100">
        <v>89210.525500000018</v>
      </c>
      <c r="E17" s="101">
        <v>6683.3069567610009</v>
      </c>
      <c r="F17" s="101"/>
      <c r="G17" s="129">
        <v>0</v>
      </c>
      <c r="H17" s="130">
        <f t="shared" si="1"/>
        <v>0</v>
      </c>
      <c r="I17" s="131"/>
      <c r="J17" s="101">
        <v>3</v>
      </c>
      <c r="K17" s="132">
        <f t="shared" si="2"/>
        <v>4.4887957704308715E-4</v>
      </c>
      <c r="L17" s="132"/>
      <c r="M17" s="129">
        <v>3</v>
      </c>
      <c r="N17" s="132">
        <f t="shared" si="3"/>
        <v>4.4887957704308715E-4</v>
      </c>
      <c r="O17" s="131"/>
      <c r="P17" s="129">
        <v>-132</v>
      </c>
      <c r="Q17" s="132">
        <f t="shared" si="4"/>
        <v>-1.9750701389895833E-2</v>
      </c>
      <c r="S17" s="101">
        <v>198</v>
      </c>
      <c r="T17" s="132">
        <f t="shared" si="5"/>
        <v>2.962605208484375E-2</v>
      </c>
      <c r="V17" s="101">
        <f t="shared" si="6"/>
        <v>6755.3069567610009</v>
      </c>
      <c r="W17" s="101">
        <f t="shared" si="0"/>
        <v>72</v>
      </c>
      <c r="X17" s="132">
        <f t="shared" si="7"/>
        <v>1.0773109849034091E-2</v>
      </c>
    </row>
    <row r="18" spans="1:24" x14ac:dyDescent="0.2">
      <c r="A18" s="86">
        <f t="shared" si="8"/>
        <v>10</v>
      </c>
      <c r="B18" s="95" t="s">
        <v>66</v>
      </c>
      <c r="C18" s="87">
        <v>49</v>
      </c>
      <c r="D18" s="100">
        <v>499683</v>
      </c>
      <c r="E18" s="101">
        <v>38508.934112939227</v>
      </c>
      <c r="F18" s="101"/>
      <c r="G18" s="129">
        <v>-4</v>
      </c>
      <c r="H18" s="130">
        <f t="shared" si="1"/>
        <v>-1.0387199989147392E-4</v>
      </c>
      <c r="I18" s="131"/>
      <c r="J18" s="101">
        <v>85</v>
      </c>
      <c r="K18" s="132">
        <f t="shared" si="2"/>
        <v>2.2072799976938211E-3</v>
      </c>
      <c r="L18" s="132"/>
      <c r="M18" s="129">
        <v>21</v>
      </c>
      <c r="N18" s="132">
        <f t="shared" si="3"/>
        <v>5.4532799943023808E-4</v>
      </c>
      <c r="O18" s="131"/>
      <c r="P18" s="129">
        <v>-746</v>
      </c>
      <c r="Q18" s="132">
        <f t="shared" si="4"/>
        <v>-1.9372127979759887E-2</v>
      </c>
      <c r="S18" s="101">
        <v>1110</v>
      </c>
      <c r="T18" s="132">
        <f t="shared" si="5"/>
        <v>2.8824479969884013E-2</v>
      </c>
      <c r="V18" s="101">
        <f t="shared" si="6"/>
        <v>38974.934112939227</v>
      </c>
      <c r="W18" s="101">
        <f t="shared" si="0"/>
        <v>466</v>
      </c>
      <c r="X18" s="132">
        <f t="shared" si="7"/>
        <v>1.2101087987356712E-2</v>
      </c>
    </row>
    <row r="19" spans="1:24" x14ac:dyDescent="0.2">
      <c r="A19" s="86">
        <f t="shared" si="8"/>
        <v>11</v>
      </c>
      <c r="B19" s="87" t="s">
        <v>67</v>
      </c>
      <c r="C19" s="87" t="s">
        <v>185</v>
      </c>
      <c r="D19" s="100">
        <v>61382</v>
      </c>
      <c r="E19" s="101">
        <v>19492.545299997822</v>
      </c>
      <c r="F19" s="101"/>
      <c r="G19" s="129">
        <v>0</v>
      </c>
      <c r="H19" s="130">
        <f t="shared" si="1"/>
        <v>0</v>
      </c>
      <c r="I19" s="131"/>
      <c r="J19" s="101">
        <v>7</v>
      </c>
      <c r="K19" s="132">
        <f t="shared" si="2"/>
        <v>3.5911164459372997E-4</v>
      </c>
      <c r="L19" s="132"/>
      <c r="M19" s="129">
        <v>5</v>
      </c>
      <c r="N19" s="132">
        <f t="shared" si="3"/>
        <v>2.5650831756694997E-4</v>
      </c>
      <c r="O19" s="131"/>
      <c r="P19" s="129">
        <v>-848</v>
      </c>
      <c r="Q19" s="132">
        <f t="shared" si="4"/>
        <v>-4.3503810659354721E-2</v>
      </c>
      <c r="S19" s="101">
        <v>1305</v>
      </c>
      <c r="T19" s="132">
        <f t="shared" si="5"/>
        <v>6.6948670884973943E-2</v>
      </c>
      <c r="V19" s="101">
        <f t="shared" si="6"/>
        <v>19961.545299997822</v>
      </c>
      <c r="W19" s="101">
        <f t="shared" si="0"/>
        <v>469</v>
      </c>
      <c r="X19" s="132">
        <f t="shared" si="7"/>
        <v>2.4060480187779908E-2</v>
      </c>
    </row>
    <row r="20" spans="1:24" x14ac:dyDescent="0.2">
      <c r="A20" s="86">
        <f t="shared" si="8"/>
        <v>12</v>
      </c>
      <c r="B20" s="87" t="s">
        <v>47</v>
      </c>
      <c r="C20" s="87" t="s">
        <v>186</v>
      </c>
      <c r="D20" s="100">
        <v>1895104</v>
      </c>
      <c r="E20" s="101">
        <v>11529.850999999999</v>
      </c>
      <c r="F20" s="101"/>
      <c r="G20" s="129">
        <v>0</v>
      </c>
      <c r="H20" s="130">
        <f t="shared" si="1"/>
        <v>0</v>
      </c>
      <c r="I20" s="131"/>
      <c r="J20" s="101">
        <v>0</v>
      </c>
      <c r="K20" s="132">
        <f t="shared" si="2"/>
        <v>0</v>
      </c>
      <c r="L20" s="132"/>
      <c r="M20" s="129">
        <v>0</v>
      </c>
      <c r="N20" s="132">
        <f t="shared" si="3"/>
        <v>0</v>
      </c>
      <c r="O20" s="131"/>
      <c r="P20" s="129">
        <v>-47.039999999999992</v>
      </c>
      <c r="Q20" s="132">
        <f t="shared" si="4"/>
        <v>-4.079844570411187E-3</v>
      </c>
      <c r="S20" s="101">
        <v>67.680000000000007</v>
      </c>
      <c r="T20" s="132">
        <f t="shared" si="5"/>
        <v>5.8699804533467095E-3</v>
      </c>
      <c r="V20" s="101">
        <f t="shared" si="6"/>
        <v>11550.490999999998</v>
      </c>
      <c r="W20" s="101">
        <f t="shared" si="0"/>
        <v>20.639999999999418</v>
      </c>
      <c r="X20" s="132">
        <f t="shared" si="7"/>
        <v>1.7901358829354708E-3</v>
      </c>
    </row>
    <row r="21" spans="1:24" x14ac:dyDescent="0.2">
      <c r="A21" s="86">
        <f t="shared" si="8"/>
        <v>13</v>
      </c>
      <c r="B21" s="87" t="s">
        <v>15</v>
      </c>
      <c r="C21" s="87" t="s">
        <v>15</v>
      </c>
      <c r="D21" s="100">
        <v>289426</v>
      </c>
      <c r="E21" s="101">
        <v>5419.1232504366453</v>
      </c>
      <c r="F21" s="101"/>
      <c r="G21" s="129">
        <v>0</v>
      </c>
      <c r="H21" s="130">
        <f t="shared" si="1"/>
        <v>0</v>
      </c>
      <c r="I21" s="131"/>
      <c r="J21" s="101">
        <v>0</v>
      </c>
      <c r="K21" s="132">
        <f t="shared" si="2"/>
        <v>0</v>
      </c>
      <c r="L21" s="132"/>
      <c r="M21" s="129">
        <v>0</v>
      </c>
      <c r="N21" s="132">
        <f t="shared" si="3"/>
        <v>0</v>
      </c>
      <c r="O21" s="131"/>
      <c r="P21" s="129">
        <v>-212</v>
      </c>
      <c r="Q21" s="132">
        <f t="shared" si="4"/>
        <v>-3.912071938628045E-2</v>
      </c>
      <c r="S21" s="101">
        <v>303</v>
      </c>
      <c r="T21" s="132">
        <f t="shared" si="5"/>
        <v>5.5913103651146115E-2</v>
      </c>
      <c r="V21" s="101">
        <f t="shared" si="6"/>
        <v>5510.1232504366453</v>
      </c>
      <c r="W21" s="101">
        <f t="shared" si="0"/>
        <v>91</v>
      </c>
      <c r="X21" s="132">
        <f t="shared" si="7"/>
        <v>1.6792384264865665E-2</v>
      </c>
    </row>
    <row r="22" spans="1:24" x14ac:dyDescent="0.2">
      <c r="A22" s="86">
        <f t="shared" si="8"/>
        <v>14</v>
      </c>
      <c r="B22" s="87" t="s">
        <v>57</v>
      </c>
      <c r="C22" s="87">
        <v>5</v>
      </c>
      <c r="D22" s="100">
        <v>7552</v>
      </c>
      <c r="E22" s="101">
        <v>676.5834219176636</v>
      </c>
      <c r="F22" s="101"/>
      <c r="G22" s="129">
        <v>0</v>
      </c>
      <c r="H22" s="130">
        <f t="shared" si="1"/>
        <v>0</v>
      </c>
      <c r="I22" s="131"/>
      <c r="J22" s="101">
        <v>1</v>
      </c>
      <c r="K22" s="132">
        <f t="shared" si="2"/>
        <v>1.47801434029475E-3</v>
      </c>
      <c r="L22" s="132"/>
      <c r="M22" s="129">
        <v>1</v>
      </c>
      <c r="N22" s="132">
        <f t="shared" si="3"/>
        <v>1.47801434029475E-3</v>
      </c>
      <c r="O22" s="131"/>
      <c r="P22" s="129">
        <v>-19</v>
      </c>
      <c r="Q22" s="132">
        <f t="shared" si="4"/>
        <v>-2.8082272465600248E-2</v>
      </c>
      <c r="S22" s="101">
        <v>6</v>
      </c>
      <c r="T22" s="132">
        <f t="shared" si="5"/>
        <v>8.8680860417684991E-3</v>
      </c>
      <c r="V22" s="101">
        <f t="shared" si="6"/>
        <v>665.5834219176636</v>
      </c>
      <c r="W22" s="101">
        <f t="shared" si="0"/>
        <v>-11</v>
      </c>
      <c r="X22" s="132">
        <f t="shared" si="7"/>
        <v>-1.6258157743242248E-2</v>
      </c>
    </row>
    <row r="23" spans="1:24" ht="12" thickBot="1" x14ac:dyDescent="0.25">
      <c r="A23" s="86">
        <f t="shared" si="8"/>
        <v>15</v>
      </c>
      <c r="B23" s="87"/>
      <c r="C23" s="87" t="s">
        <v>187</v>
      </c>
      <c r="D23" s="133">
        <f>SUM(D9:D22)</f>
        <v>22914362.8475</v>
      </c>
      <c r="E23" s="134">
        <f>SUM(E9:E22)</f>
        <v>2497052.6396924364</v>
      </c>
      <c r="F23" s="101"/>
      <c r="G23" s="135">
        <f>SUM(G9:G22)</f>
        <v>-20</v>
      </c>
      <c r="H23" s="136">
        <f t="shared" si="1"/>
        <v>-8.00944268538264E-6</v>
      </c>
      <c r="I23" s="101"/>
      <c r="J23" s="134">
        <f>SUM(J9:J22)</f>
        <v>3352</v>
      </c>
      <c r="K23" s="137">
        <f t="shared" si="2"/>
        <v>1.3423825940701306E-3</v>
      </c>
      <c r="L23" s="132"/>
      <c r="M23" s="135">
        <f>SUM(M9:M22)</f>
        <v>373</v>
      </c>
      <c r="N23" s="137">
        <f t="shared" si="3"/>
        <v>1.4937610608238626E-4</v>
      </c>
      <c r="O23" s="101"/>
      <c r="P23" s="135">
        <f>SUM(P9:P22)</f>
        <v>-75703.039999999994</v>
      </c>
      <c r="Q23" s="137">
        <f t="shared" si="4"/>
        <v>-3.031695799946147E-2</v>
      </c>
      <c r="S23" s="134">
        <f>SUM(S9:S22)</f>
        <v>105133.68</v>
      </c>
      <c r="T23" s="137">
        <f t="shared" si="5"/>
        <v>4.2103109213167962E-2</v>
      </c>
      <c r="V23" s="134">
        <f>SUM(V9:V22)</f>
        <v>2530188.2796924366</v>
      </c>
      <c r="W23" s="134">
        <f>SUM(W9:W22)</f>
        <v>33135.64</v>
      </c>
      <c r="X23" s="137">
        <f t="shared" si="7"/>
        <v>1.3269900471173622E-2</v>
      </c>
    </row>
    <row r="24" spans="1:24" ht="12" thickTop="1" x14ac:dyDescent="0.2">
      <c r="E24" s="101"/>
      <c r="F24" s="101"/>
      <c r="G24" s="101"/>
      <c r="H24" s="101"/>
    </row>
    <row r="25" spans="1:24" x14ac:dyDescent="0.2">
      <c r="D25" s="100">
        <v>22914362.8475</v>
      </c>
      <c r="E25" s="101">
        <v>2497052.6396924364</v>
      </c>
      <c r="F25" s="101"/>
      <c r="G25" s="101"/>
      <c r="H25" s="101"/>
      <c r="J25" s="101"/>
      <c r="T25" s="94"/>
      <c r="V25" s="101">
        <v>2530188.2796924366</v>
      </c>
    </row>
    <row r="26" spans="1:24" x14ac:dyDescent="0.2">
      <c r="D26" s="105">
        <f>+D25-D23</f>
        <v>0</v>
      </c>
      <c r="E26" s="106">
        <f>+E25-E23</f>
        <v>0</v>
      </c>
      <c r="F26" s="106"/>
      <c r="G26" s="106"/>
      <c r="H26" s="106"/>
      <c r="I26" s="104"/>
      <c r="J26" s="106"/>
      <c r="K26" s="104"/>
      <c r="L26" s="104"/>
      <c r="M26" s="104"/>
      <c r="N26" s="104"/>
      <c r="O26" s="104"/>
      <c r="P26" s="104"/>
      <c r="Q26" s="104"/>
      <c r="R26" s="104"/>
      <c r="S26" s="104"/>
      <c r="T26" s="138"/>
      <c r="U26" s="104"/>
      <c r="V26" s="106">
        <f>+V25-V23</f>
        <v>0</v>
      </c>
    </row>
    <row r="27" spans="1:24" ht="12.75" customHeight="1" x14ac:dyDescent="0.2">
      <c r="V27" s="104"/>
      <c r="W27" s="106"/>
      <c r="X27" s="106"/>
    </row>
    <row r="28" spans="1:24" x14ac:dyDescent="0.2">
      <c r="B28" s="95" t="s">
        <v>205</v>
      </c>
      <c r="T28" s="94"/>
      <c r="W28" s="101"/>
      <c r="X28" s="101"/>
    </row>
    <row r="29" spans="1:24" x14ac:dyDescent="0.2">
      <c r="S29" s="104"/>
      <c r="T29" s="104"/>
      <c r="U29" s="104"/>
      <c r="V29" s="104"/>
      <c r="W29" s="106"/>
    </row>
    <row r="31" spans="1:24" x14ac:dyDescent="0.2">
      <c r="B31" s="139"/>
    </row>
    <row r="32" spans="1:24" x14ac:dyDescent="0.2">
      <c r="B32" s="109" t="s">
        <v>194</v>
      </c>
    </row>
    <row r="33" spans="2:24" ht="12" thickBot="1" x14ac:dyDescent="0.25"/>
    <row r="34" spans="2:24" x14ac:dyDescent="0.2">
      <c r="B34" s="110"/>
      <c r="C34" s="111" t="s">
        <v>195</v>
      </c>
      <c r="D34" s="140">
        <v>22914363</v>
      </c>
      <c r="E34" s="141">
        <v>2640847</v>
      </c>
      <c r="F34" s="141"/>
      <c r="G34" s="141">
        <v>-20</v>
      </c>
      <c r="H34" s="142">
        <v>0</v>
      </c>
      <c r="I34" s="141"/>
      <c r="J34" s="141">
        <v>3352</v>
      </c>
      <c r="K34" s="142">
        <v>1.2999999999999999E-3</v>
      </c>
      <c r="L34" s="142"/>
      <c r="M34" s="141">
        <v>373</v>
      </c>
      <c r="N34" s="142">
        <v>1E-4</v>
      </c>
      <c r="O34" s="141"/>
      <c r="P34" s="141">
        <v>-75564</v>
      </c>
      <c r="Q34" s="142">
        <v>-2.86E-2</v>
      </c>
      <c r="R34" s="143"/>
      <c r="S34" s="141">
        <v>105134</v>
      </c>
      <c r="T34" s="142">
        <v>3.9800000000000002E-2</v>
      </c>
      <c r="U34" s="143"/>
      <c r="V34" s="141">
        <v>2674122</v>
      </c>
      <c r="W34" s="141">
        <v>33275</v>
      </c>
      <c r="X34" s="144">
        <v>1.26E-2</v>
      </c>
    </row>
    <row r="35" spans="2:24" ht="12" thickBot="1" x14ac:dyDescent="0.25">
      <c r="B35" s="118"/>
      <c r="C35" s="119" t="s">
        <v>196</v>
      </c>
      <c r="D35" s="145">
        <f>D23-D34</f>
        <v>-0.15249999985098839</v>
      </c>
      <c r="E35" s="146">
        <f t="shared" ref="E35:X35" si="9">E23-E34</f>
        <v>-143794.36030756356</v>
      </c>
      <c r="F35" s="146">
        <f t="shared" si="9"/>
        <v>0</v>
      </c>
      <c r="G35" s="146">
        <f t="shared" si="9"/>
        <v>0</v>
      </c>
      <c r="H35" s="147">
        <f t="shared" si="9"/>
        <v>-8.00944268538264E-6</v>
      </c>
      <c r="I35" s="146">
        <f t="shared" si="9"/>
        <v>0</v>
      </c>
      <c r="J35" s="146">
        <f t="shared" si="9"/>
        <v>0</v>
      </c>
      <c r="K35" s="147">
        <f t="shared" si="9"/>
        <v>4.2382594070130642E-5</v>
      </c>
      <c r="L35" s="147">
        <f t="shared" si="9"/>
        <v>0</v>
      </c>
      <c r="M35" s="146">
        <f t="shared" si="9"/>
        <v>0</v>
      </c>
      <c r="N35" s="147">
        <f t="shared" si="9"/>
        <v>4.9376106082386253E-5</v>
      </c>
      <c r="O35" s="146">
        <f t="shared" si="9"/>
        <v>0</v>
      </c>
      <c r="P35" s="146">
        <f t="shared" si="9"/>
        <v>-139.0399999999936</v>
      </c>
      <c r="Q35" s="147">
        <f t="shared" si="9"/>
        <v>-1.71695799946147E-3</v>
      </c>
      <c r="R35" s="148">
        <f t="shared" si="9"/>
        <v>0</v>
      </c>
      <c r="S35" s="146">
        <f t="shared" si="9"/>
        <v>-0.32000000000698492</v>
      </c>
      <c r="T35" s="147">
        <f t="shared" si="9"/>
        <v>2.3031092131679601E-3</v>
      </c>
      <c r="U35" s="148">
        <f t="shared" si="9"/>
        <v>0</v>
      </c>
      <c r="V35" s="146">
        <f t="shared" si="9"/>
        <v>-143933.72030756343</v>
      </c>
      <c r="W35" s="146">
        <f t="shared" si="9"/>
        <v>-139.36000000000058</v>
      </c>
      <c r="X35" s="149">
        <f t="shared" si="9"/>
        <v>6.69900471173622E-4</v>
      </c>
    </row>
  </sheetData>
  <mergeCells count="5">
    <mergeCell ref="A1:B1"/>
    <mergeCell ref="A2:B2"/>
    <mergeCell ref="A3:B3"/>
    <mergeCell ref="A4:B4"/>
    <mergeCell ref="A5:B5"/>
  </mergeCells>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AF41"/>
  <sheetViews>
    <sheetView zoomScaleNormal="100" workbookViewId="0">
      <pane xSplit="3" ySplit="10" topLeftCell="D11" activePane="bottomRight" state="frozenSplit"/>
      <selection activeCell="G16" sqref="G16"/>
      <selection pane="topRight" activeCell="G16" sqref="G16"/>
      <selection pane="bottomLeft" activeCell="G16" sqref="G16"/>
      <selection pane="bottomRight" activeCell="U25" sqref="U25"/>
    </sheetView>
  </sheetViews>
  <sheetFormatPr defaultRowHeight="11.25" x14ac:dyDescent="0.2"/>
  <cols>
    <col min="1" max="1" width="2.85546875" style="168" customWidth="1"/>
    <col min="2" max="2" width="37.5703125" style="168" customWidth="1"/>
    <col min="3" max="3" width="7.42578125" style="168" bestFit="1" customWidth="1"/>
    <col min="4" max="4" width="13.140625" style="168" bestFit="1" customWidth="1"/>
    <col min="5" max="5" width="2.28515625" style="168" customWidth="1"/>
    <col min="6" max="6" width="12.85546875" style="168" bestFit="1" customWidth="1"/>
    <col min="7" max="7" width="8.5703125" style="168" bestFit="1" customWidth="1"/>
    <col min="8" max="8" width="2.28515625" style="168" customWidth="1"/>
    <col min="9" max="9" width="12.85546875" style="168" bestFit="1" customWidth="1"/>
    <col min="10" max="10" width="8.140625" style="168" bestFit="1" customWidth="1"/>
    <col min="11" max="11" width="2.28515625" style="168" customWidth="1"/>
    <col min="12" max="12" width="12.85546875" style="168" bestFit="1" customWidth="1"/>
    <col min="13" max="13" width="8.140625" style="168" bestFit="1" customWidth="1"/>
    <col min="14" max="14" width="2.28515625" style="168" customWidth="1"/>
    <col min="15" max="15" width="14.7109375" style="168" bestFit="1" customWidth="1"/>
    <col min="16" max="16" width="9.140625" style="168" bestFit="1" customWidth="1"/>
    <col min="17" max="17" width="2.28515625" style="168" customWidth="1"/>
    <col min="18" max="18" width="12.85546875" style="168" bestFit="1" customWidth="1"/>
    <col min="19" max="19" width="8.140625" style="168" bestFit="1" customWidth="1"/>
    <col min="20" max="20" width="2.28515625" style="168" customWidth="1"/>
    <col min="21" max="21" width="12.85546875" style="168" bestFit="1" customWidth="1"/>
    <col min="22" max="22" width="8.140625" style="168" bestFit="1" customWidth="1"/>
    <col min="23" max="23" width="2.28515625" style="168" customWidth="1"/>
    <col min="24" max="24" width="12.85546875" style="168" bestFit="1" customWidth="1"/>
    <col min="25" max="25" width="8.140625" style="168" bestFit="1" customWidth="1"/>
    <col min="26" max="26" width="2.28515625" style="168" customWidth="1"/>
    <col min="27" max="28" width="12.85546875" style="168" bestFit="1" customWidth="1"/>
    <col min="29" max="29" width="8.140625" style="168" bestFit="1" customWidth="1"/>
    <col min="30" max="30" width="7.85546875" style="168" customWidth="1"/>
    <col min="31" max="31" width="9.28515625" style="168" customWidth="1"/>
    <col min="32" max="16384" width="9.140625" style="168"/>
  </cols>
  <sheetData>
    <row r="1" spans="2:32" x14ac:dyDescent="0.2">
      <c r="B1" s="166" t="s">
        <v>114</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7"/>
    </row>
    <row r="2" spans="2:32" x14ac:dyDescent="0.2">
      <c r="B2" s="166" t="s">
        <v>206</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7"/>
    </row>
    <row r="3" spans="2:32" x14ac:dyDescent="0.2">
      <c r="B3" s="169" t="s">
        <v>207</v>
      </c>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row>
    <row r="4" spans="2:32" x14ac:dyDescent="0.2">
      <c r="B4" s="169" t="s">
        <v>208</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row>
    <row r="5" spans="2:32" x14ac:dyDescent="0.2">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row>
    <row r="6" spans="2:32" x14ac:dyDescent="0.2">
      <c r="B6" s="170"/>
      <c r="C6" s="170"/>
      <c r="D6" s="170"/>
      <c r="E6" s="170"/>
      <c r="F6" s="209" t="s">
        <v>209</v>
      </c>
      <c r="G6" s="210"/>
      <c r="H6" s="210"/>
      <c r="I6" s="210"/>
      <c r="J6" s="210"/>
      <c r="K6" s="210"/>
      <c r="L6" s="210"/>
      <c r="M6" s="210"/>
      <c r="N6" s="210"/>
      <c r="O6" s="210"/>
      <c r="P6" s="210"/>
      <c r="Q6" s="210"/>
      <c r="R6" s="210"/>
      <c r="S6" s="210"/>
      <c r="T6" s="210"/>
      <c r="U6" s="210"/>
      <c r="V6" s="211"/>
      <c r="W6" s="170"/>
      <c r="X6" s="209" t="s">
        <v>210</v>
      </c>
      <c r="Y6" s="211"/>
      <c r="Z6" s="170"/>
      <c r="AA6" s="170"/>
      <c r="AB6" s="170"/>
      <c r="AC6" s="170"/>
    </row>
    <row r="7" spans="2:32" x14ac:dyDescent="0.2">
      <c r="D7" s="171" t="s">
        <v>211</v>
      </c>
      <c r="E7" s="171"/>
      <c r="H7" s="170"/>
      <c r="AA7" s="170" t="str">
        <f>D7</f>
        <v>12ME Dec. 2023</v>
      </c>
      <c r="AE7" s="170"/>
      <c r="AF7" s="170"/>
    </row>
    <row r="8" spans="2:32" x14ac:dyDescent="0.2">
      <c r="B8" s="170"/>
      <c r="C8" s="170"/>
      <c r="D8" s="170" t="s">
        <v>212</v>
      </c>
      <c r="E8" s="170"/>
      <c r="F8" s="212"/>
      <c r="G8" s="170"/>
      <c r="H8" s="170"/>
      <c r="I8" s="170" t="s">
        <v>213</v>
      </c>
      <c r="J8" s="170" t="str">
        <f>I8</f>
        <v>Sch. 141N</v>
      </c>
      <c r="K8" s="170"/>
      <c r="L8" s="170" t="s">
        <v>214</v>
      </c>
      <c r="M8" s="170" t="str">
        <f>L8</f>
        <v>Sch. 141R</v>
      </c>
      <c r="N8" s="170"/>
      <c r="O8" s="172" t="s">
        <v>215</v>
      </c>
      <c r="P8" s="172" t="str">
        <f>O8</f>
        <v>Sch. 141D</v>
      </c>
      <c r="Q8" s="170"/>
      <c r="R8" s="170" t="s">
        <v>216</v>
      </c>
      <c r="S8" s="170" t="str">
        <f>R8</f>
        <v>Sch. 149</v>
      </c>
      <c r="T8" s="170"/>
      <c r="W8" s="170"/>
      <c r="X8" s="170" t="s">
        <v>217</v>
      </c>
      <c r="Y8" s="170" t="str">
        <f>X8</f>
        <v>Sch. 141X</v>
      </c>
      <c r="Z8" s="170"/>
      <c r="AA8" s="170" t="s">
        <v>212</v>
      </c>
      <c r="AB8" s="170"/>
      <c r="AC8" s="170"/>
      <c r="AD8" s="170"/>
    </row>
    <row r="9" spans="2:32" x14ac:dyDescent="0.2">
      <c r="B9" s="170"/>
      <c r="C9" s="170" t="s">
        <v>218</v>
      </c>
      <c r="D9" s="170" t="s">
        <v>219</v>
      </c>
      <c r="E9" s="170"/>
      <c r="F9" s="170" t="s">
        <v>220</v>
      </c>
      <c r="G9" s="170" t="str">
        <f>F9</f>
        <v>Base Rate</v>
      </c>
      <c r="H9" s="170"/>
      <c r="I9" s="170" t="s">
        <v>221</v>
      </c>
      <c r="J9" s="170" t="str">
        <f>I9</f>
        <v>Rate Plan</v>
      </c>
      <c r="K9" s="170"/>
      <c r="L9" s="170" t="s">
        <v>221</v>
      </c>
      <c r="M9" s="170" t="str">
        <f>L9</f>
        <v>Rate Plan</v>
      </c>
      <c r="N9" s="170"/>
      <c r="O9" s="172" t="s">
        <v>222</v>
      </c>
      <c r="P9" s="172" t="str">
        <f>O9</f>
        <v>Pipeline</v>
      </c>
      <c r="Q9" s="170"/>
      <c r="R9" s="170" t="s">
        <v>223</v>
      </c>
      <c r="S9" s="170" t="s">
        <v>223</v>
      </c>
      <c r="T9" s="170"/>
      <c r="U9" s="170" t="s">
        <v>224</v>
      </c>
      <c r="V9" s="170" t="s">
        <v>224</v>
      </c>
      <c r="W9" s="170"/>
      <c r="X9" s="170" t="s">
        <v>225</v>
      </c>
      <c r="Y9" s="170" t="s">
        <v>225</v>
      </c>
      <c r="Z9" s="170"/>
      <c r="AA9" s="170" t="s">
        <v>226</v>
      </c>
      <c r="AB9" s="170" t="s">
        <v>227</v>
      </c>
      <c r="AC9" s="170" t="s">
        <v>227</v>
      </c>
      <c r="AD9" s="170"/>
    </row>
    <row r="10" spans="2:32" x14ac:dyDescent="0.2">
      <c r="B10" s="173" t="s">
        <v>123</v>
      </c>
      <c r="C10" s="173" t="s">
        <v>228</v>
      </c>
      <c r="D10" s="173" t="s">
        <v>229</v>
      </c>
      <c r="E10" s="170"/>
      <c r="F10" s="173" t="s">
        <v>230</v>
      </c>
      <c r="G10" s="173" t="s">
        <v>231</v>
      </c>
      <c r="H10" s="170"/>
      <c r="I10" s="173" t="s">
        <v>230</v>
      </c>
      <c r="J10" s="173" t="s">
        <v>232</v>
      </c>
      <c r="K10" s="170"/>
      <c r="L10" s="173" t="s">
        <v>230</v>
      </c>
      <c r="M10" s="173" t="s">
        <v>232</v>
      </c>
      <c r="N10" s="170"/>
      <c r="O10" s="174" t="s">
        <v>230</v>
      </c>
      <c r="P10" s="174" t="s">
        <v>232</v>
      </c>
      <c r="Q10" s="170"/>
      <c r="R10" s="173" t="s">
        <v>230</v>
      </c>
      <c r="S10" s="173" t="s">
        <v>232</v>
      </c>
      <c r="T10" s="170"/>
      <c r="U10" s="173" t="s">
        <v>230</v>
      </c>
      <c r="V10" s="173" t="s">
        <v>232</v>
      </c>
      <c r="W10" s="170"/>
      <c r="X10" s="173" t="s">
        <v>230</v>
      </c>
      <c r="Y10" s="173" t="s">
        <v>232</v>
      </c>
      <c r="Z10" s="170"/>
      <c r="AA10" s="173" t="s">
        <v>233</v>
      </c>
      <c r="AB10" s="173" t="s">
        <v>230</v>
      </c>
      <c r="AC10" s="173" t="s">
        <v>232</v>
      </c>
      <c r="AD10" s="173"/>
    </row>
    <row r="11" spans="2:32" x14ac:dyDescent="0.2">
      <c r="B11" s="170" t="s">
        <v>152</v>
      </c>
      <c r="C11" s="170" t="s">
        <v>153</v>
      </c>
      <c r="D11" s="170" t="s">
        <v>154</v>
      </c>
      <c r="E11" s="170"/>
      <c r="F11" s="175" t="s">
        <v>155</v>
      </c>
      <c r="G11" s="176" t="s">
        <v>234</v>
      </c>
      <c r="H11" s="170"/>
      <c r="I11" s="175" t="s">
        <v>235</v>
      </c>
      <c r="J11" s="176" t="s">
        <v>236</v>
      </c>
      <c r="K11" s="176"/>
      <c r="L11" s="175" t="s">
        <v>237</v>
      </c>
      <c r="M11" s="176" t="s">
        <v>238</v>
      </c>
      <c r="N11" s="176"/>
      <c r="O11" s="177" t="s">
        <v>239</v>
      </c>
      <c r="P11" s="178" t="s">
        <v>240</v>
      </c>
      <c r="Q11" s="176"/>
      <c r="R11" s="175" t="s">
        <v>241</v>
      </c>
      <c r="S11" s="176" t="s">
        <v>242</v>
      </c>
      <c r="T11" s="176"/>
      <c r="U11" s="175" t="s">
        <v>243</v>
      </c>
      <c r="V11" s="176" t="s">
        <v>244</v>
      </c>
      <c r="W11" s="176"/>
      <c r="X11" s="175" t="s">
        <v>245</v>
      </c>
      <c r="Y11" s="176" t="s">
        <v>246</v>
      </c>
      <c r="Z11" s="176"/>
      <c r="AA11" s="170" t="s">
        <v>247</v>
      </c>
      <c r="AB11" s="175" t="s">
        <v>248</v>
      </c>
      <c r="AC11" s="176" t="s">
        <v>249</v>
      </c>
      <c r="AD11" s="170"/>
    </row>
    <row r="12" spans="2:32" x14ac:dyDescent="0.2">
      <c r="B12" s="168" t="s">
        <v>1</v>
      </c>
      <c r="C12" s="179" t="s">
        <v>88</v>
      </c>
      <c r="D12" s="180">
        <v>754207139.20534039</v>
      </c>
      <c r="E12" s="180"/>
      <c r="F12" s="181">
        <v>31174372.166929603</v>
      </c>
      <c r="G12" s="182">
        <f>F12/$D12</f>
        <v>4.1333965891354511E-2</v>
      </c>
      <c r="H12" s="183"/>
      <c r="I12" s="181">
        <v>-1081827.9136999999</v>
      </c>
      <c r="J12" s="182">
        <f>I12/$D12</f>
        <v>-1.4343909749248097E-3</v>
      </c>
      <c r="K12" s="182"/>
      <c r="L12" s="181">
        <v>30959369.41265</v>
      </c>
      <c r="M12" s="182">
        <f>L12/$D12</f>
        <v>4.1048894664759999E-2</v>
      </c>
      <c r="N12" s="213"/>
      <c r="O12" s="184">
        <v>2074564.11686</v>
      </c>
      <c r="P12" s="185">
        <f>O12/$D12</f>
        <v>2.7506556342675767E-3</v>
      </c>
      <c r="Q12" s="213"/>
      <c r="R12" s="181">
        <v>-14369220.17138</v>
      </c>
      <c r="S12" s="182">
        <f t="shared" ref="S12:S25" si="0">R12/$D12</f>
        <v>-1.9052087184589533E-2</v>
      </c>
      <c r="T12" s="182"/>
      <c r="U12" s="187">
        <f>SUM(F12,I12,L12,O12,R12)</f>
        <v>48757257.611359611</v>
      </c>
      <c r="V12" s="182">
        <f>U12/$D12</f>
        <v>6.4647038030867757E-2</v>
      </c>
      <c r="W12" s="182"/>
      <c r="X12" s="181">
        <v>-1998199.79354</v>
      </c>
      <c r="Y12" s="182">
        <f t="shared" ref="Y12:Y25" si="1">X12/$D12</f>
        <v>-2.6494045066258252E-3</v>
      </c>
      <c r="Z12" s="182"/>
      <c r="AA12" s="186">
        <f>SUM(D12,U12,X12)</f>
        <v>800966197.02315998</v>
      </c>
      <c r="AB12" s="187">
        <f>AA12-D12</f>
        <v>46759057.817819595</v>
      </c>
      <c r="AC12" s="182">
        <f>AB12/$D12</f>
        <v>6.199763352424191E-2</v>
      </c>
      <c r="AD12" s="182"/>
    </row>
    <row r="13" spans="2:32" x14ac:dyDescent="0.2">
      <c r="B13" s="168" t="s">
        <v>75</v>
      </c>
      <c r="C13" s="179">
        <v>16</v>
      </c>
      <c r="D13" s="180">
        <v>10346.180891708256</v>
      </c>
      <c r="E13" s="180"/>
      <c r="F13" s="181">
        <v>215.27438829174207</v>
      </c>
      <c r="G13" s="182">
        <f t="shared" ref="G13:G23" si="2">F13/$D13</f>
        <v>2.0807135555137017E-2</v>
      </c>
      <c r="H13" s="183"/>
      <c r="I13" s="181">
        <v>-15.014399999999998</v>
      </c>
      <c r="J13" s="182">
        <f t="shared" ref="J13:J23" si="3">I13/$D13</f>
        <v>-1.4512021544136151E-3</v>
      </c>
      <c r="K13" s="182"/>
      <c r="L13" s="181">
        <v>429.67680000000001</v>
      </c>
      <c r="M13" s="182">
        <f t="shared" ref="M13:M25" si="4">L13/$D13</f>
        <v>4.1529991066013169E-2</v>
      </c>
      <c r="N13" s="213"/>
      <c r="O13" s="184">
        <v>28.79232</v>
      </c>
      <c r="P13" s="185">
        <f t="shared" ref="P13:P23" si="5">O13/$D13</f>
        <v>2.7828935431696384E-3</v>
      </c>
      <c r="Q13" s="213"/>
      <c r="R13" s="181">
        <v>-199.42655999999999</v>
      </c>
      <c r="S13" s="182">
        <f t="shared" si="0"/>
        <v>-1.9275379203917312E-2</v>
      </c>
      <c r="T13" s="182"/>
      <c r="U13" s="187">
        <f t="shared" ref="U13:U24" si="6">SUM(F13,I13,L13,O13,R13)</f>
        <v>459.30254829174214</v>
      </c>
      <c r="V13" s="182">
        <f t="shared" ref="V13:V16" si="7">U13/$D13</f>
        <v>4.4393438805988901E-2</v>
      </c>
      <c r="W13" s="182"/>
      <c r="X13" s="181">
        <v>-27.732479999999999</v>
      </c>
      <c r="Y13" s="182">
        <f t="shared" si="1"/>
        <v>-2.6804557440345596E-3</v>
      </c>
      <c r="Z13" s="182"/>
      <c r="AA13" s="186">
        <f t="shared" ref="AA13:AA24" si="8">SUM(D13,U13,X13)</f>
        <v>10777.750959999998</v>
      </c>
      <c r="AB13" s="187">
        <f t="shared" ref="AB13:AB24" si="9">AA13-D13</f>
        <v>431.57006829174134</v>
      </c>
      <c r="AC13" s="182">
        <f t="shared" ref="AC13:AC25" si="10">AB13/$D13</f>
        <v>4.1712983061954263E-2</v>
      </c>
      <c r="AD13" s="182"/>
    </row>
    <row r="14" spans="2:32" x14ac:dyDescent="0.2">
      <c r="B14" s="168" t="s">
        <v>76</v>
      </c>
      <c r="C14" s="179">
        <v>31</v>
      </c>
      <c r="D14" s="180">
        <v>263664735.84557974</v>
      </c>
      <c r="E14" s="180"/>
      <c r="F14" s="181">
        <v>11472613.184340313</v>
      </c>
      <c r="G14" s="182">
        <f t="shared" si="2"/>
        <v>4.3512125910760653E-2</v>
      </c>
      <c r="H14" s="183"/>
      <c r="I14" s="181">
        <v>-381811.82935999997</v>
      </c>
      <c r="J14" s="182">
        <f t="shared" si="3"/>
        <v>-1.4480959243014407E-3</v>
      </c>
      <c r="K14" s="182"/>
      <c r="L14" s="181">
        <v>10921763.85768</v>
      </c>
      <c r="M14" s="182">
        <f t="shared" si="4"/>
        <v>4.1422922267756498E-2</v>
      </c>
      <c r="N14" s="213"/>
      <c r="O14" s="184">
        <v>732008.66648000001</v>
      </c>
      <c r="P14" s="185">
        <f t="shared" si="5"/>
        <v>2.7762858166543547E-3</v>
      </c>
      <c r="Q14" s="213"/>
      <c r="R14" s="181">
        <v>-6011712.3705599997</v>
      </c>
      <c r="S14" s="182">
        <f t="shared" si="0"/>
        <v>-2.2800593152058353E-2</v>
      </c>
      <c r="T14" s="182"/>
      <c r="U14" s="187">
        <f t="shared" si="6"/>
        <v>16732861.508580314</v>
      </c>
      <c r="V14" s="182">
        <f t="shared" si="7"/>
        <v>6.346264491881172E-2</v>
      </c>
      <c r="W14" s="182"/>
      <c r="X14" s="181">
        <v>-860900.55792000005</v>
      </c>
      <c r="Y14" s="182">
        <f t="shared" si="1"/>
        <v>-3.2651334853675798E-3</v>
      </c>
      <c r="Z14" s="182"/>
      <c r="AA14" s="186">
        <f t="shared" si="8"/>
        <v>279536696.79624009</v>
      </c>
      <c r="AB14" s="187">
        <f t="shared" si="9"/>
        <v>15871960.950660348</v>
      </c>
      <c r="AC14" s="182">
        <f t="shared" si="10"/>
        <v>6.0197511433444262E-2</v>
      </c>
      <c r="AD14" s="182"/>
    </row>
    <row r="15" spans="2:32" x14ac:dyDescent="0.2">
      <c r="B15" s="168" t="s">
        <v>77</v>
      </c>
      <c r="C15" s="179">
        <v>41</v>
      </c>
      <c r="D15" s="180">
        <v>48031953.478729695</v>
      </c>
      <c r="E15" s="180"/>
      <c r="F15" s="181">
        <v>1706285.3580703046</v>
      </c>
      <c r="G15" s="182">
        <f t="shared" si="2"/>
        <v>3.552396341377017E-2</v>
      </c>
      <c r="H15" s="183"/>
      <c r="I15" s="181">
        <v>-50192.16375</v>
      </c>
      <c r="J15" s="182">
        <f t="shared" si="3"/>
        <v>-1.0449744412795313E-3</v>
      </c>
      <c r="K15" s="182"/>
      <c r="L15" s="181">
        <v>1436834.3409499999</v>
      </c>
      <c r="M15" s="182">
        <f t="shared" si="4"/>
        <v>2.991413500569538E-2</v>
      </c>
      <c r="N15" s="213"/>
      <c r="O15" s="184">
        <v>151914.94894999999</v>
      </c>
      <c r="P15" s="185">
        <f t="shared" si="5"/>
        <v>3.1627893089393811E-3</v>
      </c>
      <c r="Q15" s="213"/>
      <c r="R15" s="181">
        <v>-752882.45624999993</v>
      </c>
      <c r="S15" s="182">
        <f t="shared" si="0"/>
        <v>-1.5674616619192967E-2</v>
      </c>
      <c r="T15" s="182"/>
      <c r="U15" s="187">
        <f t="shared" si="6"/>
        <v>2491960.0279703047</v>
      </c>
      <c r="V15" s="182">
        <f t="shared" si="7"/>
        <v>5.1881296667932439E-2</v>
      </c>
      <c r="W15" s="182"/>
      <c r="X15" s="181">
        <v>-89007.437050000008</v>
      </c>
      <c r="Y15" s="182">
        <f t="shared" si="1"/>
        <v>-1.8530880092023688E-3</v>
      </c>
      <c r="Z15" s="182"/>
      <c r="AA15" s="186">
        <f t="shared" si="8"/>
        <v>50434906.069650002</v>
      </c>
      <c r="AB15" s="187">
        <f t="shared" si="9"/>
        <v>2402952.5909203067</v>
      </c>
      <c r="AC15" s="182">
        <f t="shared" si="10"/>
        <v>5.002820865873011E-2</v>
      </c>
      <c r="AD15" s="182"/>
    </row>
    <row r="16" spans="2:32" x14ac:dyDescent="0.2">
      <c r="B16" s="168" t="s">
        <v>78</v>
      </c>
      <c r="C16" s="179">
        <v>85</v>
      </c>
      <c r="D16" s="180">
        <v>6262366.3661821345</v>
      </c>
      <c r="E16" s="180"/>
      <c r="F16" s="181">
        <v>228268.08826498454</v>
      </c>
      <c r="G16" s="182">
        <f t="shared" si="2"/>
        <v>3.6450771947433777E-2</v>
      </c>
      <c r="H16" s="183"/>
      <c r="I16" s="181">
        <v>-5006.0879999999997</v>
      </c>
      <c r="J16" s="182">
        <f t="shared" si="3"/>
        <v>-7.9939238736234663E-4</v>
      </c>
      <c r="K16" s="182"/>
      <c r="L16" s="181">
        <v>142061.65280000001</v>
      </c>
      <c r="M16" s="182">
        <f t="shared" si="4"/>
        <v>2.2684979525815926E-2</v>
      </c>
      <c r="N16" s="213"/>
      <c r="O16" s="184">
        <v>20469.337599999999</v>
      </c>
      <c r="P16" s="185">
        <f t="shared" si="5"/>
        <v>3.2686266505482617E-3</v>
      </c>
      <c r="Q16" s="213"/>
      <c r="R16" s="181">
        <v>-74646.334399999992</v>
      </c>
      <c r="S16" s="182">
        <f t="shared" si="0"/>
        <v>-1.1919828709336323E-2</v>
      </c>
      <c r="T16" s="182"/>
      <c r="U16" s="187">
        <f t="shared" si="6"/>
        <v>311146.65626498457</v>
      </c>
      <c r="V16" s="182">
        <f t="shared" si="7"/>
        <v>4.9685157027099296E-2</v>
      </c>
      <c r="W16" s="182"/>
      <c r="X16" s="181">
        <v>-9010.9583999999995</v>
      </c>
      <c r="Y16" s="182">
        <f t="shared" si="1"/>
        <v>-1.4389062972522239E-3</v>
      </c>
      <c r="Z16" s="182"/>
      <c r="AA16" s="186">
        <f t="shared" si="8"/>
        <v>6564502.0640471196</v>
      </c>
      <c r="AB16" s="187">
        <f t="shared" si="9"/>
        <v>302135.69786498509</v>
      </c>
      <c r="AC16" s="182">
        <f t="shared" si="10"/>
        <v>4.8246250729847159E-2</v>
      </c>
      <c r="AD16" s="182"/>
    </row>
    <row r="17" spans="2:30" x14ac:dyDescent="0.2">
      <c r="B17" s="168" t="s">
        <v>79</v>
      </c>
      <c r="C17" s="179">
        <v>86</v>
      </c>
      <c r="D17" s="180">
        <v>3697688.1502850014</v>
      </c>
      <c r="E17" s="180"/>
      <c r="F17" s="181">
        <v>50570.074469880899</v>
      </c>
      <c r="G17" s="182">
        <f t="shared" si="2"/>
        <v>1.367613287399133E-2</v>
      </c>
      <c r="H17" s="183"/>
      <c r="I17" s="181">
        <v>-2048.9364</v>
      </c>
      <c r="J17" s="182">
        <f t="shared" si="3"/>
        <v>-5.5411281771884332E-4</v>
      </c>
      <c r="K17" s="182"/>
      <c r="L17" s="181">
        <v>59248.410900000003</v>
      </c>
      <c r="M17" s="182">
        <f t="shared" si="4"/>
        <v>1.6023095645703221E-2</v>
      </c>
      <c r="N17" s="213"/>
      <c r="O17" s="184">
        <v>2788.8301000000001</v>
      </c>
      <c r="P17" s="185">
        <f t="shared" si="5"/>
        <v>7.542091130062035E-4</v>
      </c>
      <c r="Q17" s="213"/>
      <c r="R17" s="181">
        <v>-48150.005400000002</v>
      </c>
      <c r="S17" s="182">
        <f t="shared" si="0"/>
        <v>-1.3021651216392819E-2</v>
      </c>
      <c r="T17" s="182"/>
      <c r="U17" s="187">
        <f t="shared" si="6"/>
        <v>62408.373669880915</v>
      </c>
      <c r="V17" s="182">
        <f>U17/$D17</f>
        <v>1.6877673598589094E-2</v>
      </c>
      <c r="W17" s="182"/>
      <c r="X17" s="181">
        <v>-6943.6178</v>
      </c>
      <c r="Y17" s="182">
        <f t="shared" si="1"/>
        <v>-1.8778267711583026E-3</v>
      </c>
      <c r="Z17" s="182"/>
      <c r="AA17" s="186">
        <f t="shared" si="8"/>
        <v>3753152.9061548822</v>
      </c>
      <c r="AB17" s="187">
        <f t="shared" si="9"/>
        <v>55464.755869880784</v>
      </c>
      <c r="AC17" s="182">
        <f>AB17/$D17</f>
        <v>1.4999846827430758E-2</v>
      </c>
      <c r="AD17" s="182"/>
    </row>
    <row r="18" spans="2:30" x14ac:dyDescent="0.2">
      <c r="B18" s="168" t="s">
        <v>80</v>
      </c>
      <c r="C18" s="179">
        <v>87</v>
      </c>
      <c r="D18" s="180">
        <v>11062369.983882254</v>
      </c>
      <c r="E18" s="180"/>
      <c r="F18" s="181">
        <v>193717.55461970414</v>
      </c>
      <c r="G18" s="182">
        <f t="shared" si="2"/>
        <v>1.7511397187216518E-2</v>
      </c>
      <c r="H18" s="183"/>
      <c r="I18" s="181">
        <v>-4525.2510166006559</v>
      </c>
      <c r="J18" s="182">
        <f t="shared" si="3"/>
        <v>-4.0906704650033352E-4</v>
      </c>
      <c r="K18" s="182"/>
      <c r="L18" s="181">
        <v>131313.84533541062</v>
      </c>
      <c r="M18" s="182">
        <f t="shared" si="4"/>
        <v>1.1870317619708378E-2</v>
      </c>
      <c r="N18" s="213"/>
      <c r="O18" s="184">
        <v>17428.370257522623</v>
      </c>
      <c r="P18" s="185">
        <f t="shared" si="5"/>
        <v>1.5754644152126134E-3</v>
      </c>
      <c r="Q18" s="213"/>
      <c r="R18" s="181">
        <v>-81604.764551208456</v>
      </c>
      <c r="S18" s="182">
        <f t="shared" si="0"/>
        <v>-7.3767885787679914E-3</v>
      </c>
      <c r="T18" s="182"/>
      <c r="U18" s="187">
        <f t="shared" si="6"/>
        <v>256329.75464482821</v>
      </c>
      <c r="V18" s="182">
        <f t="shared" ref="V18:V19" si="11">U18/$D18</f>
        <v>2.317132359686918E-2</v>
      </c>
      <c r="W18" s="182"/>
      <c r="X18" s="181">
        <v>-9382.3659778127385</v>
      </c>
      <c r="Y18" s="182">
        <f t="shared" si="1"/>
        <v>-8.4813344622198844E-4</v>
      </c>
      <c r="Z18" s="182"/>
      <c r="AA18" s="186">
        <f t="shared" si="8"/>
        <v>11309317.372549269</v>
      </c>
      <c r="AB18" s="187">
        <f t="shared" si="9"/>
        <v>246947.38866701536</v>
      </c>
      <c r="AC18" s="182">
        <f t="shared" si="10"/>
        <v>2.2323190150647182E-2</v>
      </c>
      <c r="AD18" s="182"/>
    </row>
    <row r="19" spans="2:30" x14ac:dyDescent="0.2">
      <c r="B19" s="168" t="s">
        <v>81</v>
      </c>
      <c r="C19" s="179" t="s">
        <v>89</v>
      </c>
      <c r="D19" s="180">
        <v>25227.026823518318</v>
      </c>
      <c r="E19" s="180"/>
      <c r="F19" s="181">
        <v>703.26913648168556</v>
      </c>
      <c r="G19" s="182">
        <f t="shared" si="2"/>
        <v>2.7877606877797077E-2</v>
      </c>
      <c r="H19" s="183"/>
      <c r="I19" s="181">
        <v>-54.00329</v>
      </c>
      <c r="J19" s="182">
        <f t="shared" si="3"/>
        <v>-2.1406918214260007E-3</v>
      </c>
      <c r="K19" s="182"/>
      <c r="L19" s="181">
        <v>1544.76927</v>
      </c>
      <c r="M19" s="182">
        <f t="shared" si="4"/>
        <v>6.1234694076587062E-2</v>
      </c>
      <c r="N19" s="213"/>
      <c r="O19" s="184"/>
      <c r="P19" s="185">
        <f t="shared" si="5"/>
        <v>0</v>
      </c>
      <c r="Q19" s="213"/>
      <c r="R19" s="181">
        <v>-850.29383999999993</v>
      </c>
      <c r="S19" s="182">
        <f t="shared" si="0"/>
        <v>-3.3705669952643777E-2</v>
      </c>
      <c r="T19" s="182"/>
      <c r="U19" s="187">
        <f t="shared" si="6"/>
        <v>1343.7412764816859</v>
      </c>
      <c r="V19" s="182">
        <f t="shared" si="11"/>
        <v>5.3265939180314366E-2</v>
      </c>
      <c r="W19" s="182"/>
      <c r="X19" s="181">
        <v>-121.76538000000001</v>
      </c>
      <c r="Y19" s="182">
        <f t="shared" si="1"/>
        <v>-4.8267828330242311E-3</v>
      </c>
      <c r="Z19" s="182"/>
      <c r="AA19" s="186">
        <f>SUM(D19,U19,X19)</f>
        <v>26449.002720000004</v>
      </c>
      <c r="AB19" s="187">
        <f>AA19-D19</f>
        <v>1221.9758964816865</v>
      </c>
      <c r="AC19" s="182">
        <f t="shared" si="10"/>
        <v>4.8439156347290166E-2</v>
      </c>
      <c r="AD19" s="182"/>
    </row>
    <row r="20" spans="2:30" x14ac:dyDescent="0.2">
      <c r="B20" s="168" t="s">
        <v>82</v>
      </c>
      <c r="C20" s="168" t="s">
        <v>90</v>
      </c>
      <c r="D20" s="180">
        <v>4847808.8298120676</v>
      </c>
      <c r="E20" s="180"/>
      <c r="F20" s="181">
        <v>370914.63848793134</v>
      </c>
      <c r="G20" s="182">
        <f t="shared" si="2"/>
        <v>7.6511812142210728E-2</v>
      </c>
      <c r="H20" s="183"/>
      <c r="I20" s="181">
        <v>-19098.390749999999</v>
      </c>
      <c r="J20" s="182">
        <f t="shared" si="3"/>
        <v>-3.9395923850281808E-3</v>
      </c>
      <c r="K20" s="182"/>
      <c r="L20" s="181">
        <v>546723.26587</v>
      </c>
      <c r="M20" s="182">
        <f t="shared" si="4"/>
        <v>0.11277739800874007</v>
      </c>
      <c r="N20" s="213"/>
      <c r="O20" s="184"/>
      <c r="P20" s="185">
        <f t="shared" si="5"/>
        <v>0</v>
      </c>
      <c r="Q20" s="213"/>
      <c r="R20" s="181">
        <v>-286475.86125000002</v>
      </c>
      <c r="S20" s="182">
        <f t="shared" si="0"/>
        <v>-5.9093885775422725E-2</v>
      </c>
      <c r="T20" s="182"/>
      <c r="U20" s="187">
        <f t="shared" si="6"/>
        <v>612063.65235793125</v>
      </c>
      <c r="V20" s="182">
        <f>U20/$D20</f>
        <v>0.12625573199049989</v>
      </c>
      <c r="W20" s="182"/>
      <c r="X20" s="181">
        <v>-33867.81293</v>
      </c>
      <c r="Y20" s="182">
        <f t="shared" si="1"/>
        <v>-6.9862104961166413E-3</v>
      </c>
      <c r="Z20" s="182"/>
      <c r="AA20" s="186">
        <f t="shared" si="8"/>
        <v>5426004.6692399988</v>
      </c>
      <c r="AB20" s="187">
        <f t="shared" si="9"/>
        <v>578195.83942793123</v>
      </c>
      <c r="AC20" s="182">
        <f>AB20/$D20</f>
        <v>0.11926952149438323</v>
      </c>
      <c r="AD20" s="182"/>
    </row>
    <row r="21" spans="2:30" x14ac:dyDescent="0.2">
      <c r="B21" s="168" t="s">
        <v>83</v>
      </c>
      <c r="C21" s="168" t="s">
        <v>91</v>
      </c>
      <c r="D21" s="180">
        <v>6975820.2195017952</v>
      </c>
      <c r="E21" s="180"/>
      <c r="F21" s="181">
        <v>666897.40410293639</v>
      </c>
      <c r="G21" s="182">
        <f t="shared" si="2"/>
        <v>9.5601288897689707E-2</v>
      </c>
      <c r="H21" s="183"/>
      <c r="I21" s="181">
        <v>-28254.383099999999</v>
      </c>
      <c r="J21" s="182">
        <f t="shared" si="3"/>
        <v>-4.0503313174573034E-3</v>
      </c>
      <c r="K21" s="182"/>
      <c r="L21" s="181">
        <v>801796.60485999996</v>
      </c>
      <c r="M21" s="182">
        <f t="shared" si="4"/>
        <v>0.11493940205317724</v>
      </c>
      <c r="N21" s="213"/>
      <c r="O21" s="184"/>
      <c r="P21" s="185">
        <f t="shared" si="5"/>
        <v>0</v>
      </c>
      <c r="Q21" s="213"/>
      <c r="R21" s="181">
        <v>-421304.24578</v>
      </c>
      <c r="S21" s="182">
        <f t="shared" si="0"/>
        <v>-6.0394940311418899E-2</v>
      </c>
      <c r="T21" s="182"/>
      <c r="U21" s="187">
        <f t="shared" si="6"/>
        <v>1019135.3800829365</v>
      </c>
      <c r="V21" s="182">
        <f t="shared" ref="V21:V25" si="12">U21/$D21</f>
        <v>0.14609541932199077</v>
      </c>
      <c r="W21" s="182"/>
      <c r="X21" s="181">
        <v>-50857.889579999995</v>
      </c>
      <c r="Y21" s="182">
        <f t="shared" si="1"/>
        <v>-7.2905963714231447E-3</v>
      </c>
      <c r="Z21" s="182"/>
      <c r="AA21" s="186">
        <f t="shared" si="8"/>
        <v>7944097.710004732</v>
      </c>
      <c r="AB21" s="187">
        <f t="shared" si="9"/>
        <v>968277.49050293677</v>
      </c>
      <c r="AC21" s="182">
        <f t="shared" si="10"/>
        <v>0.13880482295056767</v>
      </c>
      <c r="AD21" s="182"/>
    </row>
    <row r="22" spans="2:30" x14ac:dyDescent="0.2">
      <c r="B22" s="168" t="s">
        <v>84</v>
      </c>
      <c r="C22" s="168" t="s">
        <v>92</v>
      </c>
      <c r="D22" s="180">
        <v>140883.25711508218</v>
      </c>
      <c r="E22" s="180"/>
      <c r="F22" s="181">
        <v>8817.8948840305384</v>
      </c>
      <c r="G22" s="182">
        <f t="shared" si="2"/>
        <v>6.259008390775303E-2</v>
      </c>
      <c r="H22" s="183"/>
      <c r="I22" s="181">
        <v>-195.26724000000002</v>
      </c>
      <c r="J22" s="182">
        <f t="shared" si="3"/>
        <v>-1.3860216181720844E-3</v>
      </c>
      <c r="K22" s="182"/>
      <c r="L22" s="181">
        <v>5646.4776900000006</v>
      </c>
      <c r="M22" s="182">
        <f t="shared" si="4"/>
        <v>4.0079125125476109E-2</v>
      </c>
      <c r="N22" s="213"/>
      <c r="O22" s="184"/>
      <c r="P22" s="185">
        <f t="shared" si="5"/>
        <v>0</v>
      </c>
      <c r="Q22" s="213"/>
      <c r="R22" s="181">
        <v>-4588.7801399999998</v>
      </c>
      <c r="S22" s="182">
        <f t="shared" si="0"/>
        <v>-3.2571508027043977E-2</v>
      </c>
      <c r="T22" s="182"/>
      <c r="U22" s="187">
        <f t="shared" si="6"/>
        <v>9680.3251940305418</v>
      </c>
      <c r="V22" s="182">
        <f t="shared" si="12"/>
        <v>6.8711679388013105E-2</v>
      </c>
      <c r="W22" s="182"/>
      <c r="X22" s="181">
        <v>-661.73897999999997</v>
      </c>
      <c r="Y22" s="182">
        <f t="shared" si="1"/>
        <v>-4.6970732615831739E-3</v>
      </c>
      <c r="Z22" s="182"/>
      <c r="AA22" s="186">
        <f t="shared" si="8"/>
        <v>149901.84332911271</v>
      </c>
      <c r="AB22" s="187">
        <f t="shared" si="9"/>
        <v>9018.5862140305398</v>
      </c>
      <c r="AC22" s="182">
        <f t="shared" si="10"/>
        <v>6.401460612642991E-2</v>
      </c>
      <c r="AD22" s="182"/>
    </row>
    <row r="23" spans="2:30" x14ac:dyDescent="0.2">
      <c r="B23" s="168" t="s">
        <v>85</v>
      </c>
      <c r="C23" s="168" t="s">
        <v>93</v>
      </c>
      <c r="D23" s="180">
        <v>6088383.7285085246</v>
      </c>
      <c r="E23" s="180"/>
      <c r="F23" s="181">
        <v>564949.66697120015</v>
      </c>
      <c r="G23" s="182">
        <f t="shared" si="2"/>
        <v>9.2791402802989267E-2</v>
      </c>
      <c r="H23" s="183"/>
      <c r="I23" s="181">
        <v>-16820.436862264389</v>
      </c>
      <c r="J23" s="182">
        <f t="shared" si="3"/>
        <v>-2.7627097128427717E-3</v>
      </c>
      <c r="K23" s="182"/>
      <c r="L23" s="181">
        <v>485921.47076992894</v>
      </c>
      <c r="M23" s="182">
        <f t="shared" si="4"/>
        <v>7.9811242595408061E-2</v>
      </c>
      <c r="N23" s="213"/>
      <c r="O23" s="184"/>
      <c r="P23" s="185">
        <f t="shared" si="5"/>
        <v>0</v>
      </c>
      <c r="Q23" s="213"/>
      <c r="R23" s="181">
        <v>-482285.76329409354</v>
      </c>
      <c r="S23" s="182">
        <f t="shared" si="0"/>
        <v>-7.9214087810499975E-2</v>
      </c>
      <c r="T23" s="182"/>
      <c r="U23" s="187">
        <f t="shared" si="6"/>
        <v>551764.93758477108</v>
      </c>
      <c r="V23" s="182">
        <f t="shared" si="12"/>
        <v>9.0625847875054566E-2</v>
      </c>
      <c r="W23" s="182"/>
      <c r="X23" s="181">
        <v>-55449.96743755621</v>
      </c>
      <c r="Y23" s="182">
        <f t="shared" si="1"/>
        <v>-9.1075020744692484E-3</v>
      </c>
      <c r="Z23" s="182"/>
      <c r="AA23" s="186">
        <f t="shared" si="8"/>
        <v>6584698.6986557394</v>
      </c>
      <c r="AB23" s="187">
        <f t="shared" si="9"/>
        <v>496314.97014721483</v>
      </c>
      <c r="AC23" s="182">
        <f t="shared" si="10"/>
        <v>8.1518345800585312E-2</v>
      </c>
      <c r="AD23" s="182"/>
    </row>
    <row r="24" spans="2:30" x14ac:dyDescent="0.2">
      <c r="B24" s="168" t="s">
        <v>16</v>
      </c>
      <c r="D24" s="180">
        <v>1694863.0973755296</v>
      </c>
      <c r="E24" s="180"/>
      <c r="F24" s="181">
        <v>20093.055977700045</v>
      </c>
      <c r="G24" s="182">
        <f>F24/$D24</f>
        <v>1.1855267843646985E-2</v>
      </c>
      <c r="H24" s="183"/>
      <c r="I24" s="181"/>
      <c r="J24" s="182">
        <f>I24/$D24</f>
        <v>0</v>
      </c>
      <c r="K24" s="182"/>
      <c r="L24" s="181"/>
      <c r="M24" s="182">
        <f>L24/$D24</f>
        <v>0</v>
      </c>
      <c r="N24" s="213"/>
      <c r="O24" s="200"/>
      <c r="P24" s="185">
        <f>O24/$D24</f>
        <v>0</v>
      </c>
      <c r="Q24" s="213"/>
      <c r="R24" s="181">
        <v>-28892.086800000001</v>
      </c>
      <c r="S24" s="182">
        <f t="shared" si="0"/>
        <v>-1.704685578719542E-2</v>
      </c>
      <c r="T24" s="182"/>
      <c r="U24" s="187">
        <f t="shared" si="6"/>
        <v>-8799.0308222999556</v>
      </c>
      <c r="V24" s="182">
        <f t="shared" si="12"/>
        <v>-5.1915879435484348E-3</v>
      </c>
      <c r="W24" s="182"/>
      <c r="X24" s="181">
        <v>-6524.0196000000005</v>
      </c>
      <c r="Y24" s="182">
        <f t="shared" si="1"/>
        <v>-3.8492900164634821E-3</v>
      </c>
      <c r="Z24" s="182"/>
      <c r="AA24" s="186">
        <f t="shared" si="8"/>
        <v>1679540.0469532297</v>
      </c>
      <c r="AB24" s="187">
        <f t="shared" si="9"/>
        <v>-15323.050422299886</v>
      </c>
      <c r="AC24" s="182">
        <f t="shared" si="10"/>
        <v>-9.0408779600118748E-3</v>
      </c>
      <c r="AD24" s="182"/>
    </row>
    <row r="25" spans="2:30" x14ac:dyDescent="0.2">
      <c r="B25" s="168" t="s">
        <v>227</v>
      </c>
      <c r="D25" s="188">
        <f>SUM(D12:D24)</f>
        <v>1106709585.3700273</v>
      </c>
      <c r="E25" s="186"/>
      <c r="F25" s="189">
        <f>SUM(F12:F24)</f>
        <v>46458417.630643368</v>
      </c>
      <c r="G25" s="190">
        <f t="shared" ref="G25" si="13">F25/$D25</f>
        <v>4.1978869836127822E-2</v>
      </c>
      <c r="H25" s="183"/>
      <c r="I25" s="189">
        <f>SUM(I12:I24)</f>
        <v>-1589849.677868865</v>
      </c>
      <c r="J25" s="190">
        <f t="shared" ref="J25" si="14">I25/$D25</f>
        <v>-1.4365554422638349E-3</v>
      </c>
      <c r="K25" s="182"/>
      <c r="L25" s="189">
        <f>SUM(L12:L24)</f>
        <v>45492653.78557533</v>
      </c>
      <c r="M25" s="190">
        <f t="shared" si="4"/>
        <v>4.1106225505731842E-2</v>
      </c>
      <c r="N25" s="186"/>
      <c r="O25" s="191">
        <f>SUM(O12:O24)</f>
        <v>2999203.0625675227</v>
      </c>
      <c r="P25" s="192">
        <f t="shared" ref="P25" si="15">O25/$D25</f>
        <v>2.7100181494901774E-3</v>
      </c>
      <c r="Q25" s="186"/>
      <c r="R25" s="189">
        <f>SUM(R12:R24)</f>
        <v>-22562812.560205296</v>
      </c>
      <c r="S25" s="190">
        <f t="shared" si="0"/>
        <v>-2.0387292979541186E-2</v>
      </c>
      <c r="T25" s="182"/>
      <c r="U25" s="189">
        <f>SUM(U12:U24)</f>
        <v>70797612.240712062</v>
      </c>
      <c r="V25" s="190">
        <f t="shared" si="12"/>
        <v>6.3971265069544828E-2</v>
      </c>
      <c r="W25" s="182"/>
      <c r="X25" s="189">
        <f>SUM(X12:X24)</f>
        <v>-3120955.6570753693</v>
      </c>
      <c r="Y25" s="190">
        <f t="shared" si="1"/>
        <v>-2.8200312876407235E-3</v>
      </c>
      <c r="Z25" s="182"/>
      <c r="AA25" s="189">
        <f>SUM(AA12:AA24)</f>
        <v>1174386241.9536645</v>
      </c>
      <c r="AB25" s="189">
        <f>SUM(AB12:AB24)</f>
        <v>67676656.583636746</v>
      </c>
      <c r="AC25" s="190">
        <f t="shared" si="10"/>
        <v>6.1151233781904145E-2</v>
      </c>
      <c r="AD25" s="182"/>
    </row>
    <row r="26" spans="2:30" s="167" customFormat="1" x14ac:dyDescent="0.2">
      <c r="B26" s="193"/>
      <c r="C26" s="194"/>
      <c r="D26" s="194"/>
      <c r="E26" s="194"/>
      <c r="F26" s="195"/>
      <c r="G26" s="196"/>
      <c r="H26" s="197"/>
      <c r="I26" s="195"/>
      <c r="J26" s="196"/>
      <c r="K26" s="196"/>
      <c r="L26" s="195"/>
      <c r="M26" s="196"/>
      <c r="N26" s="197"/>
      <c r="O26" s="198"/>
      <c r="P26" s="198"/>
      <c r="Q26" s="197"/>
      <c r="R26" s="195"/>
      <c r="S26" s="196"/>
      <c r="T26" s="196"/>
      <c r="U26" s="195"/>
      <c r="V26" s="196"/>
      <c r="W26" s="196"/>
      <c r="X26" s="195"/>
      <c r="Y26" s="196"/>
      <c r="Z26" s="196"/>
      <c r="AA26" s="197"/>
      <c r="AB26" s="195"/>
      <c r="AC26" s="196"/>
      <c r="AD26" s="199"/>
    </row>
    <row r="27" spans="2:30" x14ac:dyDescent="0.2">
      <c r="F27" s="187"/>
      <c r="G27" s="186"/>
      <c r="I27" s="187"/>
      <c r="J27" s="186"/>
      <c r="K27" s="186"/>
      <c r="L27" s="187"/>
      <c r="M27" s="186"/>
      <c r="N27" s="186"/>
      <c r="O27" s="200"/>
      <c r="P27" s="200"/>
      <c r="Q27" s="186"/>
      <c r="R27" s="187"/>
      <c r="S27" s="186"/>
      <c r="T27" s="186"/>
      <c r="U27" s="187"/>
      <c r="V27" s="186"/>
      <c r="W27" s="186"/>
      <c r="X27" s="187"/>
      <c r="Y27" s="186"/>
      <c r="Z27" s="186"/>
      <c r="AB27" s="187"/>
      <c r="AC27" s="186"/>
      <c r="AD27" s="182"/>
    </row>
    <row r="28" spans="2:30" s="167" customFormat="1" x14ac:dyDescent="0.2">
      <c r="B28" s="201" t="s">
        <v>250</v>
      </c>
      <c r="C28" s="202"/>
      <c r="D28" s="202"/>
      <c r="E28" s="202"/>
      <c r="F28" s="195"/>
      <c r="G28" s="186"/>
      <c r="I28" s="195"/>
      <c r="J28" s="186"/>
      <c r="K28" s="186"/>
      <c r="L28" s="195"/>
      <c r="M28" s="186"/>
      <c r="O28" s="208"/>
      <c r="P28" s="208"/>
      <c r="R28" s="195"/>
      <c r="S28" s="186"/>
      <c r="T28" s="186"/>
      <c r="U28" s="195"/>
      <c r="V28" s="186"/>
      <c r="W28" s="186"/>
      <c r="X28" s="195"/>
      <c r="Y28" s="186"/>
      <c r="Z28" s="186"/>
      <c r="AB28" s="195"/>
      <c r="AC28" s="186"/>
      <c r="AD28" s="199"/>
    </row>
    <row r="29" spans="2:30" s="167" customFormat="1" x14ac:dyDescent="0.2">
      <c r="B29" s="193" t="s">
        <v>251</v>
      </c>
      <c r="C29" s="193"/>
      <c r="D29" s="195">
        <f>D12+D13</f>
        <v>754217485.38623214</v>
      </c>
      <c r="E29" s="195"/>
      <c r="F29" s="195">
        <f>F12+F13</f>
        <v>31174587.441317894</v>
      </c>
      <c r="G29" s="182">
        <f t="shared" ref="G29:G36" si="16">F29/$D29</f>
        <v>4.1333684309047138E-2</v>
      </c>
      <c r="I29" s="195">
        <f>I12+I13</f>
        <v>-1081842.9280999999</v>
      </c>
      <c r="J29" s="182">
        <f t="shared" ref="J29:J36" si="17">I29/$D29</f>
        <v>-1.4343912055366787E-3</v>
      </c>
      <c r="K29" s="182"/>
      <c r="L29" s="195">
        <f>L12+L13</f>
        <v>30959799.089450002</v>
      </c>
      <c r="M29" s="182">
        <f t="shared" ref="M29:M36" si="18">L29/$D29</f>
        <v>4.1048901264329078E-2</v>
      </c>
      <c r="N29" s="195"/>
      <c r="O29" s="184">
        <f>O12+O13</f>
        <v>2074592.90918</v>
      </c>
      <c r="P29" s="185">
        <f t="shared" ref="P29:P36" si="19">O29/$D29</f>
        <v>2.750656076499749E-3</v>
      </c>
      <c r="Q29" s="195"/>
      <c r="R29" s="195">
        <f>R12+R13</f>
        <v>-14369419.59794</v>
      </c>
      <c r="S29" s="182">
        <f t="shared" ref="S29:S36" si="20">R29/$D29</f>
        <v>-1.905209024765777E-2</v>
      </c>
      <c r="T29" s="182"/>
      <c r="U29" s="195">
        <f>U12+U13</f>
        <v>48757716.9139079</v>
      </c>
      <c r="V29" s="182">
        <f t="shared" ref="V29:V36" si="21">U29/$D29</f>
        <v>6.464676019668153E-2</v>
      </c>
      <c r="W29" s="182"/>
      <c r="X29" s="195">
        <f>X12+X13</f>
        <v>-1998227.52602</v>
      </c>
      <c r="Y29" s="182">
        <f t="shared" ref="Y29:Y36" si="22">X29/$D29</f>
        <v>-2.6494049325795129E-3</v>
      </c>
      <c r="Z29" s="182"/>
      <c r="AA29" s="195">
        <f>AA12+AA13</f>
        <v>800976974.77411997</v>
      </c>
      <c r="AB29" s="195">
        <f>AB12+AB13</f>
        <v>46759489.387887888</v>
      </c>
      <c r="AC29" s="182">
        <f t="shared" ref="AC29:AC36" si="23">AB29/$D29</f>
        <v>6.1997355264101994E-2</v>
      </c>
      <c r="AD29" s="182"/>
    </row>
    <row r="30" spans="2:30" s="167" customFormat="1" x14ac:dyDescent="0.2">
      <c r="B30" s="193" t="s">
        <v>252</v>
      </c>
      <c r="C30" s="193"/>
      <c r="D30" s="195">
        <f>D14+D19</f>
        <v>263689962.87240326</v>
      </c>
      <c r="E30" s="195"/>
      <c r="F30" s="195">
        <f>F14+F19</f>
        <v>11473316.453476794</v>
      </c>
      <c r="G30" s="182">
        <f t="shared" si="16"/>
        <v>4.3510630167704213E-2</v>
      </c>
      <c r="I30" s="195">
        <f>I14+I19</f>
        <v>-381865.83265</v>
      </c>
      <c r="J30" s="182">
        <f t="shared" si="17"/>
        <v>-1.4481621844468185E-3</v>
      </c>
      <c r="K30" s="182"/>
      <c r="L30" s="195">
        <f>L14+L19</f>
        <v>10923308.626949999</v>
      </c>
      <c r="M30" s="182">
        <f t="shared" si="18"/>
        <v>4.142481764554562E-2</v>
      </c>
      <c r="N30" s="195"/>
      <c r="O30" s="184">
        <f>O14+O19</f>
        <v>732008.66648000001</v>
      </c>
      <c r="P30" s="185">
        <f t="shared" si="19"/>
        <v>2.7760202114109709E-3</v>
      </c>
      <c r="Q30" s="195"/>
      <c r="R30" s="195">
        <f>R14+R19</f>
        <v>-6012562.6644000001</v>
      </c>
      <c r="S30" s="182">
        <f t="shared" si="20"/>
        <v>-2.2801636432818698E-2</v>
      </c>
      <c r="T30" s="182"/>
      <c r="U30" s="195">
        <f>U14+U19</f>
        <v>16734205.249856796</v>
      </c>
      <c r="V30" s="182">
        <f t="shared" si="21"/>
        <v>6.3461669407395296E-2</v>
      </c>
      <c r="W30" s="182"/>
      <c r="X30" s="195">
        <f>X14+X19</f>
        <v>-861022.32330000005</v>
      </c>
      <c r="Y30" s="182">
        <f t="shared" si="22"/>
        <v>-3.2652828872240369E-3</v>
      </c>
      <c r="Z30" s="182"/>
      <c r="AA30" s="195">
        <f t="shared" ref="AA30:AB34" si="24">AA14+AA19</f>
        <v>279563145.79896009</v>
      </c>
      <c r="AB30" s="195">
        <f t="shared" si="24"/>
        <v>15873182.926556829</v>
      </c>
      <c r="AC30" s="182">
        <f t="shared" si="23"/>
        <v>6.019638652017139E-2</v>
      </c>
      <c r="AD30" s="182"/>
    </row>
    <row r="31" spans="2:30" s="167" customFormat="1" x14ac:dyDescent="0.2">
      <c r="B31" s="193" t="s">
        <v>253</v>
      </c>
      <c r="C31" s="193"/>
      <c r="D31" s="195">
        <f>D15+D20</f>
        <v>52879762.30854176</v>
      </c>
      <c r="E31" s="195"/>
      <c r="F31" s="195">
        <f>F15+F20</f>
        <v>2077199.996558236</v>
      </c>
      <c r="G31" s="182">
        <f t="shared" si="16"/>
        <v>3.9281568333046427E-2</v>
      </c>
      <c r="I31" s="195">
        <f>I15+I20</f>
        <v>-69290.554499999998</v>
      </c>
      <c r="J31" s="182">
        <f t="shared" si="17"/>
        <v>-1.3103416406394734E-3</v>
      </c>
      <c r="K31" s="182"/>
      <c r="L31" s="195">
        <f>L15+L20</f>
        <v>1983557.6068199999</v>
      </c>
      <c r="M31" s="182">
        <f t="shared" si="18"/>
        <v>3.7510713366039325E-2</v>
      </c>
      <c r="N31" s="195"/>
      <c r="O31" s="184">
        <f>O15+O20</f>
        <v>151914.94894999999</v>
      </c>
      <c r="P31" s="185">
        <f t="shared" si="19"/>
        <v>2.8728372125352937E-3</v>
      </c>
      <c r="Q31" s="195"/>
      <c r="R31" s="195">
        <f>R15+R20</f>
        <v>-1039358.3174999999</v>
      </c>
      <c r="S31" s="182">
        <f t="shared" si="20"/>
        <v>-1.9655124609592099E-2</v>
      </c>
      <c r="T31" s="182"/>
      <c r="U31" s="195">
        <f>U15+U20</f>
        <v>3104023.680328236</v>
      </c>
      <c r="V31" s="182">
        <f t="shared" si="21"/>
        <v>5.8699652661389469E-2</v>
      </c>
      <c r="W31" s="182"/>
      <c r="X31" s="195">
        <f>X15+X20</f>
        <v>-122875.24998000001</v>
      </c>
      <c r="Y31" s="182">
        <f t="shared" si="22"/>
        <v>-2.3236725094006663E-3</v>
      </c>
      <c r="Z31" s="182"/>
      <c r="AA31" s="195">
        <f t="shared" si="24"/>
        <v>55860910.73889</v>
      </c>
      <c r="AB31" s="195">
        <f t="shared" si="24"/>
        <v>2981148.430348238</v>
      </c>
      <c r="AC31" s="182">
        <f t="shared" si="23"/>
        <v>5.6375980151988844E-2</v>
      </c>
      <c r="AD31" s="182"/>
    </row>
    <row r="32" spans="2:30" s="167" customFormat="1" x14ac:dyDescent="0.2">
      <c r="B32" s="193" t="s">
        <v>254</v>
      </c>
      <c r="C32" s="193"/>
      <c r="D32" s="195">
        <f>D16+D21</f>
        <v>13238186.585683931</v>
      </c>
      <c r="E32" s="195"/>
      <c r="F32" s="195">
        <f>F16+F21</f>
        <v>895165.49236792093</v>
      </c>
      <c r="G32" s="182">
        <f t="shared" si="16"/>
        <v>6.7619948289290077E-2</v>
      </c>
      <c r="I32" s="195">
        <f>I16+I21</f>
        <v>-33260.471099999995</v>
      </c>
      <c r="J32" s="182">
        <f t="shared" si="17"/>
        <v>-2.5124642929544904E-3</v>
      </c>
      <c r="K32" s="182"/>
      <c r="L32" s="195">
        <f>L16+L21</f>
        <v>943858.25766</v>
      </c>
      <c r="M32" s="182">
        <f t="shared" si="18"/>
        <v>7.1298153380064108E-2</v>
      </c>
      <c r="N32" s="195"/>
      <c r="O32" s="184">
        <f>O16+O21</f>
        <v>20469.337599999999</v>
      </c>
      <c r="P32" s="185">
        <f t="shared" si="19"/>
        <v>1.5462342570496774E-3</v>
      </c>
      <c r="Q32" s="195"/>
      <c r="R32" s="195">
        <f>R16+R21</f>
        <v>-495950.58017999999</v>
      </c>
      <c r="S32" s="182">
        <f t="shared" si="20"/>
        <v>-3.746363423494363E-2</v>
      </c>
      <c r="T32" s="182"/>
      <c r="U32" s="195">
        <f>U16+U21</f>
        <v>1330282.036347921</v>
      </c>
      <c r="V32" s="182">
        <f t="shared" si="21"/>
        <v>0.10048823739850574</v>
      </c>
      <c r="W32" s="182"/>
      <c r="X32" s="195">
        <f>X16+X21</f>
        <v>-59868.847979999991</v>
      </c>
      <c r="Y32" s="182">
        <f t="shared" si="22"/>
        <v>-4.5224357273180825E-3</v>
      </c>
      <c r="Z32" s="182"/>
      <c r="AA32" s="195">
        <f t="shared" si="24"/>
        <v>14508599.774051853</v>
      </c>
      <c r="AB32" s="195">
        <f t="shared" si="24"/>
        <v>1270413.1883679219</v>
      </c>
      <c r="AC32" s="182">
        <f t="shared" si="23"/>
        <v>9.596580167118772E-2</v>
      </c>
      <c r="AD32" s="182"/>
    </row>
    <row r="33" spans="2:30" s="167" customFormat="1" x14ac:dyDescent="0.2">
      <c r="B33" s="193" t="s">
        <v>255</v>
      </c>
      <c r="C33" s="193"/>
      <c r="D33" s="195">
        <f>D17+D22</f>
        <v>3838571.4074000837</v>
      </c>
      <c r="E33" s="195"/>
      <c r="F33" s="195">
        <f>F17+F22</f>
        <v>59387.969353911438</v>
      </c>
      <c r="G33" s="182">
        <f t="shared" si="16"/>
        <v>1.5471372823603589E-2</v>
      </c>
      <c r="I33" s="195">
        <f>I17+I22</f>
        <v>-2244.2036400000002</v>
      </c>
      <c r="J33" s="182">
        <f t="shared" si="17"/>
        <v>-5.8464553653308994E-4</v>
      </c>
      <c r="K33" s="182"/>
      <c r="L33" s="195">
        <f>L17+L22</f>
        <v>64894.888590000002</v>
      </c>
      <c r="M33" s="182">
        <f t="shared" si="18"/>
        <v>1.6906000098081849E-2</v>
      </c>
      <c r="N33" s="195"/>
      <c r="O33" s="184">
        <f>O17+O22</f>
        <v>2788.8301000000001</v>
      </c>
      <c r="P33" s="185">
        <f t="shared" si="19"/>
        <v>7.2652812830930572E-4</v>
      </c>
      <c r="Q33" s="195"/>
      <c r="R33" s="195">
        <f>R17+R22</f>
        <v>-52738.785540000004</v>
      </c>
      <c r="S33" s="182">
        <f t="shared" si="20"/>
        <v>-1.3739170108527614E-2</v>
      </c>
      <c r="T33" s="182"/>
      <c r="U33" s="195">
        <f>U17+U22</f>
        <v>72088.698863911457</v>
      </c>
      <c r="V33" s="182">
        <f t="shared" si="21"/>
        <v>1.8780085404934047E-2</v>
      </c>
      <c r="W33" s="182"/>
      <c r="X33" s="195">
        <f>X17+X22</f>
        <v>-7605.3567800000001</v>
      </c>
      <c r="Y33" s="182">
        <f t="shared" si="22"/>
        <v>-1.9812987626954713E-3</v>
      </c>
      <c r="Z33" s="182"/>
      <c r="AA33" s="195">
        <f t="shared" si="24"/>
        <v>3903054.7494839947</v>
      </c>
      <c r="AB33" s="195">
        <f t="shared" si="24"/>
        <v>64483.342083911324</v>
      </c>
      <c r="AC33" s="182">
        <f t="shared" si="23"/>
        <v>1.679878664223854E-2</v>
      </c>
      <c r="AD33" s="182"/>
    </row>
    <row r="34" spans="2:30" s="167" customFormat="1" x14ac:dyDescent="0.2">
      <c r="B34" s="193" t="s">
        <v>256</v>
      </c>
      <c r="C34" s="193"/>
      <c r="D34" s="195">
        <f>D18+D23</f>
        <v>17150753.71239078</v>
      </c>
      <c r="E34" s="195"/>
      <c r="F34" s="195">
        <f>F18+F23</f>
        <v>758667.22159090429</v>
      </c>
      <c r="G34" s="182">
        <f t="shared" si="16"/>
        <v>4.4235211718001377E-2</v>
      </c>
      <c r="I34" s="195">
        <f>I18+I23</f>
        <v>-21345.687878865043</v>
      </c>
      <c r="J34" s="182">
        <f t="shared" si="17"/>
        <v>-1.2445918259232874E-3</v>
      </c>
      <c r="K34" s="182"/>
      <c r="L34" s="195">
        <f>L18+L23</f>
        <v>617235.31610533956</v>
      </c>
      <c r="M34" s="182">
        <f t="shared" si="18"/>
        <v>3.5988815795273771E-2</v>
      </c>
      <c r="N34" s="195"/>
      <c r="O34" s="184">
        <f>O18+O23</f>
        <v>17428.370257522623</v>
      </c>
      <c r="P34" s="185">
        <f t="shared" si="19"/>
        <v>1.016186842268703E-3</v>
      </c>
      <c r="Q34" s="195"/>
      <c r="R34" s="195">
        <f>R18+R23</f>
        <v>-563890.52784530201</v>
      </c>
      <c r="S34" s="182">
        <f t="shared" si="20"/>
        <v>-3.2878469209076923E-2</v>
      </c>
      <c r="T34" s="182"/>
      <c r="U34" s="195">
        <f>U18+U23</f>
        <v>808094.69222959923</v>
      </c>
      <c r="V34" s="182">
        <f t="shared" si="21"/>
        <v>4.7117153320543628E-2</v>
      </c>
      <c r="W34" s="182"/>
      <c r="X34" s="195">
        <f>X18+X23</f>
        <v>-64832.33341536895</v>
      </c>
      <c r="Y34" s="182">
        <f t="shared" si="22"/>
        <v>-3.780144855589058E-3</v>
      </c>
      <c r="Z34" s="182"/>
      <c r="AA34" s="195">
        <f t="shared" si="24"/>
        <v>17894016.071205009</v>
      </c>
      <c r="AB34" s="195">
        <f t="shared" si="24"/>
        <v>743262.35881423019</v>
      </c>
      <c r="AC34" s="182">
        <f t="shared" si="23"/>
        <v>4.3337008464954564E-2</v>
      </c>
      <c r="AD34" s="182"/>
    </row>
    <row r="35" spans="2:30" s="167" customFormat="1" x14ac:dyDescent="0.2">
      <c r="B35" s="193" t="s">
        <v>16</v>
      </c>
      <c r="C35" s="193"/>
      <c r="D35" s="195">
        <f>D24</f>
        <v>1694863.0973755296</v>
      </c>
      <c r="E35" s="195"/>
      <c r="F35" s="195">
        <f>F24</f>
        <v>20093.055977700045</v>
      </c>
      <c r="G35" s="182">
        <f t="shared" si="16"/>
        <v>1.1855267843646985E-2</v>
      </c>
      <c r="I35" s="195">
        <f>I24</f>
        <v>0</v>
      </c>
      <c r="J35" s="182">
        <f t="shared" si="17"/>
        <v>0</v>
      </c>
      <c r="K35" s="182"/>
      <c r="L35" s="195">
        <f>L24</f>
        <v>0</v>
      </c>
      <c r="M35" s="182">
        <f t="shared" si="18"/>
        <v>0</v>
      </c>
      <c r="N35" s="195"/>
      <c r="O35" s="184">
        <f>O24</f>
        <v>0</v>
      </c>
      <c r="P35" s="185">
        <f t="shared" si="19"/>
        <v>0</v>
      </c>
      <c r="Q35" s="195"/>
      <c r="R35" s="195">
        <f>R24</f>
        <v>-28892.086800000001</v>
      </c>
      <c r="S35" s="182">
        <f t="shared" si="20"/>
        <v>-1.704685578719542E-2</v>
      </c>
      <c r="T35" s="182"/>
      <c r="U35" s="195">
        <f>U24</f>
        <v>-8799.0308222999556</v>
      </c>
      <c r="V35" s="182">
        <f t="shared" si="21"/>
        <v>-5.1915879435484348E-3</v>
      </c>
      <c r="W35" s="182"/>
      <c r="X35" s="195">
        <f>X24</f>
        <v>-6524.0196000000005</v>
      </c>
      <c r="Y35" s="182">
        <f t="shared" si="22"/>
        <v>-3.8492900164634821E-3</v>
      </c>
      <c r="Z35" s="182"/>
      <c r="AA35" s="195">
        <f>AA24</f>
        <v>1679540.0469532297</v>
      </c>
      <c r="AB35" s="195">
        <f>AB24</f>
        <v>-15323.050422299886</v>
      </c>
      <c r="AC35" s="182">
        <f t="shared" si="23"/>
        <v>-9.0408779600118748E-3</v>
      </c>
      <c r="AD35" s="182"/>
    </row>
    <row r="36" spans="2:30" s="167" customFormat="1" x14ac:dyDescent="0.2">
      <c r="B36" s="193" t="s">
        <v>257</v>
      </c>
      <c r="C36" s="193"/>
      <c r="D36" s="204">
        <f>SUM(D29:D35)</f>
        <v>1106709585.3700278</v>
      </c>
      <c r="E36" s="205"/>
      <c r="F36" s="206">
        <f>SUM(F29:F35)</f>
        <v>46458417.630643368</v>
      </c>
      <c r="G36" s="190">
        <f t="shared" si="16"/>
        <v>4.1978869836127801E-2</v>
      </c>
      <c r="I36" s="206">
        <f>SUM(I29:I35)</f>
        <v>-1589849.677868865</v>
      </c>
      <c r="J36" s="190">
        <f t="shared" si="17"/>
        <v>-1.4365554422638342E-3</v>
      </c>
      <c r="K36" s="182"/>
      <c r="L36" s="206">
        <f>SUM(L29:L35)</f>
        <v>45492653.785575338</v>
      </c>
      <c r="M36" s="190">
        <f t="shared" si="18"/>
        <v>4.1106225505731835E-2</v>
      </c>
      <c r="N36" s="195"/>
      <c r="O36" s="191">
        <f>SUM(O29:O35)</f>
        <v>2999203.0625675227</v>
      </c>
      <c r="P36" s="192">
        <f t="shared" si="19"/>
        <v>2.7100181494901761E-3</v>
      </c>
      <c r="Q36" s="195"/>
      <c r="R36" s="206">
        <f>SUM(R29:R35)</f>
        <v>-22562812.560205303</v>
      </c>
      <c r="S36" s="190">
        <f t="shared" si="20"/>
        <v>-2.0387292979541186E-2</v>
      </c>
      <c r="T36" s="182"/>
      <c r="U36" s="206">
        <f>SUM(U29:U35)</f>
        <v>70797612.240712062</v>
      </c>
      <c r="V36" s="190">
        <f t="shared" si="21"/>
        <v>6.39712650695448E-2</v>
      </c>
      <c r="W36" s="182"/>
      <c r="X36" s="206">
        <f>SUM(X29:X35)</f>
        <v>-3120955.6570753693</v>
      </c>
      <c r="Y36" s="190">
        <f t="shared" si="22"/>
        <v>-2.8200312876407222E-3</v>
      </c>
      <c r="Z36" s="182"/>
      <c r="AA36" s="206">
        <f>SUM(AA29:AA35)</f>
        <v>1174386241.9536641</v>
      </c>
      <c r="AB36" s="206">
        <f>SUM(AB29:AB35)</f>
        <v>67676656.583636731</v>
      </c>
      <c r="AC36" s="190">
        <f t="shared" si="23"/>
        <v>6.115123378190411E-2</v>
      </c>
      <c r="AD36" s="182"/>
    </row>
    <row r="37" spans="2:30" s="167" customFormat="1" x14ac:dyDescent="0.2">
      <c r="B37" s="193"/>
      <c r="C37" s="193"/>
      <c r="D37" s="193"/>
      <c r="E37" s="193"/>
      <c r="F37" s="195"/>
      <c r="G37" s="187"/>
      <c r="I37" s="195"/>
      <c r="J37" s="187"/>
      <c r="K37" s="187"/>
      <c r="L37" s="195"/>
      <c r="M37" s="187"/>
      <c r="N37" s="195"/>
      <c r="O37" s="195"/>
      <c r="P37" s="195"/>
      <c r="Q37" s="195"/>
      <c r="R37" s="195"/>
      <c r="S37" s="195"/>
      <c r="T37" s="195"/>
      <c r="U37" s="195"/>
      <c r="V37" s="195"/>
      <c r="W37" s="195"/>
      <c r="X37" s="195"/>
      <c r="Y37" s="195"/>
      <c r="Z37" s="195"/>
      <c r="AB37" s="195"/>
      <c r="AC37" s="187"/>
      <c r="AD37" s="182"/>
    </row>
    <row r="38" spans="2:30" x14ac:dyDescent="0.2">
      <c r="B38" s="193" t="s">
        <v>258</v>
      </c>
      <c r="F38" s="207"/>
      <c r="G38" s="207"/>
      <c r="J38" s="187"/>
      <c r="K38" s="187"/>
      <c r="N38" s="207"/>
      <c r="O38" s="207"/>
      <c r="P38" s="207"/>
      <c r="Q38" s="207"/>
      <c r="R38" s="207"/>
      <c r="S38" s="207"/>
      <c r="T38" s="207"/>
      <c r="U38" s="207"/>
      <c r="V38" s="207"/>
      <c r="W38" s="207"/>
      <c r="X38" s="207"/>
      <c r="Y38" s="207"/>
      <c r="Z38" s="207"/>
      <c r="AB38" s="207"/>
    </row>
    <row r="39" spans="2:30" x14ac:dyDescent="0.2">
      <c r="B39" s="214" t="s">
        <v>259</v>
      </c>
      <c r="F39" s="207"/>
      <c r="G39" s="207"/>
      <c r="J39" s="187"/>
      <c r="K39" s="187"/>
      <c r="N39" s="207"/>
      <c r="O39" s="207"/>
      <c r="P39" s="207"/>
      <c r="Q39" s="207"/>
      <c r="R39" s="207"/>
      <c r="S39" s="207"/>
      <c r="T39" s="207"/>
      <c r="U39" s="207"/>
      <c r="V39" s="207"/>
      <c r="W39" s="207"/>
      <c r="X39" s="207"/>
      <c r="Y39" s="207"/>
      <c r="Z39" s="207"/>
      <c r="AB39" s="207"/>
    </row>
    <row r="40" spans="2:30" x14ac:dyDescent="0.2">
      <c r="B40" s="208" t="s">
        <v>260</v>
      </c>
    </row>
    <row r="41" spans="2:30" x14ac:dyDescent="0.2">
      <c r="I41" s="186"/>
    </row>
  </sheetData>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S38"/>
  <sheetViews>
    <sheetView zoomScaleNormal="100" workbookViewId="0">
      <pane xSplit="3" ySplit="9" topLeftCell="D10" activePane="bottomRight" state="frozenSplit"/>
      <selection activeCell="G16" sqref="G16"/>
      <selection pane="topRight" activeCell="G16" sqref="G16"/>
      <selection pane="bottomLeft" activeCell="G16" sqref="G16"/>
      <selection pane="bottomRight" activeCell="P24" sqref="P24"/>
    </sheetView>
  </sheetViews>
  <sheetFormatPr defaultRowHeight="11.25" x14ac:dyDescent="0.2"/>
  <cols>
    <col min="1" max="1" width="2.85546875" style="168" customWidth="1"/>
    <col min="2" max="2" width="33.85546875" style="168" customWidth="1"/>
    <col min="3" max="3" width="7.42578125" style="168" bestFit="1" customWidth="1"/>
    <col min="4" max="4" width="12.85546875" style="168" bestFit="1" customWidth="1"/>
    <col min="5" max="5" width="2.28515625" style="168" customWidth="1"/>
    <col min="6" max="6" width="12.85546875" style="168" bestFit="1" customWidth="1"/>
    <col min="7" max="7" width="8.5703125" style="168" bestFit="1" customWidth="1"/>
    <col min="8" max="8" width="2.28515625" style="168" customWidth="1"/>
    <col min="9" max="9" width="12.85546875" style="168" bestFit="1" customWidth="1"/>
    <col min="10" max="10" width="8.140625" style="168" bestFit="1" customWidth="1"/>
    <col min="11" max="11" width="2.28515625" style="168" customWidth="1"/>
    <col min="12" max="12" width="14.7109375" style="168" bestFit="1" customWidth="1"/>
    <col min="13" max="13" width="9.140625" style="168" bestFit="1" customWidth="1"/>
    <col min="14" max="14" width="2.28515625" style="168" customWidth="1"/>
    <col min="15" max="16" width="12.85546875" style="168" bestFit="1" customWidth="1"/>
    <col min="17" max="17" width="8.140625" style="168" bestFit="1" customWidth="1"/>
    <col min="18" max="18" width="7.85546875" style="168" customWidth="1"/>
    <col min="19" max="19" width="9.28515625" style="168" customWidth="1"/>
    <col min="20" max="16384" width="9.140625" style="168"/>
  </cols>
  <sheetData>
    <row r="1" spans="2:18" x14ac:dyDescent="0.2">
      <c r="B1" s="166" t="s">
        <v>114</v>
      </c>
      <c r="C1" s="166"/>
      <c r="D1" s="166"/>
      <c r="E1" s="166"/>
      <c r="F1" s="166"/>
      <c r="G1" s="166"/>
      <c r="H1" s="166"/>
      <c r="I1" s="166"/>
      <c r="J1" s="166"/>
      <c r="K1" s="166"/>
      <c r="L1" s="166"/>
      <c r="M1" s="166"/>
      <c r="N1" s="166"/>
      <c r="O1" s="166"/>
      <c r="P1" s="166"/>
      <c r="Q1" s="166"/>
      <c r="R1" s="167"/>
    </row>
    <row r="2" spans="2:18" x14ac:dyDescent="0.2">
      <c r="B2" s="166" t="s">
        <v>206</v>
      </c>
      <c r="C2" s="166"/>
      <c r="D2" s="166"/>
      <c r="E2" s="166"/>
      <c r="F2" s="166"/>
      <c r="G2" s="166"/>
      <c r="H2" s="166"/>
      <c r="I2" s="166"/>
      <c r="J2" s="166"/>
      <c r="K2" s="166"/>
      <c r="L2" s="166"/>
      <c r="M2" s="166"/>
      <c r="N2" s="166"/>
      <c r="O2" s="166"/>
      <c r="P2" s="166"/>
      <c r="Q2" s="166"/>
      <c r="R2" s="167"/>
    </row>
    <row r="3" spans="2:18" x14ac:dyDescent="0.2">
      <c r="B3" s="169" t="s">
        <v>261</v>
      </c>
      <c r="C3" s="169"/>
      <c r="D3" s="169"/>
      <c r="E3" s="169"/>
      <c r="F3" s="169"/>
      <c r="G3" s="169"/>
      <c r="H3" s="169"/>
      <c r="I3" s="169"/>
      <c r="J3" s="169"/>
      <c r="K3" s="169"/>
      <c r="L3" s="169"/>
      <c r="M3" s="169"/>
      <c r="N3" s="169"/>
      <c r="O3" s="169"/>
      <c r="P3" s="169"/>
      <c r="Q3" s="169"/>
    </row>
    <row r="4" spans="2:18" x14ac:dyDescent="0.2">
      <c r="B4" s="169" t="s">
        <v>262</v>
      </c>
      <c r="C4" s="169"/>
      <c r="D4" s="169"/>
      <c r="E4" s="169"/>
      <c r="F4" s="169"/>
      <c r="G4" s="169"/>
      <c r="H4" s="169"/>
      <c r="I4" s="169"/>
      <c r="J4" s="169"/>
      <c r="K4" s="169"/>
      <c r="L4" s="169"/>
      <c r="M4" s="169"/>
      <c r="N4" s="169"/>
      <c r="O4" s="169"/>
      <c r="P4" s="169"/>
      <c r="Q4" s="169"/>
    </row>
    <row r="5" spans="2:18" x14ac:dyDescent="0.2">
      <c r="B5" s="170"/>
      <c r="C5" s="170"/>
      <c r="D5" s="170"/>
      <c r="E5" s="170"/>
      <c r="F5" s="170"/>
      <c r="G5" s="170"/>
      <c r="H5" s="170"/>
      <c r="I5" s="170"/>
      <c r="J5" s="170"/>
      <c r="K5" s="170"/>
      <c r="L5" s="170"/>
      <c r="M5" s="170"/>
      <c r="N5" s="170"/>
      <c r="O5" s="170"/>
      <c r="P5" s="170"/>
      <c r="Q5" s="170"/>
    </row>
    <row r="6" spans="2:18" x14ac:dyDescent="0.2">
      <c r="D6" s="171" t="s">
        <v>263</v>
      </c>
      <c r="E6" s="171"/>
      <c r="H6" s="170"/>
      <c r="O6" s="170" t="str">
        <f>D6</f>
        <v>12ME Dec. 2024</v>
      </c>
    </row>
    <row r="7" spans="2:18" x14ac:dyDescent="0.2">
      <c r="B7" s="170"/>
      <c r="C7" s="170"/>
      <c r="D7" s="170" t="s">
        <v>212</v>
      </c>
      <c r="E7" s="170"/>
      <c r="F7" s="170" t="s">
        <v>213</v>
      </c>
      <c r="G7" s="170" t="str">
        <f>F7</f>
        <v>Sch. 141N</v>
      </c>
      <c r="H7" s="170"/>
      <c r="I7" s="170" t="s">
        <v>214</v>
      </c>
      <c r="J7" s="170" t="str">
        <f>I7</f>
        <v>Sch. 141R</v>
      </c>
      <c r="K7" s="170"/>
      <c r="L7" s="172" t="s">
        <v>215</v>
      </c>
      <c r="M7" s="172" t="str">
        <f>L7</f>
        <v>Sch. 141D</v>
      </c>
      <c r="N7" s="170"/>
      <c r="O7" s="170" t="s">
        <v>212</v>
      </c>
      <c r="P7" s="170"/>
      <c r="Q7" s="170"/>
      <c r="R7" s="170"/>
    </row>
    <row r="8" spans="2:18" x14ac:dyDescent="0.2">
      <c r="B8" s="170"/>
      <c r="C8" s="170" t="s">
        <v>218</v>
      </c>
      <c r="D8" s="170" t="s">
        <v>219</v>
      </c>
      <c r="E8" s="170"/>
      <c r="F8" s="170" t="s">
        <v>221</v>
      </c>
      <c r="G8" s="170" t="str">
        <f>F8</f>
        <v>Rate Plan</v>
      </c>
      <c r="H8" s="170"/>
      <c r="I8" s="170" t="s">
        <v>221</v>
      </c>
      <c r="J8" s="170" t="str">
        <f>I8</f>
        <v>Rate Plan</v>
      </c>
      <c r="K8" s="170"/>
      <c r="L8" s="172" t="s">
        <v>222</v>
      </c>
      <c r="M8" s="172" t="str">
        <f>L8</f>
        <v>Pipeline</v>
      </c>
      <c r="N8" s="170"/>
      <c r="O8" s="170" t="s">
        <v>226</v>
      </c>
      <c r="P8" s="170" t="s">
        <v>227</v>
      </c>
      <c r="Q8" s="170" t="s">
        <v>227</v>
      </c>
      <c r="R8" s="170"/>
    </row>
    <row r="9" spans="2:18" x14ac:dyDescent="0.2">
      <c r="B9" s="173" t="s">
        <v>123</v>
      </c>
      <c r="C9" s="173" t="s">
        <v>228</v>
      </c>
      <c r="D9" s="173" t="s">
        <v>264</v>
      </c>
      <c r="E9" s="170"/>
      <c r="F9" s="173" t="s">
        <v>230</v>
      </c>
      <c r="G9" s="173" t="s">
        <v>231</v>
      </c>
      <c r="H9" s="170"/>
      <c r="I9" s="173" t="s">
        <v>230</v>
      </c>
      <c r="J9" s="173" t="s">
        <v>232</v>
      </c>
      <c r="K9" s="170"/>
      <c r="L9" s="174" t="s">
        <v>230</v>
      </c>
      <c r="M9" s="174" t="s">
        <v>232</v>
      </c>
      <c r="N9" s="170"/>
      <c r="O9" s="173" t="s">
        <v>233</v>
      </c>
      <c r="P9" s="173" t="s">
        <v>230</v>
      </c>
      <c r="Q9" s="173" t="s">
        <v>232</v>
      </c>
      <c r="R9" s="173"/>
    </row>
    <row r="10" spans="2:18" x14ac:dyDescent="0.2">
      <c r="B10" s="170" t="s">
        <v>152</v>
      </c>
      <c r="C10" s="170" t="s">
        <v>153</v>
      </c>
      <c r="D10" s="170" t="s">
        <v>154</v>
      </c>
      <c r="E10" s="170"/>
      <c r="F10" s="175" t="s">
        <v>155</v>
      </c>
      <c r="G10" s="176" t="s">
        <v>234</v>
      </c>
      <c r="H10" s="170"/>
      <c r="I10" s="175" t="s">
        <v>235</v>
      </c>
      <c r="J10" s="176" t="s">
        <v>236</v>
      </c>
      <c r="K10" s="176"/>
      <c r="L10" s="177" t="s">
        <v>237</v>
      </c>
      <c r="M10" s="178" t="s">
        <v>238</v>
      </c>
      <c r="N10" s="176"/>
      <c r="O10" s="170" t="s">
        <v>265</v>
      </c>
      <c r="P10" s="175" t="s">
        <v>266</v>
      </c>
      <c r="Q10" s="176" t="s">
        <v>267</v>
      </c>
      <c r="R10" s="170"/>
    </row>
    <row r="11" spans="2:18" x14ac:dyDescent="0.2">
      <c r="B11" s="168" t="s">
        <v>1</v>
      </c>
      <c r="C11" s="179" t="s">
        <v>88</v>
      </c>
      <c r="D11" s="180">
        <v>805695887.19124937</v>
      </c>
      <c r="E11" s="180"/>
      <c r="F11" s="181">
        <v>-18672364.830800001</v>
      </c>
      <c r="G11" s="182">
        <f>F11/$D11</f>
        <v>-2.3175450101767379E-2</v>
      </c>
      <c r="H11" s="183"/>
      <c r="I11" s="181">
        <v>32056357.841370009</v>
      </c>
      <c r="J11" s="182">
        <f>I11/$D11</f>
        <v>3.9787168274027368E-2</v>
      </c>
      <c r="K11" s="182"/>
      <c r="L11" s="184">
        <v>-70341.100389999803</v>
      </c>
      <c r="M11" s="185">
        <f>L11/$D11</f>
        <v>-8.7304777780630296E-5</v>
      </c>
      <c r="N11" s="182"/>
      <c r="O11" s="186">
        <f>SUM(D11,F11,I11,L11)</f>
        <v>819009539.10142934</v>
      </c>
      <c r="P11" s="187">
        <f t="shared" ref="P11:P23" si="0">O11-D11</f>
        <v>13313651.910179973</v>
      </c>
      <c r="Q11" s="182">
        <f>P11/$D11</f>
        <v>1.6524413394479312E-2</v>
      </c>
      <c r="R11" s="182"/>
    </row>
    <row r="12" spans="2:18" x14ac:dyDescent="0.2">
      <c r="B12" s="168" t="s">
        <v>75</v>
      </c>
      <c r="C12" s="179">
        <v>16</v>
      </c>
      <c r="D12" s="180">
        <v>10777.750959999998</v>
      </c>
      <c r="E12" s="180"/>
      <c r="F12" s="181">
        <v>-257.89439999999996</v>
      </c>
      <c r="G12" s="182">
        <f t="shared" ref="G12:G22" si="1">F12/$D12</f>
        <v>-2.3928405931546968E-2</v>
      </c>
      <c r="H12" s="183"/>
      <c r="I12" s="181">
        <v>442.74816000000004</v>
      </c>
      <c r="J12" s="182">
        <f t="shared" ref="J12:J22" si="2">I12/$D12</f>
        <v>4.1079828402344171E-2</v>
      </c>
      <c r="K12" s="182"/>
      <c r="L12" s="184">
        <v>-0.97152000000000172</v>
      </c>
      <c r="M12" s="185">
        <f t="shared" ref="M12:M22" si="3">L12/$D12</f>
        <v>-9.0141255221581218E-5</v>
      </c>
      <c r="N12" s="182"/>
      <c r="O12" s="186">
        <f t="shared" ref="O12:O23" si="4">SUM(D12,F12,I12,L12)</f>
        <v>10961.633199999998</v>
      </c>
      <c r="P12" s="187">
        <f t="shared" si="0"/>
        <v>183.88224000000082</v>
      </c>
      <c r="Q12" s="182">
        <f t="shared" ref="Q12:Q24" si="5">P12/$D12</f>
        <v>1.706128121557569E-2</v>
      </c>
      <c r="R12" s="182"/>
    </row>
    <row r="13" spans="2:18" x14ac:dyDescent="0.2">
      <c r="B13" s="168" t="s">
        <v>76</v>
      </c>
      <c r="C13" s="179">
        <v>31</v>
      </c>
      <c r="D13" s="180">
        <v>282525988.06661838</v>
      </c>
      <c r="E13" s="180"/>
      <c r="F13" s="181">
        <v>-6586172.5875399997</v>
      </c>
      <c r="G13" s="182">
        <f t="shared" si="1"/>
        <v>-2.3311740745021337E-2</v>
      </c>
      <c r="H13" s="183"/>
      <c r="I13" s="181">
        <v>11236826.942670001</v>
      </c>
      <c r="J13" s="182">
        <f t="shared" si="2"/>
        <v>3.9772719740105489E-2</v>
      </c>
      <c r="K13" s="182"/>
      <c r="L13" s="184">
        <v>-29512.349159999983</v>
      </c>
      <c r="M13" s="185">
        <f t="shared" si="3"/>
        <v>-1.0445888309942342E-4</v>
      </c>
      <c r="N13" s="182"/>
      <c r="O13" s="186">
        <f t="shared" si="4"/>
        <v>287147130.07258838</v>
      </c>
      <c r="P13" s="187">
        <f t="shared" si="0"/>
        <v>4621142.0059700012</v>
      </c>
      <c r="Q13" s="182">
        <f t="shared" si="5"/>
        <v>1.635652011198473E-2</v>
      </c>
      <c r="R13" s="182"/>
    </row>
    <row r="14" spans="2:18" x14ac:dyDescent="0.2">
      <c r="B14" s="168" t="s">
        <v>77</v>
      </c>
      <c r="C14" s="179">
        <v>41</v>
      </c>
      <c r="D14" s="180">
        <v>50411853.491752848</v>
      </c>
      <c r="E14" s="180"/>
      <c r="F14" s="181">
        <v>-856198.92479999992</v>
      </c>
      <c r="G14" s="182">
        <f t="shared" si="1"/>
        <v>-1.6984079447506729E-2</v>
      </c>
      <c r="H14" s="183"/>
      <c r="I14" s="181">
        <v>1461558.32085</v>
      </c>
      <c r="J14" s="182">
        <f t="shared" si="2"/>
        <v>2.8992354369376725E-2</v>
      </c>
      <c r="K14" s="182"/>
      <c r="L14" s="184">
        <v>-4682.3378699999885</v>
      </c>
      <c r="M14" s="185">
        <f t="shared" si="3"/>
        <v>-9.2881684478552214E-5</v>
      </c>
      <c r="N14" s="182"/>
      <c r="O14" s="186">
        <f t="shared" si="4"/>
        <v>51012530.549932845</v>
      </c>
      <c r="P14" s="187">
        <f t="shared" si="0"/>
        <v>600677.05817999691</v>
      </c>
      <c r="Q14" s="182">
        <f t="shared" si="5"/>
        <v>1.1915393237391381E-2</v>
      </c>
      <c r="R14" s="182"/>
    </row>
    <row r="15" spans="2:18" x14ac:dyDescent="0.2">
      <c r="B15" s="168" t="s">
        <v>78</v>
      </c>
      <c r="C15" s="179">
        <v>85</v>
      </c>
      <c r="D15" s="180">
        <v>6355026.2474540109</v>
      </c>
      <c r="E15" s="180"/>
      <c r="F15" s="181">
        <v>-83813.948400000008</v>
      </c>
      <c r="G15" s="182">
        <f t="shared" si="1"/>
        <v>-1.3188607747069189E-2</v>
      </c>
      <c r="H15" s="183"/>
      <c r="I15" s="181">
        <v>146029.68702000001</v>
      </c>
      <c r="J15" s="182">
        <f t="shared" si="2"/>
        <v>2.2978612728547471E-2</v>
      </c>
      <c r="K15" s="182"/>
      <c r="L15" s="184">
        <v>107.45377999999982</v>
      </c>
      <c r="M15" s="185">
        <f t="shared" si="3"/>
        <v>1.6908471470601497E-5</v>
      </c>
      <c r="N15" s="182"/>
      <c r="O15" s="186">
        <f t="shared" si="4"/>
        <v>6417349.4398540109</v>
      </c>
      <c r="P15" s="187">
        <f t="shared" si="0"/>
        <v>62323.192400000058</v>
      </c>
      <c r="Q15" s="182">
        <f t="shared" si="5"/>
        <v>9.8069134529488924E-3</v>
      </c>
      <c r="R15" s="182"/>
    </row>
    <row r="16" spans="2:18" x14ac:dyDescent="0.2">
      <c r="B16" s="168" t="s">
        <v>79</v>
      </c>
      <c r="C16" s="179">
        <v>86</v>
      </c>
      <c r="D16" s="180">
        <v>3618488.4794600722</v>
      </c>
      <c r="E16" s="180"/>
      <c r="F16" s="181">
        <v>-35516.46976</v>
      </c>
      <c r="G16" s="182">
        <f t="shared" si="1"/>
        <v>-9.8152778326102454E-3</v>
      </c>
      <c r="H16" s="183"/>
      <c r="I16" s="181">
        <v>62634.145279999997</v>
      </c>
      <c r="J16" s="182">
        <f t="shared" si="2"/>
        <v>1.7309477599703693E-2</v>
      </c>
      <c r="K16" s="182"/>
      <c r="L16" s="184">
        <v>0</v>
      </c>
      <c r="M16" s="185">
        <f t="shared" si="3"/>
        <v>0</v>
      </c>
      <c r="N16" s="182"/>
      <c r="O16" s="186">
        <f t="shared" si="4"/>
        <v>3645606.1549800723</v>
      </c>
      <c r="P16" s="187">
        <f t="shared" si="0"/>
        <v>27117.675520000048</v>
      </c>
      <c r="Q16" s="182">
        <f>P16/$D16</f>
        <v>7.4941997670934617E-3</v>
      </c>
      <c r="R16" s="182"/>
    </row>
    <row r="17" spans="2:19" x14ac:dyDescent="0.2">
      <c r="B17" s="168" t="s">
        <v>80</v>
      </c>
      <c r="C17" s="179">
        <v>87</v>
      </c>
      <c r="D17" s="180">
        <v>11309317.372549269</v>
      </c>
      <c r="E17" s="180"/>
      <c r="F17" s="181">
        <v>-78087.443354149844</v>
      </c>
      <c r="G17" s="182">
        <f t="shared" si="1"/>
        <v>-6.9046999727577635E-3</v>
      </c>
      <c r="H17" s="183"/>
      <c r="I17" s="181">
        <v>132722.57071838641</v>
      </c>
      <c r="J17" s="182">
        <f t="shared" si="2"/>
        <v>1.1735683626718223E-2</v>
      </c>
      <c r="K17" s="182"/>
      <c r="L17" s="184">
        <v>-517.84840591355191</v>
      </c>
      <c r="M17" s="185">
        <f t="shared" si="3"/>
        <v>-4.5789536968032055E-5</v>
      </c>
      <c r="N17" s="182"/>
      <c r="O17" s="186">
        <f t="shared" si="4"/>
        <v>11363434.651507592</v>
      </c>
      <c r="P17" s="187">
        <f t="shared" si="0"/>
        <v>54117.27895832248</v>
      </c>
      <c r="Q17" s="182">
        <f t="shared" si="5"/>
        <v>4.7851941169923798E-3</v>
      </c>
      <c r="R17" s="182"/>
    </row>
    <row r="18" spans="2:19" x14ac:dyDescent="0.2">
      <c r="B18" s="168" t="s">
        <v>81</v>
      </c>
      <c r="C18" s="179" t="s">
        <v>89</v>
      </c>
      <c r="D18" s="180">
        <v>26176.089889183364</v>
      </c>
      <c r="E18" s="180"/>
      <c r="F18" s="181">
        <v>-906.95826</v>
      </c>
      <c r="G18" s="182">
        <f t="shared" si="1"/>
        <v>-3.4648347550746243E-2</v>
      </c>
      <c r="H18" s="183"/>
      <c r="I18" s="181">
        <v>1547.3832299999999</v>
      </c>
      <c r="J18" s="182">
        <f t="shared" si="2"/>
        <v>5.9114376385123076E-2</v>
      </c>
      <c r="K18" s="182"/>
      <c r="L18" s="184"/>
      <c r="M18" s="185">
        <f t="shared" si="3"/>
        <v>0</v>
      </c>
      <c r="N18" s="182"/>
      <c r="O18" s="186">
        <f t="shared" si="4"/>
        <v>26816.514859183364</v>
      </c>
      <c r="P18" s="187">
        <f t="shared" si="0"/>
        <v>640.42497000000003</v>
      </c>
      <c r="Q18" s="182">
        <f t="shared" si="5"/>
        <v>2.4466028834376832E-2</v>
      </c>
      <c r="R18" s="182"/>
    </row>
    <row r="19" spans="2:19" x14ac:dyDescent="0.2">
      <c r="B19" s="168" t="s">
        <v>82</v>
      </c>
      <c r="C19" s="168" t="s">
        <v>90</v>
      </c>
      <c r="D19" s="180">
        <v>5563549.1801457489</v>
      </c>
      <c r="E19" s="180"/>
      <c r="F19" s="181">
        <v>-339330.9952</v>
      </c>
      <c r="G19" s="182">
        <f t="shared" si="1"/>
        <v>-6.099182090650819E-2</v>
      </c>
      <c r="H19" s="183"/>
      <c r="I19" s="181">
        <v>579248.61289999983</v>
      </c>
      <c r="J19" s="182">
        <f t="shared" si="2"/>
        <v>0.10411494428181278</v>
      </c>
      <c r="K19" s="182"/>
      <c r="L19" s="184"/>
      <c r="M19" s="185">
        <f t="shared" si="3"/>
        <v>0</v>
      </c>
      <c r="N19" s="182"/>
      <c r="O19" s="186">
        <f t="shared" si="4"/>
        <v>5803466.7978457492</v>
      </c>
      <c r="P19" s="187">
        <f t="shared" si="0"/>
        <v>239917.61770000029</v>
      </c>
      <c r="Q19" s="182">
        <f>P19/$D19</f>
        <v>4.3123123375304676E-2</v>
      </c>
      <c r="R19" s="182"/>
    </row>
    <row r="20" spans="2:19" x14ac:dyDescent="0.2">
      <c r="B20" s="168" t="s">
        <v>83</v>
      </c>
      <c r="C20" s="168" t="s">
        <v>91</v>
      </c>
      <c r="D20" s="180">
        <v>7894042.8385108421</v>
      </c>
      <c r="E20" s="180"/>
      <c r="F20" s="181">
        <v>-485853.62280000007</v>
      </c>
      <c r="G20" s="182">
        <f t="shared" si="1"/>
        <v>-6.154686929614548E-2</v>
      </c>
      <c r="H20" s="183"/>
      <c r="I20" s="181">
        <v>846506.5043400001</v>
      </c>
      <c r="J20" s="182">
        <f t="shared" si="2"/>
        <v>0.1072335838121304</v>
      </c>
      <c r="K20" s="182"/>
      <c r="L20" s="184"/>
      <c r="M20" s="185">
        <f t="shared" si="3"/>
        <v>0</v>
      </c>
      <c r="N20" s="182"/>
      <c r="O20" s="186">
        <f t="shared" si="4"/>
        <v>8254695.7200508425</v>
      </c>
      <c r="P20" s="187">
        <f t="shared" si="0"/>
        <v>360652.88154000044</v>
      </c>
      <c r="Q20" s="182">
        <f t="shared" si="5"/>
        <v>4.5686714515984966E-2</v>
      </c>
      <c r="R20" s="182"/>
    </row>
    <row r="21" spans="2:19" x14ac:dyDescent="0.2">
      <c r="B21" s="168" t="s">
        <v>84</v>
      </c>
      <c r="C21" s="168" t="s">
        <v>92</v>
      </c>
      <c r="D21" s="180">
        <v>155244.16480140295</v>
      </c>
      <c r="E21" s="180"/>
      <c r="F21" s="181">
        <v>-3744.2019400000004</v>
      </c>
      <c r="G21" s="182">
        <f t="shared" si="1"/>
        <v>-2.4118149270149984E-2</v>
      </c>
      <c r="H21" s="183"/>
      <c r="I21" s="181">
        <v>6602.9898199999998</v>
      </c>
      <c r="J21" s="182">
        <f t="shared" si="2"/>
        <v>4.253293402973899E-2</v>
      </c>
      <c r="K21" s="182"/>
      <c r="L21" s="184"/>
      <c r="M21" s="185">
        <f t="shared" si="3"/>
        <v>0</v>
      </c>
      <c r="N21" s="182"/>
      <c r="O21" s="186">
        <f t="shared" si="4"/>
        <v>158102.95268140294</v>
      </c>
      <c r="P21" s="187">
        <f t="shared" si="0"/>
        <v>2858.7878799999889</v>
      </c>
      <c r="Q21" s="182">
        <f t="shared" si="5"/>
        <v>1.841478475958894E-2</v>
      </c>
      <c r="R21" s="182"/>
    </row>
    <row r="22" spans="2:19" x14ac:dyDescent="0.2">
      <c r="B22" s="168" t="s">
        <v>85</v>
      </c>
      <c r="C22" s="168" t="s">
        <v>93</v>
      </c>
      <c r="D22" s="180">
        <v>6954392.5986394649</v>
      </c>
      <c r="E22" s="180"/>
      <c r="F22" s="181">
        <v>-294020.40489616583</v>
      </c>
      <c r="G22" s="182">
        <f t="shared" si="1"/>
        <v>-4.2278373089504183E-2</v>
      </c>
      <c r="H22" s="183"/>
      <c r="I22" s="181">
        <v>498858.86838330975</v>
      </c>
      <c r="J22" s="182">
        <f t="shared" si="2"/>
        <v>7.1732917189763615E-2</v>
      </c>
      <c r="K22" s="182"/>
      <c r="L22" s="184"/>
      <c r="M22" s="185">
        <f t="shared" si="3"/>
        <v>0</v>
      </c>
      <c r="N22" s="182"/>
      <c r="O22" s="186">
        <f t="shared" si="4"/>
        <v>7159231.0621266086</v>
      </c>
      <c r="P22" s="187">
        <f t="shared" si="0"/>
        <v>204838.46348714363</v>
      </c>
      <c r="Q22" s="182">
        <f t="shared" si="5"/>
        <v>2.945454410025939E-2</v>
      </c>
      <c r="R22" s="182"/>
    </row>
    <row r="23" spans="2:19" x14ac:dyDescent="0.2">
      <c r="B23" s="168" t="s">
        <v>16</v>
      </c>
      <c r="D23" s="180">
        <v>1676822.7883708156</v>
      </c>
      <c r="E23" s="180"/>
      <c r="F23" s="181"/>
      <c r="G23" s="182">
        <f>F23/$D23</f>
        <v>0</v>
      </c>
      <c r="H23" s="183"/>
      <c r="I23" s="181"/>
      <c r="J23" s="182">
        <f>I23/$D23</f>
        <v>0</v>
      </c>
      <c r="K23" s="182"/>
      <c r="L23" s="184"/>
      <c r="M23" s="185">
        <f>L23/$D23</f>
        <v>0</v>
      </c>
      <c r="N23" s="182"/>
      <c r="O23" s="186">
        <f t="shared" si="4"/>
        <v>1676822.7883708156</v>
      </c>
      <c r="P23" s="187">
        <f t="shared" si="0"/>
        <v>0</v>
      </c>
      <c r="Q23" s="182">
        <f t="shared" si="5"/>
        <v>0</v>
      </c>
      <c r="R23" s="182"/>
    </row>
    <row r="24" spans="2:19" x14ac:dyDescent="0.2">
      <c r="B24" s="168" t="s">
        <v>227</v>
      </c>
      <c r="D24" s="188">
        <f>SUM(D11:D23)</f>
        <v>1182197566.2604012</v>
      </c>
      <c r="E24" s="186"/>
      <c r="F24" s="189">
        <f>SUM(F11:F23)</f>
        <v>-27436268.282150317</v>
      </c>
      <c r="G24" s="190">
        <f t="shared" ref="G24" si="6">F24/$D24</f>
        <v>-2.3207853801406796E-2</v>
      </c>
      <c r="H24" s="183"/>
      <c r="I24" s="189">
        <f>SUM(I11:I23)</f>
        <v>47029336.614741705</v>
      </c>
      <c r="J24" s="190">
        <f t="shared" ref="J24" si="7">I24/$D24</f>
        <v>3.9781283566255127E-2</v>
      </c>
      <c r="K24" s="182"/>
      <c r="L24" s="191">
        <f>SUM(L11:L23)</f>
        <v>-104947.15356591334</v>
      </c>
      <c r="M24" s="192">
        <f t="shared" ref="M24" si="8">L24/$D24</f>
        <v>-8.8772939956126385E-5</v>
      </c>
      <c r="N24" s="182"/>
      <c r="O24" s="189">
        <f>SUM(O11:O23)</f>
        <v>1201685687.4394271</v>
      </c>
      <c r="P24" s="189">
        <f>SUM(P11:P23)</f>
        <v>19488121.179025438</v>
      </c>
      <c r="Q24" s="190">
        <f t="shared" si="5"/>
        <v>1.6484656824892172E-2</v>
      </c>
      <c r="R24" s="182"/>
      <c r="S24" s="186"/>
    </row>
    <row r="25" spans="2:19" s="167" customFormat="1" x14ac:dyDescent="0.2">
      <c r="B25" s="193"/>
      <c r="C25" s="194"/>
      <c r="D25" s="194"/>
      <c r="E25" s="194"/>
      <c r="F25" s="195"/>
      <c r="G25" s="196"/>
      <c r="H25" s="197"/>
      <c r="I25" s="195"/>
      <c r="J25" s="196"/>
      <c r="K25" s="196"/>
      <c r="L25" s="184"/>
      <c r="M25" s="198"/>
      <c r="N25" s="196"/>
      <c r="O25" s="197"/>
      <c r="P25" s="195"/>
      <c r="Q25" s="196"/>
      <c r="R25" s="199"/>
    </row>
    <row r="26" spans="2:19" x14ac:dyDescent="0.2">
      <c r="F26" s="187"/>
      <c r="G26" s="186"/>
      <c r="I26" s="187"/>
      <c r="J26" s="186"/>
      <c r="K26" s="186"/>
      <c r="L26" s="184"/>
      <c r="M26" s="200"/>
      <c r="N26" s="186"/>
      <c r="P26" s="187"/>
      <c r="Q26" s="186"/>
      <c r="R26" s="182"/>
    </row>
    <row r="27" spans="2:19" s="167" customFormat="1" x14ac:dyDescent="0.2">
      <c r="B27" s="201" t="s">
        <v>250</v>
      </c>
      <c r="C27" s="202"/>
      <c r="D27" s="202"/>
      <c r="E27" s="202"/>
      <c r="F27" s="195"/>
      <c r="G27" s="186"/>
      <c r="I27" s="195"/>
      <c r="J27" s="186"/>
      <c r="K27" s="186"/>
      <c r="L27" s="184"/>
      <c r="M27" s="200"/>
      <c r="N27" s="186"/>
      <c r="P27" s="195"/>
      <c r="Q27" s="186"/>
      <c r="R27" s="199"/>
    </row>
    <row r="28" spans="2:19" s="167" customFormat="1" x14ac:dyDescent="0.2">
      <c r="B28" s="193" t="s">
        <v>251</v>
      </c>
      <c r="C28" s="193"/>
      <c r="D28" s="195">
        <f>D11+D12</f>
        <v>805706664.94220936</v>
      </c>
      <c r="E28" s="195"/>
      <c r="F28" s="195">
        <f>F11+F12</f>
        <v>-18672622.725200001</v>
      </c>
      <c r="G28" s="182">
        <f t="shared" ref="G28:G35" si="9">F28/$D28</f>
        <v>-2.3175460173882671E-2</v>
      </c>
      <c r="I28" s="195">
        <f>I11+I12</f>
        <v>32056800.58953001</v>
      </c>
      <c r="J28" s="182">
        <f t="shared" ref="J28:J35" si="10">I28/$D28</f>
        <v>3.9787185565641731E-2</v>
      </c>
      <c r="K28" s="182"/>
      <c r="L28" s="184">
        <f>L11+L12</f>
        <v>-70342.07190999981</v>
      </c>
      <c r="M28" s="185">
        <f t="shared" ref="M28:M35" si="11">L28/$D28</f>
        <v>-8.7304815723530366E-5</v>
      </c>
      <c r="N28" s="182"/>
      <c r="O28" s="186">
        <f t="shared" ref="O28:O34" si="12">SUM(D28,F28,I28)</f>
        <v>819090842.8065393</v>
      </c>
      <c r="P28" s="195">
        <f>P11+P12</f>
        <v>13313835.792419972</v>
      </c>
      <c r="Q28" s="182">
        <f t="shared" ref="Q28:Q35" si="13">P28/$D28</f>
        <v>1.6524420576035485E-2</v>
      </c>
      <c r="R28" s="182"/>
      <c r="S28" s="203"/>
    </row>
    <row r="29" spans="2:19" s="167" customFormat="1" x14ac:dyDescent="0.2">
      <c r="B29" s="193" t="s">
        <v>252</v>
      </c>
      <c r="C29" s="193"/>
      <c r="D29" s="195">
        <f>D13+D18</f>
        <v>282552164.15650755</v>
      </c>
      <c r="E29" s="195"/>
      <c r="F29" s="195">
        <f>F13+F18</f>
        <v>-6587079.5457999995</v>
      </c>
      <c r="G29" s="182">
        <f t="shared" si="9"/>
        <v>-2.3312790986627769E-2</v>
      </c>
      <c r="I29" s="195">
        <f>I13+I18</f>
        <v>11238374.325900001</v>
      </c>
      <c r="J29" s="182">
        <f t="shared" si="10"/>
        <v>3.9774511582487793E-2</v>
      </c>
      <c r="K29" s="182"/>
      <c r="L29" s="184">
        <f>L13+L18</f>
        <v>-29512.349159999983</v>
      </c>
      <c r="M29" s="185">
        <f t="shared" si="11"/>
        <v>-1.0444920585939273E-4</v>
      </c>
      <c r="N29" s="182"/>
      <c r="O29" s="186">
        <f t="shared" si="12"/>
        <v>287203458.9366076</v>
      </c>
      <c r="P29" s="195">
        <f>P13+P18</f>
        <v>4621782.4309400013</v>
      </c>
      <c r="Q29" s="182">
        <f t="shared" si="13"/>
        <v>1.6357271390000625E-2</v>
      </c>
      <c r="R29" s="182"/>
    </row>
    <row r="30" spans="2:19" s="167" customFormat="1" x14ac:dyDescent="0.2">
      <c r="B30" s="193" t="s">
        <v>253</v>
      </c>
      <c r="C30" s="193"/>
      <c r="D30" s="195">
        <f>D14+D19</f>
        <v>55975402.671898596</v>
      </c>
      <c r="E30" s="195"/>
      <c r="F30" s="195">
        <f>F14+F19</f>
        <v>-1195529.92</v>
      </c>
      <c r="G30" s="182">
        <f t="shared" si="9"/>
        <v>-2.1358129873716717E-2</v>
      </c>
      <c r="I30" s="195">
        <f>I14+I19</f>
        <v>2040806.9337499999</v>
      </c>
      <c r="J30" s="182">
        <f t="shared" si="10"/>
        <v>3.6458995135992989E-2</v>
      </c>
      <c r="K30" s="182"/>
      <c r="L30" s="184">
        <f>L14+L19</f>
        <v>-4682.3378699999885</v>
      </c>
      <c r="M30" s="185">
        <f t="shared" si="11"/>
        <v>-8.3649918473041531E-5</v>
      </c>
      <c r="N30" s="182"/>
      <c r="O30" s="186">
        <f t="shared" si="12"/>
        <v>56820679.68564859</v>
      </c>
      <c r="P30" s="195">
        <f>P14+P19</f>
        <v>840594.6758799972</v>
      </c>
      <c r="Q30" s="182">
        <f t="shared" si="13"/>
        <v>1.5017215343803181E-2</v>
      </c>
      <c r="R30" s="182"/>
    </row>
    <row r="31" spans="2:19" s="167" customFormat="1" x14ac:dyDescent="0.2">
      <c r="B31" s="193" t="s">
        <v>254</v>
      </c>
      <c r="C31" s="193"/>
      <c r="D31" s="195">
        <f>D15+D20</f>
        <v>14249069.085964853</v>
      </c>
      <c r="E31" s="195"/>
      <c r="F31" s="195">
        <f>F15+F20</f>
        <v>-569667.57120000012</v>
      </c>
      <c r="G31" s="182">
        <f t="shared" si="9"/>
        <v>-3.9979283401826951E-2</v>
      </c>
      <c r="I31" s="195">
        <f>I15+I20</f>
        <v>992536.19136000006</v>
      </c>
      <c r="J31" s="182">
        <f t="shared" si="10"/>
        <v>6.9656213003952319E-2</v>
      </c>
      <c r="K31" s="182"/>
      <c r="L31" s="184">
        <f>L15+L20</f>
        <v>107.45377999999982</v>
      </c>
      <c r="M31" s="185">
        <f t="shared" si="11"/>
        <v>7.5411087806318796E-6</v>
      </c>
      <c r="N31" s="182"/>
      <c r="O31" s="186">
        <f t="shared" si="12"/>
        <v>14671937.706124853</v>
      </c>
      <c r="P31" s="195">
        <f>P15+P20</f>
        <v>422976.0739400005</v>
      </c>
      <c r="Q31" s="182">
        <f t="shared" si="13"/>
        <v>2.9684470710906047E-2</v>
      </c>
      <c r="R31" s="182"/>
    </row>
    <row r="32" spans="2:19" s="167" customFormat="1" x14ac:dyDescent="0.2">
      <c r="B32" s="193" t="s">
        <v>255</v>
      </c>
      <c r="C32" s="193"/>
      <c r="D32" s="195">
        <f>D16+D21</f>
        <v>3773732.6442614752</v>
      </c>
      <c r="E32" s="195"/>
      <c r="F32" s="195">
        <f>F16+F21</f>
        <v>-39260.671699999999</v>
      </c>
      <c r="G32" s="182">
        <f t="shared" si="9"/>
        <v>-1.0403670689205214E-2</v>
      </c>
      <c r="I32" s="195">
        <f>I16+I21</f>
        <v>69237.1351</v>
      </c>
      <c r="J32" s="182">
        <f t="shared" si="10"/>
        <v>1.8347122498273801E-2</v>
      </c>
      <c r="K32" s="182"/>
      <c r="L32" s="184">
        <f>L16+L21</f>
        <v>0</v>
      </c>
      <c r="M32" s="185">
        <f t="shared" si="11"/>
        <v>0</v>
      </c>
      <c r="N32" s="182"/>
      <c r="O32" s="186">
        <f t="shared" si="12"/>
        <v>3803709.1076614754</v>
      </c>
      <c r="P32" s="195">
        <f>P16+P21</f>
        <v>29976.463400000037</v>
      </c>
      <c r="Q32" s="182">
        <f t="shared" si="13"/>
        <v>7.9434518090685975E-3</v>
      </c>
      <c r="R32" s="182"/>
    </row>
    <row r="33" spans="2:18" s="167" customFormat="1" x14ac:dyDescent="0.2">
      <c r="B33" s="193" t="s">
        <v>256</v>
      </c>
      <c r="C33" s="193"/>
      <c r="D33" s="195">
        <f>D17+D22</f>
        <v>18263709.971188735</v>
      </c>
      <c r="E33" s="195"/>
      <c r="F33" s="195">
        <f>F17+F22</f>
        <v>-372107.84825031564</v>
      </c>
      <c r="G33" s="182">
        <f t="shared" si="9"/>
        <v>-2.0374165426264496E-2</v>
      </c>
      <c r="I33" s="195">
        <f>I17+I22</f>
        <v>631581.43910169613</v>
      </c>
      <c r="J33" s="182">
        <f t="shared" si="10"/>
        <v>3.4581223645032959E-2</v>
      </c>
      <c r="K33" s="182"/>
      <c r="L33" s="184">
        <f>L17+L22</f>
        <v>-517.84840591355191</v>
      </c>
      <c r="M33" s="185">
        <f t="shared" si="11"/>
        <v>-2.8353954740327413E-5</v>
      </c>
      <c r="N33" s="182"/>
      <c r="O33" s="186">
        <f t="shared" si="12"/>
        <v>18523183.562040117</v>
      </c>
      <c r="P33" s="195">
        <f>P17+P22</f>
        <v>258955.74244546611</v>
      </c>
      <c r="Q33" s="182">
        <f t="shared" si="13"/>
        <v>1.4178704264028093E-2</v>
      </c>
      <c r="R33" s="182"/>
    </row>
    <row r="34" spans="2:18" s="167" customFormat="1" x14ac:dyDescent="0.2">
      <c r="B34" s="193" t="s">
        <v>16</v>
      </c>
      <c r="C34" s="193"/>
      <c r="D34" s="195">
        <f>D23</f>
        <v>1676822.7883708156</v>
      </c>
      <c r="E34" s="195"/>
      <c r="F34" s="195">
        <f>F23</f>
        <v>0</v>
      </c>
      <c r="G34" s="182">
        <f t="shared" si="9"/>
        <v>0</v>
      </c>
      <c r="I34" s="195">
        <f>I23</f>
        <v>0</v>
      </c>
      <c r="J34" s="182">
        <f t="shared" si="10"/>
        <v>0</v>
      </c>
      <c r="K34" s="182"/>
      <c r="L34" s="184">
        <f>L23</f>
        <v>0</v>
      </c>
      <c r="M34" s="185">
        <f t="shared" si="11"/>
        <v>0</v>
      </c>
      <c r="N34" s="182"/>
      <c r="O34" s="186">
        <f t="shared" si="12"/>
        <v>1676822.7883708156</v>
      </c>
      <c r="P34" s="195">
        <f>P23</f>
        <v>0</v>
      </c>
      <c r="Q34" s="182">
        <f t="shared" si="13"/>
        <v>0</v>
      </c>
      <c r="R34" s="182"/>
    </row>
    <row r="35" spans="2:18" s="167" customFormat="1" x14ac:dyDescent="0.2">
      <c r="B35" s="193" t="s">
        <v>257</v>
      </c>
      <c r="C35" s="193"/>
      <c r="D35" s="204">
        <f>SUM(D28:D34)</f>
        <v>1182197566.2604015</v>
      </c>
      <c r="E35" s="205"/>
      <c r="F35" s="206">
        <f>SUM(F28:F34)</f>
        <v>-27436268.282150313</v>
      </c>
      <c r="G35" s="190">
        <f t="shared" si="9"/>
        <v>-2.3207853801406789E-2</v>
      </c>
      <c r="I35" s="206">
        <f>SUM(I28:I34)</f>
        <v>47029336.614741705</v>
      </c>
      <c r="J35" s="190">
        <f t="shared" si="10"/>
        <v>3.978128356625512E-2</v>
      </c>
      <c r="K35" s="182"/>
      <c r="L35" s="191">
        <f>SUM(L28:L34)</f>
        <v>-104947.15356591334</v>
      </c>
      <c r="M35" s="192">
        <f t="shared" si="11"/>
        <v>-8.8772939956126358E-5</v>
      </c>
      <c r="N35" s="182"/>
      <c r="O35" s="206">
        <f>SUM(O28:O34)</f>
        <v>1201790634.5929928</v>
      </c>
      <c r="P35" s="206">
        <f>SUM(P28:P34)</f>
        <v>19488121.179025434</v>
      </c>
      <c r="Q35" s="190">
        <f t="shared" si="13"/>
        <v>1.6484656824892165E-2</v>
      </c>
      <c r="R35" s="182"/>
    </row>
    <row r="36" spans="2:18" s="167" customFormat="1" x14ac:dyDescent="0.2">
      <c r="B36" s="193"/>
      <c r="C36" s="193"/>
      <c r="D36" s="193"/>
      <c r="E36" s="193"/>
      <c r="F36" s="195"/>
      <c r="G36" s="187"/>
      <c r="I36" s="195"/>
      <c r="J36" s="187"/>
      <c r="K36" s="187"/>
      <c r="L36" s="187"/>
      <c r="M36" s="187"/>
      <c r="N36" s="187"/>
      <c r="P36" s="195"/>
      <c r="Q36" s="187"/>
      <c r="R36" s="182"/>
    </row>
    <row r="37" spans="2:18" x14ac:dyDescent="0.2">
      <c r="B37" s="193" t="s">
        <v>268</v>
      </c>
      <c r="F37" s="207"/>
      <c r="G37" s="207"/>
      <c r="J37" s="187"/>
      <c r="K37" s="187"/>
      <c r="L37" s="187"/>
      <c r="M37" s="187"/>
      <c r="N37" s="187"/>
      <c r="P37" s="207"/>
    </row>
    <row r="38" spans="2:18" x14ac:dyDescent="0.2">
      <c r="B38" s="208" t="s">
        <v>260</v>
      </c>
    </row>
  </sheetData>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4:G24"/>
  <sheetViews>
    <sheetView workbookViewId="0">
      <selection sqref="A1:XFD1048576"/>
    </sheetView>
  </sheetViews>
  <sheetFormatPr defaultRowHeight="11.25" x14ac:dyDescent="0.2"/>
  <cols>
    <col min="1" max="2" width="9.140625" style="155"/>
    <col min="3" max="3" width="41.7109375" style="155" bestFit="1" customWidth="1"/>
    <col min="4" max="4" width="11.5703125" style="155" bestFit="1" customWidth="1"/>
    <col min="5" max="6" width="11.5703125" style="155" customWidth="1"/>
    <col min="7" max="16384" width="9.140625" style="155"/>
  </cols>
  <sheetData>
    <row r="4" spans="1:7" x14ac:dyDescent="0.2">
      <c r="A4" s="154"/>
      <c r="B4" s="154"/>
      <c r="C4" s="154"/>
      <c r="D4" s="154"/>
      <c r="E4" s="154"/>
      <c r="F4" s="154"/>
      <c r="G4" s="154"/>
    </row>
    <row r="5" spans="1:7" x14ac:dyDescent="0.2">
      <c r="A5" s="154"/>
      <c r="B5" s="154"/>
      <c r="C5" s="154"/>
      <c r="D5" s="154"/>
      <c r="E5" s="154"/>
      <c r="F5" s="154"/>
      <c r="G5" s="154"/>
    </row>
    <row r="6" spans="1:7" x14ac:dyDescent="0.2">
      <c r="A6" s="154"/>
      <c r="B6" s="156" t="s">
        <v>14</v>
      </c>
      <c r="C6" s="156"/>
      <c r="D6" s="156"/>
      <c r="E6" s="156"/>
      <c r="F6" s="156"/>
      <c r="G6" s="154"/>
    </row>
    <row r="7" spans="1:7" x14ac:dyDescent="0.2">
      <c r="A7" s="154"/>
      <c r="B7" s="156" t="s">
        <v>284</v>
      </c>
      <c r="C7" s="156"/>
      <c r="D7" s="156"/>
      <c r="E7" s="156"/>
      <c r="F7" s="156"/>
      <c r="G7" s="154"/>
    </row>
    <row r="8" spans="1:7" x14ac:dyDescent="0.2">
      <c r="A8" s="154"/>
      <c r="B8" s="156" t="s">
        <v>283</v>
      </c>
      <c r="C8" s="156"/>
      <c r="D8" s="156"/>
      <c r="E8" s="156"/>
      <c r="F8" s="156"/>
      <c r="G8" s="154"/>
    </row>
    <row r="9" spans="1:7" x14ac:dyDescent="0.2">
      <c r="A9" s="154"/>
      <c r="B9" s="156" t="s">
        <v>282</v>
      </c>
      <c r="C9" s="156"/>
      <c r="D9" s="156"/>
      <c r="E9" s="156"/>
      <c r="F9" s="156"/>
      <c r="G9" s="154"/>
    </row>
    <row r="10" spans="1:7" x14ac:dyDescent="0.2">
      <c r="A10" s="154"/>
      <c r="B10" s="157" t="s">
        <v>281</v>
      </c>
      <c r="C10" s="157"/>
      <c r="D10" s="157"/>
      <c r="E10" s="157"/>
      <c r="F10" s="157"/>
      <c r="G10" s="154"/>
    </row>
    <row r="11" spans="1:7" x14ac:dyDescent="0.2">
      <c r="A11" s="154"/>
      <c r="B11" s="154"/>
      <c r="C11" s="158"/>
      <c r="D11" s="158"/>
      <c r="E11" s="158"/>
      <c r="F11" s="158"/>
      <c r="G11" s="154"/>
    </row>
    <row r="12" spans="1:7" x14ac:dyDescent="0.2">
      <c r="A12" s="154"/>
      <c r="B12" s="154"/>
      <c r="C12" s="154"/>
      <c r="D12" s="154"/>
      <c r="E12" s="154"/>
      <c r="F12" s="154"/>
      <c r="G12" s="154"/>
    </row>
    <row r="13" spans="1:7" x14ac:dyDescent="0.2">
      <c r="A13" s="154"/>
      <c r="B13" s="159" t="s">
        <v>280</v>
      </c>
      <c r="C13" s="159"/>
      <c r="D13" s="159" t="s">
        <v>279</v>
      </c>
      <c r="E13" s="154"/>
      <c r="F13" s="159" t="s">
        <v>278</v>
      </c>
      <c r="G13" s="154"/>
    </row>
    <row r="14" spans="1:7" x14ac:dyDescent="0.2">
      <c r="A14" s="154"/>
      <c r="B14" s="160" t="s">
        <v>277</v>
      </c>
      <c r="C14" s="160" t="s">
        <v>276</v>
      </c>
      <c r="D14" s="160" t="s">
        <v>275</v>
      </c>
      <c r="E14" s="160" t="s">
        <v>274</v>
      </c>
      <c r="F14" s="160" t="s">
        <v>274</v>
      </c>
      <c r="G14" s="154"/>
    </row>
    <row r="15" spans="1:7" x14ac:dyDescent="0.2">
      <c r="A15" s="154"/>
      <c r="B15" s="154"/>
      <c r="C15" s="154"/>
      <c r="D15" s="154"/>
      <c r="E15" s="154"/>
      <c r="F15" s="154"/>
      <c r="G15" s="154"/>
    </row>
    <row r="16" spans="1:7" x14ac:dyDescent="0.2">
      <c r="A16" s="154"/>
      <c r="B16" s="161">
        <v>1</v>
      </c>
      <c r="C16" s="154" t="s">
        <v>273</v>
      </c>
      <c r="D16" s="162">
        <v>0.51</v>
      </c>
      <c r="E16" s="162">
        <v>0.05</v>
      </c>
      <c r="F16" s="162">
        <f>ROUND(D16*E16,4)</f>
        <v>2.5499999999999998E-2</v>
      </c>
      <c r="G16" s="154"/>
    </row>
    <row r="17" spans="1:7" x14ac:dyDescent="0.2">
      <c r="A17" s="154"/>
      <c r="B17" s="161">
        <f t="shared" ref="B17:B22" si="0">+B16+1</f>
        <v>2</v>
      </c>
      <c r="C17" s="154" t="s">
        <v>270</v>
      </c>
      <c r="D17" s="162">
        <v>0.49</v>
      </c>
      <c r="E17" s="162">
        <v>9.4E-2</v>
      </c>
      <c r="F17" s="162">
        <f>ROUND(D17*E17,4)</f>
        <v>4.6100000000000002E-2</v>
      </c>
      <c r="G17" s="154"/>
    </row>
    <row r="18" spans="1:7" x14ac:dyDescent="0.2">
      <c r="A18" s="154"/>
      <c r="B18" s="161">
        <f t="shared" si="0"/>
        <v>3</v>
      </c>
      <c r="C18" s="154" t="s">
        <v>272</v>
      </c>
      <c r="D18" s="163">
        <f>SUM(D16:D17)</f>
        <v>1</v>
      </c>
      <c r="E18" s="164"/>
      <c r="F18" s="165">
        <f>SUM(F16:F17)</f>
        <v>7.1599999999999997E-2</v>
      </c>
      <c r="G18" s="154"/>
    </row>
    <row r="19" spans="1:7" x14ac:dyDescent="0.2">
      <c r="A19" s="154"/>
      <c r="B19" s="161">
        <f t="shared" si="0"/>
        <v>4</v>
      </c>
      <c r="C19" s="154"/>
      <c r="D19" s="154"/>
      <c r="E19" s="154"/>
      <c r="F19" s="154"/>
      <c r="G19" s="154"/>
    </row>
    <row r="20" spans="1:7" x14ac:dyDescent="0.2">
      <c r="A20" s="154"/>
      <c r="B20" s="161">
        <f t="shared" si="0"/>
        <v>5</v>
      </c>
      <c r="C20" s="154" t="s">
        <v>271</v>
      </c>
      <c r="D20" s="162">
        <f>+D16</f>
        <v>0.51</v>
      </c>
      <c r="E20" s="162">
        <f>E16*0.79</f>
        <v>3.9500000000000007E-2</v>
      </c>
      <c r="F20" s="162">
        <f>ROUND(F16*0.79,4)</f>
        <v>2.01E-2</v>
      </c>
      <c r="G20" s="154"/>
    </row>
    <row r="21" spans="1:7" x14ac:dyDescent="0.2">
      <c r="A21" s="154"/>
      <c r="B21" s="161">
        <f t="shared" si="0"/>
        <v>6</v>
      </c>
      <c r="C21" s="154" t="s">
        <v>270</v>
      </c>
      <c r="D21" s="162">
        <f>+D17</f>
        <v>0.49</v>
      </c>
      <c r="E21" s="162">
        <f>+E17</f>
        <v>9.4E-2</v>
      </c>
      <c r="F21" s="162">
        <f>ROUND(D21*E21,4)</f>
        <v>4.6100000000000002E-2</v>
      </c>
      <c r="G21" s="154"/>
    </row>
    <row r="22" spans="1:7" x14ac:dyDescent="0.2">
      <c r="A22" s="154"/>
      <c r="B22" s="161">
        <f t="shared" si="0"/>
        <v>7</v>
      </c>
      <c r="C22" s="154" t="s">
        <v>269</v>
      </c>
      <c r="D22" s="163">
        <f>SUM(D20:D21)</f>
        <v>1</v>
      </c>
      <c r="E22" s="164"/>
      <c r="F22" s="165">
        <f>SUM(F20:F21)</f>
        <v>6.6200000000000009E-2</v>
      </c>
      <c r="G22" s="154"/>
    </row>
    <row r="23" spans="1:7" x14ac:dyDescent="0.2">
      <c r="A23" s="154"/>
      <c r="B23" s="154"/>
      <c r="C23" s="154"/>
      <c r="D23" s="154"/>
      <c r="E23" s="154"/>
      <c r="F23" s="154"/>
      <c r="G23" s="154"/>
    </row>
    <row r="24" spans="1:7" x14ac:dyDescent="0.2">
      <c r="A24" s="154"/>
      <c r="B24" s="154"/>
      <c r="C24" s="154"/>
      <c r="D24" s="154"/>
      <c r="E24" s="154"/>
      <c r="F24" s="154"/>
      <c r="G24" s="154"/>
    </row>
  </sheetData>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A4801E20E0A1144990DA28540514F1C" ma:contentTypeVersion="16" ma:contentTypeDescription="" ma:contentTypeScope="" ma:versionID="d2e5ce1c5de2c4044c27d7ed03a602d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2024-01-03T08:00:00+00:00</OpenedDate>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240005</DocketNumber>
    <DelegatedOrder xmlns="dc463f71-b30c-4ab2-9473-d307f9d35888">false</DelegatedOrder>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278366-C49F-4799-B6CA-5D7AB5540522}"/>
</file>

<file path=customXml/itemProps2.xml><?xml version="1.0" encoding="utf-8"?>
<ds:datastoreItem xmlns:ds="http://schemas.openxmlformats.org/officeDocument/2006/customXml" ds:itemID="{111E86BB-7057-48C3-A285-B546D6B593B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5963DF25-4FDA-491E-966B-04695EEB8EBD}"/>
</file>

<file path=customXml/itemProps4.xml><?xml version="1.0" encoding="utf-8"?>
<ds:datastoreItem xmlns:ds="http://schemas.openxmlformats.org/officeDocument/2006/customXml" ds:itemID="{7DCF0B88-D443-4045-8DC7-AFDEF4CFAC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PSE-Electric Summary </vt:lpstr>
      <vt:lpstr>PSE-Gas Summary</vt:lpstr>
      <vt:lpstr>2022 GRC-&gt;&gt;</vt:lpstr>
      <vt:lpstr>E Rate Impacts_RY#1</vt:lpstr>
      <vt:lpstr>E Rate Impacts_RY#2</vt:lpstr>
      <vt:lpstr>G Rate Impacts_RY#1</vt:lpstr>
      <vt:lpstr>G Rate Impacts_RY#2</vt:lpstr>
      <vt:lpstr>ROR</vt:lpstr>
      <vt:lpstr>'G Rate Impacts_RY#1'!Print_Area</vt:lpstr>
      <vt:lpstr>'G Rate Impacts_RY#2'!Print_Area</vt:lpstr>
      <vt:lpstr>'PSE-Electric Summary '!Print_Area</vt:lpstr>
      <vt:lpstr>'PSE-Gas Summary'!Print_Area</vt:lpstr>
      <vt:lpstr>'PSE-Electric Summary '!Print_Titles</vt:lpstr>
      <vt:lpstr>'PSE-Gas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Barnard, Katherine</dc:creator>
  <cp:lastModifiedBy>Schmidt, Paul</cp:lastModifiedBy>
  <cp:lastPrinted>2024-02-13T18:51:10Z</cp:lastPrinted>
  <dcterms:created xsi:type="dcterms:W3CDTF">2017-01-12T21:34:40Z</dcterms:created>
  <dcterms:modified xsi:type="dcterms:W3CDTF">2024-02-13T19:55:21Z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0x0101006E56B4D1795A2E4DB2F0B01679ED314A00DA4801E20E0A1144990DA28540514F1C</vt:lpwstr>
  </property>
  <property fmtid="{D5CDD505-2E9C-101B-9397-08002B2CF9AE}" pid="3" name="_docset_NoMedatataSyncRequired">
    <vt:lpwstr>False</vt:lpwstr>
  </property>
  <property fmtid="{D5CDD505-2E9C-101B-9397-08002B2CF9AE}" pid="4" name="IsEFSEC">
    <vt:bool>false</vt:bool>
  </property>
</Properties>
</file>