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8_{500014E1-DE4A-4C7F-A3CC-B2C5CFE1D6C4}" xr6:coauthVersionLast="31" xr6:coauthVersionMax="31" xr10:uidLastSave="{00000000-0000-0000-0000-000000000000}"/>
  <bookViews>
    <workbookView xWindow="0" yWindow="0" windowWidth="25200" windowHeight="11775" xr2:uid="{00000000-000D-0000-FFFF-FFFF00000000}"/>
  </bookViews>
  <sheets>
    <sheet name="Exh. JAP-8 Page 1" sheetId="1" r:id="rId1"/>
    <sheet name="Exh. JAP-8 Page 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1">0</definedName>
    <definedName name="_Order1">255</definedName>
    <definedName name="_Order2" localSheetId="1">0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'[23]Mix Variance'!$B$1:$N$31</definedName>
    <definedName name="Data.Avg">'[22]Avg Amts'!$A$5:$BP$34</definedName>
    <definedName name="Data.Qtrs.Avg">'[22]Avg Amts'!$A$5:$IV$5</definedName>
    <definedName name="data1">'[24]Mix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[25]Inputs!$D$11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'[26]Assumptions of Purchase'!$B$45</definedName>
    <definedName name="DisFac">'[7]Func Dist Factor Table'!$A$11:$G$25</definedName>
    <definedName name="DocketNumber">'[27]JHS-4'!$AP$2</definedName>
    <definedName name="DP.T">[4]INTERNAL!$A$46:$IV$48</definedName>
    <definedName name="EBFIT.T">[4]INTERNAL!$A$88:$IV$90</definedName>
    <definedName name="EffTax">[18]INPUTS!$F$36</definedName>
    <definedName name="Electric_Prices">'[28]Monthly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[25]Inputs!$D$12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eb04AMA">[1]BS!$AE$7:$AE$3582</definedName>
    <definedName name="Feb09AMA">[2]BS!$AL$7:$AL$1725</definedName>
    <definedName name="Feb10AMA">[2]BS!$AX$7:$AX$1726</definedName>
    <definedName name="Fed_Cap_Tax">[29]Inputs!$E$112</definedName>
    <definedName name="FedTaxRate">[9]Assumptions!$C$33</definedName>
    <definedName name="FERC_Lookup">'[30]Map Table'!$E$2:$F$58</definedName>
    <definedName name="FIT">'[31]ROR &amp; CONV FACTOR'!$J$20</definedName>
    <definedName name="FIT_Tax_Rate">'[12]Assumptions (Input)'!$B$5</definedName>
    <definedName name="FranchiseTax">[11]Variables!$D$26</definedName>
    <definedName name="FTAX">[18]INPUTS!$F$35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 localSheetId="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[32]Inputs!$N$18</definedName>
    <definedName name="JP_Bal">[33]ACCOUNTS!$AG$31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_Docket_Number">'[19]KJB-12 Sum'!$AS$2</definedName>
    <definedName name="k_FITrate">'[19]KJB-3,11 Def'!$L$20</definedName>
    <definedName name="keep_Docket_Number">'[34]KJB-3 Sum'!$AQ$2</definedName>
    <definedName name="keep_FIT">'[34]KJB-7 Def'!$L$20</definedName>
    <definedName name="keep_KJB_3_Rate_Increase">'[34]KJB-7 Def'!$C$3</definedName>
    <definedName name="keep_KJB_4_Electric_Summary">'[34]KJB-3 Sum'!$AQ$3</definedName>
    <definedName name="keep_KJB_8_Common_Adjs">'[34]KJB-5 Cmn Adj'!$L$3</definedName>
    <definedName name="keep_KJB_9_Electric_Only">'[34]KJB-5 El Adj'!$E$3</definedName>
    <definedName name="keep_PSE">'[35]Gas Summary'!$I$5</definedName>
    <definedName name="keep_TESTYEAR">'[35]Gas Detail Pages'!$A$8</definedName>
    <definedName name="kp_DOCKET">'[35]Gas Detail Pages'!$A$9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[33]ACCOUNTS!$AG$167</definedName>
    <definedName name="LoadArray">'[36]Load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[37]M9100F4!$A$1:$V$99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[38]!menu1_Button5_Click</definedName>
    <definedName name="menu1_Button6_Click">[38]!menu1_Button6_Click</definedName>
    <definedName name="MERGER_COST">[39]Sheet1!$AF$3:$AJ$28</definedName>
    <definedName name="METER">[4]EXTERNAL!$A$34:$IV$36</definedName>
    <definedName name="Method">[10]Inputs!$C$6</definedName>
    <definedName name="monthlist">[40]Table!$R$2:$S$13</definedName>
    <definedName name="monthtotals">'[40]WA SBC'!$D$40:$O$40</definedName>
    <definedName name="MTD_Format">[41]Mthly!$B$11:$D$11,[41]Mthly!$B$32:$D$32</definedName>
    <definedName name="MTR_YR3">[42]Variables!$E$14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[43]Inputs!$N$18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'[44]Dist Misc'!$F$120</definedName>
    <definedName name="OthRCF">[45]INPUTS!$F$41</definedName>
    <definedName name="OthUnc">[4]INPUTS!$F$36</definedName>
    <definedName name="outlookdata">'[46]pivoted data'!$D$3:$Q$90</definedName>
    <definedName name="peak_new_table">'[47]2008 Extreme Peaks - 080403'!$E$5:$AD$8</definedName>
    <definedName name="peak_table">'[47]Peaks-F01'!$C$5:$E$243</definedName>
    <definedName name="PeakMethod">[10]Inputs!$T$5</definedName>
    <definedName name="Percent_debt">[29]Inputs!$E$129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'[28]Monthly Price Summary'!$C$4:$H$63</definedName>
    <definedName name="_xlnm.Print_Area" localSheetId="0">'Exh. JAP-8 Page 1'!$B$1:$R$43</definedName>
    <definedName name="_xlnm.Print_Area" localSheetId="1">'Exh. JAP-8 Page 2'!$B$1:$H$39</definedName>
    <definedName name="Prior_Month">[48]Sch_120!$I$21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[49]Sheet1!$A$1147:$B$1887</definedName>
    <definedName name="Prov_Cap_Tax">[29]Inputs!$E$111</definedName>
    <definedName name="PSE">'[50]4.04'!$A$6</definedName>
    <definedName name="PSE_Pre_Tax_Equity_Rate">'[26]Assumptions of Purchase'!$B$42</definedName>
    <definedName name="PTDGP.T">[4]INTERNAL!$A$64:$IV$66</definedName>
    <definedName name="PTDP.T">[4]INTERNAL!$A$67:$IV$69</definedName>
    <definedName name="QTD_Format">[51]QTD!$B$11:$D$11,[51]QTD!$B$35:$D$35</definedName>
    <definedName name="RATE2">'[20]Transp Data'!$A$8:$I$112</definedName>
    <definedName name="Rates">[52]Codes!$A$1:$C$500</definedName>
    <definedName name="RB.T">[4]INTERNAL!$A$70:$IV$72</definedName>
    <definedName name="RCF">[33]INPUTS!$F$48</definedName>
    <definedName name="Requlated_scenario">'[12]Assumptions (Input)'!$B$12</definedName>
    <definedName name="ResExchCrRate">[53]Sch_194!$M$31</definedName>
    <definedName name="RESID">[4]EXTERNAL!$A$88:$IV$90</definedName>
    <definedName name="resource_lookup">'[54]#REF'!$B$3:$C$112</definedName>
    <definedName name="ResourceSupplier">[11]Variables!$D$28</definedName>
    <definedName name="ResRCF">[18]INPUTS!$F$44</definedName>
    <definedName name="ResUnc">[18]INPUTS!$F$39</definedName>
    <definedName name="RevClass">[52]Codes!$F$2:$G$10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[45]INPUTS!$F$40</definedName>
    <definedName name="SbUnc">[4]INPUTS!$F$35</definedName>
    <definedName name="Sch194Rlfwd">'[55]Sch94 Rlfwd'!$B$11</definedName>
    <definedName name="Schedule">[43]Inputs!$N$14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[18]INPUTS!$F$34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'[27]JHS-6'!$A$7</definedName>
    <definedName name="TFR">[4]CLASSIFIERS!$A$11:$IV$11</definedName>
    <definedName name="ThermalBookLife">[9]Assumptions!$C$25</definedName>
    <definedName name="Title">[9]Assumptions!$A$1</definedName>
    <definedName name="Total_Payment">Scheduled_Payment+Extra_Payment</definedName>
    <definedName name="TotalRateBase">'[7]G+T+D+R+M'!$H$58</definedName>
    <definedName name="TP.T">[4]INTERNAL!$A$91:$IV$93</definedName>
    <definedName name="transdb">'[56]Transp Unbilled'!$A$8:$E$174</definedName>
    <definedName name="TRANSM_2">[57]Transm2!$A$1:$M$461:'[57]10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inter">'[58]Input Tab'!$B$11</definedName>
    <definedName name="WinterPeak">'[59]Load Data'!$D$9:$H$12,'[59]Load Data'!$D$20:$H$22</definedName>
    <definedName name="WUTC_Docket_No._UG_11____">'[6]MJS-6'!$F$2</definedName>
    <definedName name="WUTC_FILING_FEE">'[6]MJS-7'!$O$15</definedName>
    <definedName name="Years_evaluated">'[60]Revison Inputs'!$B$6</definedName>
    <definedName name="YEFactors">[8]Factors!$S$3:$AG$99</definedName>
    <definedName name="YTD_Format">[51]YTD!$B$13:$D$13,[51]YTD!$B$36:$D$36</definedName>
  </definedNames>
  <calcPr calcId="179017"/>
</workbook>
</file>

<file path=xl/calcChain.xml><?xml version="1.0" encoding="utf-8"?>
<calcChain xmlns="http://schemas.openxmlformats.org/spreadsheetml/2006/main">
  <c r="D30" i="2" l="1"/>
  <c r="E30" i="2" s="1"/>
  <c r="G29" i="2"/>
  <c r="G28" i="2"/>
  <c r="G30" i="2" s="1"/>
  <c r="H30" i="2" s="1"/>
  <c r="G26" i="2"/>
  <c r="H26" i="2" s="1"/>
  <c r="E26" i="2"/>
  <c r="H24" i="2"/>
  <c r="G24" i="2"/>
  <c r="E24" i="2"/>
  <c r="D22" i="2"/>
  <c r="D37" i="2" s="1"/>
  <c r="G21" i="2"/>
  <c r="G20" i="2"/>
  <c r="G19" i="2"/>
  <c r="G17" i="2"/>
  <c r="G16" i="2"/>
  <c r="D13" i="2"/>
  <c r="H12" i="2"/>
  <c r="E12" i="2"/>
  <c r="G11" i="2"/>
  <c r="H11" i="2" s="1"/>
  <c r="E11" i="2"/>
  <c r="E39" i="1"/>
  <c r="J23" i="1"/>
  <c r="J26" i="1" s="1"/>
  <c r="P22" i="1"/>
  <c r="P36" i="1" s="1"/>
  <c r="E36" i="1"/>
  <c r="P21" i="1"/>
  <c r="R21" i="1" s="1"/>
  <c r="P20" i="1"/>
  <c r="R20" i="1" s="1"/>
  <c r="P19" i="1"/>
  <c r="R19" i="1" s="1"/>
  <c r="P18" i="1"/>
  <c r="R18" i="1" s="1"/>
  <c r="P17" i="1"/>
  <c r="R17" i="1" s="1"/>
  <c r="Q35" i="1"/>
  <c r="P16" i="1"/>
  <c r="P15" i="1"/>
  <c r="P34" i="1" s="1"/>
  <c r="E34" i="1"/>
  <c r="Q33" i="1"/>
  <c r="P14" i="1"/>
  <c r="P13" i="1"/>
  <c r="P32" i="1" s="1"/>
  <c r="E32" i="1"/>
  <c r="Q31" i="1"/>
  <c r="N23" i="1"/>
  <c r="N26" i="1" s="1"/>
  <c r="P12" i="1"/>
  <c r="M23" i="1"/>
  <c r="M26" i="1" s="1"/>
  <c r="P11" i="1"/>
  <c r="O23" i="1"/>
  <c r="O26" i="1" s="1"/>
  <c r="L23" i="1"/>
  <c r="L26" i="1" s="1"/>
  <c r="K23" i="1"/>
  <c r="K26" i="1" s="1"/>
  <c r="I23" i="1"/>
  <c r="I26" i="1" s="1"/>
  <c r="H23" i="1"/>
  <c r="H26" i="1" s="1"/>
  <c r="G23" i="1"/>
  <c r="G26" i="1" s="1"/>
  <c r="E30" i="1"/>
  <c r="D23" i="1"/>
  <c r="E13" i="2" l="1"/>
  <c r="E22" i="2"/>
  <c r="E31" i="2" s="1"/>
  <c r="G22" i="2"/>
  <c r="G31" i="2" s="1"/>
  <c r="R13" i="1"/>
  <c r="R15" i="1"/>
  <c r="R10" i="1"/>
  <c r="R22" i="1"/>
  <c r="H13" i="2"/>
  <c r="G37" i="2"/>
  <c r="H22" i="2"/>
  <c r="H31" i="2" s="1"/>
  <c r="R11" i="1"/>
  <c r="P31" i="1"/>
  <c r="R31" i="1" s="1"/>
  <c r="R12" i="1"/>
  <c r="P33" i="1"/>
  <c r="R33" i="1" s="1"/>
  <c r="R14" i="1"/>
  <c r="P35" i="1"/>
  <c r="R35" i="1" s="1"/>
  <c r="R16" i="1"/>
  <c r="F23" i="1"/>
  <c r="F26" i="1" s="1"/>
  <c r="P10" i="1"/>
  <c r="E23" i="1"/>
  <c r="E26" i="1" s="1"/>
  <c r="Q23" i="1"/>
  <c r="Q30" i="1"/>
  <c r="Q32" i="1"/>
  <c r="R32" i="1" s="1"/>
  <c r="Q34" i="1"/>
  <c r="R34" i="1" s="1"/>
  <c r="Q36" i="1"/>
  <c r="R36" i="1" s="1"/>
  <c r="Q39" i="1"/>
  <c r="P25" i="1"/>
  <c r="P39" i="1" s="1"/>
  <c r="E31" i="1"/>
  <c r="E37" i="1" s="1"/>
  <c r="E40" i="1" s="1"/>
  <c r="E33" i="1"/>
  <c r="E35" i="1"/>
  <c r="G13" i="2"/>
  <c r="D31" i="2"/>
  <c r="H33" i="2" l="1"/>
  <c r="H34" i="2" s="1"/>
  <c r="H35" i="2" s="1"/>
  <c r="R25" i="1"/>
  <c r="E33" i="2"/>
  <c r="R39" i="1"/>
  <c r="Q40" i="1"/>
  <c r="Q37" i="1"/>
  <c r="Q26" i="1"/>
  <c r="P30" i="1"/>
  <c r="P37" i="1" s="1"/>
  <c r="P40" i="1" s="1"/>
  <c r="P23" i="1"/>
  <c r="P26" i="1" s="1"/>
  <c r="R30" i="1" l="1"/>
  <c r="R23" i="1"/>
  <c r="R40" i="1"/>
  <c r="R26" i="1"/>
  <c r="R37" i="1"/>
</calcChain>
</file>

<file path=xl/sharedStrings.xml><?xml version="1.0" encoding="utf-8"?>
<sst xmlns="http://schemas.openxmlformats.org/spreadsheetml/2006/main" count="126" uniqueCount="102">
  <si>
    <t>Puget Sound Energy</t>
  </si>
  <si>
    <t>2018 Gas Expedited Rate Filing (ERF)</t>
  </si>
  <si>
    <t>Rate Change Impacts by Rate Schedule of Proposed Rate Changes</t>
  </si>
  <si>
    <t>Normalized</t>
  </si>
  <si>
    <t>Sched 142</t>
  </si>
  <si>
    <t>12ME Jun 2018</t>
  </si>
  <si>
    <t>Sched 141</t>
  </si>
  <si>
    <t>Rate</t>
  </si>
  <si>
    <t>Volume (Therms)</t>
  </si>
  <si>
    <t>Sched 101</t>
  </si>
  <si>
    <t>Sched 106</t>
  </si>
  <si>
    <t>Sched 120</t>
  </si>
  <si>
    <t>Sched 129</t>
  </si>
  <si>
    <t>Sched 132</t>
  </si>
  <si>
    <t>Sched 140</t>
  </si>
  <si>
    <t>Sched 141 ERF</t>
  </si>
  <si>
    <t>Rate Plan</t>
  </si>
  <si>
    <t>Decoupling</t>
  </si>
  <si>
    <t>Sched 149</t>
  </si>
  <si>
    <t>Total Normalized</t>
  </si>
  <si>
    <t>Revenue</t>
  </si>
  <si>
    <t>Percent</t>
  </si>
  <si>
    <t>Rate Class</t>
  </si>
  <si>
    <t>Schedule</t>
  </si>
  <si>
    <t>Jul 17 - Jun 18</t>
  </si>
  <si>
    <t>Margin Revenue (1)</t>
  </si>
  <si>
    <t>Change</t>
  </si>
  <si>
    <t>A</t>
  </si>
  <si>
    <t>B</t>
  </si>
  <si>
    <t>C</t>
  </si>
  <si>
    <t>D</t>
  </si>
  <si>
    <t>E</t>
  </si>
  <si>
    <t>F</t>
  </si>
  <si>
    <t>G</t>
  </si>
  <si>
    <t>H</t>
  </si>
  <si>
    <t xml:space="preserve">I </t>
  </si>
  <si>
    <t>J</t>
  </si>
  <si>
    <t>K</t>
  </si>
  <si>
    <t>L</t>
  </si>
  <si>
    <t>M</t>
  </si>
  <si>
    <t>N</t>
  </si>
  <si>
    <t>O</t>
  </si>
  <si>
    <t>P</t>
  </si>
  <si>
    <t>T= P/O</t>
  </si>
  <si>
    <t>Residential</t>
  </si>
  <si>
    <t>23,53</t>
  </si>
  <si>
    <t>Residential Gas Lights</t>
  </si>
  <si>
    <t>Commercial &amp; Industrial</t>
  </si>
  <si>
    <t>Large Volume</t>
  </si>
  <si>
    <t>Interruptible</t>
  </si>
  <si>
    <t>Limited Interruptible</t>
  </si>
  <si>
    <t>Non-exclusive Interruptible</t>
  </si>
  <si>
    <t>Commercial &amp; Industrial Transportation</t>
  </si>
  <si>
    <t>31T</t>
  </si>
  <si>
    <t>Large Volume Transportation</t>
  </si>
  <si>
    <t>41T</t>
  </si>
  <si>
    <t>Interruptible Transportation</t>
  </si>
  <si>
    <t>85T</t>
  </si>
  <si>
    <t>Limited Interruptible Transportation</t>
  </si>
  <si>
    <t>86T</t>
  </si>
  <si>
    <t>Non-exclusive Interruptible Transportation</t>
  </si>
  <si>
    <t>87T</t>
  </si>
  <si>
    <t>Contracts</t>
  </si>
  <si>
    <t>Total</t>
  </si>
  <si>
    <t>Rentals (2)</t>
  </si>
  <si>
    <t>By Customer Class</t>
  </si>
  <si>
    <t>Residential (16,23,53)</t>
  </si>
  <si>
    <t>Commercial &amp; industrial (31,31T)</t>
  </si>
  <si>
    <t>Large volume (41,41T)</t>
  </si>
  <si>
    <t>Interruptible (85,85T)</t>
  </si>
  <si>
    <t>Limited interruptible (86,86T)</t>
  </si>
  <si>
    <t>Non exclusive interruptible (87,87T)</t>
  </si>
  <si>
    <t>Subtotal</t>
  </si>
  <si>
    <t>Rentals</t>
  </si>
  <si>
    <t>Typical Residential Bill Impacts of Proposed Rate Changes</t>
  </si>
  <si>
    <t>Current Rates</t>
  </si>
  <si>
    <t>Schedule 141 Rate Change</t>
  </si>
  <si>
    <t>Charges</t>
  </si>
  <si>
    <t>Rates</t>
  </si>
  <si>
    <t>Volume (therms)</t>
  </si>
  <si>
    <t>Customer charge ($/month)</t>
  </si>
  <si>
    <t>Basic charge</t>
  </si>
  <si>
    <t>Volumetric charges ($/therm)</t>
  </si>
  <si>
    <t>Delivery charge (Schedule 23)</t>
  </si>
  <si>
    <t>Property tax charge (Schedule 140)</t>
  </si>
  <si>
    <t>Decoupling charge (Schedule 142)</t>
  </si>
  <si>
    <t>Low income charge (Schedule 129)</t>
  </si>
  <si>
    <t>CRM Charge (Schedule 149)</t>
  </si>
  <si>
    <t>Conservation charge (Schedule 120)</t>
  </si>
  <si>
    <t>Merger rate credit (Schedule 132)</t>
  </si>
  <si>
    <t>Cost of gas (Schedule 101)</t>
  </si>
  <si>
    <t>Deferral amortization (Schedule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</si>
  <si>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</si>
  <si>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</si>
  <si>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</si>
  <si>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</si>
  <si>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</si>
  <si>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Proforma margin revenue for the 12 months ending June 30, 2018 from exhibit JAP-3</t>
    </r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</si>
  <si>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Annual rental counts for the 12 months ending June 30, 2018.</t>
    </r>
  </si>
  <si>
    <r>
      <t>Rates</t>
    </r>
    <r>
      <rPr>
        <vertAlign val="superscript"/>
        <sz val="11"/>
        <color theme="1"/>
        <rFont val="Calibri"/>
        <family val="2"/>
      </rPr>
      <t xml:space="preserve"> (1)</t>
    </r>
  </si>
  <si>
    <r>
      <t>ERF</t>
    </r>
    <r>
      <rPr>
        <sz val="11"/>
        <color theme="1"/>
        <rFont val="Calibri"/>
        <family val="2"/>
        <scheme val="minor"/>
      </rPr>
      <t xml:space="preserve"> adjusting charge (Schedule 141)</t>
    </r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</si>
  <si>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Rates for Schedule 23 customers in effect Nov. 1,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</si>
</sst>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000_);_(&quot;$&quot;* \(#,##0.00000\);_(&quot;$&quot;* &quot;-&quot;?????_);_(@_)"/>
    <numFmt numFmtId="165" formatCode="0.0%"/>
    <numFmt numFmtId="166" formatCode="_(&quot;$&quot;* #,##0_);_(&quot;$&quot;* \(#,##0\);_(&quot;$&quot;* &quot;-&quot;?????_);_(@_)"/>
    <numFmt numFmtId="167" formatCode="_(&quot;$&quot;* #,##0_);_(&quot;$&quot;* \(#,##0\);_(&quot;$&quot;* &quot;-&quot;??_);_(@_)"/>
    <numFmt numFmtId="168" formatCode="_(&quot;$&quot;* #,##0.00_);_(&quot;$&quot;* \(#,##0.00\);_(&quot;$&quot;* &quot;-&quot;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4">
    <xf numFmtId="0" fontId="0" fillId="0" borderId="0" xfId="0"/>
    <xf numFmtId="10" fontId="0" fillId="0" borderId="0" xfId="0" applyNumberFormat="1" applyFont="1"/>
    <xf numFmtId="10" fontId="0" fillId="0" borderId="2" xfId="0" applyNumberFormat="1" applyFont="1" applyBorder="1"/>
    <xf numFmtId="164" fontId="0" fillId="0" borderId="0" xfId="0" applyNumberFormat="1" applyFont="1"/>
    <xf numFmtId="164" fontId="0" fillId="0" borderId="0" xfId="0" applyNumberFormat="1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42" fontId="0" fillId="0" borderId="0" xfId="0" applyNumberFormat="1" applyFont="1"/>
    <xf numFmtId="3" fontId="0" fillId="0" borderId="2" xfId="0" applyNumberFormat="1" applyFont="1" applyBorder="1"/>
    <xf numFmtId="42" fontId="0" fillId="0" borderId="2" xfId="0" applyNumberFormat="1" applyFont="1" applyBorder="1"/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/>
    <xf numFmtId="164" fontId="4" fillId="0" borderId="0" xfId="0" applyNumberFormat="1" applyFont="1" applyFill="1"/>
    <xf numFmtId="164" fontId="4" fillId="0" borderId="0" xfId="0" applyNumberFormat="1" applyFont="1"/>
    <xf numFmtId="164" fontId="4" fillId="0" borderId="0" xfId="0" applyNumberFormat="1" applyFont="1" applyFill="1" applyBorder="1"/>
    <xf numFmtId="165" fontId="4" fillId="0" borderId="0" xfId="0" applyNumberFormat="1" applyFont="1"/>
    <xf numFmtId="10" fontId="4" fillId="0" borderId="0" xfId="0" applyNumberFormat="1" applyFont="1"/>
    <xf numFmtId="0" fontId="4" fillId="0" borderId="0" xfId="0" applyFont="1"/>
    <xf numFmtId="3" fontId="4" fillId="0" borderId="0" xfId="0" applyNumberFormat="1" applyFont="1" applyFill="1"/>
    <xf numFmtId="42" fontId="4" fillId="0" borderId="0" xfId="0" applyNumberFormat="1" applyFont="1" applyFill="1" applyBorder="1"/>
    <xf numFmtId="166" fontId="4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0" fontId="4" fillId="0" borderId="0" xfId="0" applyFont="1" applyAlignment="1">
      <alignment horizontal="left"/>
    </xf>
    <xf numFmtId="0" fontId="4" fillId="0" borderId="0" xfId="0" applyFont="1" applyFill="1"/>
    <xf numFmtId="42" fontId="4" fillId="0" borderId="2" xfId="0" applyNumberFormat="1" applyFont="1" applyFill="1" applyBorder="1"/>
    <xf numFmtId="0" fontId="5" fillId="0" borderId="0" xfId="0" applyFont="1" applyAlignment="1">
      <alignment horizontal="left"/>
    </xf>
    <xf numFmtId="42" fontId="4" fillId="0" borderId="0" xfId="0" applyNumberFormat="1" applyFont="1"/>
    <xf numFmtId="167" fontId="4" fillId="0" borderId="0" xfId="0" applyNumberFormat="1" applyFont="1" applyFill="1"/>
    <xf numFmtId="0" fontId="4" fillId="0" borderId="0" xfId="0" applyFont="1" applyFill="1" applyBorder="1" applyAlignment="1">
      <alignment horizontal="left" vertical="center" textRotation="180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/>
    <xf numFmtId="167" fontId="4" fillId="0" borderId="0" xfId="0" applyNumberFormat="1" applyFont="1" applyFill="1" applyBorder="1"/>
    <xf numFmtId="0" fontId="4" fillId="0" borderId="0" xfId="0" applyFont="1" applyFill="1" applyBorder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7" fontId="4" fillId="0" borderId="2" xfId="0" applyNumberFormat="1" applyFont="1" applyFill="1" applyBorder="1"/>
    <xf numFmtId="44" fontId="4" fillId="0" borderId="0" xfId="0" applyNumberFormat="1" applyFont="1"/>
    <xf numFmtId="167" fontId="0" fillId="0" borderId="0" xfId="0" applyNumberFormat="1" applyFont="1"/>
    <xf numFmtId="0" fontId="0" fillId="0" borderId="0" xfId="0" quotePrefix="1" applyFont="1"/>
    <xf numFmtId="0" fontId="0" fillId="0" borderId="0" xfId="0" applyFont="1" applyBorder="1"/>
    <xf numFmtId="0" fontId="0" fillId="0" borderId="1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44" fontId="0" fillId="0" borderId="0" xfId="0" applyNumberFormat="1" applyFont="1" applyBorder="1"/>
    <xf numFmtId="44" fontId="0" fillId="0" borderId="1" xfId="0" applyNumberFormat="1" applyFont="1" applyBorder="1"/>
    <xf numFmtId="168" fontId="0" fillId="0" borderId="1" xfId="0" applyNumberFormat="1" applyFont="1" applyBorder="1"/>
    <xf numFmtId="164" fontId="0" fillId="0" borderId="0" xfId="0" applyNumberFormat="1" applyFont="1" applyBorder="1"/>
    <xf numFmtId="164" fontId="0" fillId="0" borderId="2" xfId="0" applyNumberFormat="1" applyFont="1" applyBorder="1"/>
    <xf numFmtId="164" fontId="6" fillId="0" borderId="0" xfId="0" applyNumberFormat="1" applyFont="1"/>
    <xf numFmtId="168" fontId="0" fillId="0" borderId="2" xfId="0" applyNumberFormat="1" applyFont="1" applyBorder="1"/>
    <xf numFmtId="165" fontId="0" fillId="0" borderId="0" xfId="0" applyNumberFormat="1" applyFont="1"/>
    <xf numFmtId="165" fontId="0" fillId="0" borderId="0" xfId="0" applyNumberFormat="1" applyFont="1" applyBorder="1"/>
    <xf numFmtId="0" fontId="0" fillId="0" borderId="0" xfId="0" applyFont="1" applyFill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customXml" Target="../customXml/item1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03Processes/General%20Accounting/newgas/2012/4-2012/UBR-GAS%2004-20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dmurra/Local%20Settings/Temporary%20Internet%20Files/OLK15/Power%20Cost%2050yr%206.15.06%20AURORA%20run%20with%205.23.06%20pric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mpliance%20Filing/Cost%20Of%20Service/2017%20Gas%20COSS%20September%20TY_Complianc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Decoupling/2016%20GRC%20Prep/PCA/%23Electric%20Model%202016%20GRC%20Origina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TM1EXC/PSE_VER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apacity/CAP_WBook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peder/Local%20Settings/Temporary%20Internet%20Files/Content.Outlook/966INFBW/03-09%20Elec_Unb%20(93%203%25%208%20months)%20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ulas/vlooku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7%20GRC/4.04G%20Pass%20Through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6/09-06%20Elec_Unb%20(93%203%25%202%20months)fin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C7" t="str">
            <v>(a)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</sheetNames>
    <sheetDataSet>
      <sheetData sheetId="0"/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/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/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/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/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/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/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/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/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/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/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/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/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/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/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/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/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/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/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/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/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/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/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/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/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/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/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/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/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/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/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/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/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/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/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/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/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/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/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/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/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/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/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/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/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/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/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/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/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/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/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/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/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/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/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/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/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/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/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/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/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/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/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/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/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/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/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/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/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/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/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/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/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/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/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/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/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/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/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/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/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/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/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/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/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/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/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/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/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/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/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/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/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/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/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/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/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/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/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/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/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/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/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/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/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/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/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/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/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/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/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/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/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/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/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/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/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/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/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/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/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/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/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/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/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/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/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/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/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/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/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/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/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/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/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/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/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/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/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/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/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/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/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/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/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/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/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/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/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/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/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/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/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/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/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/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/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/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/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/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/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/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/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/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/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/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/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/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/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/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/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/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1">
          <cell r="M31">
            <v>-9.1350000000000008E-3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/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/>
          <cell r="C14"/>
          <cell r="M14"/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/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44"/>
  <sheetViews>
    <sheetView tabSelected="1" zoomScale="90" zoomScaleNormal="90" workbookViewId="0">
      <pane xSplit="3" ySplit="8" topLeftCell="D9" activePane="bottomRight" state="frozenSplit"/>
      <selection activeCell="H36" sqref="H36"/>
      <selection pane="topRight" activeCell="H36" sqref="H36"/>
      <selection pane="bottomLeft" activeCell="H36" sqref="H36"/>
      <selection pane="bottomRight" activeCell="G30" sqref="G30"/>
    </sheetView>
  </sheetViews>
  <sheetFormatPr defaultRowHeight="15" x14ac:dyDescent="0.25"/>
  <cols>
    <col min="1" max="1" width="2.85546875" style="5" customWidth="1"/>
    <col min="2" max="2" width="38.7109375" style="5" customWidth="1"/>
    <col min="3" max="3" width="9.140625" style="5" bestFit="1" customWidth="1"/>
    <col min="4" max="4" width="16" style="5" customWidth="1"/>
    <col min="5" max="5" width="18.5703125" style="5" bestFit="1" customWidth="1"/>
    <col min="6" max="6" width="14.5703125" style="5" bestFit="1" customWidth="1"/>
    <col min="7" max="7" width="14" style="5" bestFit="1" customWidth="1"/>
    <col min="8" max="8" width="13.28515625" style="5" bestFit="1" customWidth="1"/>
    <col min="9" max="9" width="12.140625" style="5" bestFit="1" customWidth="1"/>
    <col min="10" max="10" width="12.85546875" style="5" bestFit="1" customWidth="1"/>
    <col min="11" max="11" width="13.28515625" style="5" bestFit="1" customWidth="1"/>
    <col min="12" max="12" width="13.42578125" style="5" bestFit="1" customWidth="1"/>
    <col min="13" max="13" width="12.42578125" style="5" customWidth="1"/>
    <col min="14" max="14" width="13.42578125" style="5" customWidth="1"/>
    <col min="15" max="15" width="13.28515625" style="5" bestFit="1" customWidth="1"/>
    <col min="16" max="16" width="15.7109375" style="5" bestFit="1" customWidth="1"/>
    <col min="17" max="17" width="13" style="5" customWidth="1"/>
    <col min="18" max="18" width="8.85546875" style="5" bestFit="1" customWidth="1"/>
    <col min="19" max="19" width="13.7109375" style="5" bestFit="1" customWidth="1"/>
    <col min="20" max="16384" width="9.140625" style="5"/>
  </cols>
  <sheetData>
    <row r="1" spans="2:18" x14ac:dyDescent="0.2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2:18" x14ac:dyDescent="0.25"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2:18" x14ac:dyDescent="0.25">
      <c r="B3" s="62" t="s">
        <v>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2:18" x14ac:dyDescent="0.2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2:18" x14ac:dyDescent="0.25">
      <c r="K5" s="6"/>
      <c r="O5" s="6"/>
    </row>
    <row r="6" spans="2:18" x14ac:dyDescent="0.25">
      <c r="B6" s="7"/>
      <c r="C6" s="7"/>
      <c r="D6" s="7" t="s">
        <v>3</v>
      </c>
      <c r="E6" s="6"/>
      <c r="F6" s="7"/>
      <c r="G6" s="7"/>
      <c r="H6" s="7"/>
      <c r="I6" s="7"/>
      <c r="J6" s="7"/>
      <c r="K6" s="7"/>
      <c r="L6" s="7"/>
      <c r="M6" s="7" t="s">
        <v>4</v>
      </c>
      <c r="N6" s="7" t="s">
        <v>4</v>
      </c>
      <c r="O6" s="7"/>
      <c r="P6" s="7" t="s">
        <v>5</v>
      </c>
      <c r="Q6" s="7" t="s">
        <v>6</v>
      </c>
      <c r="R6" s="7"/>
    </row>
    <row r="7" spans="2:18" x14ac:dyDescent="0.25">
      <c r="B7" s="7"/>
      <c r="C7" s="7" t="s">
        <v>7</v>
      </c>
      <c r="D7" s="7" t="s">
        <v>8</v>
      </c>
      <c r="E7" s="6" t="s">
        <v>3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7" t="s">
        <v>18</v>
      </c>
      <c r="P7" s="7" t="s">
        <v>19</v>
      </c>
      <c r="Q7" s="7" t="s">
        <v>20</v>
      </c>
      <c r="R7" s="7" t="s">
        <v>21</v>
      </c>
    </row>
    <row r="8" spans="2:18" x14ac:dyDescent="0.25">
      <c r="B8" s="8" t="s">
        <v>22</v>
      </c>
      <c r="C8" s="8" t="s">
        <v>23</v>
      </c>
      <c r="D8" s="9" t="s">
        <v>24</v>
      </c>
      <c r="E8" s="8" t="s">
        <v>25</v>
      </c>
      <c r="F8" s="8" t="s">
        <v>20</v>
      </c>
      <c r="G8" s="8" t="s">
        <v>20</v>
      </c>
      <c r="H8" s="8" t="s">
        <v>20</v>
      </c>
      <c r="I8" s="8" t="s">
        <v>20</v>
      </c>
      <c r="J8" s="8" t="s">
        <v>20</v>
      </c>
      <c r="K8" s="8" t="s">
        <v>20</v>
      </c>
      <c r="L8" s="8" t="s">
        <v>20</v>
      </c>
      <c r="M8" s="8" t="s">
        <v>20</v>
      </c>
      <c r="N8" s="8" t="s">
        <v>20</v>
      </c>
      <c r="O8" s="8" t="s">
        <v>20</v>
      </c>
      <c r="P8" s="8" t="s">
        <v>20</v>
      </c>
      <c r="Q8" s="8" t="s">
        <v>26</v>
      </c>
      <c r="R8" s="8" t="s">
        <v>26</v>
      </c>
    </row>
    <row r="9" spans="2:18" x14ac:dyDescent="0.25">
      <c r="B9" s="7" t="s">
        <v>27</v>
      </c>
      <c r="C9" s="7" t="s">
        <v>28</v>
      </c>
      <c r="D9" s="7" t="s">
        <v>29</v>
      </c>
      <c r="E9" s="7" t="s">
        <v>30</v>
      </c>
      <c r="F9" s="7" t="s">
        <v>31</v>
      </c>
      <c r="G9" s="7" t="s">
        <v>32</v>
      </c>
      <c r="H9" s="7" t="s">
        <v>33</v>
      </c>
      <c r="I9" s="10" t="s">
        <v>34</v>
      </c>
      <c r="J9" s="7" t="s">
        <v>35</v>
      </c>
      <c r="K9" s="7" t="s">
        <v>36</v>
      </c>
      <c r="L9" s="10" t="s">
        <v>37</v>
      </c>
      <c r="M9" s="10" t="s">
        <v>38</v>
      </c>
      <c r="N9" s="10" t="s">
        <v>39</v>
      </c>
      <c r="O9" s="7" t="s">
        <v>40</v>
      </c>
      <c r="P9" s="10" t="s">
        <v>41</v>
      </c>
      <c r="Q9" s="7" t="s">
        <v>42</v>
      </c>
      <c r="R9" s="7" t="s">
        <v>43</v>
      </c>
    </row>
    <row r="10" spans="2:18" x14ac:dyDescent="0.25">
      <c r="B10" s="5" t="s">
        <v>44</v>
      </c>
      <c r="C10" s="11" t="s">
        <v>45</v>
      </c>
      <c r="D10" s="12">
        <v>603105848.20999992</v>
      </c>
      <c r="E10" s="13">
        <v>311319235.66274381</v>
      </c>
      <c r="F10" s="13">
        <v>197005848.44792041</v>
      </c>
      <c r="G10" s="13">
        <v>-35148991.630000003</v>
      </c>
      <c r="H10" s="13">
        <v>10270892.595016299</v>
      </c>
      <c r="I10" s="13">
        <v>3238678.4048876995</v>
      </c>
      <c r="J10" s="13">
        <v>-2159118.9365917998</v>
      </c>
      <c r="K10" s="13">
        <v>14764031.164180798</v>
      </c>
      <c r="L10" s="13">
        <v>0</v>
      </c>
      <c r="M10" s="13"/>
      <c r="N10" s="13">
        <v>49183281.920000002</v>
      </c>
      <c r="O10" s="13">
        <v>6760816.558434099</v>
      </c>
      <c r="P10" s="13">
        <f>SUM(E10:O10)</f>
        <v>555234674.18659139</v>
      </c>
      <c r="Q10" s="13">
        <v>14766495.588522537</v>
      </c>
      <c r="R10" s="1">
        <f>Q10/P10</f>
        <v>2.6595053001967468E-2</v>
      </c>
    </row>
    <row r="11" spans="2:18" x14ac:dyDescent="0.25">
      <c r="B11" s="5" t="s">
        <v>46</v>
      </c>
      <c r="C11" s="11">
        <v>16</v>
      </c>
      <c r="D11" s="12">
        <v>9592.0450000000001</v>
      </c>
      <c r="E11" s="13">
        <v>4891.9429499999997</v>
      </c>
      <c r="F11" s="13">
        <v>3135.0841815789481</v>
      </c>
      <c r="G11" s="13">
        <v>-560.38</v>
      </c>
      <c r="H11" s="13">
        <v>163.35252635000001</v>
      </c>
      <c r="I11" s="13">
        <v>0</v>
      </c>
      <c r="J11" s="13">
        <v>-34.339521099999999</v>
      </c>
      <c r="K11" s="13">
        <v>234.81326160000003</v>
      </c>
      <c r="L11" s="13">
        <v>0</v>
      </c>
      <c r="M11" s="13">
        <v>0</v>
      </c>
      <c r="N11" s="13"/>
      <c r="O11" s="13">
        <v>107.52682444999999</v>
      </c>
      <c r="P11" s="13">
        <f t="shared" ref="P11:P22" si="0">SUM(E11:O11)</f>
        <v>7938.0002228789481</v>
      </c>
      <c r="Q11" s="13">
        <v>232.22845789473726</v>
      </c>
      <c r="R11" s="1">
        <f t="shared" ref="R11:R23" si="1">Q11/P11</f>
        <v>2.9255284879610752E-2</v>
      </c>
    </row>
    <row r="12" spans="2:18" x14ac:dyDescent="0.25">
      <c r="B12" s="5" t="s">
        <v>47</v>
      </c>
      <c r="C12" s="11">
        <v>31</v>
      </c>
      <c r="D12" s="12">
        <v>228604732.46999997</v>
      </c>
      <c r="E12" s="13">
        <v>91578256.92346701</v>
      </c>
      <c r="F12" s="13">
        <v>72863186.380163103</v>
      </c>
      <c r="G12" s="13">
        <v>-13320797.76</v>
      </c>
      <c r="H12" s="13">
        <v>3893138.5939640994</v>
      </c>
      <c r="I12" s="13">
        <v>978428.2549715999</v>
      </c>
      <c r="J12" s="13">
        <v>-566939.73652559996</v>
      </c>
      <c r="K12" s="13">
        <v>6028306.7952338997</v>
      </c>
      <c r="L12" s="13">
        <v>0</v>
      </c>
      <c r="M12" s="13"/>
      <c r="N12" s="13">
        <v>1659670.3599999999</v>
      </c>
      <c r="O12" s="13">
        <v>2487219.4892735998</v>
      </c>
      <c r="P12" s="13">
        <f t="shared" si="0"/>
        <v>165600469.30054775</v>
      </c>
      <c r="Q12" s="13">
        <v>4775221.1065772185</v>
      </c>
      <c r="R12" s="1">
        <f t="shared" si="1"/>
        <v>2.8835794528520843E-2</v>
      </c>
    </row>
    <row r="13" spans="2:18" x14ac:dyDescent="0.25">
      <c r="B13" s="5" t="s">
        <v>48</v>
      </c>
      <c r="C13" s="11">
        <v>41</v>
      </c>
      <c r="D13" s="12">
        <v>63966868.016999997</v>
      </c>
      <c r="E13" s="13">
        <v>14456233.31830545</v>
      </c>
      <c r="F13" s="13">
        <v>18624424.888310701</v>
      </c>
      <c r="G13" s="13">
        <v>-3723511.39</v>
      </c>
      <c r="H13" s="13">
        <v>1089355.7623295099</v>
      </c>
      <c r="I13" s="13">
        <v>143925.45303824998</v>
      </c>
      <c r="J13" s="13">
        <v>-159277.50136232999</v>
      </c>
      <c r="K13" s="13">
        <v>583377.83631503989</v>
      </c>
      <c r="L13" s="13">
        <v>0</v>
      </c>
      <c r="M13" s="13"/>
      <c r="N13" s="13">
        <v>1266103.8999999999</v>
      </c>
      <c r="O13" s="13">
        <v>397873.91906573996</v>
      </c>
      <c r="P13" s="13">
        <f t="shared" si="0"/>
        <v>32678506.186002355</v>
      </c>
      <c r="Q13" s="13">
        <v>847228.96764681756</v>
      </c>
      <c r="R13" s="1">
        <f t="shared" si="1"/>
        <v>2.5926184104759449E-2</v>
      </c>
    </row>
    <row r="14" spans="2:18" x14ac:dyDescent="0.25">
      <c r="B14" s="5" t="s">
        <v>49</v>
      </c>
      <c r="C14" s="11">
        <v>85</v>
      </c>
      <c r="D14" s="12">
        <v>16307789.425999999</v>
      </c>
      <c r="E14" s="13">
        <v>1589956.2565282346</v>
      </c>
      <c r="F14" s="13">
        <v>4494980.4766552001</v>
      </c>
      <c r="G14" s="13">
        <v>-948950.27</v>
      </c>
      <c r="H14" s="13">
        <v>243475.29613017998</v>
      </c>
      <c r="I14" s="13">
        <v>18238.357395419996</v>
      </c>
      <c r="J14" s="13">
        <v>-7827.7389244799997</v>
      </c>
      <c r="K14" s="13">
        <v>71917.351368659991</v>
      </c>
      <c r="L14" s="13">
        <v>0</v>
      </c>
      <c r="M14" s="13">
        <v>0</v>
      </c>
      <c r="N14" s="13"/>
      <c r="O14" s="13">
        <v>53978.783000059993</v>
      </c>
      <c r="P14" s="13">
        <f t="shared" si="0"/>
        <v>5515768.5121532753</v>
      </c>
      <c r="Q14" s="13">
        <v>70792.250567584415</v>
      </c>
      <c r="R14" s="1">
        <f t="shared" si="1"/>
        <v>1.2834521682989947E-2</v>
      </c>
    </row>
    <row r="15" spans="2:18" x14ac:dyDescent="0.25">
      <c r="B15" s="5" t="s">
        <v>50</v>
      </c>
      <c r="C15" s="11">
        <v>86</v>
      </c>
      <c r="D15" s="12">
        <v>9107268.5420000013</v>
      </c>
      <c r="E15" s="13">
        <v>1944724.1433509393</v>
      </c>
      <c r="F15" s="13">
        <v>2526653.7291643196</v>
      </c>
      <c r="G15" s="13">
        <v>-529951.96</v>
      </c>
      <c r="H15" s="13">
        <v>135971.51933206004</v>
      </c>
      <c r="I15" s="13">
        <v>19944.918106980003</v>
      </c>
      <c r="J15" s="13">
        <v>-23041.389411260003</v>
      </c>
      <c r="K15" s="13">
        <v>77685.000663260013</v>
      </c>
      <c r="L15" s="13">
        <v>0</v>
      </c>
      <c r="M15" s="13"/>
      <c r="N15" s="13">
        <v>179041.35</v>
      </c>
      <c r="O15" s="13">
        <v>37795.164449300006</v>
      </c>
      <c r="P15" s="13">
        <f t="shared" si="0"/>
        <v>4368822.4756555995</v>
      </c>
      <c r="Q15" s="13">
        <v>127238.88604737005</v>
      </c>
      <c r="R15" s="1">
        <f t="shared" si="1"/>
        <v>2.9124297623989898E-2</v>
      </c>
    </row>
    <row r="16" spans="2:18" x14ac:dyDescent="0.25">
      <c r="B16" s="5" t="s">
        <v>51</v>
      </c>
      <c r="C16" s="11">
        <v>87</v>
      </c>
      <c r="D16" s="12">
        <v>23273158.627999999</v>
      </c>
      <c r="E16" s="13">
        <v>1093496.3989577971</v>
      </c>
      <c r="F16" s="13">
        <v>6293993.0193563206</v>
      </c>
      <c r="G16" s="13">
        <v>-1353799.64</v>
      </c>
      <c r="H16" s="13">
        <v>347468.25831603998</v>
      </c>
      <c r="I16" s="13">
        <v>10512.457794129999</v>
      </c>
      <c r="J16" s="13">
        <v>-8843.8002786399993</v>
      </c>
      <c r="K16" s="13">
        <v>68423.08636632</v>
      </c>
      <c r="L16" s="13">
        <v>0</v>
      </c>
      <c r="M16" s="13">
        <v>0</v>
      </c>
      <c r="N16" s="13"/>
      <c r="O16" s="13">
        <v>47011.78042856</v>
      </c>
      <c r="P16" s="13">
        <f t="shared" si="0"/>
        <v>6498261.5609405283</v>
      </c>
      <c r="Q16" s="13">
        <v>72511.593573617429</v>
      </c>
      <c r="R16" s="1">
        <f t="shared" si="1"/>
        <v>1.1158614176053946E-2</v>
      </c>
    </row>
    <row r="17" spans="2:21" x14ac:dyDescent="0.25">
      <c r="B17" s="5" t="s">
        <v>52</v>
      </c>
      <c r="C17" s="11" t="s">
        <v>53</v>
      </c>
      <c r="D17" s="12">
        <v>43413.770000000004</v>
      </c>
      <c r="E17" s="13">
        <v>25885.709759820398</v>
      </c>
      <c r="F17" s="13">
        <v>30.389638999999999</v>
      </c>
      <c r="G17" s="13"/>
      <c r="H17" s="13"/>
      <c r="I17" s="13">
        <v>185.81093560000002</v>
      </c>
      <c r="J17" s="13">
        <v>-107.66614960000001</v>
      </c>
      <c r="K17" s="13">
        <v>1144.8211149000001</v>
      </c>
      <c r="L17" s="13">
        <v>0</v>
      </c>
      <c r="M17" s="13"/>
      <c r="N17" s="13">
        <v>306.5</v>
      </c>
      <c r="O17" s="13">
        <v>472.34181760000007</v>
      </c>
      <c r="P17" s="13">
        <f t="shared" si="0"/>
        <v>27917.907117320399</v>
      </c>
      <c r="Q17" s="13">
        <v>1349.1160832940382</v>
      </c>
      <c r="R17" s="1">
        <f t="shared" si="1"/>
        <v>4.8324399018329002E-2</v>
      </c>
    </row>
    <row r="18" spans="2:21" x14ac:dyDescent="0.25">
      <c r="B18" s="5" t="s">
        <v>54</v>
      </c>
      <c r="C18" s="5" t="s">
        <v>55</v>
      </c>
      <c r="D18" s="12">
        <v>19254249.518999998</v>
      </c>
      <c r="E18" s="13">
        <v>3995567.7266982314</v>
      </c>
      <c r="F18" s="13">
        <v>13477.9746633</v>
      </c>
      <c r="G18" s="13"/>
      <c r="H18" s="13"/>
      <c r="I18" s="13">
        <v>43322.061417749988</v>
      </c>
      <c r="J18" s="13">
        <v>-47943.081302309991</v>
      </c>
      <c r="K18" s="13">
        <v>175598.75561327997</v>
      </c>
      <c r="L18" s="13">
        <v>0</v>
      </c>
      <c r="M18" s="13"/>
      <c r="N18" s="13">
        <v>389154.95</v>
      </c>
      <c r="O18" s="13">
        <v>119761.43200817998</v>
      </c>
      <c r="P18" s="13">
        <f>SUM(E18:O18)</f>
        <v>4688939.8190984316</v>
      </c>
      <c r="Q18" s="13">
        <v>230139.28757393907</v>
      </c>
      <c r="R18" s="1">
        <f t="shared" si="1"/>
        <v>4.9081305466229942E-2</v>
      </c>
    </row>
    <row r="19" spans="2:21" x14ac:dyDescent="0.25">
      <c r="B19" s="5" t="s">
        <v>56</v>
      </c>
      <c r="C19" s="5" t="s">
        <v>57</v>
      </c>
      <c r="D19" s="12">
        <v>76582587.120000005</v>
      </c>
      <c r="E19" s="13">
        <v>7037315.1964751901</v>
      </c>
      <c r="F19" s="13">
        <v>53607.810984000011</v>
      </c>
      <c r="G19" s="13"/>
      <c r="H19" s="13"/>
      <c r="I19" s="13">
        <v>76771.472940399995</v>
      </c>
      <c r="J19" s="13">
        <v>-36759.641817600001</v>
      </c>
      <c r="K19" s="13">
        <v>337729.20919920004</v>
      </c>
      <c r="L19" s="13">
        <v>0</v>
      </c>
      <c r="M19" s="13">
        <v>0</v>
      </c>
      <c r="N19" s="13"/>
      <c r="O19" s="13">
        <v>253488.36336720001</v>
      </c>
      <c r="P19" s="13">
        <f t="shared" si="0"/>
        <v>7722152.4111483907</v>
      </c>
      <c r="Q19" s="13">
        <v>311842.81650147372</v>
      </c>
      <c r="R19" s="1">
        <f t="shared" si="1"/>
        <v>4.0382888072925047E-2</v>
      </c>
    </row>
    <row r="20" spans="2:21" x14ac:dyDescent="0.25">
      <c r="B20" s="5" t="s">
        <v>58</v>
      </c>
      <c r="C20" s="5" t="s">
        <v>59</v>
      </c>
      <c r="D20" s="12">
        <v>354636.7</v>
      </c>
      <c r="E20" s="13">
        <v>84408.74029168782</v>
      </c>
      <c r="F20" s="13">
        <v>248.24569000000002</v>
      </c>
      <c r="G20" s="13"/>
      <c r="H20" s="13"/>
      <c r="I20" s="13">
        <v>776.65437300000008</v>
      </c>
      <c r="J20" s="13">
        <v>-897.23085100000003</v>
      </c>
      <c r="K20" s="13">
        <v>3025.0510509999999</v>
      </c>
      <c r="L20" s="13">
        <v>0</v>
      </c>
      <c r="M20" s="13"/>
      <c r="N20" s="13">
        <v>7098.91</v>
      </c>
      <c r="O20" s="13">
        <v>1471.742305</v>
      </c>
      <c r="P20" s="13">
        <f t="shared" si="0"/>
        <v>96132.112859687826</v>
      </c>
      <c r="Q20" s="13">
        <v>5032.7227027996259</v>
      </c>
      <c r="R20" s="1">
        <f t="shared" si="1"/>
        <v>5.2352149069533817E-2</v>
      </c>
    </row>
    <row r="21" spans="2:21" x14ac:dyDescent="0.25">
      <c r="B21" s="5" t="s">
        <v>60</v>
      </c>
      <c r="C21" s="5" t="s">
        <v>61</v>
      </c>
      <c r="D21" s="12">
        <v>103884321.25000001</v>
      </c>
      <c r="E21" s="13">
        <v>3564358.6664720275</v>
      </c>
      <c r="F21" s="13">
        <v>72719.024875000003</v>
      </c>
      <c r="G21" s="13"/>
      <c r="H21" s="13"/>
      <c r="I21" s="13">
        <v>37708.554543300001</v>
      </c>
      <c r="J21" s="13">
        <v>-39476.042075000005</v>
      </c>
      <c r="K21" s="13">
        <v>305419.90447500005</v>
      </c>
      <c r="L21" s="13">
        <v>0</v>
      </c>
      <c r="M21" s="13">
        <v>0</v>
      </c>
      <c r="N21" s="13"/>
      <c r="O21" s="13">
        <v>209846.32892500004</v>
      </c>
      <c r="P21" s="13">
        <f t="shared" si="0"/>
        <v>4150576.4372153282</v>
      </c>
      <c r="Q21" s="13">
        <v>247115.15228163014</v>
      </c>
      <c r="R21" s="1">
        <f t="shared" si="1"/>
        <v>5.9537550029417761E-2</v>
      </c>
    </row>
    <row r="22" spans="2:21" x14ac:dyDescent="0.25">
      <c r="B22" s="5" t="s">
        <v>62</v>
      </c>
      <c r="D22" s="12">
        <v>37275691.68</v>
      </c>
      <c r="E22" s="13">
        <v>1726553.2512827553</v>
      </c>
      <c r="F22" s="13"/>
      <c r="G22" s="13"/>
      <c r="H22" s="13"/>
      <c r="I22" s="13">
        <v>0</v>
      </c>
      <c r="J22" s="13">
        <v>-8573.4090864000009</v>
      </c>
      <c r="K22" s="13">
        <v>119654.9702928</v>
      </c>
      <c r="L22" s="13">
        <v>0</v>
      </c>
      <c r="M22" s="13"/>
      <c r="N22" s="13"/>
      <c r="O22" s="13">
        <v>92070.958449600002</v>
      </c>
      <c r="P22" s="13">
        <f t="shared" si="0"/>
        <v>1929705.7709387555</v>
      </c>
      <c r="Q22" s="13">
        <v>50083.756138960132</v>
      </c>
      <c r="R22" s="1">
        <f t="shared" si="1"/>
        <v>2.5954089422967102E-2</v>
      </c>
    </row>
    <row r="23" spans="2:21" x14ac:dyDescent="0.25">
      <c r="B23" s="5" t="s">
        <v>63</v>
      </c>
      <c r="D23" s="14">
        <f>SUM(D10:D22)</f>
        <v>1181770157.3770001</v>
      </c>
      <c r="E23" s="15">
        <f>SUM(E10:E22)</f>
        <v>438420883.93728304</v>
      </c>
      <c r="F23" s="15">
        <f t="shared" ref="F23:H23" si="2">SUM(F10:F22)</f>
        <v>301952305.47160286</v>
      </c>
      <c r="G23" s="15">
        <f t="shared" si="2"/>
        <v>-55026563.030000009</v>
      </c>
      <c r="H23" s="15">
        <f t="shared" si="2"/>
        <v>15980465.377614539</v>
      </c>
      <c r="I23" s="15">
        <f>SUM(I10:I22)</f>
        <v>4568492.4004041292</v>
      </c>
      <c r="J23" s="15">
        <f t="shared" ref="J23:P23" si="3">SUM(J10:J22)</f>
        <v>-3058840.5138971196</v>
      </c>
      <c r="K23" s="15">
        <f t="shared" si="3"/>
        <v>22536548.759135753</v>
      </c>
      <c r="L23" s="15">
        <f t="shared" si="3"/>
        <v>0</v>
      </c>
      <c r="M23" s="15">
        <f t="shared" si="3"/>
        <v>0</v>
      </c>
      <c r="N23" s="15">
        <f t="shared" si="3"/>
        <v>52684657.890000001</v>
      </c>
      <c r="O23" s="15">
        <f t="shared" si="3"/>
        <v>10461914.388348391</v>
      </c>
      <c r="P23" s="15">
        <f t="shared" si="3"/>
        <v>788519864.68049181</v>
      </c>
      <c r="Q23" s="15">
        <f>SUM(Q10:Q22)</f>
        <v>21505283.472675141</v>
      </c>
      <c r="R23" s="2">
        <f t="shared" si="1"/>
        <v>2.7272976161975424E-2</v>
      </c>
      <c r="S23" s="13"/>
    </row>
    <row r="24" spans="2:21" s="23" customFormat="1" x14ac:dyDescent="0.25">
      <c r="B24" s="16"/>
      <c r="C24" s="17"/>
      <c r="D24" s="18"/>
      <c r="E24" s="19"/>
      <c r="F24" s="18"/>
      <c r="G24" s="18"/>
      <c r="H24" s="18"/>
      <c r="I24" s="20"/>
      <c r="J24" s="18"/>
      <c r="K24" s="20"/>
      <c r="L24" s="20"/>
      <c r="M24" s="20"/>
      <c r="N24" s="20"/>
      <c r="O24" s="20"/>
      <c r="P24" s="20"/>
      <c r="Q24" s="21"/>
      <c r="R24" s="22"/>
    </row>
    <row r="25" spans="2:21" s="23" customFormat="1" x14ac:dyDescent="0.25">
      <c r="B25" s="16" t="s">
        <v>64</v>
      </c>
      <c r="C25" s="16"/>
      <c r="D25" s="24">
        <v>356738.40836915449</v>
      </c>
      <c r="E25" s="13">
        <v>5364365.7215311108</v>
      </c>
      <c r="F25" s="25"/>
      <c r="G25" s="18"/>
      <c r="H25" s="18"/>
      <c r="I25" s="13"/>
      <c r="J25" s="13">
        <v>-49943.377171681634</v>
      </c>
      <c r="K25" s="13">
        <v>210475.66093780115</v>
      </c>
      <c r="L25" s="13">
        <v>0</v>
      </c>
      <c r="M25" s="13">
        <v>0</v>
      </c>
      <c r="N25" s="13"/>
      <c r="O25" s="26">
        <v>0</v>
      </c>
      <c r="P25" s="13">
        <f>SUM(E25:O25)</f>
        <v>5524898.0052972306</v>
      </c>
      <c r="Q25" s="13">
        <v>155710.99542719449</v>
      </c>
      <c r="R25" s="1">
        <f>Q25/P25</f>
        <v>2.8183505881538441E-2</v>
      </c>
      <c r="S25" s="22"/>
      <c r="T25" s="27"/>
      <c r="U25" s="28"/>
    </row>
    <row r="26" spans="2:21" s="23" customFormat="1" x14ac:dyDescent="0.25">
      <c r="B26" s="29" t="s">
        <v>63</v>
      </c>
      <c r="C26" s="29"/>
      <c r="D26" s="30"/>
      <c r="E26" s="31">
        <f>E23+E25</f>
        <v>443785249.65881413</v>
      </c>
      <c r="F26" s="31">
        <f t="shared" ref="F26:H26" si="4">F23+F25</f>
        <v>301952305.47160286</v>
      </c>
      <c r="G26" s="31">
        <f t="shared" si="4"/>
        <v>-55026563.030000009</v>
      </c>
      <c r="H26" s="31">
        <f t="shared" si="4"/>
        <v>15980465.377614539</v>
      </c>
      <c r="I26" s="31">
        <f>I23+I25</f>
        <v>4568492.4004041292</v>
      </c>
      <c r="J26" s="31">
        <f t="shared" ref="J26:Q26" si="5">J23+J25</f>
        <v>-3108783.8910688013</v>
      </c>
      <c r="K26" s="31">
        <f t="shared" si="5"/>
        <v>22747024.420073554</v>
      </c>
      <c r="L26" s="31">
        <f t="shared" si="5"/>
        <v>0</v>
      </c>
      <c r="M26" s="31">
        <f t="shared" si="5"/>
        <v>0</v>
      </c>
      <c r="N26" s="31">
        <f t="shared" si="5"/>
        <v>52684657.890000001</v>
      </c>
      <c r="O26" s="31">
        <f t="shared" si="5"/>
        <v>10461914.388348391</v>
      </c>
      <c r="P26" s="31">
        <f t="shared" si="5"/>
        <v>794044762.68578899</v>
      </c>
      <c r="Q26" s="31">
        <f t="shared" si="5"/>
        <v>21660994.468102336</v>
      </c>
      <c r="R26" s="2">
        <f>Q26/P26</f>
        <v>2.7279311552708768E-2</v>
      </c>
      <c r="S26" s="22"/>
    </row>
    <row r="27" spans="2:21" x14ac:dyDescent="0.25">
      <c r="I27" s="13"/>
      <c r="L27" s="13"/>
      <c r="M27" s="13"/>
      <c r="N27" s="13"/>
      <c r="P27" s="13"/>
      <c r="R27" s="1"/>
    </row>
    <row r="28" spans="2:21" x14ac:dyDescent="0.25">
      <c r="D28" s="12"/>
      <c r="I28" s="13"/>
      <c r="L28" s="13"/>
      <c r="M28" s="13"/>
      <c r="N28" s="13"/>
      <c r="P28" s="13"/>
      <c r="Q28" s="13"/>
      <c r="R28" s="1"/>
    </row>
    <row r="29" spans="2:21" s="23" customFormat="1" x14ac:dyDescent="0.25">
      <c r="B29" s="32" t="s">
        <v>65</v>
      </c>
      <c r="C29" s="32"/>
      <c r="Q29" s="33"/>
      <c r="R29" s="22"/>
    </row>
    <row r="30" spans="2:21" s="23" customFormat="1" x14ac:dyDescent="0.25">
      <c r="B30" s="29" t="s">
        <v>66</v>
      </c>
      <c r="C30" s="29"/>
      <c r="E30" s="34">
        <f>E10+E11</f>
        <v>311324127.60569382</v>
      </c>
      <c r="I30" s="34"/>
      <c r="L30" s="34"/>
      <c r="M30" s="34"/>
      <c r="N30" s="34"/>
      <c r="P30" s="34">
        <f>P10+P11</f>
        <v>555242612.18681431</v>
      </c>
      <c r="Q30" s="13">
        <f>SUM(Q10:Q11)</f>
        <v>14766727.816980431</v>
      </c>
      <c r="R30" s="1">
        <f t="shared" ref="R30:R37" si="6">Q30/P30</f>
        <v>2.6595091033848977E-2</v>
      </c>
      <c r="S30" s="35"/>
    </row>
    <row r="31" spans="2:21" s="23" customFormat="1" x14ac:dyDescent="0.25">
      <c r="B31" s="36" t="s">
        <v>67</v>
      </c>
      <c r="C31" s="36"/>
      <c r="E31" s="34">
        <f>E12+E17</f>
        <v>91604142.633226827</v>
      </c>
      <c r="F31" s="37"/>
      <c r="G31" s="37"/>
      <c r="H31" s="37"/>
      <c r="I31" s="34"/>
      <c r="J31" s="37"/>
      <c r="K31" s="37"/>
      <c r="L31" s="34"/>
      <c r="M31" s="34"/>
      <c r="N31" s="34"/>
      <c r="O31" s="37"/>
      <c r="P31" s="34">
        <f>P12+P17</f>
        <v>165628387.20766506</v>
      </c>
      <c r="Q31" s="13">
        <f>SUM(Q12,Q17)</f>
        <v>4776570.2226605127</v>
      </c>
      <c r="R31" s="1">
        <f t="shared" si="6"/>
        <v>2.8839079479000444E-2</v>
      </c>
    </row>
    <row r="32" spans="2:21" s="23" customFormat="1" x14ac:dyDescent="0.25">
      <c r="B32" s="29" t="s">
        <v>68</v>
      </c>
      <c r="C32" s="29"/>
      <c r="E32" s="34">
        <f>E13+E18</f>
        <v>18451801.045003682</v>
      </c>
      <c r="F32" s="37"/>
      <c r="G32" s="37"/>
      <c r="H32" s="37"/>
      <c r="I32" s="34"/>
      <c r="J32" s="37"/>
      <c r="K32" s="37"/>
      <c r="L32" s="34"/>
      <c r="M32" s="34"/>
      <c r="N32" s="34"/>
      <c r="O32" s="37"/>
      <c r="P32" s="34">
        <f>P13+P18</f>
        <v>37367446.005100787</v>
      </c>
      <c r="Q32" s="13">
        <f>SUM(Q13,Q18)</f>
        <v>1077368.2552207566</v>
      </c>
      <c r="R32" s="1">
        <f t="shared" si="6"/>
        <v>2.8831733779014282E-2</v>
      </c>
    </row>
    <row r="33" spans="2:18" s="23" customFormat="1" x14ac:dyDescent="0.25">
      <c r="B33" s="29" t="s">
        <v>69</v>
      </c>
      <c r="C33" s="29"/>
      <c r="E33" s="34">
        <f>E14+E19</f>
        <v>8627271.4530034252</v>
      </c>
      <c r="F33" s="37"/>
      <c r="G33" s="37"/>
      <c r="H33" s="37"/>
      <c r="I33" s="34"/>
      <c r="J33" s="37"/>
      <c r="K33" s="37"/>
      <c r="L33" s="34"/>
      <c r="M33" s="34"/>
      <c r="N33" s="34"/>
      <c r="O33" s="37"/>
      <c r="P33" s="34">
        <f>P14+P19</f>
        <v>13237920.923301667</v>
      </c>
      <c r="Q33" s="13">
        <f>SUM(Q14,Q19)</f>
        <v>382635.06706905813</v>
      </c>
      <c r="R33" s="1">
        <f t="shared" si="6"/>
        <v>2.8904468404516288E-2</v>
      </c>
    </row>
    <row r="34" spans="2:18" s="23" customFormat="1" x14ac:dyDescent="0.25">
      <c r="B34" s="29" t="s">
        <v>70</v>
      </c>
      <c r="C34" s="29"/>
      <c r="E34" s="34">
        <f>E15+E20</f>
        <v>2029132.8836426272</v>
      </c>
      <c r="F34" s="37"/>
      <c r="G34" s="37"/>
      <c r="H34" s="37"/>
      <c r="I34" s="38"/>
      <c r="J34" s="37"/>
      <c r="K34" s="37"/>
      <c r="L34" s="38"/>
      <c r="M34" s="38"/>
      <c r="N34" s="38"/>
      <c r="O34" s="37"/>
      <c r="P34" s="34">
        <f>P15+P20</f>
        <v>4464954.5885152873</v>
      </c>
      <c r="Q34" s="13">
        <f>SUM(Q15,Q20)</f>
        <v>132271.60875016966</v>
      </c>
      <c r="R34" s="1">
        <f t="shared" si="6"/>
        <v>2.9624401800277523E-2</v>
      </c>
    </row>
    <row r="35" spans="2:18" s="23" customFormat="1" x14ac:dyDescent="0.25">
      <c r="B35" s="16" t="s">
        <v>71</v>
      </c>
      <c r="C35" s="16"/>
      <c r="D35" s="30"/>
      <c r="E35" s="34">
        <f>E16+E21</f>
        <v>4657855.0654298244</v>
      </c>
      <c r="F35" s="39"/>
      <c r="G35" s="39"/>
      <c r="H35" s="39"/>
      <c r="I35" s="38"/>
      <c r="J35" s="39"/>
      <c r="K35" s="39"/>
      <c r="L35" s="38"/>
      <c r="M35" s="38"/>
      <c r="N35" s="38"/>
      <c r="O35" s="39"/>
      <c r="P35" s="34">
        <f>P16+P21</f>
        <v>10648837.998155857</v>
      </c>
      <c r="Q35" s="13">
        <f>SUM(Q16,Q21)</f>
        <v>319626.7458552476</v>
      </c>
      <c r="R35" s="1">
        <f t="shared" si="6"/>
        <v>3.0015175919720059E-2</v>
      </c>
    </row>
    <row r="36" spans="2:18" s="23" customFormat="1" x14ac:dyDescent="0.25">
      <c r="B36" s="40" t="s">
        <v>62</v>
      </c>
      <c r="C36" s="16"/>
      <c r="D36" s="30"/>
      <c r="E36" s="34">
        <f>E22</f>
        <v>1726553.2512827553</v>
      </c>
      <c r="F36" s="39"/>
      <c r="G36" s="39"/>
      <c r="H36" s="39"/>
      <c r="I36" s="38"/>
      <c r="J36" s="39"/>
      <c r="K36" s="39"/>
      <c r="L36" s="38"/>
      <c r="M36" s="38"/>
      <c r="N36" s="38"/>
      <c r="O36" s="39"/>
      <c r="P36" s="34">
        <f>P22</f>
        <v>1929705.7709387555</v>
      </c>
      <c r="Q36" s="13">
        <f>Q22</f>
        <v>50083.756138960132</v>
      </c>
      <c r="R36" s="1">
        <f t="shared" si="6"/>
        <v>2.5954089422967102E-2</v>
      </c>
    </row>
    <row r="37" spans="2:18" s="23" customFormat="1" x14ac:dyDescent="0.25">
      <c r="B37" s="41" t="s">
        <v>72</v>
      </c>
      <c r="C37" s="41"/>
      <c r="D37" s="30"/>
      <c r="E37" s="42">
        <f>SUM(E30:E36)</f>
        <v>438420883.93728292</v>
      </c>
      <c r="F37" s="30"/>
      <c r="G37" s="30"/>
      <c r="H37" s="39"/>
      <c r="I37" s="38"/>
      <c r="J37" s="39"/>
      <c r="K37" s="39"/>
      <c r="L37" s="38"/>
      <c r="M37" s="38"/>
      <c r="N37" s="38"/>
      <c r="O37" s="39"/>
      <c r="P37" s="42">
        <f>SUM(P30:P36)</f>
        <v>788519864.68049181</v>
      </c>
      <c r="Q37" s="42">
        <f>SUM(Q30:Q36)</f>
        <v>21505283.472675133</v>
      </c>
      <c r="R37" s="2">
        <f t="shared" si="6"/>
        <v>2.7272976161975417E-2</v>
      </c>
    </row>
    <row r="38" spans="2:18" s="23" customFormat="1" x14ac:dyDescent="0.25">
      <c r="B38" s="16"/>
      <c r="C38" s="16"/>
      <c r="D38" s="30"/>
      <c r="E38" s="34"/>
      <c r="F38" s="30"/>
      <c r="G38" s="30"/>
      <c r="H38" s="39"/>
      <c r="I38" s="38"/>
      <c r="J38" s="39"/>
      <c r="K38" s="39"/>
      <c r="L38" s="38"/>
      <c r="M38" s="38"/>
      <c r="N38" s="38"/>
      <c r="O38" s="39"/>
      <c r="P38" s="34"/>
      <c r="Q38" s="34"/>
      <c r="R38" s="1"/>
    </row>
    <row r="39" spans="2:18" s="23" customFormat="1" x14ac:dyDescent="0.25">
      <c r="B39" s="16" t="s">
        <v>73</v>
      </c>
      <c r="C39" s="16"/>
      <c r="D39" s="30"/>
      <c r="E39" s="34">
        <f>E25</f>
        <v>5364365.7215311108</v>
      </c>
      <c r="F39" s="30"/>
      <c r="G39" s="30"/>
      <c r="H39" s="39"/>
      <c r="I39" s="38"/>
      <c r="J39" s="39"/>
      <c r="K39" s="39"/>
      <c r="L39" s="38"/>
      <c r="M39" s="38"/>
      <c r="N39" s="38"/>
      <c r="O39" s="39"/>
      <c r="P39" s="34">
        <f>P25</f>
        <v>5524898.0052972306</v>
      </c>
      <c r="Q39" s="13">
        <f>Q25</f>
        <v>155710.99542719449</v>
      </c>
      <c r="R39" s="1">
        <f>Q39/P39</f>
        <v>2.8183505881538441E-2</v>
      </c>
    </row>
    <row r="40" spans="2:18" s="30" customFormat="1" x14ac:dyDescent="0.25">
      <c r="B40" s="29" t="s">
        <v>63</v>
      </c>
      <c r="C40" s="29"/>
      <c r="D40" s="23"/>
      <c r="E40" s="42">
        <f>E39+E37</f>
        <v>443785249.65881401</v>
      </c>
      <c r="I40" s="38"/>
      <c r="L40" s="38"/>
      <c r="M40" s="38"/>
      <c r="N40" s="38"/>
      <c r="P40" s="42">
        <f>P39+P37</f>
        <v>794044762.68578899</v>
      </c>
      <c r="Q40" s="42">
        <f>Q39+Q37</f>
        <v>21660994.468102328</v>
      </c>
      <c r="R40" s="2">
        <f>Q40/P40</f>
        <v>2.7279311552708758E-2</v>
      </c>
    </row>
    <row r="41" spans="2:18" s="23" customFormat="1" x14ac:dyDescent="0.25">
      <c r="B41" s="30"/>
      <c r="C41" s="30"/>
      <c r="F41" s="37"/>
      <c r="I41" s="30"/>
      <c r="K41" s="30"/>
      <c r="L41" s="30"/>
      <c r="M41" s="30"/>
      <c r="N41" s="30"/>
      <c r="O41" s="30"/>
      <c r="P41" s="30"/>
      <c r="Q41" s="43"/>
    </row>
    <row r="42" spans="2:18" ht="17.25" x14ac:dyDescent="0.25">
      <c r="B42" s="5" t="s">
        <v>97</v>
      </c>
      <c r="E42" s="44"/>
      <c r="I42" s="12"/>
      <c r="L42" s="12"/>
      <c r="M42" s="12"/>
      <c r="N42" s="12"/>
      <c r="P42" s="12"/>
    </row>
    <row r="43" spans="2:18" ht="17.25" x14ac:dyDescent="0.25">
      <c r="B43" s="5" t="s">
        <v>98</v>
      </c>
      <c r="I43" s="12"/>
      <c r="L43" s="12"/>
      <c r="M43" s="12"/>
      <c r="N43" s="12"/>
      <c r="P43" s="12"/>
    </row>
    <row r="44" spans="2:18" x14ac:dyDescent="0.25">
      <c r="B44" s="45"/>
    </row>
  </sheetData>
  <mergeCells count="4">
    <mergeCell ref="B1:R1"/>
    <mergeCell ref="B2:R2"/>
    <mergeCell ref="B3:R3"/>
    <mergeCell ref="B4:R4"/>
  </mergeCells>
  <printOptions horizontalCentered="1"/>
  <pageMargins left="0.45" right="0.45" top="0.75" bottom="0.75" header="0.3" footer="0.3"/>
  <pageSetup paperSize="5" scale="67" orientation="landscape" blackAndWhite="1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45"/>
  <sheetViews>
    <sheetView zoomScaleNormal="100" workbookViewId="0">
      <selection activeCell="J18" sqref="J18"/>
    </sheetView>
  </sheetViews>
  <sheetFormatPr defaultColWidth="9.140625" defaultRowHeight="15" x14ac:dyDescent="0.25"/>
  <cols>
    <col min="1" max="1" width="2.140625" style="5" customWidth="1"/>
    <col min="2" max="2" width="2.42578125" style="5" customWidth="1"/>
    <col min="3" max="3" width="37.140625" style="5" customWidth="1"/>
    <col min="4" max="5" width="13.140625" style="5" customWidth="1"/>
    <col min="6" max="6" width="2.7109375" style="46" customWidth="1"/>
    <col min="7" max="8" width="13.140625" style="5" customWidth="1"/>
    <col min="9" max="16384" width="9.140625" style="5"/>
  </cols>
  <sheetData>
    <row r="1" spans="2:9" x14ac:dyDescent="0.25">
      <c r="B1" s="63" t="s">
        <v>0</v>
      </c>
      <c r="C1" s="63"/>
      <c r="D1" s="63"/>
      <c r="E1" s="63"/>
      <c r="F1" s="63"/>
      <c r="G1" s="63"/>
      <c r="H1" s="63"/>
      <c r="I1" s="11"/>
    </row>
    <row r="2" spans="2:9" x14ac:dyDescent="0.25">
      <c r="B2" s="63" t="s">
        <v>1</v>
      </c>
      <c r="C2" s="63"/>
      <c r="D2" s="63"/>
      <c r="E2" s="63"/>
      <c r="F2" s="63"/>
      <c r="G2" s="63"/>
      <c r="H2" s="63"/>
      <c r="I2" s="11"/>
    </row>
    <row r="3" spans="2:9" x14ac:dyDescent="0.25">
      <c r="B3" s="62" t="s">
        <v>74</v>
      </c>
      <c r="C3" s="62"/>
      <c r="D3" s="62"/>
      <c r="E3" s="62"/>
      <c r="F3" s="62"/>
      <c r="G3" s="62"/>
      <c r="H3" s="62"/>
      <c r="I3" s="11"/>
    </row>
    <row r="4" spans="2:9" x14ac:dyDescent="0.25">
      <c r="B4" s="62"/>
      <c r="C4" s="62"/>
      <c r="D4" s="62"/>
      <c r="E4" s="62"/>
      <c r="F4" s="62"/>
      <c r="G4" s="62"/>
      <c r="H4" s="62"/>
      <c r="I4" s="11"/>
    </row>
    <row r="5" spans="2:9" x14ac:dyDescent="0.25">
      <c r="I5" s="11"/>
    </row>
    <row r="6" spans="2:9" x14ac:dyDescent="0.25">
      <c r="D6" s="47" t="s">
        <v>75</v>
      </c>
      <c r="E6" s="47"/>
      <c r="F6" s="48"/>
      <c r="G6" s="47" t="s">
        <v>76</v>
      </c>
      <c r="H6" s="47"/>
      <c r="I6" s="11"/>
    </row>
    <row r="7" spans="2:9" ht="17.25" x14ac:dyDescent="0.25">
      <c r="D7" s="8" t="s">
        <v>99</v>
      </c>
      <c r="E7" s="8" t="s">
        <v>77</v>
      </c>
      <c r="F7" s="7"/>
      <c r="G7" s="8" t="s">
        <v>78</v>
      </c>
      <c r="H7" s="8" t="s">
        <v>77</v>
      </c>
      <c r="I7" s="11"/>
    </row>
    <row r="8" spans="2:9" x14ac:dyDescent="0.25">
      <c r="B8" s="5" t="s">
        <v>79</v>
      </c>
      <c r="D8" s="5">
        <v>64</v>
      </c>
      <c r="E8" s="49"/>
      <c r="G8" s="5">
        <v>64</v>
      </c>
      <c r="H8" s="49"/>
      <c r="I8" s="11"/>
    </row>
    <row r="9" spans="2:9" x14ac:dyDescent="0.25">
      <c r="E9" s="49"/>
      <c r="H9" s="49"/>
      <c r="I9" s="11"/>
    </row>
    <row r="10" spans="2:9" x14ac:dyDescent="0.25">
      <c r="B10" s="5" t="s">
        <v>80</v>
      </c>
      <c r="E10" s="49"/>
      <c r="H10" s="49"/>
      <c r="I10" s="11"/>
    </row>
    <row r="11" spans="2:9" x14ac:dyDescent="0.25">
      <c r="C11" s="5" t="s">
        <v>81</v>
      </c>
      <c r="D11" s="50">
        <v>11</v>
      </c>
      <c r="E11" s="49">
        <f>D11</f>
        <v>11</v>
      </c>
      <c r="F11" s="51"/>
      <c r="G11" s="50">
        <f>D11</f>
        <v>11</v>
      </c>
      <c r="H11" s="49">
        <f>G11</f>
        <v>11</v>
      </c>
    </row>
    <row r="12" spans="2:9" x14ac:dyDescent="0.25">
      <c r="C12" s="5" t="s">
        <v>100</v>
      </c>
      <c r="D12" s="52">
        <v>0</v>
      </c>
      <c r="E12" s="53">
        <f>D12</f>
        <v>0</v>
      </c>
      <c r="F12" s="51"/>
      <c r="G12" s="52">
        <v>0.51999999999999957</v>
      </c>
      <c r="H12" s="53">
        <f>G12</f>
        <v>0.51999999999999957</v>
      </c>
    </row>
    <row r="13" spans="2:9" x14ac:dyDescent="0.25">
      <c r="C13" s="5" t="s">
        <v>72</v>
      </c>
      <c r="D13" s="50">
        <f>SUM(D11:D12)</f>
        <v>11</v>
      </c>
      <c r="E13" s="50">
        <f>SUM(E11:E12)</f>
        <v>11</v>
      </c>
      <c r="F13" s="51"/>
      <c r="G13" s="50">
        <f>SUM(G11:G12)</f>
        <v>11.52</v>
      </c>
      <c r="H13" s="50">
        <f>SUM(H11:H12)</f>
        <v>11.52</v>
      </c>
    </row>
    <row r="14" spans="2:9" x14ac:dyDescent="0.25">
      <c r="D14" s="50"/>
      <c r="E14" s="49"/>
      <c r="F14" s="51"/>
      <c r="G14" s="50"/>
      <c r="H14" s="49"/>
    </row>
    <row r="15" spans="2:9" x14ac:dyDescent="0.25">
      <c r="B15" s="5" t="s">
        <v>82</v>
      </c>
      <c r="E15" s="49"/>
      <c r="H15" s="49"/>
    </row>
    <row r="16" spans="2:9" x14ac:dyDescent="0.25">
      <c r="C16" s="5" t="s">
        <v>83</v>
      </c>
      <c r="D16" s="19">
        <v>0.34603</v>
      </c>
      <c r="E16" s="49"/>
      <c r="F16" s="54"/>
      <c r="G16" s="3">
        <f>D16</f>
        <v>0.34603</v>
      </c>
      <c r="H16" s="49"/>
    </row>
    <row r="17" spans="3:8" x14ac:dyDescent="0.25">
      <c r="C17" s="5" t="s">
        <v>84</v>
      </c>
      <c r="D17" s="19">
        <v>2.4479999999999998E-2</v>
      </c>
      <c r="E17" s="49"/>
      <c r="F17" s="54"/>
      <c r="G17" s="3">
        <f>D17</f>
        <v>2.4479999999999998E-2</v>
      </c>
      <c r="H17" s="49"/>
    </row>
    <row r="18" spans="3:8" x14ac:dyDescent="0.25">
      <c r="C18" s="5" t="s">
        <v>100</v>
      </c>
      <c r="D18" s="19">
        <v>0</v>
      </c>
      <c r="E18" s="49"/>
      <c r="F18" s="54"/>
      <c r="G18" s="3">
        <v>1.644000000000001E-2</v>
      </c>
      <c r="H18" s="49"/>
    </row>
    <row r="19" spans="3:8" x14ac:dyDescent="0.25">
      <c r="C19" s="5" t="s">
        <v>85</v>
      </c>
      <c r="D19" s="19">
        <v>8.1549999999999997E-2</v>
      </c>
      <c r="E19" s="49"/>
      <c r="F19" s="54"/>
      <c r="G19" s="3">
        <f t="shared" ref="G19:G20" si="0">D19</f>
        <v>8.1549999999999997E-2</v>
      </c>
      <c r="H19" s="49"/>
    </row>
    <row r="20" spans="3:8" x14ac:dyDescent="0.25">
      <c r="C20" s="5" t="s">
        <v>86</v>
      </c>
      <c r="D20" s="18">
        <v>5.3699999999999998E-3</v>
      </c>
      <c r="E20" s="49"/>
      <c r="F20" s="54"/>
      <c r="G20" s="3">
        <f t="shared" si="0"/>
        <v>5.3699999999999998E-3</v>
      </c>
      <c r="H20" s="49"/>
    </row>
    <row r="21" spans="3:8" x14ac:dyDescent="0.25">
      <c r="C21" s="5" t="s">
        <v>87</v>
      </c>
      <c r="D21" s="4">
        <v>1.1209999999999999E-2</v>
      </c>
      <c r="E21" s="49"/>
      <c r="F21" s="54"/>
      <c r="G21" s="3">
        <f>D21</f>
        <v>1.1209999999999999E-2</v>
      </c>
      <c r="H21" s="49"/>
    </row>
    <row r="22" spans="3:8" x14ac:dyDescent="0.25">
      <c r="C22" s="5" t="s">
        <v>72</v>
      </c>
      <c r="D22" s="55">
        <f>SUM(D16:D21)</f>
        <v>0.46864</v>
      </c>
      <c r="E22" s="49">
        <f>ROUND(D22*D$8,2)</f>
        <v>29.99</v>
      </c>
      <c r="F22" s="54"/>
      <c r="G22" s="55">
        <f>SUM(G16:G21)</f>
        <v>0.48508000000000001</v>
      </c>
      <c r="H22" s="49">
        <f>ROUND(G22*G$8,2)</f>
        <v>31.05</v>
      </c>
    </row>
    <row r="23" spans="3:8" x14ac:dyDescent="0.25">
      <c r="D23" s="3"/>
      <c r="E23" s="49"/>
      <c r="F23" s="54"/>
      <c r="G23" s="3"/>
      <c r="H23" s="49"/>
    </row>
    <row r="24" spans="3:8" x14ac:dyDescent="0.25">
      <c r="C24" s="5" t="s">
        <v>88</v>
      </c>
      <c r="D24" s="56">
        <v>1.703E-2</v>
      </c>
      <c r="E24" s="49">
        <f>ROUND(D24*D$8,2)</f>
        <v>1.0900000000000001</v>
      </c>
      <c r="F24" s="54"/>
      <c r="G24" s="4">
        <f>D24</f>
        <v>1.703E-2</v>
      </c>
      <c r="H24" s="49">
        <f>ROUND(G24*G$8,2)</f>
        <v>1.0900000000000001</v>
      </c>
    </row>
    <row r="25" spans="3:8" x14ac:dyDescent="0.25">
      <c r="D25" s="56"/>
      <c r="E25" s="49"/>
      <c r="F25" s="54"/>
      <c r="G25" s="3"/>
      <c r="H25" s="49"/>
    </row>
    <row r="26" spans="3:8" x14ac:dyDescent="0.25">
      <c r="C26" s="5" t="s">
        <v>89</v>
      </c>
      <c r="D26" s="56">
        <v>-3.5799999999999998E-3</v>
      </c>
      <c r="E26" s="49">
        <f>ROUND(D26*D$8,2)</f>
        <v>-0.23</v>
      </c>
      <c r="F26" s="54"/>
      <c r="G26" s="3">
        <f>D26</f>
        <v>-3.5799999999999998E-3</v>
      </c>
      <c r="H26" s="49">
        <f>ROUND(G26*G$8,2)</f>
        <v>-0.23</v>
      </c>
    </row>
    <row r="27" spans="3:8" x14ac:dyDescent="0.25">
      <c r="D27" s="56"/>
      <c r="E27" s="49"/>
      <c r="F27" s="54"/>
      <c r="G27" s="3"/>
      <c r="H27" s="49"/>
    </row>
    <row r="28" spans="3:8" x14ac:dyDescent="0.25">
      <c r="C28" s="5" t="s">
        <v>90</v>
      </c>
      <c r="D28" s="56">
        <v>0.32665</v>
      </c>
      <c r="E28" s="49"/>
      <c r="F28" s="54"/>
      <c r="G28" s="3">
        <f>D28</f>
        <v>0.32665</v>
      </c>
      <c r="H28" s="49"/>
    </row>
    <row r="29" spans="3:8" x14ac:dyDescent="0.25">
      <c r="C29" s="5" t="s">
        <v>91</v>
      </c>
      <c r="D29" s="56">
        <v>-5.8279999999999998E-2</v>
      </c>
      <c r="E29" s="49"/>
      <c r="F29" s="54"/>
      <c r="G29" s="3">
        <f t="shared" ref="G29" si="1">D29</f>
        <v>-5.8279999999999998E-2</v>
      </c>
      <c r="H29" s="49"/>
    </row>
    <row r="30" spans="3:8" x14ac:dyDescent="0.25">
      <c r="C30" s="5" t="s">
        <v>72</v>
      </c>
      <c r="D30" s="55">
        <f>SUM(D28:D29)</f>
        <v>0.26837</v>
      </c>
      <c r="E30" s="49">
        <f>ROUND(D30*D$8,2)</f>
        <v>17.18</v>
      </c>
      <c r="F30" s="54"/>
      <c r="G30" s="55">
        <f>SUM(G28:G29)</f>
        <v>0.26837</v>
      </c>
      <c r="H30" s="49">
        <f>ROUND(G30*G$8,2)</f>
        <v>17.18</v>
      </c>
    </row>
    <row r="31" spans="3:8" x14ac:dyDescent="0.25">
      <c r="C31" s="5" t="s">
        <v>92</v>
      </c>
      <c r="D31" s="55">
        <f>D22+D24+D26+D30</f>
        <v>0.75046000000000002</v>
      </c>
      <c r="E31" s="57">
        <f>SUM(E22,E24,E26,E30)</f>
        <v>48.03</v>
      </c>
      <c r="F31" s="54"/>
      <c r="G31" s="55">
        <f>G22+G24+G26+G30</f>
        <v>0.76690000000000003</v>
      </c>
      <c r="H31" s="57">
        <f>SUM(H22,H24,H26,H30)</f>
        <v>49.09</v>
      </c>
    </row>
    <row r="32" spans="3:8" x14ac:dyDescent="0.25">
      <c r="E32" s="49"/>
      <c r="H32" s="49"/>
    </row>
    <row r="33" spans="2:8" x14ac:dyDescent="0.25">
      <c r="B33" s="5" t="s">
        <v>93</v>
      </c>
      <c r="D33" s="50"/>
      <c r="E33" s="49">
        <f>E13+E31</f>
        <v>59.03</v>
      </c>
      <c r="F33" s="51"/>
      <c r="G33" s="50"/>
      <c r="H33" s="49">
        <f>H13+H31</f>
        <v>60.61</v>
      </c>
    </row>
    <row r="34" spans="2:8" x14ac:dyDescent="0.25">
      <c r="B34" s="5" t="s">
        <v>94</v>
      </c>
      <c r="D34" s="50"/>
      <c r="E34" s="49"/>
      <c r="F34" s="51"/>
      <c r="G34" s="50"/>
      <c r="H34" s="49">
        <f>H33-$E33</f>
        <v>1.5799999999999983</v>
      </c>
    </row>
    <row r="35" spans="2:8" x14ac:dyDescent="0.25">
      <c r="B35" s="5" t="s">
        <v>95</v>
      </c>
      <c r="D35" s="58"/>
      <c r="E35" s="58"/>
      <c r="F35" s="59"/>
      <c r="G35" s="58"/>
      <c r="H35" s="1">
        <f>H34/$E33</f>
        <v>2.6766051160426872E-2</v>
      </c>
    </row>
    <row r="36" spans="2:8" x14ac:dyDescent="0.25">
      <c r="E36" s="49"/>
    </row>
    <row r="37" spans="2:8" x14ac:dyDescent="0.25">
      <c r="B37" s="5" t="s">
        <v>96</v>
      </c>
      <c r="D37" s="3">
        <f>D22+D24+D26</f>
        <v>0.48209000000000002</v>
      </c>
      <c r="E37" s="49"/>
      <c r="F37" s="54"/>
      <c r="G37" s="3">
        <f>G22+G24+G26</f>
        <v>0.49853000000000003</v>
      </c>
    </row>
    <row r="39" spans="2:8" ht="17.25" x14ac:dyDescent="0.25">
      <c r="B39" s="60" t="s">
        <v>101</v>
      </c>
    </row>
    <row r="40" spans="2:8" x14ac:dyDescent="0.25">
      <c r="C40" s="60"/>
      <c r="D40" s="60"/>
      <c r="E40" s="60"/>
      <c r="F40" s="61"/>
      <c r="G40" s="61"/>
      <c r="H40" s="61"/>
    </row>
    <row r="45" spans="2:8" ht="14.25" customHeight="1" x14ac:dyDescent="0.25"/>
  </sheetData>
  <mergeCells count="4">
    <mergeCell ref="B1:H1"/>
    <mergeCell ref="B2:H2"/>
    <mergeCell ref="B3:H3"/>
    <mergeCell ref="B4:H4"/>
  </mergeCells>
  <printOptions horizontalCentered="1"/>
  <pageMargins left="0.75" right="0.75" top="1" bottom="1" header="0.5" footer="0.5"/>
  <pageSetup scale="82" orientation="landscape" blackAndWhite="1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ED915A3-5502-47B2-83CF-B6E1359FA802}"/>
</file>

<file path=customXml/itemProps2.xml><?xml version="1.0" encoding="utf-8"?>
<ds:datastoreItem xmlns:ds="http://schemas.openxmlformats.org/officeDocument/2006/customXml" ds:itemID="{DE670D3D-3868-4274-B05D-CD1581FD271B}"/>
</file>

<file path=customXml/itemProps3.xml><?xml version="1.0" encoding="utf-8"?>
<ds:datastoreItem xmlns:ds="http://schemas.openxmlformats.org/officeDocument/2006/customXml" ds:itemID="{F0344D42-4A4B-4F7A-93DA-4CDFFD79B092}"/>
</file>

<file path=customXml/itemProps4.xml><?xml version="1.0" encoding="utf-8"?>
<ds:datastoreItem xmlns:ds="http://schemas.openxmlformats.org/officeDocument/2006/customXml" ds:itemID="{754CBC2A-CE9A-4EF5-8FA9-3D5B57058B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Exh. JAP-8 Page 1</vt:lpstr>
      <vt:lpstr>Exh. JAP-8 Page 2</vt:lpstr>
      <vt:lpstr>'Exh. JAP-8 Page 1'!Print_Area</vt:lpstr>
      <vt:lpstr>'Exh. JAP-8 Page 2'!Print_Area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Steele, David S. (BEL)</cp:lastModifiedBy>
  <dcterms:created xsi:type="dcterms:W3CDTF">2018-10-25T23:10:24Z</dcterms:created>
  <dcterms:modified xsi:type="dcterms:W3CDTF">2018-10-31T20:00:47Z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