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21092\Desktop\WA Filing\"/>
    </mc:Choice>
  </mc:AlternateContent>
  <bookViews>
    <workbookView xWindow="0" yWindow="0" windowWidth="28800" windowHeight="11835"/>
  </bookViews>
  <sheets>
    <sheet name="Exhibit 3" sheetId="2" r:id="rId1"/>
    <sheet name="Exhibit 4" sheetId="1" r:id="rId2"/>
    <sheet name="Exhibit 5" sheetId="3" r:id="rId3"/>
    <sheet name="2017 ROO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2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2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2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2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2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2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2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3" hidden="1">[1]Inputs!#REF!</definedName>
    <definedName name="__123Graph_A" localSheetId="1" hidden="1">[2]Inputs!#REF!</definedName>
    <definedName name="__123Graph_A" localSheetId="2" hidden="1">[3]Inputs!#REF!</definedName>
    <definedName name="__123Graph_A" hidden="1">'[4]OR kWh'!#REF!</definedName>
    <definedName name="__123Graph_B" localSheetId="3" hidden="1">[1]Inputs!#REF!</definedName>
    <definedName name="__123Graph_B" localSheetId="1" hidden="1">[2]Inputs!#REF!</definedName>
    <definedName name="__123Graph_B" localSheetId="2" hidden="1">[3]Inputs!#REF!</definedName>
    <definedName name="__123Graph_B" hidden="1">'[4]OR kWh'!#REF!</definedName>
    <definedName name="__123Graph_D" localSheetId="3" hidden="1">[1]Inputs!#REF!</definedName>
    <definedName name="__123Graph_D" localSheetId="1" hidden="1">[2]Inputs!#REF!</definedName>
    <definedName name="__123Graph_D" localSheetId="2" hidden="1">[3]Inputs!#REF!</definedName>
    <definedName name="__123Graph_D" hidden="1">'[4]OR kWh'!#REF!</definedName>
    <definedName name="__123Graph_E" hidden="1">[5]Input!$E$22:$E$37</definedName>
    <definedName name="__123Graph_ECURRENT" hidden="1">[6]ConsolidatingPL!#REF!</definedName>
    <definedName name="__123Graph_F" hidden="1">[5]Input!$D$22:$D$37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2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3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3" hidden="1">'2017 ROO'!$F$10:$F$11</definedName>
    <definedName name="_xlnm._FilterDatabase" localSheetId="1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3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3" hidden="1">0</definedName>
    <definedName name="_Order1" localSheetId="1" hidden="1">0</definedName>
    <definedName name="_Order1" localSheetId="2" hidden="1">0</definedName>
    <definedName name="_Order1" hidden="1">255</definedName>
    <definedName name="_Order2" localSheetId="3" hidden="1">0</definedName>
    <definedName name="_Order2" localSheetId="1" hidden="1">0</definedName>
    <definedName name="_Order2" localSheetId="2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3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www1" hidden="1">{#N/A,#N/A,FALSE,"schA"}</definedName>
    <definedName name="a" localSheetId="3" hidden="1">'[1]DSM Output'!$J$21:$J$23</definedName>
    <definedName name="a" localSheetId="1" hidden="1">#REF!</definedName>
    <definedName name="a" localSheetId="2" hidden="1">#REF!</definedName>
    <definedName name="a" hidden="1">#REF!</definedName>
    <definedName name="Access_Button1" hidden="1">"Headcount_Workbook_Schedules_List"</definedName>
    <definedName name="AccessDatabase" localSheetId="1" hidden="1">"P:\HR\SharonPlummer\Headcount Workbook.mdb"</definedName>
    <definedName name="AccessDatabase" localSheetId="2" hidden="1">"P:\HR\SharonPlummer\Headcount Workbook.mdb"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2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hidden="1">[1]Inputs!#REF!</definedName>
    <definedName name="DUDE" localSheetId="3" hidden="1">#REF!</definedName>
    <definedName name="DUDE" localSheetId="1" hidden="1">#REF!</definedName>
    <definedName name="DUDE" localSheetId="2" hidden="1">#REF!</definedName>
    <definedName name="DUDE" hidden="1">#REF!</definedName>
    <definedName name="ee" hidden="1">{#N/A,#N/A,FALSE,"Month ";#N/A,#N/A,FALSE,"YTD";#N/A,#N/A,FALSE,"12 mo ended"}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localSheetId="2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2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2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2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2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{#N/A,#N/A,FALSE,"Summ";#N/A,#N/A,FALSE,"General"}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[7]Inputs!#REF!</definedName>
    <definedName name="PricingInfo" hidden="1">[7]Inputs!#REF!</definedName>
    <definedName name="_xlnm.Print_Area" localSheetId="3">'2017 ROO'!$A$1:$Q$149</definedName>
    <definedName name="_xlnm.Print_Area" localSheetId="1">'Exhibit 4'!$A$1:$T$48</definedName>
    <definedName name="_xlnm.Print_Area" localSheetId="2">'Exhibit 5'!$A$1:$J$39</definedName>
    <definedName name="q" hidden="1">{#N/A,#N/A,FALSE,"Coversheet";#N/A,#N/A,FALSE,"QA"}</definedName>
    <definedName name="qqq" hidden="1">{#N/A,#N/A,FALSE,"schA"}</definedName>
    <definedName name="retail" localSheetId="1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localSheetId="1" hidden="1">"44KU92Q9LH2VK4DK86GZ93AXN"</definedName>
    <definedName name="SAPBEXwbID" localSheetId="2" hidden="1">"44KU92Q9LH2VK4DK86GZ93AXN"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2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2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localSheetId="1" hidden="1">[8]Inputs!#REF!</definedName>
    <definedName name="w" hidden="1">[8]Inputs!#REF!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localSheetId="2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localSheetId="2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2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2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1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2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2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3" hidden="1">'[1]DSM Output'!$B$21:$B$23</definedName>
    <definedName name="y" localSheetId="1" hidden="1">#REF!</definedName>
    <definedName name="y" localSheetId="2" hidden="1">#REF!</definedName>
    <definedName name="y" hidden="1">#REF!</definedName>
    <definedName name="yuf" hidden="1">{#N/A,#N/A,FALSE,"Summ";#N/A,#N/A,FALSE,"General"}</definedName>
    <definedName name="z" localSheetId="3" hidden="1">'[1]DSM Output'!$G$21:$G$23</definedName>
    <definedName name="z" localSheetId="1" hidden="1">#REF!</definedName>
    <definedName name="z" localSheetId="2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localSheetId="2" hidden="1">#REF!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2" l="1"/>
  <c r="L61" i="2"/>
  <c r="K61" i="2"/>
  <c r="J61" i="2"/>
  <c r="I61" i="2"/>
  <c r="H61" i="2"/>
  <c r="G61" i="2"/>
  <c r="F61" i="2"/>
  <c r="E61" i="2"/>
  <c r="I22" i="1" l="1"/>
  <c r="Q142" i="4" l="1"/>
  <c r="Q139" i="4"/>
  <c r="Q137" i="4"/>
  <c r="Q129" i="4"/>
  <c r="Q128" i="4"/>
  <c r="Q127" i="4"/>
  <c r="Q126" i="4"/>
  <c r="Q125" i="4"/>
  <c r="Q124" i="4"/>
  <c r="Q123" i="4"/>
  <c r="P139" i="4"/>
  <c r="P137" i="4"/>
  <c r="P129" i="4"/>
  <c r="Q119" i="4"/>
  <c r="Q117" i="4"/>
  <c r="Q105" i="4"/>
  <c r="Q104" i="4"/>
  <c r="Q103" i="4"/>
  <c r="P117" i="4"/>
  <c r="P119" i="4" s="1"/>
  <c r="P105" i="4"/>
  <c r="P128" i="4"/>
  <c r="P127" i="4"/>
  <c r="P126" i="4"/>
  <c r="P125" i="4"/>
  <c r="P124" i="4"/>
  <c r="P123" i="4"/>
  <c r="P104" i="4"/>
  <c r="P103" i="4"/>
  <c r="Q97" i="4"/>
  <c r="Q99" i="4"/>
  <c r="Q86" i="4"/>
  <c r="Q83" i="4"/>
  <c r="Q78" i="4"/>
  <c r="Q75" i="4"/>
  <c r="Q85" i="4"/>
  <c r="Q82" i="4"/>
  <c r="Q81" i="4"/>
  <c r="Q80" i="4"/>
  <c r="Q77" i="4"/>
  <c r="Q74" i="4"/>
  <c r="Q73" i="4"/>
  <c r="Q72" i="4"/>
  <c r="P97" i="4"/>
  <c r="P99" i="4" s="1"/>
  <c r="P86" i="4"/>
  <c r="P83" i="4"/>
  <c r="P78" i="4"/>
  <c r="P75" i="4"/>
  <c r="P85" i="4"/>
  <c r="P82" i="4"/>
  <c r="P81" i="4"/>
  <c r="P80" i="4"/>
  <c r="P77" i="4"/>
  <c r="P74" i="4"/>
  <c r="P73" i="4"/>
  <c r="P72" i="4"/>
  <c r="Q69" i="4"/>
  <c r="Q67" i="4"/>
  <c r="Q55" i="4"/>
  <c r="Q51" i="4"/>
  <c r="Q48" i="4"/>
  <c r="Q45" i="4"/>
  <c r="Q54" i="4"/>
  <c r="Q53" i="4"/>
  <c r="Q50" i="4"/>
  <c r="Q47" i="4"/>
  <c r="Q44" i="4"/>
  <c r="Q43" i="4"/>
  <c r="Q42" i="4"/>
  <c r="P69" i="4"/>
  <c r="P67" i="4"/>
  <c r="P55" i="4"/>
  <c r="P51" i="4"/>
  <c r="P48" i="4"/>
  <c r="P45" i="4"/>
  <c r="P54" i="4"/>
  <c r="P53" i="4"/>
  <c r="P50" i="4"/>
  <c r="P47" i="4"/>
  <c r="P44" i="4"/>
  <c r="P43" i="4"/>
  <c r="P42" i="4"/>
  <c r="Q37" i="4"/>
  <c r="Q39" i="4" s="1"/>
  <c r="Q23" i="4"/>
  <c r="Q20" i="4"/>
  <c r="Q22" i="4"/>
  <c r="Q19" i="4"/>
  <c r="Q18" i="4"/>
  <c r="Q17" i="4"/>
  <c r="Q16" i="4"/>
  <c r="Q15" i="4"/>
  <c r="Q14" i="4"/>
  <c r="Q13" i="4"/>
  <c r="P37" i="4"/>
  <c r="P39" i="4" s="1"/>
  <c r="P23" i="4"/>
  <c r="P22" i="4"/>
  <c r="P20" i="4"/>
  <c r="P19" i="4"/>
  <c r="P18" i="4"/>
  <c r="P17" i="4"/>
  <c r="P16" i="4"/>
  <c r="P15" i="4"/>
  <c r="P14" i="4"/>
  <c r="P13" i="4"/>
  <c r="L142" i="4"/>
  <c r="L139" i="4"/>
  <c r="L129" i="4"/>
  <c r="L128" i="4"/>
  <c r="L127" i="4"/>
  <c r="L126" i="4"/>
  <c r="L125" i="4"/>
  <c r="L124" i="4"/>
  <c r="L123" i="4"/>
  <c r="L119" i="4"/>
  <c r="L105" i="4"/>
  <c r="L104" i="4"/>
  <c r="L103" i="4"/>
  <c r="L99" i="4"/>
  <c r="L86" i="4"/>
  <c r="L83" i="4"/>
  <c r="L78" i="4"/>
  <c r="L75" i="4"/>
  <c r="L85" i="4"/>
  <c r="L82" i="4"/>
  <c r="L81" i="4"/>
  <c r="L80" i="4"/>
  <c r="L77" i="4"/>
  <c r="L74" i="4"/>
  <c r="L73" i="4"/>
  <c r="L72" i="4"/>
  <c r="L69" i="4"/>
  <c r="L55" i="4"/>
  <c r="L51" i="4"/>
  <c r="L48" i="4"/>
  <c r="L45" i="4"/>
  <c r="L54" i="4"/>
  <c r="L53" i="4"/>
  <c r="L50" i="4"/>
  <c r="L47" i="4"/>
  <c r="L44" i="4"/>
  <c r="L43" i="4"/>
  <c r="L42" i="4"/>
  <c r="L22" i="4"/>
  <c r="L19" i="4"/>
  <c r="L18" i="4"/>
  <c r="L17" i="4"/>
  <c r="L16" i="4"/>
  <c r="L15" i="4"/>
  <c r="L20" i="4" s="1"/>
  <c r="L14" i="4"/>
  <c r="L13" i="4"/>
  <c r="L23" i="4"/>
  <c r="L137" i="4"/>
  <c r="L117" i="4"/>
  <c r="L97" i="4"/>
  <c r="L67" i="4"/>
  <c r="L37" i="4"/>
  <c r="J67" i="4"/>
  <c r="J142" i="4"/>
  <c r="J139" i="4"/>
  <c r="I139" i="4"/>
  <c r="J137" i="4"/>
  <c r="I137" i="4"/>
  <c r="J129" i="4"/>
  <c r="J128" i="4"/>
  <c r="J127" i="4"/>
  <c r="J126" i="4"/>
  <c r="J125" i="4"/>
  <c r="J124" i="4"/>
  <c r="J123" i="4"/>
  <c r="I129" i="4"/>
  <c r="I128" i="4"/>
  <c r="I127" i="4"/>
  <c r="I126" i="4"/>
  <c r="I125" i="4"/>
  <c r="I124" i="4"/>
  <c r="I123" i="4"/>
  <c r="G129" i="4"/>
  <c r="G139" i="4" s="1"/>
  <c r="G137" i="4"/>
  <c r="G128" i="4"/>
  <c r="G127" i="4"/>
  <c r="G126" i="4"/>
  <c r="G125" i="4"/>
  <c r="G124" i="4"/>
  <c r="G123" i="4"/>
  <c r="J119" i="4"/>
  <c r="J105" i="4"/>
  <c r="I119" i="4"/>
  <c r="H119" i="4"/>
  <c r="I117" i="4"/>
  <c r="J117" i="4" s="1"/>
  <c r="J104" i="4"/>
  <c r="J103" i="4"/>
  <c r="H105" i="4"/>
  <c r="I105" i="4"/>
  <c r="I104" i="4"/>
  <c r="I103" i="4"/>
  <c r="G119" i="4"/>
  <c r="G117" i="4"/>
  <c r="G105" i="4"/>
  <c r="G104" i="4"/>
  <c r="G103" i="4"/>
  <c r="J97" i="4"/>
  <c r="I97" i="4"/>
  <c r="J86" i="4"/>
  <c r="J83" i="4"/>
  <c r="J78" i="4"/>
  <c r="J75" i="4"/>
  <c r="J85" i="4"/>
  <c r="J82" i="4"/>
  <c r="J80" i="4"/>
  <c r="J77" i="4"/>
  <c r="J74" i="4"/>
  <c r="J73" i="4"/>
  <c r="J72" i="4"/>
  <c r="I99" i="4"/>
  <c r="I86" i="4"/>
  <c r="I83" i="4"/>
  <c r="I78" i="4"/>
  <c r="I75" i="4"/>
  <c r="I85" i="4"/>
  <c r="I82" i="4"/>
  <c r="I81" i="4"/>
  <c r="I80" i="4"/>
  <c r="I77" i="4"/>
  <c r="I74" i="4"/>
  <c r="I73" i="4"/>
  <c r="I72" i="4"/>
  <c r="G86" i="4"/>
  <c r="G83" i="4"/>
  <c r="G78" i="4"/>
  <c r="G75" i="4"/>
  <c r="G97" i="4"/>
  <c r="G85" i="4"/>
  <c r="G82" i="4"/>
  <c r="G81" i="4"/>
  <c r="G80" i="4"/>
  <c r="G77" i="4"/>
  <c r="G74" i="4"/>
  <c r="G73" i="4"/>
  <c r="G72" i="4"/>
  <c r="J55" i="4"/>
  <c r="I55" i="4"/>
  <c r="H55" i="4"/>
  <c r="J51" i="4"/>
  <c r="I51" i="4"/>
  <c r="H51" i="4"/>
  <c r="H48" i="4"/>
  <c r="J48" i="4"/>
  <c r="I48" i="4"/>
  <c r="J45" i="4"/>
  <c r="I45" i="4"/>
  <c r="H45" i="4"/>
  <c r="I67" i="4"/>
  <c r="I54" i="4"/>
  <c r="J54" i="4" s="1"/>
  <c r="I53" i="4"/>
  <c r="I50" i="4"/>
  <c r="I47" i="4"/>
  <c r="J47" i="4" s="1"/>
  <c r="I44" i="4"/>
  <c r="J44" i="4" s="1"/>
  <c r="I43" i="4"/>
  <c r="I42" i="4"/>
  <c r="J42" i="4" s="1"/>
  <c r="J53" i="4"/>
  <c r="J50" i="4"/>
  <c r="J43" i="4"/>
  <c r="J39" i="4"/>
  <c r="J37" i="4"/>
  <c r="I37" i="4"/>
  <c r="I39" i="4" s="1"/>
  <c r="H39" i="4"/>
  <c r="I23" i="4"/>
  <c r="J23" i="4"/>
  <c r="I22" i="4"/>
  <c r="J22" i="4" s="1"/>
  <c r="F20" i="4"/>
  <c r="H20" i="4"/>
  <c r="I20" i="4"/>
  <c r="J20" i="4"/>
  <c r="J14" i="4"/>
  <c r="J15" i="4"/>
  <c r="J16" i="4"/>
  <c r="J17" i="4"/>
  <c r="J18" i="4"/>
  <c r="J19" i="4"/>
  <c r="I14" i="4"/>
  <c r="I15" i="4"/>
  <c r="I16" i="4"/>
  <c r="I17" i="4"/>
  <c r="I18" i="4"/>
  <c r="I19" i="4"/>
  <c r="G55" i="4"/>
  <c r="G51" i="4"/>
  <c r="G48" i="4"/>
  <c r="G45" i="4"/>
  <c r="G67" i="4"/>
  <c r="G54" i="4"/>
  <c r="G53" i="4"/>
  <c r="G50" i="4"/>
  <c r="G47" i="4"/>
  <c r="G44" i="4"/>
  <c r="G43" i="4"/>
  <c r="G42" i="4"/>
  <c r="G23" i="4"/>
  <c r="G20" i="4"/>
  <c r="G39" i="4" s="1"/>
  <c r="G37" i="4"/>
  <c r="G22" i="4"/>
  <c r="G14" i="4"/>
  <c r="G15" i="4"/>
  <c r="G16" i="4"/>
  <c r="G17" i="4"/>
  <c r="G18" i="4"/>
  <c r="G19" i="4"/>
  <c r="G13" i="4"/>
  <c r="I13" i="4" s="1"/>
  <c r="J13" i="4" s="1"/>
  <c r="L39" i="4" l="1"/>
  <c r="J99" i="4"/>
  <c r="G99" i="4"/>
  <c r="G69" i="4"/>
  <c r="N45" i="1" l="1"/>
  <c r="N38" i="1"/>
  <c r="N37" i="1"/>
  <c r="N36" i="1"/>
  <c r="N35" i="1"/>
  <c r="N34" i="1"/>
  <c r="N28" i="1"/>
  <c r="N27" i="1"/>
  <c r="N26" i="1"/>
  <c r="N25" i="1"/>
  <c r="N24" i="1"/>
  <c r="N22" i="1"/>
  <c r="N16" i="1"/>
  <c r="N19" i="1" s="1"/>
  <c r="L24" i="1"/>
  <c r="L22" i="1"/>
  <c r="L28" i="1"/>
  <c r="L37" i="1"/>
  <c r="L38" i="1"/>
  <c r="L36" i="1"/>
  <c r="L35" i="1"/>
  <c r="L34" i="1"/>
  <c r="L27" i="1"/>
  <c r="L26" i="1"/>
  <c r="L25" i="1"/>
  <c r="L16" i="1"/>
  <c r="I38" i="1"/>
  <c r="I37" i="1"/>
  <c r="I36" i="1"/>
  <c r="I35" i="1"/>
  <c r="I34" i="1"/>
  <c r="I28" i="1"/>
  <c r="I27" i="1"/>
  <c r="I26" i="1"/>
  <c r="I25" i="1"/>
  <c r="I24" i="1"/>
  <c r="I16" i="1"/>
  <c r="L19" i="1" l="1"/>
  <c r="N41" i="1"/>
  <c r="N31" i="1"/>
  <c r="L41" i="1"/>
  <c r="L31" i="1"/>
  <c r="P18" i="3"/>
  <c r="N43" i="1" l="1"/>
  <c r="N47" i="1" s="1"/>
  <c r="L43" i="1"/>
  <c r="L47" i="1" s="1"/>
  <c r="R55" i="1" l="1"/>
  <c r="L62" i="2" l="1"/>
  <c r="T41" i="1" s="1"/>
  <c r="G62" i="2"/>
  <c r="T22" i="1" s="1"/>
  <c r="P22" i="1" s="1"/>
  <c r="K62" i="2"/>
  <c r="T25" i="1" s="1"/>
  <c r="P25" i="1" s="1"/>
  <c r="F62" i="2"/>
  <c r="T16" i="1" s="1"/>
  <c r="P16" i="1" s="1"/>
  <c r="I64" i="2"/>
  <c r="T27" i="1" s="1"/>
  <c r="P27" i="1" s="1"/>
  <c r="E62" i="2"/>
  <c r="J62" i="2"/>
  <c r="H62" i="2"/>
  <c r="T24" i="1" s="1"/>
  <c r="P24" i="1" s="1"/>
  <c r="I62" i="2"/>
  <c r="T23" i="1" l="1"/>
  <c r="P23" i="1" s="1"/>
  <c r="K41" i="1" l="1"/>
  <c r="K43" i="1" s="1"/>
  <c r="K47" i="1" s="1"/>
  <c r="I41" i="1"/>
  <c r="H41" i="1"/>
  <c r="K31" i="1"/>
  <c r="I31" i="1"/>
  <c r="H31" i="1"/>
  <c r="K19" i="1"/>
  <c r="I19" i="1"/>
  <c r="H19" i="1"/>
  <c r="B19" i="1"/>
  <c r="B22" i="1" s="1"/>
  <c r="H43" i="1" l="1"/>
  <c r="H47" i="1" s="1"/>
  <c r="I43" i="1"/>
  <c r="I47" i="1" s="1"/>
  <c r="B23" i="1"/>
  <c r="B24" i="1" s="1"/>
  <c r="B25" i="1" l="1"/>
  <c r="B26" i="1" l="1"/>
  <c r="T34" i="1" l="1"/>
  <c r="P34" i="1" s="1"/>
  <c r="T28" i="1"/>
  <c r="P28" i="1" s="1"/>
  <c r="T37" i="1"/>
  <c r="P37" i="1" s="1"/>
  <c r="T38" i="1"/>
  <c r="P38" i="1" s="1"/>
  <c r="T35" i="1"/>
  <c r="P35" i="1" s="1"/>
  <c r="T36" i="1"/>
  <c r="P36" i="1" s="1"/>
  <c r="B27" i="1"/>
  <c r="B28" i="1" s="1"/>
  <c r="B31" i="1" s="1"/>
  <c r="R35" i="1" l="1"/>
  <c r="R38" i="1"/>
  <c r="R37" i="1"/>
  <c r="R36" i="1"/>
  <c r="R28" i="1"/>
  <c r="R24" i="1"/>
  <c r="R23" i="1" s="1"/>
  <c r="B34" i="1"/>
  <c r="R34" i="1" l="1"/>
  <c r="P41" i="1"/>
  <c r="R41" i="1" s="1"/>
  <c r="B35" i="1"/>
  <c r="B36" i="1" s="1"/>
  <c r="B37" i="1" s="1"/>
  <c r="B38" i="1" l="1"/>
  <c r="B41" i="1" s="1"/>
  <c r="B43" i="1" s="1"/>
  <c r="N10" i="3" l="1"/>
  <c r="N9" i="3"/>
  <c r="D33" i="3" l="1"/>
  <c r="D26" i="3"/>
  <c r="D20" i="3"/>
  <c r="D14" i="3"/>
  <c r="D15" i="3"/>
  <c r="D12" i="3"/>
  <c r="D25" i="3"/>
  <c r="D22" i="3"/>
  <c r="D17" i="3"/>
  <c r="D11" i="3"/>
  <c r="D29" i="3"/>
  <c r="D27" i="3"/>
  <c r="D23" i="3"/>
  <c r="D21" i="3"/>
  <c r="D16" i="3"/>
  <c r="D10" i="3"/>
  <c r="D32" i="3"/>
  <c r="D28" i="3"/>
  <c r="D31" i="3"/>
  <c r="D19" i="3"/>
  <c r="R27" i="1" l="1"/>
  <c r="R25" i="1"/>
  <c r="R16" i="1" l="1"/>
  <c r="N22" i="3" s="1"/>
  <c r="P19" i="1"/>
  <c r="R19" i="1" s="1"/>
  <c r="R22" i="1"/>
  <c r="P14" i="3" l="1"/>
  <c r="P9" i="3" l="1"/>
  <c r="P10" i="3"/>
  <c r="R10" i="3" s="1"/>
  <c r="F10" i="3" l="1"/>
  <c r="F12" i="3"/>
  <c r="F19" i="3"/>
  <c r="F25" i="3"/>
  <c r="F29" i="3"/>
  <c r="F11" i="3"/>
  <c r="F17" i="3"/>
  <c r="F22" i="3"/>
  <c r="F23" i="3"/>
  <c r="F28" i="3"/>
  <c r="F33" i="3"/>
  <c r="F16" i="3"/>
  <c r="F21" i="3"/>
  <c r="F27" i="3"/>
  <c r="F32" i="3"/>
  <c r="F14" i="3"/>
  <c r="F20" i="3"/>
  <c r="F26" i="3"/>
  <c r="R9" i="3"/>
  <c r="F15" i="3"/>
  <c r="F31" i="3"/>
  <c r="H26" i="3" l="1"/>
  <c r="J26" i="3"/>
  <c r="J27" i="3"/>
  <c r="H27" i="3"/>
  <c r="H28" i="3"/>
  <c r="J28" i="3"/>
  <c r="H11" i="3"/>
  <c r="J11" i="3"/>
  <c r="H12" i="3"/>
  <c r="J12" i="3"/>
  <c r="H31" i="3"/>
  <c r="J31" i="3"/>
  <c r="H20" i="3"/>
  <c r="J20" i="3"/>
  <c r="J21" i="3"/>
  <c r="H21" i="3"/>
  <c r="H23" i="3"/>
  <c r="J23" i="3"/>
  <c r="H29" i="3"/>
  <c r="J29" i="3"/>
  <c r="H10" i="3"/>
  <c r="J10" i="3"/>
  <c r="H15" i="3"/>
  <c r="J15" i="3"/>
  <c r="H14" i="3"/>
  <c r="J14" i="3"/>
  <c r="J16" i="3"/>
  <c r="H16" i="3"/>
  <c r="H22" i="3"/>
  <c r="J22" i="3"/>
  <c r="H25" i="3"/>
  <c r="J25" i="3"/>
  <c r="J32" i="3"/>
  <c r="H32" i="3"/>
  <c r="H33" i="3"/>
  <c r="J33" i="3"/>
  <c r="H17" i="3"/>
  <c r="J17" i="3"/>
  <c r="H19" i="3"/>
  <c r="J19" i="3"/>
  <c r="T26" i="1" l="1"/>
  <c r="P26" i="1" s="1"/>
  <c r="P31" i="1" s="1"/>
  <c r="R26" i="1" l="1"/>
  <c r="P43" i="1"/>
  <c r="R31" i="1"/>
  <c r="P47" i="1" l="1"/>
  <c r="U54" i="1" s="1"/>
  <c r="R43" i="1"/>
  <c r="R47" i="1" l="1"/>
</calcChain>
</file>

<file path=xl/sharedStrings.xml><?xml version="1.0" encoding="utf-8"?>
<sst xmlns="http://schemas.openxmlformats.org/spreadsheetml/2006/main" count="455" uniqueCount="266">
  <si>
    <t xml:space="preserve"> </t>
  </si>
  <si>
    <t>TABLE A. PRESENT AND PROPOSED RATES</t>
  </si>
  <si>
    <t>PACIFIC POWER &amp; LIGHT COMPANY</t>
  </si>
  <si>
    <t>ON REVENUES FROM ELECTRIC SALES TO ULTIMATE CONSUMERS</t>
  </si>
  <si>
    <t>IN WASHINGTON</t>
  </si>
  <si>
    <t>Present</t>
  </si>
  <si>
    <t>Curr.</t>
  </si>
  <si>
    <t>Avg.</t>
  </si>
  <si>
    <t>Base</t>
  </si>
  <si>
    <t>Line</t>
  </si>
  <si>
    <t>Sch.</t>
  </si>
  <si>
    <t>Cust.</t>
  </si>
  <si>
    <t>MWH</t>
  </si>
  <si>
    <t>Revenues</t>
  </si>
  <si>
    <t>Revenue</t>
  </si>
  <si>
    <t>Rate</t>
  </si>
  <si>
    <t>No.</t>
  </si>
  <si>
    <t>Description</t>
  </si>
  <si>
    <t>Actual</t>
  </si>
  <si>
    <t>($000)</t>
  </si>
  <si>
    <t>%</t>
  </si>
  <si>
    <t>(cents/kWh)</t>
  </si>
  <si>
    <t>(1)</t>
  </si>
  <si>
    <t>(2)</t>
  </si>
  <si>
    <t>(3)</t>
  </si>
  <si>
    <t>(4)</t>
  </si>
  <si>
    <t>(5)</t>
  </si>
  <si>
    <t>(7)</t>
  </si>
  <si>
    <t>(8)</t>
  </si>
  <si>
    <t>(9)</t>
  </si>
  <si>
    <t>(7)/(5)</t>
  </si>
  <si>
    <t>Residential</t>
  </si>
  <si>
    <t>Residential Service</t>
  </si>
  <si>
    <t>16/18</t>
  </si>
  <si>
    <t>Unbilled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</si>
  <si>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</si>
  <si>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</si>
  <si>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</si>
  <si>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</si>
  <si>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</si>
  <si>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</si>
  <si>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</si>
  <si>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</si>
  <si>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</si>
  <si>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</si>
  <si>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</si>
  <si>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</si>
  <si>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</si>
  <si>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</si>
  <si>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</si>
  <si>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</si>
  <si>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</si>
  <si>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</si>
  <si>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</si>
  <si>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</si>
  <si>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</si>
  <si>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Class Summary</t>
  </si>
  <si>
    <t>Cost Of Service By Rate Schedule - All Functions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</si>
  <si>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</si>
  <si>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</si>
  <si>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</si>
  <si>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</si>
  <si>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</si>
  <si>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</si>
  <si>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</si>
  <si>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</si>
  <si>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</si>
  <si>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</si>
  <si>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 xml:space="preserve">DESCRIPTION </t>
  </si>
  <si>
    <t>Operating Revenues</t>
  </si>
  <si>
    <t>Operating Expenses</t>
  </si>
  <si>
    <t>Operation &amp; Maintenance Expenses</t>
  </si>
  <si>
    <t>Depreciation Expense</t>
  </si>
  <si>
    <t>Amortization Expense</t>
  </si>
  <si>
    <t>Taxes Other Than Income</t>
  </si>
  <si>
    <t>Income Taxes - Federal</t>
  </si>
  <si>
    <t>Income Taxes - State</t>
  </si>
  <si>
    <t>Income Taxes Deferred</t>
  </si>
  <si>
    <t>Investment Tax Credit Adj</t>
  </si>
  <si>
    <t>Misc Revenues &amp; Expense</t>
  </si>
  <si>
    <t>Total Operating Expenses</t>
  </si>
  <si>
    <t>Operating Revenue For Return</t>
  </si>
  <si>
    <t>Rate Base :</t>
  </si>
  <si>
    <t>Electric Plant In Service</t>
  </si>
  <si>
    <t xml:space="preserve">Plant Held For Future Use </t>
  </si>
  <si>
    <t>Electric Plant Acquisition Adj</t>
  </si>
  <si>
    <t>Nuclear Fuel</t>
  </si>
  <si>
    <t>Prepayments</t>
  </si>
  <si>
    <t>Fuel Stock</t>
  </si>
  <si>
    <t>Materials &amp; Supplies</t>
  </si>
  <si>
    <t>Misc Deferred Debits</t>
  </si>
  <si>
    <t>Cash Working Capital</t>
  </si>
  <si>
    <t>Weatherization Loans</t>
  </si>
  <si>
    <t>Miscellaneous Rate Base</t>
  </si>
  <si>
    <t>Total Rate Base Additions</t>
  </si>
  <si>
    <t>Rate Base Deductions :</t>
  </si>
  <si>
    <t>Accum Provision For Depreciation</t>
  </si>
  <si>
    <t>Accum Provision For Amortization</t>
  </si>
  <si>
    <t>Accum Deferred Income Taxes</t>
  </si>
  <si>
    <t>Unamortized ITC</t>
  </si>
  <si>
    <t>Customer Advance For Construction</t>
  </si>
  <si>
    <t>Customer Service Deposits</t>
  </si>
  <si>
    <t>Misc Rate Base Deductions</t>
  </si>
  <si>
    <t>Total Rate Base Deductions</t>
  </si>
  <si>
    <t>Total Rate Base</t>
  </si>
  <si>
    <t>Federal Tax Act Adjustment</t>
  </si>
  <si>
    <t>Pacific Power &amp; Light Company</t>
  </si>
  <si>
    <t>Monthly Billing Comparison</t>
  </si>
  <si>
    <t>Schedule 16 - Residential Service</t>
  </si>
  <si>
    <r>
      <t xml:space="preserve">Monthly Charge </t>
    </r>
    <r>
      <rPr>
        <vertAlign val="superscript"/>
        <sz val="11"/>
        <rFont val="Times New Roman"/>
        <family val="1"/>
      </rPr>
      <t>1</t>
    </r>
  </si>
  <si>
    <t>Change</t>
  </si>
  <si>
    <t>Present Price</t>
  </si>
  <si>
    <t>Proposed Price</t>
  </si>
  <si>
    <t>kWh</t>
  </si>
  <si>
    <t>Proposed</t>
  </si>
  <si>
    <t>$</t>
  </si>
  <si>
    <t>Basic</t>
  </si>
  <si>
    <t>Energy - 1st 600</t>
  </si>
  <si>
    <t>Energy</t>
  </si>
  <si>
    <t>SBC</t>
  </si>
  <si>
    <t>PCAM Adjustment</t>
  </si>
  <si>
    <t>BPA Credit</t>
  </si>
  <si>
    <t>Low Income-Current</t>
  </si>
  <si>
    <t>Low Income-Proposed</t>
  </si>
  <si>
    <t>*</t>
  </si>
  <si>
    <t>Notes:</t>
  </si>
  <si>
    <t>* Average Washington Customer</t>
  </si>
  <si>
    <t>Schedule 93</t>
  </si>
  <si>
    <t>Schedule 197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</si>
  <si>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Surcharge, BPA Credit, </t>
    </r>
  </si>
  <si>
    <t xml:space="preserve">          PCAM Adjustment, Decoupling and Federal Tax Act Adjustment.</t>
  </si>
  <si>
    <t>Residential Overall Base:</t>
  </si>
  <si>
    <t>Table 2</t>
  </si>
  <si>
    <t>kWh &amp; Rev</t>
  </si>
  <si>
    <t xml:space="preserve">PacifiCorp </t>
  </si>
  <si>
    <t>Semi-Annual Report</t>
  </si>
  <si>
    <t>12 Months Ended December 2017</t>
  </si>
  <si>
    <t>Restating</t>
  </si>
  <si>
    <t>Temperature</t>
  </si>
  <si>
    <t>Total</t>
  </si>
  <si>
    <t>Booked</t>
  </si>
  <si>
    <t>Annualized</t>
  </si>
  <si>
    <t>Pro Forma</t>
  </si>
  <si>
    <t>Average</t>
  </si>
  <si>
    <r>
      <t>Adjustments</t>
    </r>
    <r>
      <rPr>
        <vertAlign val="superscript"/>
        <sz val="12"/>
        <rFont val="Times New Roman"/>
        <family val="1"/>
      </rPr>
      <t>1</t>
    </r>
  </si>
  <si>
    <t xml:space="preserve">Adjustments </t>
  </si>
  <si>
    <t>Adjusted</t>
  </si>
  <si>
    <r>
      <t>Adjustments</t>
    </r>
    <r>
      <rPr>
        <vertAlign val="superscript"/>
        <sz val="12"/>
        <rFont val="Times New Roman"/>
        <family val="1"/>
      </rPr>
      <t>2</t>
    </r>
  </si>
  <si>
    <r>
      <t>Adjustments</t>
    </r>
    <r>
      <rPr>
        <vertAlign val="superscript"/>
        <sz val="12"/>
        <rFont val="Times New Roman"/>
        <family val="1"/>
      </rPr>
      <t>3</t>
    </r>
  </si>
  <si>
    <t>Adjustments</t>
  </si>
  <si>
    <t>Customers</t>
  </si>
  <si>
    <t>kWhs</t>
  </si>
  <si>
    <t>RESIDENTIAL SALES</t>
  </si>
  <si>
    <t>02RESD00016</t>
  </si>
  <si>
    <t>02RESD00017</t>
  </si>
  <si>
    <t>02RESD00018</t>
  </si>
  <si>
    <t>02RESD0018X</t>
  </si>
  <si>
    <t>18x</t>
  </si>
  <si>
    <t>02NETMT135</t>
  </si>
  <si>
    <t>02RGNSB024</t>
  </si>
  <si>
    <t>02RGNSB036</t>
  </si>
  <si>
    <t>Subtotal</t>
  </si>
  <si>
    <t>02OALTO15R</t>
  </si>
  <si>
    <t>15r</t>
  </si>
  <si>
    <t>AGA</t>
  </si>
  <si>
    <t>aga</t>
  </si>
  <si>
    <t>Chehalis Deferral</t>
  </si>
  <si>
    <t>def</t>
  </si>
  <si>
    <t>Rev Adjustment</t>
  </si>
  <si>
    <t>rev</t>
  </si>
  <si>
    <t>Acquisition Commitment</t>
  </si>
  <si>
    <t>acq</t>
  </si>
  <si>
    <t>Centralia Refund</t>
  </si>
  <si>
    <t>cent</t>
  </si>
  <si>
    <t>Merger Credit</t>
  </si>
  <si>
    <t>merger</t>
  </si>
  <si>
    <t>DSM</t>
  </si>
  <si>
    <t>dsm</t>
  </si>
  <si>
    <t>Blue Sky</t>
  </si>
  <si>
    <t>blue</t>
  </si>
  <si>
    <t>BPA Balance Acct.</t>
  </si>
  <si>
    <t>bpa</t>
  </si>
  <si>
    <t>SMUD</t>
  </si>
  <si>
    <t>smud</t>
  </si>
  <si>
    <t>Unbilled Sales</t>
  </si>
  <si>
    <t>unbilled</t>
  </si>
  <si>
    <t>Commercial</t>
  </si>
  <si>
    <t>COMMERCIAL SALES</t>
  </si>
  <si>
    <t>02GNSV0024</t>
  </si>
  <si>
    <t>02GNSV024F</t>
  </si>
  <si>
    <t>24f</t>
  </si>
  <si>
    <t>02GNSV24FP</t>
  </si>
  <si>
    <t>24fp</t>
  </si>
  <si>
    <t>02LGSV0036</t>
  </si>
  <si>
    <t>02LGSV048T</t>
  </si>
  <si>
    <t>48t</t>
  </si>
  <si>
    <t>02OALT015N</t>
  </si>
  <si>
    <t>15n</t>
  </si>
  <si>
    <t>02RCFL0054</t>
  </si>
  <si>
    <t>BPA Balance Acct</t>
  </si>
  <si>
    <t>Industrial</t>
  </si>
  <si>
    <t>INDUSTRIAL SALES</t>
  </si>
  <si>
    <t>02PRSV47TM</t>
  </si>
  <si>
    <t>02LGSV048M</t>
  </si>
  <si>
    <t>48m</t>
  </si>
  <si>
    <t>BPA Balancing Acct</t>
  </si>
  <si>
    <t>Irrigation</t>
  </si>
  <si>
    <t>IRRIGATION SALES</t>
  </si>
  <si>
    <t>02APSV0040</t>
  </si>
  <si>
    <t>02APSV040X</t>
  </si>
  <si>
    <t>40x</t>
  </si>
  <si>
    <t>Irrigation Demand Charge</t>
  </si>
  <si>
    <t>irr</t>
  </si>
  <si>
    <t>BPA Adjustment Fee</t>
  </si>
  <si>
    <t>bpaadj</t>
  </si>
  <si>
    <t>Public Street &amp; Highway Lighting</t>
  </si>
  <si>
    <t>PUBLIC STREET&amp;HIGHWAY LIGHTING</t>
  </si>
  <si>
    <t>02COSL0052</t>
  </si>
  <si>
    <t>02CUSL053F</t>
  </si>
  <si>
    <t>53f</t>
  </si>
  <si>
    <t>02CUSL053M</t>
  </si>
  <si>
    <t>53m</t>
  </si>
  <si>
    <t>02HPSV0051</t>
  </si>
  <si>
    <t>02MVSL0057</t>
  </si>
  <si>
    <t>02CFR0012</t>
  </si>
  <si>
    <t>Sub Total</t>
  </si>
  <si>
    <t xml:space="preserve">   </t>
  </si>
  <si>
    <r>
      <t>1</t>
    </r>
    <r>
      <rPr>
        <sz val="12"/>
        <rFont val="Times New Roman"/>
        <family val="1"/>
      </rPr>
      <t xml:space="preserve"> Temperature normalization.</t>
    </r>
  </si>
  <si>
    <r>
      <t>2</t>
    </r>
    <r>
      <rPr>
        <sz val="12"/>
        <rFont val="Times New Roman"/>
        <family val="1"/>
      </rPr>
      <t xml:space="preserve"> Removes Schedule 98 (BPA), Schedule 96 (Renewable Energy Revenue One-Time Credit), Schedule 191 (System Benefits Charge), SMUD, Revenue Accounting </t>
    </r>
  </si>
  <si>
    <t>Adjustments, Chehalis Deferral, DSM, Blue Sky, and includes temperature adjustment.</t>
  </si>
  <si>
    <r>
      <t>3</t>
    </r>
    <r>
      <rPr>
        <sz val="12"/>
        <rFont val="Times New Roman"/>
        <family val="1"/>
      </rPr>
      <t xml:space="preserve"> Impact for 257 days of the $8.0 million price increase effective September 15, 2017.</t>
    </r>
  </si>
  <si>
    <t>12 MONTHS ENDED DECEMBER 2017</t>
  </si>
  <si>
    <t>Average Credit</t>
  </si>
  <si>
    <t>Adjustment Factor</t>
  </si>
  <si>
    <t>(9)*(4)/100</t>
  </si>
  <si>
    <t>PacifiCorp</t>
  </si>
  <si>
    <t>State of Washington</t>
  </si>
  <si>
    <t>WCA Method - (100 Summer, 100 Winter Hours) - 43%D / 57%E</t>
  </si>
  <si>
    <t>12 Months Ending December 2013</t>
  </si>
  <si>
    <t>Washington</t>
  </si>
  <si>
    <t>Small General</t>
  </si>
  <si>
    <t>Large General</t>
  </si>
  <si>
    <t>Agricultural</t>
  </si>
  <si>
    <t>Street &amp; Area</t>
  </si>
  <si>
    <t>Jurisdiction</t>
  </si>
  <si>
    <t>Service</t>
  </si>
  <si>
    <t>Service &lt;1,000 kW</t>
  </si>
  <si>
    <t>Service &gt;1,000 kW</t>
  </si>
  <si>
    <t>Dedicated Facilities</t>
  </si>
  <si>
    <t>Pumping</t>
  </si>
  <si>
    <t>Lighting</t>
  </si>
  <si>
    <t>Normalized</t>
  </si>
  <si>
    <t>Schedule 16</t>
  </si>
  <si>
    <t>Schedule 24</t>
  </si>
  <si>
    <t>Schedule 36</t>
  </si>
  <si>
    <t>Schedule 48T</t>
  </si>
  <si>
    <t>Schedule 40</t>
  </si>
  <si>
    <t>Sch. 15,51-54,57</t>
  </si>
  <si>
    <t>ESTIMATED EFFECT OF PROPOSED BASE RATE INCREASE FOR SCHEDULE 197</t>
  </si>
  <si>
    <t>Target</t>
  </si>
  <si>
    <t>Δ</t>
  </si>
  <si>
    <t>Annual kWH</t>
  </si>
  <si>
    <t>Rate Base /kWH</t>
  </si>
  <si>
    <t>Rate Base /kWH Index</t>
  </si>
  <si>
    <t>Rate Base /kWH (Combined 48T)</t>
  </si>
  <si>
    <t>Rate Base /kWH Index (Combined 48T)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</si>
</sst>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_(* #,##0_);_(* \(#,##0\);_(* &quot;-&quot;??_);_(@_)"/>
    <numFmt numFmtId="167" formatCode="_(* #,##0.000_);_(* \(#,##0.000\);_(* &quot;-&quot;??_);_(@_)"/>
    <numFmt numFmtId="168" formatCode="0.00_)"/>
    <numFmt numFmtId="169" formatCode="&quot;$&quot;#,##0"/>
    <numFmt numFmtId="170" formatCode="&quot;$&quot;#,##0.00"/>
    <numFmt numFmtId="171" formatCode="0.0000000"/>
    <numFmt numFmtId="172" formatCode="&quot;$&quot;#,##0.000_);\(&quot;$&quot;#,##0.0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0"/>
      <name val="SWISS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  <font>
      <u val="double"/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0" fontId="8" fillId="0" borderId="0"/>
    <xf numFmtId="41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22" fillId="0" borderId="0"/>
    <xf numFmtId="0" fontId="2" fillId="0" borderId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2" applyFill="1"/>
    <xf numFmtId="0" fontId="3" fillId="0" borderId="0" xfId="2" applyFont="1" applyFill="1"/>
    <xf numFmtId="0" fontId="2" fillId="0" borderId="0" xfId="2" applyFont="1" applyFill="1"/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2" applyFill="1" applyBorder="1"/>
    <xf numFmtId="0" fontId="2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3" fillId="0" borderId="0" xfId="2" applyFont="1" applyFill="1" applyAlignment="1">
      <alignment horizontal="center"/>
    </xf>
    <xf numFmtId="0" fontId="2" fillId="0" borderId="1" xfId="2" applyFont="1" applyFill="1" applyBorder="1" applyAlignment="1">
      <alignment horizontal="centerContinuous"/>
    </xf>
    <xf numFmtId="0" fontId="2" fillId="0" borderId="1" xfId="2" applyFill="1" applyBorder="1" applyAlignment="1">
      <alignment horizontal="centerContinuous"/>
    </xf>
    <xf numFmtId="0" fontId="2" fillId="0" borderId="0" xfId="2" applyFill="1" applyAlignment="1">
      <alignment horizontal="center"/>
    </xf>
    <xf numFmtId="0" fontId="2" fillId="0" borderId="2" xfId="2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6" fontId="2" fillId="0" borderId="0" xfId="2" quotePrefix="1" applyNumberFormat="1" applyFont="1" applyFill="1" applyBorder="1" applyAlignment="1">
      <alignment horizontal="center"/>
    </xf>
    <xf numFmtId="6" fontId="2" fillId="0" borderId="2" xfId="2" quotePrefix="1" applyNumberFormat="1" applyFont="1" applyFill="1" applyBorder="1" applyAlignment="1">
      <alignment horizontal="center"/>
    </xf>
    <xf numFmtId="0" fontId="2" fillId="0" borderId="0" xfId="2" quotePrefix="1" applyFont="1" applyFill="1"/>
    <xf numFmtId="0" fontId="2" fillId="0" borderId="0" xfId="2" quotePrefix="1" applyFont="1" applyFill="1" applyAlignment="1">
      <alignment horizontal="center"/>
    </xf>
    <xf numFmtId="0" fontId="2" fillId="0" borderId="0" xfId="2" quotePrefix="1" applyFill="1" applyAlignment="1">
      <alignment horizontal="center"/>
    </xf>
    <xf numFmtId="0" fontId="6" fillId="0" borderId="0" xfId="2" applyFont="1" applyFill="1"/>
    <xf numFmtId="0" fontId="3" fillId="0" borderId="0" xfId="2" quotePrefix="1" applyFont="1" applyFill="1" applyAlignment="1">
      <alignment horizontal="center"/>
    </xf>
    <xf numFmtId="37" fontId="2" fillId="0" borderId="0" xfId="2" applyNumberFormat="1" applyFont="1" applyFill="1" applyProtection="1"/>
    <xf numFmtId="5" fontId="3" fillId="0" borderId="0" xfId="2" applyNumberFormat="1" applyFont="1" applyFill="1" applyProtection="1">
      <protection locked="0"/>
    </xf>
    <xf numFmtId="164" fontId="3" fillId="0" borderId="0" xfId="1" applyNumberFormat="1" applyFont="1" applyFill="1" applyProtection="1">
      <protection locked="0"/>
    </xf>
    <xf numFmtId="5" fontId="3" fillId="0" borderId="0" xfId="3" applyNumberFormat="1" applyFont="1" applyFill="1" applyProtection="1">
      <protection locked="0"/>
    </xf>
    <xf numFmtId="5" fontId="3" fillId="0" borderId="0" xfId="2" applyNumberFormat="1" applyFont="1" applyProtection="1">
      <protection locked="0"/>
    </xf>
    <xf numFmtId="165" fontId="2" fillId="0" borderId="0" xfId="2" applyNumberFormat="1" applyFont="1"/>
    <xf numFmtId="0" fontId="2" fillId="0" borderId="2" xfId="2" applyFill="1" applyBorder="1"/>
    <xf numFmtId="0" fontId="2" fillId="0" borderId="1" xfId="2" applyFill="1" applyBorder="1"/>
    <xf numFmtId="0" fontId="8" fillId="0" borderId="0" xfId="4" applyFont="1" applyFill="1" applyAlignment="1">
      <alignment horizontal="center"/>
    </xf>
    <xf numFmtId="37" fontId="2" fillId="0" borderId="0" xfId="2" applyNumberFormat="1" applyFill="1" applyProtection="1"/>
    <xf numFmtId="5" fontId="2" fillId="0" borderId="0" xfId="2" applyNumberFormat="1" applyFill="1" applyProtection="1"/>
    <xf numFmtId="37" fontId="2" fillId="0" borderId="0" xfId="2" applyNumberFormat="1" applyFill="1"/>
    <xf numFmtId="164" fontId="2" fillId="0" borderId="0" xfId="3" applyNumberFormat="1" applyFont="1" applyFill="1"/>
    <xf numFmtId="0" fontId="8" fillId="0" borderId="0" xfId="4" applyFont="1" applyFill="1"/>
    <xf numFmtId="165" fontId="0" fillId="0" borderId="0" xfId="2" applyNumberFormat="1" applyFont="1"/>
    <xf numFmtId="37" fontId="2" fillId="0" borderId="2" xfId="2" applyNumberFormat="1" applyFill="1" applyBorder="1" applyProtection="1"/>
    <xf numFmtId="5" fontId="2" fillId="0" borderId="2" xfId="2" applyNumberFormat="1" applyFill="1" applyBorder="1" applyProtection="1"/>
    <xf numFmtId="10" fontId="3" fillId="0" borderId="0" xfId="3" applyNumberFormat="1" applyFont="1" applyFill="1" applyBorder="1" applyProtection="1">
      <protection locked="0"/>
    </xf>
    <xf numFmtId="164" fontId="3" fillId="0" borderId="1" xfId="1" applyNumberFormat="1" applyFont="1" applyFill="1" applyBorder="1" applyProtection="1">
      <protection locked="0"/>
    </xf>
    <xf numFmtId="5" fontId="2" fillId="0" borderId="0" xfId="2" applyNumberFormat="1" applyFill="1" applyBorder="1" applyProtection="1"/>
    <xf numFmtId="165" fontId="2" fillId="0" borderId="3" xfId="2" applyNumberFormat="1" applyFont="1" applyBorder="1"/>
    <xf numFmtId="37" fontId="2" fillId="0" borderId="0" xfId="2" applyNumberFormat="1" applyFill="1" applyBorder="1" applyProtection="1"/>
    <xf numFmtId="0" fontId="9" fillId="0" borderId="0" xfId="2" applyFont="1" applyFill="1"/>
    <xf numFmtId="37" fontId="2" fillId="0" borderId="3" xfId="2" applyNumberFormat="1" applyFill="1" applyBorder="1"/>
    <xf numFmtId="5" fontId="2" fillId="0" borderId="3" xfId="2" applyNumberFormat="1" applyFill="1" applyBorder="1"/>
    <xf numFmtId="5" fontId="2" fillId="0" borderId="0" xfId="2" applyNumberFormat="1" applyFill="1" applyBorder="1"/>
    <xf numFmtId="164" fontId="3" fillId="0" borderId="3" xfId="1" applyNumberFormat="1" applyFont="1" applyFill="1" applyBorder="1" applyProtection="1">
      <protection locked="0"/>
    </xf>
    <xf numFmtId="37" fontId="2" fillId="0" borderId="0" xfId="2" applyNumberFormat="1" applyFill="1" applyBorder="1"/>
    <xf numFmtId="10" fontId="3" fillId="0" borderId="0" xfId="3" quotePrefix="1" applyNumberFormat="1" applyFont="1" applyFill="1" applyBorder="1" applyProtection="1">
      <protection locked="0"/>
    </xf>
    <xf numFmtId="5" fontId="3" fillId="0" borderId="0" xfId="3" quotePrefix="1" applyNumberFormat="1" applyFont="1" applyFill="1" applyBorder="1" applyProtection="1">
      <protection locked="0"/>
    </xf>
    <xf numFmtId="0" fontId="10" fillId="0" borderId="0" xfId="4" applyFont="1" applyFill="1"/>
    <xf numFmtId="37" fontId="2" fillId="0" borderId="3" xfId="2" applyNumberFormat="1" applyFont="1" applyFill="1" applyBorder="1" applyProtection="1"/>
    <xf numFmtId="5" fontId="3" fillId="0" borderId="3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2" fillId="0" borderId="0" xfId="2" applyNumberFormat="1" applyFill="1"/>
    <xf numFmtId="0" fontId="2" fillId="0" borderId="0" xfId="2" applyFont="1" applyFill="1" applyAlignment="1">
      <alignment horizontal="right"/>
    </xf>
    <xf numFmtId="41" fontId="12" fillId="0" borderId="0" xfId="5" applyFont="1" applyFill="1"/>
    <xf numFmtId="41" fontId="13" fillId="0" borderId="0" xfId="5" applyFont="1" applyFill="1"/>
    <xf numFmtId="1" fontId="13" fillId="0" borderId="0" xfId="5" applyNumberFormat="1" applyFont="1" applyFill="1" applyAlignment="1" applyProtection="1">
      <alignment horizontal="center"/>
    </xf>
    <xf numFmtId="37" fontId="13" fillId="0" borderId="0" xfId="5" applyNumberFormat="1" applyFont="1" applyFill="1" applyAlignment="1" applyProtection="1">
      <alignment horizontal="centerContinuous"/>
    </xf>
    <xf numFmtId="41" fontId="13" fillId="0" borderId="0" xfId="5" applyFont="1" applyFill="1" applyAlignment="1">
      <alignment horizontal="centerContinuous"/>
    </xf>
    <xf numFmtId="3" fontId="13" fillId="0" borderId="0" xfId="5" applyNumberFormat="1" applyFont="1" applyFill="1" applyAlignment="1">
      <alignment horizontal="centerContinuous"/>
    </xf>
    <xf numFmtId="166" fontId="13" fillId="0" borderId="0" xfId="5" applyNumberFormat="1" applyFont="1" applyFill="1" applyAlignment="1" applyProtection="1">
      <alignment horizontal="centerContinuous"/>
    </xf>
    <xf numFmtId="41" fontId="12" fillId="0" borderId="0" xfId="5" applyFont="1" applyFill="1" applyAlignment="1">
      <alignment horizontal="centerContinuous"/>
    </xf>
    <xf numFmtId="3" fontId="12" fillId="0" borderId="0" xfId="5" applyNumberFormat="1" applyFont="1" applyFill="1"/>
    <xf numFmtId="37" fontId="12" fillId="0" borderId="0" xfId="5" applyNumberFormat="1" applyFont="1" applyFill="1" applyProtection="1"/>
    <xf numFmtId="41" fontId="13" fillId="0" borderId="0" xfId="5" applyFont="1" applyFill="1" applyAlignment="1">
      <alignment horizontal="center"/>
    </xf>
    <xf numFmtId="3" fontId="13" fillId="0" borderId="0" xfId="5" applyNumberFormat="1" applyFont="1" applyFill="1" applyAlignment="1">
      <alignment horizontal="center"/>
    </xf>
    <xf numFmtId="37" fontId="13" fillId="0" borderId="0" xfId="5" applyNumberFormat="1" applyFont="1" applyFill="1" applyAlignment="1" applyProtection="1">
      <alignment horizontal="center"/>
    </xf>
    <xf numFmtId="37" fontId="13" fillId="0" borderId="0" xfId="5" applyNumberFormat="1" applyFont="1" applyFill="1" applyProtection="1"/>
    <xf numFmtId="41" fontId="14" fillId="0" borderId="0" xfId="5" applyFont="1" applyFill="1"/>
    <xf numFmtId="41" fontId="14" fillId="0" borderId="0" xfId="5" applyFont="1" applyFill="1" applyAlignment="1">
      <alignment horizontal="center"/>
    </xf>
    <xf numFmtId="37" fontId="14" fillId="0" borderId="0" xfId="5" applyNumberFormat="1" applyFont="1" applyFill="1" applyAlignment="1" applyProtection="1">
      <alignment horizontal="center"/>
    </xf>
    <xf numFmtId="166" fontId="13" fillId="0" borderId="0" xfId="5" applyNumberFormat="1" applyFont="1" applyFill="1" applyProtection="1"/>
    <xf numFmtId="166" fontId="13" fillId="0" borderId="4" xfId="5" applyNumberFormat="1" applyFont="1" applyFill="1" applyBorder="1" applyProtection="1"/>
    <xf numFmtId="166" fontId="13" fillId="0" borderId="5" xfId="5" applyNumberFormat="1" applyFont="1" applyFill="1" applyBorder="1" applyProtection="1"/>
    <xf numFmtId="3" fontId="13" fillId="0" borderId="0" xfId="5" applyNumberFormat="1" applyFont="1" applyFill="1" applyProtection="1"/>
    <xf numFmtId="10" fontId="13" fillId="0" borderId="0" xfId="3" applyNumberFormat="1" applyFont="1" applyFill="1"/>
    <xf numFmtId="0" fontId="8" fillId="0" borderId="0" xfId="7" applyFont="1" applyFill="1"/>
    <xf numFmtId="0" fontId="15" fillId="0" borderId="0" xfId="7" applyFont="1" applyFill="1" applyAlignment="1"/>
    <xf numFmtId="0" fontId="8" fillId="0" borderId="0" xfId="7" applyFont="1" applyFill="1" applyAlignment="1">
      <alignment horizontal="centerContinuous"/>
    </xf>
    <xf numFmtId="0" fontId="15" fillId="0" borderId="0" xfId="7" applyFont="1" applyFill="1" applyAlignment="1">
      <alignment horizontal="centerContinuous"/>
    </xf>
    <xf numFmtId="0" fontId="8" fillId="0" borderId="0" xfId="7" applyFont="1" applyFill="1" applyBorder="1" applyAlignment="1">
      <alignment horizontal="center"/>
    </xf>
    <xf numFmtId="0" fontId="8" fillId="0" borderId="0" xfId="7" applyFill="1"/>
    <xf numFmtId="0" fontId="8" fillId="0" borderId="0" xfId="7" applyFont="1" applyFill="1" applyBorder="1" applyAlignment="1">
      <alignment horizontal="centerContinuous"/>
    </xf>
    <xf numFmtId="0" fontId="17" fillId="0" borderId="6" xfId="7" applyFont="1" applyFill="1" applyBorder="1"/>
    <xf numFmtId="0" fontId="17" fillId="0" borderId="7" xfId="7" applyFont="1" applyFill="1" applyBorder="1"/>
    <xf numFmtId="0" fontId="8" fillId="0" borderId="1" xfId="7" applyFont="1" applyFill="1" applyBorder="1" applyAlignment="1">
      <alignment horizontal="center"/>
    </xf>
    <xf numFmtId="0" fontId="8" fillId="0" borderId="2" xfId="7" applyFont="1" applyFill="1" applyBorder="1" applyAlignment="1">
      <alignment horizontal="centerContinuous"/>
    </xf>
    <xf numFmtId="0" fontId="16" fillId="0" borderId="0" xfId="7" applyFont="1" applyFill="1"/>
    <xf numFmtId="0" fontId="8" fillId="0" borderId="2" xfId="7" applyFont="1" applyFill="1" applyBorder="1" applyAlignment="1">
      <alignment horizontal="center"/>
    </xf>
    <xf numFmtId="0" fontId="17" fillId="0" borderId="8" xfId="7" applyFont="1" applyFill="1" applyBorder="1"/>
    <xf numFmtId="7" fontId="18" fillId="0" borderId="9" xfId="7" applyNumberFormat="1" applyFont="1" applyFill="1" applyBorder="1"/>
    <xf numFmtId="0" fontId="19" fillId="0" borderId="0" xfId="7" applyFont="1" applyFill="1"/>
    <xf numFmtId="165" fontId="18" fillId="0" borderId="9" xfId="7" applyNumberFormat="1" applyFont="1" applyFill="1" applyBorder="1"/>
    <xf numFmtId="167" fontId="18" fillId="0" borderId="9" xfId="6" applyNumberFormat="1" applyFont="1" applyFill="1" applyBorder="1" applyAlignment="1">
      <alignment horizontal="right"/>
    </xf>
    <xf numFmtId="43" fontId="8" fillId="0" borderId="0" xfId="7" applyNumberFormat="1" applyFont="1" applyFill="1"/>
    <xf numFmtId="164" fontId="8" fillId="0" borderId="0" xfId="3" applyNumberFormat="1" applyFont="1" applyFill="1"/>
    <xf numFmtId="37" fontId="8" fillId="0" borderId="0" xfId="7" applyNumberFormat="1" applyFont="1" applyFill="1" applyProtection="1"/>
    <xf numFmtId="7" fontId="8" fillId="0" borderId="0" xfId="7" applyNumberFormat="1" applyFill="1"/>
    <xf numFmtId="7" fontId="8" fillId="0" borderId="0" xfId="7" applyNumberFormat="1" applyFont="1" applyFill="1"/>
    <xf numFmtId="10" fontId="8" fillId="0" borderId="0" xfId="7" applyNumberFormat="1" applyFont="1" applyFill="1" applyProtection="1"/>
    <xf numFmtId="0" fontId="17" fillId="0" borderId="10" xfId="7" applyFont="1" applyFill="1" applyBorder="1"/>
    <xf numFmtId="165" fontId="18" fillId="0" borderId="11" xfId="7" applyNumberFormat="1" applyFont="1" applyFill="1" applyBorder="1"/>
    <xf numFmtId="0" fontId="17" fillId="0" borderId="0" xfId="7" applyFont="1" applyFill="1"/>
    <xf numFmtId="165" fontId="17" fillId="0" borderId="0" xfId="7" applyNumberFormat="1" applyFont="1" applyFill="1"/>
    <xf numFmtId="0" fontId="8" fillId="0" borderId="0" xfId="7" applyFont="1" applyFill="1" applyBorder="1"/>
    <xf numFmtId="7" fontId="8" fillId="0" borderId="0" xfId="7" applyNumberFormat="1" applyFont="1" applyFill="1" applyProtection="1"/>
    <xf numFmtId="165" fontId="8" fillId="0" borderId="0" xfId="7" applyNumberFormat="1" applyFont="1" applyFill="1"/>
    <xf numFmtId="0" fontId="8" fillId="0" borderId="0" xfId="7" applyFont="1" applyFill="1" applyAlignment="1">
      <alignment horizontal="right"/>
    </xf>
    <xf numFmtId="10" fontId="8" fillId="0" borderId="0" xfId="3" applyNumberFormat="1" applyFont="1" applyFill="1" applyAlignment="1">
      <alignment horizontal="right"/>
    </xf>
    <xf numFmtId="5" fontId="8" fillId="0" borderId="0" xfId="7" applyNumberFormat="1" applyFont="1" applyFill="1"/>
    <xf numFmtId="168" fontId="8" fillId="0" borderId="0" xfId="7" applyNumberFormat="1" applyFont="1" applyFill="1" applyProtection="1"/>
    <xf numFmtId="37" fontId="8" fillId="0" borderId="1" xfId="7" applyNumberFormat="1" applyFont="1" applyFill="1" applyBorder="1" applyProtection="1"/>
    <xf numFmtId="0" fontId="8" fillId="0" borderId="1" xfId="7" applyFont="1" applyFill="1" applyBorder="1"/>
    <xf numFmtId="7" fontId="8" fillId="0" borderId="1" xfId="7" applyNumberFormat="1" applyFont="1" applyFill="1" applyBorder="1" applyProtection="1"/>
    <xf numFmtId="168" fontId="8" fillId="0" borderId="1" xfId="7" applyNumberFormat="1" applyFont="1" applyFill="1" applyBorder="1" applyProtection="1"/>
    <xf numFmtId="0" fontId="20" fillId="0" borderId="0" xfId="7" applyFont="1" applyFill="1"/>
    <xf numFmtId="0" fontId="20" fillId="0" borderId="0" xfId="7" quotePrefix="1" applyFont="1" applyFill="1" applyBorder="1" applyAlignment="1">
      <alignment horizontal="left"/>
    </xf>
    <xf numFmtId="0" fontId="2" fillId="0" borderId="0" xfId="8" applyFont="1" applyFill="1"/>
    <xf numFmtId="0" fontId="2" fillId="0" borderId="0" xfId="8" applyFont="1" applyFill="1" applyAlignment="1">
      <alignment horizontal="center"/>
    </xf>
    <xf numFmtId="0" fontId="15" fillId="0" borderId="0" xfId="8" applyFont="1" applyFill="1" applyAlignment="1" applyProtection="1">
      <alignment horizontal="centerContinuous"/>
    </xf>
    <xf numFmtId="0" fontId="2" fillId="0" borderId="0" xfId="8" applyFont="1" applyFill="1" applyAlignment="1" applyProtection="1">
      <alignment horizontal="centerContinuous"/>
    </xf>
    <xf numFmtId="0" fontId="2" fillId="0" borderId="0" xfId="8" applyFont="1" applyFill="1" applyAlignment="1" applyProtection="1">
      <alignment horizontal="left"/>
    </xf>
    <xf numFmtId="0" fontId="2" fillId="0" borderId="0" xfId="8" applyFont="1" applyFill="1" applyProtection="1"/>
    <xf numFmtId="0" fontId="23" fillId="0" borderId="0" xfId="8" applyFont="1" applyFill="1" applyAlignment="1" applyProtection="1">
      <alignment horizontal="left"/>
    </xf>
    <xf numFmtId="0" fontId="15" fillId="0" borderId="0" xfId="8" applyFont="1" applyFill="1" applyAlignment="1" applyProtection="1">
      <alignment horizontal="center"/>
    </xf>
    <xf numFmtId="0" fontId="2" fillId="0" borderId="0" xfId="8" applyFont="1" applyFill="1" applyAlignment="1" applyProtection="1">
      <alignment horizontal="center"/>
    </xf>
    <xf numFmtId="0" fontId="2" fillId="0" borderId="0" xfId="8" applyFont="1" applyFill="1" applyBorder="1" applyAlignment="1" applyProtection="1">
      <alignment horizontal="center"/>
    </xf>
    <xf numFmtId="0" fontId="2" fillId="0" borderId="12" xfId="8" applyFont="1" applyFill="1" applyBorder="1" applyAlignment="1" applyProtection="1">
      <alignment horizontal="center"/>
    </xf>
    <xf numFmtId="0" fontId="23" fillId="0" borderId="0" xfId="8" applyFont="1" applyFill="1" applyAlignment="1" applyProtection="1">
      <alignment horizontal="centerContinuous"/>
    </xf>
    <xf numFmtId="0" fontId="2" fillId="0" borderId="0" xfId="8" applyFont="1" applyFill="1" applyBorder="1" applyAlignment="1">
      <alignment horizontal="center"/>
    </xf>
    <xf numFmtId="0" fontId="23" fillId="0" borderId="0" xfId="8" applyFont="1" applyFill="1"/>
    <xf numFmtId="0" fontId="2" fillId="0" borderId="0" xfId="8" applyFont="1" applyFill="1" applyBorder="1"/>
    <xf numFmtId="0" fontId="2" fillId="0" borderId="1" xfId="8" applyFont="1" applyFill="1" applyBorder="1" applyAlignment="1">
      <alignment horizontal="center"/>
    </xf>
    <xf numFmtId="0" fontId="2" fillId="0" borderId="13" xfId="8" applyFont="1" applyFill="1" applyBorder="1" applyAlignment="1">
      <alignment horizontal="center"/>
    </xf>
    <xf numFmtId="0" fontId="2" fillId="0" borderId="0" xfId="8" applyFont="1" applyFill="1" applyAlignment="1">
      <alignment horizontal="left"/>
    </xf>
    <xf numFmtId="166" fontId="2" fillId="0" borderId="0" xfId="8" applyNumberFormat="1" applyFont="1" applyFill="1" applyBorder="1"/>
    <xf numFmtId="166" fontId="2" fillId="0" borderId="12" xfId="8" applyNumberFormat="1" applyFont="1" applyFill="1" applyBorder="1"/>
    <xf numFmtId="0" fontId="2" fillId="0" borderId="0" xfId="8" applyFont="1" applyFill="1" applyAlignment="1">
      <alignment horizontal="right"/>
    </xf>
    <xf numFmtId="3" fontId="2" fillId="0" borderId="0" xfId="8" applyNumberFormat="1" applyFont="1" applyFill="1" applyBorder="1"/>
    <xf numFmtId="3" fontId="2" fillId="0" borderId="12" xfId="8" applyNumberFormat="1" applyFont="1" applyFill="1" applyBorder="1"/>
    <xf numFmtId="169" fontId="2" fillId="0" borderId="0" xfId="8" applyNumberFormat="1" applyFont="1" applyFill="1" applyBorder="1"/>
    <xf numFmtId="166" fontId="2" fillId="0" borderId="0" xfId="8" applyNumberFormat="1" applyFont="1" applyFill="1"/>
    <xf numFmtId="3" fontId="25" fillId="0" borderId="0" xfId="8" applyNumberFormat="1" applyFont="1" applyFill="1" applyBorder="1"/>
    <xf numFmtId="3" fontId="25" fillId="0" borderId="12" xfId="8" applyNumberFormat="1" applyFont="1" applyFill="1" applyBorder="1"/>
    <xf numFmtId="169" fontId="25" fillId="0" borderId="0" xfId="8" applyNumberFormat="1" applyFont="1" applyFill="1" applyBorder="1"/>
    <xf numFmtId="0" fontId="25" fillId="0" borderId="0" xfId="8" applyFont="1" applyFill="1"/>
    <xf numFmtId="166" fontId="25" fillId="0" borderId="0" xfId="8" applyNumberFormat="1" applyFont="1" applyFill="1"/>
    <xf numFmtId="164" fontId="25" fillId="0" borderId="0" xfId="3" applyNumberFormat="1" applyFont="1" applyFill="1"/>
    <xf numFmtId="166" fontId="26" fillId="0" borderId="0" xfId="8" applyNumberFormat="1" applyFont="1" applyFill="1" applyBorder="1"/>
    <xf numFmtId="166" fontId="26" fillId="0" borderId="12" xfId="8" applyNumberFormat="1" applyFont="1" applyFill="1" applyBorder="1"/>
    <xf numFmtId="169" fontId="26" fillId="0" borderId="0" xfId="8" applyNumberFormat="1" applyFont="1" applyFill="1" applyBorder="1"/>
    <xf numFmtId="0" fontId="2" fillId="0" borderId="14" xfId="8" applyFont="1" applyFill="1" applyBorder="1"/>
    <xf numFmtId="0" fontId="2" fillId="0" borderId="15" xfId="8" applyFont="1" applyFill="1" applyBorder="1"/>
    <xf numFmtId="0" fontId="2" fillId="0" borderId="15" xfId="8" applyFont="1" applyFill="1" applyBorder="1" applyAlignment="1">
      <alignment horizontal="right"/>
    </xf>
    <xf numFmtId="3" fontId="2" fillId="0" borderId="15" xfId="8" applyNumberFormat="1" applyFont="1" applyFill="1" applyBorder="1"/>
    <xf numFmtId="3" fontId="2" fillId="0" borderId="16" xfId="8" applyNumberFormat="1" applyFont="1" applyFill="1" applyBorder="1"/>
    <xf numFmtId="169" fontId="2" fillId="0" borderId="14" xfId="8" applyNumberFormat="1" applyFont="1" applyFill="1" applyBorder="1"/>
    <xf numFmtId="169" fontId="2" fillId="0" borderId="15" xfId="8" applyNumberFormat="1" applyFont="1" applyFill="1" applyBorder="1"/>
    <xf numFmtId="169" fontId="2" fillId="0" borderId="0" xfId="8" applyNumberFormat="1" applyFont="1" applyFill="1"/>
    <xf numFmtId="49" fontId="2" fillId="0" borderId="0" xfId="9" applyNumberFormat="1" applyFont="1" applyFill="1"/>
    <xf numFmtId="166" fontId="2" fillId="0" borderId="13" xfId="8" applyNumberFormat="1" applyFont="1" applyFill="1" applyBorder="1"/>
    <xf numFmtId="0" fontId="2" fillId="0" borderId="0" xfId="8" applyFont="1" applyFill="1" applyBorder="1" applyAlignment="1">
      <alignment horizontal="right"/>
    </xf>
    <xf numFmtId="0" fontId="2" fillId="0" borderId="17" xfId="8" applyFont="1" applyFill="1" applyBorder="1"/>
    <xf numFmtId="0" fontId="23" fillId="0" borderId="18" xfId="8" applyFont="1" applyFill="1" applyBorder="1"/>
    <xf numFmtId="166" fontId="2" fillId="0" borderId="18" xfId="8" applyNumberFormat="1" applyFont="1" applyFill="1" applyBorder="1"/>
    <xf numFmtId="3" fontId="2" fillId="0" borderId="18" xfId="8" applyNumberFormat="1" applyFont="1" applyFill="1" applyBorder="1"/>
    <xf numFmtId="169" fontId="2" fillId="0" borderId="18" xfId="8" applyNumberFormat="1" applyFont="1" applyFill="1" applyBorder="1"/>
    <xf numFmtId="0" fontId="27" fillId="0" borderId="0" xfId="8" applyFont="1" applyFill="1"/>
    <xf numFmtId="166" fontId="27" fillId="0" borderId="0" xfId="8" applyNumberFormat="1" applyFont="1" applyFill="1"/>
    <xf numFmtId="164" fontId="27" fillId="0" borderId="0" xfId="3" applyNumberFormat="1" applyFont="1" applyFill="1"/>
    <xf numFmtId="3" fontId="2" fillId="0" borderId="19" xfId="8" applyNumberFormat="1" applyFont="1" applyFill="1" applyBorder="1"/>
    <xf numFmtId="164" fontId="2" fillId="0" borderId="0" xfId="1" applyNumberFormat="1" applyFont="1" applyFill="1"/>
    <xf numFmtId="0" fontId="24" fillId="0" borderId="0" xfId="8" applyFont="1" applyFill="1" applyAlignment="1" applyProtection="1">
      <alignment horizontal="left"/>
    </xf>
    <xf numFmtId="0" fontId="24" fillId="0" borderId="0" xfId="8" applyFont="1" applyFill="1" applyAlignment="1"/>
    <xf numFmtId="5" fontId="2" fillId="0" borderId="0" xfId="2" applyNumberFormat="1" applyFont="1" applyFill="1" applyProtection="1"/>
    <xf numFmtId="5" fontId="2" fillId="0" borderId="1" xfId="2" applyNumberFormat="1" applyFont="1" applyFill="1" applyBorder="1" applyProtection="1"/>
    <xf numFmtId="3" fontId="28" fillId="0" borderId="0" xfId="8" applyNumberFormat="1" applyFont="1" applyFill="1" applyBorder="1"/>
    <xf numFmtId="170" fontId="2" fillId="0" borderId="15" xfId="8" applyNumberFormat="1" applyFont="1" applyFill="1" applyBorder="1"/>
    <xf numFmtId="9" fontId="2" fillId="0" borderId="0" xfId="2" applyNumberFormat="1" applyFill="1"/>
    <xf numFmtId="7" fontId="2" fillId="0" borderId="0" xfId="2" applyNumberFormat="1" applyFill="1"/>
    <xf numFmtId="167" fontId="2" fillId="0" borderId="0" xfId="11" applyNumberFormat="1" applyFont="1" applyFill="1"/>
    <xf numFmtId="0" fontId="2" fillId="0" borderId="0" xfId="2" applyFill="1" applyAlignment="1">
      <alignment horizontal="right"/>
    </xf>
    <xf numFmtId="171" fontId="2" fillId="0" borderId="0" xfId="2" applyNumberFormat="1" applyFont="1" applyFill="1"/>
    <xf numFmtId="10" fontId="2" fillId="0" borderId="0" xfId="2" applyNumberFormat="1" applyFill="1" applyBorder="1"/>
    <xf numFmtId="10" fontId="3" fillId="0" borderId="0" xfId="3" applyNumberFormat="1" applyFont="1" applyFill="1" applyProtection="1">
      <protection locked="0"/>
    </xf>
    <xf numFmtId="164" fontId="2" fillId="0" borderId="1" xfId="2" applyNumberFormat="1" applyFill="1" applyBorder="1"/>
    <xf numFmtId="164" fontId="2" fillId="0" borderId="0" xfId="2" applyNumberFormat="1" applyFill="1"/>
    <xf numFmtId="164" fontId="2" fillId="0" borderId="0" xfId="2" applyNumberFormat="1" applyFill="1" applyBorder="1" applyProtection="1"/>
    <xf numFmtId="165" fontId="2" fillId="0" borderId="1" xfId="2" applyNumberFormat="1" applyFont="1" applyBorder="1"/>
    <xf numFmtId="165" fontId="2" fillId="0" borderId="1" xfId="2" applyNumberFormat="1" applyFill="1" applyBorder="1"/>
    <xf numFmtId="165" fontId="2" fillId="0" borderId="0" xfId="2" applyNumberFormat="1" applyFill="1"/>
    <xf numFmtId="165" fontId="2" fillId="0" borderId="3" xfId="2" applyNumberFormat="1" applyFill="1" applyBorder="1"/>
    <xf numFmtId="3" fontId="2" fillId="0" borderId="0" xfId="8" applyNumberFormat="1" applyFont="1" applyFill="1"/>
    <xf numFmtId="5" fontId="2" fillId="0" borderId="0" xfId="2" applyNumberFormat="1" applyFill="1" applyAlignment="1">
      <alignment horizontal="right"/>
    </xf>
    <xf numFmtId="3" fontId="13" fillId="0" borderId="8" xfId="5" applyNumberFormat="1" applyFont="1" applyFill="1" applyBorder="1" applyProtection="1"/>
    <xf numFmtId="37" fontId="13" fillId="0" borderId="0" xfId="5" applyNumberFormat="1" applyFont="1" applyFill="1" applyBorder="1" applyProtection="1"/>
    <xf numFmtId="37" fontId="13" fillId="0" borderId="9" xfId="5" applyNumberFormat="1" applyFont="1" applyFill="1" applyBorder="1" applyProtection="1"/>
    <xf numFmtId="3" fontId="13" fillId="0" borderId="10" xfId="5" applyNumberFormat="1" applyFont="1" applyFill="1" applyBorder="1" applyProtection="1"/>
    <xf numFmtId="10" fontId="13" fillId="0" borderId="21" xfId="1" applyNumberFormat="1" applyFont="1" applyFill="1" applyBorder="1" applyProtection="1"/>
    <xf numFmtId="10" fontId="13" fillId="0" borderId="11" xfId="1" applyNumberFormat="1" applyFont="1" applyFill="1" applyBorder="1" applyProtection="1"/>
    <xf numFmtId="3" fontId="13" fillId="0" borderId="6" xfId="5" applyNumberFormat="1" applyFont="1" applyFill="1" applyBorder="1" applyProtection="1"/>
    <xf numFmtId="3" fontId="13" fillId="0" borderId="20" xfId="5" applyNumberFormat="1" applyFont="1" applyFill="1" applyBorder="1" applyProtection="1"/>
    <xf numFmtId="3" fontId="13" fillId="0" borderId="7" xfId="5" applyNumberFormat="1" applyFont="1" applyFill="1" applyBorder="1" applyProtection="1"/>
    <xf numFmtId="172" fontId="13" fillId="0" borderId="8" xfId="5" applyNumberFormat="1" applyFont="1" applyFill="1" applyBorder="1" applyProtection="1"/>
    <xf numFmtId="172" fontId="13" fillId="0" borderId="0" xfId="5" applyNumberFormat="1" applyFont="1" applyFill="1" applyBorder="1" applyProtection="1"/>
    <xf numFmtId="172" fontId="13" fillId="0" borderId="9" xfId="5" applyNumberFormat="1" applyFont="1" applyFill="1" applyBorder="1" applyProtection="1"/>
    <xf numFmtId="10" fontId="13" fillId="0" borderId="8" xfId="1" applyNumberFormat="1" applyFont="1" applyFill="1" applyBorder="1" applyProtection="1"/>
    <xf numFmtId="10" fontId="13" fillId="0" borderId="0" xfId="1" applyNumberFormat="1" applyFont="1" applyFill="1" applyBorder="1" applyProtection="1"/>
    <xf numFmtId="10" fontId="13" fillId="0" borderId="9" xfId="1" applyNumberFormat="1" applyFont="1" applyFill="1" applyBorder="1" applyProtection="1"/>
    <xf numFmtId="0" fontId="2" fillId="0" borderId="0" xfId="2" applyFont="1" applyFill="1" applyAlignment="1">
      <alignment horizontal="left"/>
    </xf>
    <xf numFmtId="0" fontId="2" fillId="0" borderId="0" xfId="2" quotePrefix="1" applyFont="1" applyFill="1" applyAlignment="1">
      <alignment horizontal="left"/>
    </xf>
    <xf numFmtId="0" fontId="4" fillId="0" borderId="0" xfId="2" quotePrefix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15" fillId="0" borderId="0" xfId="7" applyFont="1" applyFill="1" applyAlignment="1">
      <alignment horizontal="center"/>
    </xf>
    <xf numFmtId="0" fontId="8" fillId="0" borderId="1" xfId="7" applyFont="1" applyFill="1" applyBorder="1" applyAlignment="1">
      <alignment horizontal="center"/>
    </xf>
  </cellXfs>
  <cellStyles count="12">
    <cellStyle name="Comma" xfId="11" builtinId="3"/>
    <cellStyle name="Comma 2" xfId="6"/>
    <cellStyle name="Currency 2" xfId="10"/>
    <cellStyle name="Normal" xfId="0" builtinId="0"/>
    <cellStyle name="Normal 2" xfId="5"/>
    <cellStyle name="Normal 2 2" xfId="8"/>
    <cellStyle name="Normal_OR 1999 SAS VS 305" xfId="9"/>
    <cellStyle name="Normal_OR Blocking 04" xfId="4"/>
    <cellStyle name="Normal_OR Blocking 98 No Forecast" xfId="7"/>
    <cellStyle name="Normal_WA98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%2002/Year%203%20of%20stipulation%201-1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01/Year%202%20of%20stipulation%201-1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ecoupling%20Mechanism\Washington\RECOV16%20-%20thru%20Oct%20w%20Decoupl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70596/Local%20Settings/Temporary%20Internet%20Files/OLK3B/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y0902/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4092.000/Local%20Settings/Temporary%20Internet%20Files/OLK1AC/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view="pageLayout" topLeftCell="F58" zoomScaleNormal="90" workbookViewId="0"/>
  </sheetViews>
  <sheetFormatPr defaultRowHeight="12.75"/>
  <cols>
    <col min="1" max="1" width="4.85546875" style="62" customWidth="1"/>
    <col min="2" max="2" width="3.140625" style="62" customWidth="1"/>
    <col min="3" max="3" width="48.5703125" style="62" bestFit="1" customWidth="1"/>
    <col min="4" max="4" width="9.42578125" style="62" customWidth="1"/>
    <col min="5" max="5" width="19.42578125" style="62" bestFit="1" customWidth="1"/>
    <col min="6" max="6" width="26.85546875" style="62" bestFit="1" customWidth="1"/>
    <col min="7" max="7" width="18" style="62" bestFit="1" customWidth="1"/>
    <col min="8" max="8" width="18.28515625" style="62" bestFit="1" customWidth="1"/>
    <col min="9" max="9" width="26.42578125" style="62" bestFit="1" customWidth="1"/>
    <col min="10" max="10" width="19.5703125" style="62" bestFit="1" customWidth="1"/>
    <col min="11" max="11" width="17.7109375" style="62" bestFit="1" customWidth="1"/>
    <col min="12" max="12" width="16.5703125" style="62" bestFit="1" customWidth="1"/>
    <col min="13" max="16384" width="9.140625" style="62"/>
  </cols>
  <sheetData>
    <row r="1" spans="1:12">
      <c r="C1" s="63" t="s">
        <v>56</v>
      </c>
    </row>
    <row r="2" spans="1:12">
      <c r="A2" s="64"/>
      <c r="B2" s="65"/>
      <c r="C2" s="65" t="s">
        <v>235</v>
      </c>
      <c r="D2" s="66"/>
      <c r="E2" s="67"/>
      <c r="F2" s="65"/>
      <c r="G2" s="66"/>
      <c r="H2" s="66"/>
      <c r="I2" s="66"/>
      <c r="J2" s="65"/>
      <c r="K2" s="65"/>
      <c r="L2" s="65"/>
    </row>
    <row r="3" spans="1:12">
      <c r="A3" s="64"/>
      <c r="B3" s="65"/>
      <c r="C3" s="66" t="s">
        <v>57</v>
      </c>
      <c r="D3" s="66"/>
      <c r="E3" s="67"/>
      <c r="F3" s="65"/>
      <c r="G3" s="66"/>
      <c r="H3" s="65"/>
      <c r="I3" s="65"/>
      <c r="J3" s="65"/>
      <c r="K3" s="65"/>
      <c r="L3" s="65"/>
    </row>
    <row r="4" spans="1:12">
      <c r="A4" s="64"/>
      <c r="B4" s="65"/>
      <c r="C4" s="65" t="s">
        <v>236</v>
      </c>
      <c r="D4" s="66"/>
      <c r="E4" s="67"/>
      <c r="F4" s="65"/>
      <c r="G4" s="66"/>
      <c r="H4" s="65"/>
      <c r="I4" s="65"/>
      <c r="J4" s="65"/>
      <c r="K4" s="65"/>
      <c r="L4" s="65"/>
    </row>
    <row r="5" spans="1:12">
      <c r="A5" s="64"/>
      <c r="B5" s="65"/>
      <c r="C5" s="68" t="s">
        <v>237</v>
      </c>
      <c r="D5" s="66"/>
      <c r="E5" s="67"/>
      <c r="F5" s="65"/>
      <c r="G5" s="66"/>
      <c r="H5" s="65"/>
      <c r="I5" s="65"/>
      <c r="J5" s="65"/>
      <c r="K5" s="65"/>
      <c r="L5" s="65"/>
    </row>
    <row r="6" spans="1:12">
      <c r="A6" s="64"/>
      <c r="B6" s="69"/>
      <c r="C6" s="65" t="s">
        <v>238</v>
      </c>
      <c r="D6" s="66"/>
      <c r="E6" s="67"/>
      <c r="F6" s="65"/>
      <c r="G6" s="66"/>
      <c r="H6" s="65"/>
      <c r="I6" s="65"/>
      <c r="J6" s="65"/>
      <c r="K6" s="65"/>
      <c r="L6" s="65"/>
    </row>
    <row r="7" spans="1:12">
      <c r="A7" s="64"/>
      <c r="E7" s="70"/>
      <c r="F7" s="71"/>
      <c r="G7" s="71"/>
      <c r="H7" s="71"/>
      <c r="I7" s="71"/>
      <c r="J7" s="71"/>
      <c r="K7" s="71"/>
      <c r="L7" s="71"/>
    </row>
    <row r="8" spans="1:12">
      <c r="A8" s="64"/>
      <c r="E8" s="70"/>
      <c r="F8" s="71"/>
      <c r="G8" s="71"/>
      <c r="H8" s="71"/>
      <c r="I8" s="71"/>
      <c r="J8" s="71"/>
      <c r="K8" s="71"/>
      <c r="L8" s="71"/>
    </row>
    <row r="9" spans="1:12">
      <c r="A9" s="64"/>
      <c r="B9" s="63"/>
      <c r="C9" s="72" t="s">
        <v>58</v>
      </c>
      <c r="D9" s="72" t="s">
        <v>59</v>
      </c>
      <c r="E9" s="72" t="s">
        <v>60</v>
      </c>
      <c r="F9" s="73" t="s">
        <v>61</v>
      </c>
      <c r="G9" s="74" t="s">
        <v>62</v>
      </c>
      <c r="H9" s="74" t="s">
        <v>63</v>
      </c>
      <c r="I9" s="74" t="s">
        <v>64</v>
      </c>
      <c r="J9" s="74" t="s">
        <v>65</v>
      </c>
      <c r="K9" s="74" t="s">
        <v>66</v>
      </c>
      <c r="L9" s="74" t="s">
        <v>67</v>
      </c>
    </row>
    <row r="10" spans="1:12">
      <c r="A10" s="64"/>
      <c r="B10" s="63"/>
      <c r="C10" s="63"/>
      <c r="D10" s="63"/>
      <c r="E10" s="72" t="s">
        <v>239</v>
      </c>
      <c r="F10" s="75"/>
      <c r="G10" s="74" t="s">
        <v>240</v>
      </c>
      <c r="H10" s="74" t="s">
        <v>241</v>
      </c>
      <c r="I10" s="74" t="s">
        <v>241</v>
      </c>
      <c r="J10" s="74" t="s">
        <v>241</v>
      </c>
      <c r="K10" s="72" t="s">
        <v>242</v>
      </c>
      <c r="L10" s="74" t="s">
        <v>243</v>
      </c>
    </row>
    <row r="11" spans="1:12">
      <c r="A11" s="64"/>
      <c r="B11" s="63"/>
      <c r="C11" s="63"/>
      <c r="D11" s="72"/>
      <c r="E11" s="72" t="s">
        <v>244</v>
      </c>
      <c r="F11" s="74" t="s">
        <v>31</v>
      </c>
      <c r="G11" s="74" t="s">
        <v>245</v>
      </c>
      <c r="H11" s="74" t="s">
        <v>246</v>
      </c>
      <c r="I11" s="74" t="s">
        <v>247</v>
      </c>
      <c r="J11" s="74" t="s">
        <v>248</v>
      </c>
      <c r="K11" s="74" t="s">
        <v>249</v>
      </c>
      <c r="L11" s="74" t="s">
        <v>250</v>
      </c>
    </row>
    <row r="12" spans="1:12">
      <c r="A12" s="64"/>
      <c r="B12" s="76"/>
      <c r="C12" s="77" t="s">
        <v>68</v>
      </c>
      <c r="D12" s="77"/>
      <c r="E12" s="77" t="s">
        <v>251</v>
      </c>
      <c r="F12" s="78" t="s">
        <v>252</v>
      </c>
      <c r="G12" s="78" t="s">
        <v>253</v>
      </c>
      <c r="H12" s="78" t="s">
        <v>254</v>
      </c>
      <c r="I12" s="78" t="s">
        <v>255</v>
      </c>
      <c r="J12" s="78" t="s">
        <v>255</v>
      </c>
      <c r="K12" s="78" t="s">
        <v>256</v>
      </c>
      <c r="L12" s="78" t="s">
        <v>257</v>
      </c>
    </row>
    <row r="13" spans="1:12">
      <c r="A13" s="64"/>
      <c r="B13" s="76"/>
      <c r="C13" s="77"/>
      <c r="D13" s="77"/>
      <c r="E13" s="77"/>
      <c r="F13" s="78"/>
      <c r="G13" s="78"/>
      <c r="H13" s="78"/>
      <c r="I13" s="78"/>
      <c r="J13" s="78"/>
      <c r="K13" s="78"/>
      <c r="L13" s="78"/>
    </row>
    <row r="14" spans="1:12">
      <c r="A14" s="64">
        <v>14</v>
      </c>
      <c r="B14" s="76"/>
      <c r="C14" s="63" t="s">
        <v>69</v>
      </c>
      <c r="D14" s="77"/>
      <c r="E14" s="79">
        <v>349967558.47266328</v>
      </c>
      <c r="F14" s="79">
        <v>152860472.68660611</v>
      </c>
      <c r="G14" s="79">
        <v>52445478.731966898</v>
      </c>
      <c r="H14" s="79">
        <v>72969672.859510571</v>
      </c>
      <c r="I14" s="79">
        <v>28477831.268328972</v>
      </c>
      <c r="J14" s="79">
        <v>27555823.139530849</v>
      </c>
      <c r="K14" s="79">
        <v>13924652.1751399</v>
      </c>
      <c r="L14" s="79">
        <v>1733627.6115800331</v>
      </c>
    </row>
    <row r="15" spans="1:12">
      <c r="A15" s="64">
        <v>15</v>
      </c>
      <c r="B15" s="63"/>
      <c r="C15" s="63"/>
      <c r="D15" s="63"/>
      <c r="E15" s="79"/>
      <c r="F15" s="79"/>
      <c r="G15" s="79"/>
      <c r="H15" s="79"/>
      <c r="I15" s="79"/>
      <c r="J15" s="79"/>
      <c r="K15" s="79"/>
      <c r="L15" s="79"/>
    </row>
    <row r="16" spans="1:12">
      <c r="A16" s="64">
        <v>16</v>
      </c>
      <c r="B16" s="63"/>
      <c r="C16" s="63" t="s">
        <v>70</v>
      </c>
      <c r="D16" s="63"/>
      <c r="E16" s="79"/>
      <c r="F16" s="79"/>
      <c r="G16" s="79"/>
      <c r="H16" s="79"/>
      <c r="I16" s="79"/>
      <c r="J16" s="79"/>
      <c r="K16" s="79"/>
      <c r="L16" s="79"/>
    </row>
    <row r="17" spans="1:12">
      <c r="A17" s="64">
        <v>17</v>
      </c>
      <c r="B17" s="63"/>
      <c r="C17" s="63" t="s">
        <v>71</v>
      </c>
      <c r="D17" s="63"/>
      <c r="E17" s="79">
        <v>222372837.90412873</v>
      </c>
      <c r="F17" s="79">
        <v>100892245.73578122</v>
      </c>
      <c r="G17" s="79">
        <v>29847331.542471569</v>
      </c>
      <c r="H17" s="79">
        <v>45138353.93967057</v>
      </c>
      <c r="I17" s="79">
        <v>18221233.463069603</v>
      </c>
      <c r="J17" s="79">
        <v>19469130.584968224</v>
      </c>
      <c r="K17" s="79">
        <v>7924474.2986314353</v>
      </c>
      <c r="L17" s="79">
        <v>880068.33953612542</v>
      </c>
    </row>
    <row r="18" spans="1:12">
      <c r="A18" s="64">
        <v>18</v>
      </c>
      <c r="B18" s="63"/>
      <c r="C18" s="63" t="s">
        <v>72</v>
      </c>
      <c r="D18" s="63"/>
      <c r="E18" s="79">
        <v>44425460.676255137</v>
      </c>
      <c r="F18" s="79">
        <v>21402828.772353709</v>
      </c>
      <c r="G18" s="79">
        <v>6097455.921459889</v>
      </c>
      <c r="H18" s="79">
        <v>8566490.7051675282</v>
      </c>
      <c r="I18" s="79">
        <v>3324119.8579578879</v>
      </c>
      <c r="J18" s="79">
        <v>3053105.9729814394</v>
      </c>
      <c r="K18" s="79">
        <v>1717223.7430869194</v>
      </c>
      <c r="L18" s="79">
        <v>264235.70324777224</v>
      </c>
    </row>
    <row r="19" spans="1:12">
      <c r="A19" s="64">
        <v>19</v>
      </c>
      <c r="B19" s="63"/>
      <c r="C19" s="63" t="s">
        <v>73</v>
      </c>
      <c r="D19" s="63"/>
      <c r="E19" s="79">
        <v>5116518.9589061905</v>
      </c>
      <c r="F19" s="79">
        <v>2363954.1354099363</v>
      </c>
      <c r="G19" s="79">
        <v>691609.83210450492</v>
      </c>
      <c r="H19" s="79">
        <v>1015169.8873787054</v>
      </c>
      <c r="I19" s="79">
        <v>409208.0136524869</v>
      </c>
      <c r="J19" s="79">
        <v>434502.75337316166</v>
      </c>
      <c r="K19" s="79">
        <v>181228.85713594034</v>
      </c>
      <c r="L19" s="79">
        <v>20845.479851454133</v>
      </c>
    </row>
    <row r="20" spans="1:12">
      <c r="A20" s="64">
        <v>20</v>
      </c>
      <c r="B20" s="63"/>
      <c r="C20" s="63" t="s">
        <v>74</v>
      </c>
      <c r="D20" s="63"/>
      <c r="E20" s="79">
        <v>21407838.189118814</v>
      </c>
      <c r="F20" s="79">
        <v>10235379.010221239</v>
      </c>
      <c r="G20" s="79">
        <v>2922846.1711257873</v>
      </c>
      <c r="H20" s="79">
        <v>4171381.0695271953</v>
      </c>
      <c r="I20" s="79">
        <v>1622086.173041756</v>
      </c>
      <c r="J20" s="79">
        <v>1535871.7526753808</v>
      </c>
      <c r="K20" s="79">
        <v>813403.41492499807</v>
      </c>
      <c r="L20" s="79">
        <v>106870.59760245736</v>
      </c>
    </row>
    <row r="21" spans="1:12">
      <c r="A21" s="64">
        <v>21</v>
      </c>
      <c r="B21" s="63"/>
      <c r="C21" s="63" t="s">
        <v>75</v>
      </c>
      <c r="D21" s="63"/>
      <c r="E21" s="79">
        <v>2431233.8013410191</v>
      </c>
      <c r="F21" s="79">
        <v>1716604.5617105861</v>
      </c>
      <c r="G21" s="79">
        <v>398578.4221066038</v>
      </c>
      <c r="H21" s="79">
        <v>227607.58280547659</v>
      </c>
      <c r="I21" s="79">
        <v>48479.091651144794</v>
      </c>
      <c r="J21" s="79">
        <v>-153159.92214499792</v>
      </c>
      <c r="K21" s="79">
        <v>135657.03728143364</v>
      </c>
      <c r="L21" s="79">
        <v>57467.027930771779</v>
      </c>
    </row>
    <row r="22" spans="1:12">
      <c r="A22" s="64">
        <v>22</v>
      </c>
      <c r="B22" s="63"/>
      <c r="C22" s="63" t="s">
        <v>76</v>
      </c>
      <c r="D22" s="63"/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1:12">
      <c r="A23" s="64">
        <v>23</v>
      </c>
      <c r="B23" s="63"/>
      <c r="C23" s="63" t="s">
        <v>77</v>
      </c>
      <c r="D23" s="63"/>
      <c r="E23" s="79">
        <v>5855791.9934263164</v>
      </c>
      <c r="F23" s="79">
        <v>2402002.761456904</v>
      </c>
      <c r="G23" s="79">
        <v>773777.47712792072</v>
      </c>
      <c r="H23" s="79">
        <v>1306834.4626584863</v>
      </c>
      <c r="I23" s="79">
        <v>541539.41612736415</v>
      </c>
      <c r="J23" s="79">
        <v>629716.66351661598</v>
      </c>
      <c r="K23" s="79">
        <v>196227.46752167493</v>
      </c>
      <c r="L23" s="79">
        <v>5693.7450173504603</v>
      </c>
    </row>
    <row r="24" spans="1:12">
      <c r="A24" s="64">
        <v>24</v>
      </c>
      <c r="B24" s="63"/>
      <c r="C24" s="63" t="s">
        <v>78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</row>
    <row r="25" spans="1:12">
      <c r="A25" s="64">
        <v>25</v>
      </c>
      <c r="B25" s="63"/>
      <c r="C25" s="63" t="s">
        <v>79</v>
      </c>
      <c r="E25" s="79">
        <v>-762126.72836567636</v>
      </c>
      <c r="F25" s="79">
        <v>-325599.90482958057</v>
      </c>
      <c r="G25" s="79">
        <v>-102865.0499214114</v>
      </c>
      <c r="H25" s="79">
        <v>-164110.05815977976</v>
      </c>
      <c r="I25" s="79">
        <v>-66962.920955876878</v>
      </c>
      <c r="J25" s="79">
        <v>-73766.262543365709</v>
      </c>
      <c r="K25" s="79">
        <v>-27019.802972373505</v>
      </c>
      <c r="L25" s="79">
        <v>-1802.7289832886065</v>
      </c>
    </row>
    <row r="26" spans="1:12">
      <c r="A26" s="64">
        <v>26</v>
      </c>
      <c r="B26" s="63"/>
      <c r="D26" s="63"/>
      <c r="E26" s="79"/>
      <c r="F26" s="79"/>
      <c r="G26" s="79"/>
      <c r="H26" s="79"/>
      <c r="I26" s="79"/>
      <c r="J26" s="79"/>
      <c r="K26" s="79"/>
      <c r="L26" s="79"/>
    </row>
    <row r="27" spans="1:12">
      <c r="A27" s="64">
        <v>27</v>
      </c>
      <c r="B27" s="63"/>
      <c r="C27" s="63" t="s">
        <v>80</v>
      </c>
      <c r="D27" s="63"/>
      <c r="E27" s="80">
        <v>300847554.79481053</v>
      </c>
      <c r="F27" s="80">
        <v>138687415.07210401</v>
      </c>
      <c r="G27" s="80">
        <v>40628734.316474855</v>
      </c>
      <c r="H27" s="80">
        <v>60261727.589048177</v>
      </c>
      <c r="I27" s="80">
        <v>24099703.09454437</v>
      </c>
      <c r="J27" s="80">
        <v>24895401.542826455</v>
      </c>
      <c r="K27" s="80">
        <v>10941195.015610028</v>
      </c>
      <c r="L27" s="80">
        <v>1333378.1642026424</v>
      </c>
    </row>
    <row r="28" spans="1:12">
      <c r="A28" s="64">
        <v>28</v>
      </c>
      <c r="B28" s="63"/>
      <c r="C28" s="63"/>
      <c r="D28" s="63"/>
      <c r="E28" s="79"/>
      <c r="F28" s="79"/>
      <c r="G28" s="79"/>
      <c r="H28" s="79"/>
      <c r="I28" s="79"/>
      <c r="J28" s="79"/>
      <c r="K28" s="79"/>
      <c r="L28" s="79"/>
    </row>
    <row r="29" spans="1:12">
      <c r="A29" s="64">
        <v>29</v>
      </c>
      <c r="B29" s="63"/>
      <c r="C29" s="63" t="s">
        <v>81</v>
      </c>
      <c r="D29" s="63"/>
      <c r="E29" s="79">
        <v>49120003.67785275</v>
      </c>
      <c r="F29" s="79">
        <v>14173057.614502102</v>
      </c>
      <c r="G29" s="79">
        <v>11816744.415492043</v>
      </c>
      <c r="H29" s="79">
        <v>12707945.270462394</v>
      </c>
      <c r="I29" s="79">
        <v>4378128.1737846024</v>
      </c>
      <c r="J29" s="79">
        <v>2660421.5967043936</v>
      </c>
      <c r="K29" s="79">
        <v>2983457.1595298722</v>
      </c>
      <c r="L29" s="79">
        <v>400249.44737739069</v>
      </c>
    </row>
    <row r="30" spans="1:12">
      <c r="A30" s="64">
        <v>30</v>
      </c>
      <c r="B30" s="63"/>
      <c r="C30" s="63"/>
      <c r="D30" s="63"/>
      <c r="E30" s="79"/>
      <c r="F30" s="79"/>
      <c r="G30" s="79"/>
      <c r="H30" s="79"/>
      <c r="I30" s="79"/>
      <c r="J30" s="79"/>
      <c r="K30" s="79"/>
      <c r="L30" s="79"/>
    </row>
    <row r="31" spans="1:12">
      <c r="A31" s="64">
        <v>31</v>
      </c>
      <c r="B31" s="63"/>
      <c r="C31" s="63"/>
      <c r="D31" s="63"/>
      <c r="E31" s="79"/>
      <c r="F31" s="79"/>
      <c r="G31" s="79"/>
      <c r="H31" s="79"/>
      <c r="I31" s="79"/>
      <c r="J31" s="79"/>
      <c r="K31" s="79"/>
      <c r="L31" s="79"/>
    </row>
    <row r="32" spans="1:12">
      <c r="A32" s="64">
        <v>32</v>
      </c>
      <c r="B32" s="63"/>
      <c r="C32" s="63" t="s">
        <v>82</v>
      </c>
      <c r="D32" s="63"/>
      <c r="E32" s="79"/>
      <c r="F32" s="79"/>
      <c r="G32" s="79"/>
      <c r="H32" s="79"/>
      <c r="I32" s="79"/>
      <c r="J32" s="79"/>
      <c r="K32" s="79"/>
      <c r="L32" s="79"/>
    </row>
    <row r="33" spans="1:12">
      <c r="A33" s="64">
        <v>33</v>
      </c>
      <c r="B33" s="63"/>
      <c r="C33" s="63" t="s">
        <v>83</v>
      </c>
      <c r="D33" s="63"/>
      <c r="E33" s="79">
        <v>1751925684.3521798</v>
      </c>
      <c r="F33" s="79">
        <v>838590413.92508256</v>
      </c>
      <c r="G33" s="79">
        <v>240056900.35004994</v>
      </c>
      <c r="H33" s="79">
        <v>340240936.12416899</v>
      </c>
      <c r="I33" s="79">
        <v>132550759.45485765</v>
      </c>
      <c r="J33" s="79">
        <v>123934183.32424732</v>
      </c>
      <c r="K33" s="79">
        <v>67199107.6231848</v>
      </c>
      <c r="L33" s="79">
        <v>9353383.550588388</v>
      </c>
    </row>
    <row r="34" spans="1:12">
      <c r="A34" s="64">
        <v>34</v>
      </c>
      <c r="B34" s="63"/>
      <c r="C34" s="63" t="s">
        <v>84</v>
      </c>
      <c r="D34" s="63"/>
      <c r="E34" s="79">
        <v>234061.84233843299</v>
      </c>
      <c r="F34" s="79">
        <v>100615.05125688398</v>
      </c>
      <c r="G34" s="79">
        <v>31455.74337428495</v>
      </c>
      <c r="H34" s="79">
        <v>50167.743898825844</v>
      </c>
      <c r="I34" s="79">
        <v>20469.526342158395</v>
      </c>
      <c r="J34" s="79">
        <v>22546.905239032341</v>
      </c>
      <c r="K34" s="79">
        <v>8256.2364228018323</v>
      </c>
      <c r="L34" s="79">
        <v>550.63580444566082</v>
      </c>
    </row>
    <row r="35" spans="1:12">
      <c r="A35" s="64">
        <v>35</v>
      </c>
      <c r="B35" s="63"/>
      <c r="C35" s="63" t="s">
        <v>85</v>
      </c>
      <c r="D35" s="63"/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</row>
    <row r="36" spans="1:12">
      <c r="A36" s="64">
        <v>36</v>
      </c>
      <c r="B36" s="63"/>
      <c r="C36" s="63" t="s">
        <v>86</v>
      </c>
      <c r="D36" s="63"/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</row>
    <row r="37" spans="1:12">
      <c r="A37" s="64">
        <v>37</v>
      </c>
      <c r="B37" s="63"/>
      <c r="C37" s="63" t="s">
        <v>87</v>
      </c>
      <c r="D37" s="63"/>
      <c r="E37" s="79">
        <v>-2.066371962428093E-9</v>
      </c>
      <c r="F37" s="79">
        <v>-7.7946870452881251E-10</v>
      </c>
      <c r="G37" s="79">
        <v>-2.8245104151033897E-10</v>
      </c>
      <c r="H37" s="79">
        <v>-5.1740072625704209E-10</v>
      </c>
      <c r="I37" s="79">
        <v>-2.0371136300718229E-10</v>
      </c>
      <c r="J37" s="79">
        <v>-1.9539929330486454E-10</v>
      </c>
      <c r="K37" s="79">
        <v>-8.6996331266331082E-11</v>
      </c>
      <c r="L37" s="79">
        <v>-9.445025535217335E-13</v>
      </c>
    </row>
    <row r="38" spans="1:12">
      <c r="A38" s="64">
        <v>38</v>
      </c>
      <c r="B38" s="63"/>
      <c r="C38" s="63" t="s">
        <v>88</v>
      </c>
      <c r="D38" s="63"/>
      <c r="E38" s="79">
        <v>-9.1968104243278503E-9</v>
      </c>
      <c r="F38" s="79">
        <v>-3.9533891684302572E-9</v>
      </c>
      <c r="G38" s="79">
        <v>-1.2359661262142584E-9</v>
      </c>
      <c r="H38" s="79">
        <v>-1.9712022491329946E-9</v>
      </c>
      <c r="I38" s="79">
        <v>-8.0429322167094846E-10</v>
      </c>
      <c r="J38" s="79">
        <v>-8.8591805937697854E-10</v>
      </c>
      <c r="K38" s="79">
        <v>-3.2440589393101302E-10</v>
      </c>
      <c r="L38" s="79">
        <v>-2.1635705571400949E-11</v>
      </c>
    </row>
    <row r="39" spans="1:12">
      <c r="A39" s="64">
        <v>39</v>
      </c>
      <c r="B39" s="63"/>
      <c r="C39" s="63" t="s">
        <v>89</v>
      </c>
      <c r="D39" s="63"/>
      <c r="E39" s="79">
        <v>1.2277868609089637E-4</v>
      </c>
      <c r="F39" s="79">
        <v>5.5301803774185628E-5</v>
      </c>
      <c r="G39" s="79">
        <v>1.6642125945984311E-5</v>
      </c>
      <c r="H39" s="79">
        <v>2.5290815411636396E-5</v>
      </c>
      <c r="I39" s="79">
        <v>1.0125861970319369E-5</v>
      </c>
      <c r="J39" s="79">
        <v>1.0471967217857298E-5</v>
      </c>
      <c r="K39" s="79">
        <v>4.5014009452787985E-6</v>
      </c>
      <c r="L39" s="79">
        <v>4.4471082563456346E-7</v>
      </c>
    </row>
    <row r="40" spans="1:12">
      <c r="A40" s="64">
        <v>40</v>
      </c>
      <c r="B40" s="63"/>
      <c r="C40" s="63" t="s">
        <v>90</v>
      </c>
      <c r="D40" s="63"/>
      <c r="E40" s="79">
        <v>8025149.4338921374</v>
      </c>
      <c r="F40" s="79">
        <v>3449732.8294447395</v>
      </c>
      <c r="G40" s="79">
        <v>1078505.7428019268</v>
      </c>
      <c r="H40" s="79">
        <v>1720073.7955705666</v>
      </c>
      <c r="I40" s="79">
        <v>701827.37218350661</v>
      </c>
      <c r="J40" s="79">
        <v>773053.3179065272</v>
      </c>
      <c r="K40" s="79">
        <v>283077.02952591982</v>
      </c>
      <c r="L40" s="79">
        <v>18879.346458951833</v>
      </c>
    </row>
    <row r="41" spans="1:12">
      <c r="A41" s="64">
        <v>41</v>
      </c>
      <c r="B41" s="63"/>
      <c r="C41" s="63" t="s">
        <v>91</v>
      </c>
      <c r="E41" s="79">
        <v>31018483.084840607</v>
      </c>
      <c r="F41" s="79">
        <v>14178854.662441827</v>
      </c>
      <c r="G41" s="79">
        <v>4173353.5173906083</v>
      </c>
      <c r="H41" s="79">
        <v>6252340.7400955753</v>
      </c>
      <c r="I41" s="79">
        <v>2509869.8900969578</v>
      </c>
      <c r="J41" s="79">
        <v>2641433.8174118614</v>
      </c>
      <c r="K41" s="79">
        <v>1121228.0955773962</v>
      </c>
      <c r="L41" s="79">
        <v>141402.36182637783</v>
      </c>
    </row>
    <row r="42" spans="1:12">
      <c r="A42" s="64">
        <v>42</v>
      </c>
      <c r="B42" s="63"/>
      <c r="C42" s="63" t="s">
        <v>92</v>
      </c>
      <c r="D42" s="63"/>
      <c r="E42" s="79">
        <v>1932316.2836254872</v>
      </c>
      <c r="F42" s="79">
        <v>830635.61313157319</v>
      </c>
      <c r="G42" s="79">
        <v>259685.40847332653</v>
      </c>
      <c r="H42" s="79">
        <v>414163.82730290422</v>
      </c>
      <c r="I42" s="79">
        <v>168987.8139635527</v>
      </c>
      <c r="J42" s="79">
        <v>186137.78180788574</v>
      </c>
      <c r="K42" s="79">
        <v>68160.020966485521</v>
      </c>
      <c r="L42" s="79">
        <v>4545.8179797590201</v>
      </c>
    </row>
    <row r="43" spans="1:12">
      <c r="A43" s="64">
        <v>43</v>
      </c>
      <c r="B43" s="63"/>
      <c r="C43" s="63" t="s">
        <v>93</v>
      </c>
      <c r="D43" s="63"/>
      <c r="E43" s="79">
        <v>0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</row>
    <row r="44" spans="1:12">
      <c r="A44" s="64">
        <v>44</v>
      </c>
      <c r="B44" s="63"/>
      <c r="C44" s="63"/>
      <c r="D44" s="63"/>
      <c r="E44" s="79"/>
      <c r="F44" s="79"/>
      <c r="G44" s="79"/>
      <c r="H44" s="79"/>
      <c r="I44" s="79"/>
      <c r="J44" s="79"/>
      <c r="K44" s="79"/>
      <c r="L44" s="79"/>
    </row>
    <row r="45" spans="1:12">
      <c r="A45" s="64">
        <v>45</v>
      </c>
      <c r="B45" s="63"/>
      <c r="C45" s="63" t="s">
        <v>94</v>
      </c>
      <c r="D45" s="63"/>
      <c r="E45" s="80">
        <v>1793135694.9969993</v>
      </c>
      <c r="F45" s="80">
        <v>857150252.08141291</v>
      </c>
      <c r="G45" s="80">
        <v>245599900.76210672</v>
      </c>
      <c r="H45" s="80">
        <v>348677682.23106211</v>
      </c>
      <c r="I45" s="80">
        <v>135951914.05745396</v>
      </c>
      <c r="J45" s="80">
        <v>127557355.14662309</v>
      </c>
      <c r="K45" s="80">
        <v>68679829.005681902</v>
      </c>
      <c r="L45" s="80">
        <v>9518761.7126583662</v>
      </c>
    </row>
    <row r="46" spans="1:12">
      <c r="A46" s="64">
        <v>46</v>
      </c>
      <c r="B46" s="63"/>
      <c r="C46" s="63"/>
      <c r="D46" s="63"/>
      <c r="E46" s="79"/>
      <c r="F46" s="79"/>
      <c r="G46" s="79"/>
      <c r="H46" s="79"/>
      <c r="I46" s="79"/>
      <c r="J46" s="79"/>
      <c r="K46" s="79"/>
      <c r="L46" s="79"/>
    </row>
    <row r="47" spans="1:12">
      <c r="A47" s="64">
        <v>47</v>
      </c>
      <c r="B47" s="63"/>
      <c r="C47" s="63" t="s">
        <v>95</v>
      </c>
      <c r="D47" s="63"/>
      <c r="E47" s="79"/>
      <c r="F47" s="79"/>
      <c r="G47" s="79"/>
      <c r="H47" s="79"/>
      <c r="I47" s="79"/>
      <c r="J47" s="79"/>
      <c r="K47" s="79"/>
      <c r="L47" s="79"/>
    </row>
    <row r="48" spans="1:12">
      <c r="A48" s="64">
        <v>48</v>
      </c>
      <c r="B48" s="63"/>
      <c r="C48" s="63" t="s">
        <v>96</v>
      </c>
      <c r="D48" s="63"/>
      <c r="E48" s="79">
        <v>-639633916.47395515</v>
      </c>
      <c r="F48" s="79">
        <v>-310663840.32925391</v>
      </c>
      <c r="G48" s="79">
        <v>-87713172.139935404</v>
      </c>
      <c r="H48" s="79">
        <v>-122903521.88587229</v>
      </c>
      <c r="I48" s="79">
        <v>-47369387.98829399</v>
      </c>
      <c r="J48" s="79">
        <v>-41966143.812317044</v>
      </c>
      <c r="K48" s="79">
        <v>-25158333.626155213</v>
      </c>
      <c r="L48" s="79">
        <v>-3859516.6921272958</v>
      </c>
    </row>
    <row r="49" spans="1:12">
      <c r="A49" s="64">
        <v>49</v>
      </c>
      <c r="B49" s="63"/>
      <c r="C49" s="63" t="s">
        <v>97</v>
      </c>
      <c r="D49" s="63"/>
      <c r="E49" s="79">
        <v>-46269157.488720722</v>
      </c>
      <c r="F49" s="79">
        <v>-23748187.639217608</v>
      </c>
      <c r="G49" s="79">
        <v>-6293349.0088484343</v>
      </c>
      <c r="H49" s="79">
        <v>-7954557.9806069098</v>
      </c>
      <c r="I49" s="79">
        <v>-3155142.7161763227</v>
      </c>
      <c r="J49" s="79">
        <v>-3194212.0509253228</v>
      </c>
      <c r="K49" s="79">
        <v>-1613064.7498835702</v>
      </c>
      <c r="L49" s="79">
        <v>-310643.34306254878</v>
      </c>
    </row>
    <row r="50" spans="1:12">
      <c r="A50" s="64">
        <v>50</v>
      </c>
      <c r="B50" s="63"/>
      <c r="C50" s="63" t="s">
        <v>98</v>
      </c>
      <c r="D50" s="63"/>
      <c r="E50" s="79">
        <v>-246679935.11340493</v>
      </c>
      <c r="F50" s="79">
        <v>-117637408.61054994</v>
      </c>
      <c r="G50" s="79">
        <v>-33831978.743533008</v>
      </c>
      <c r="H50" s="79">
        <v>-47993520.056064613</v>
      </c>
      <c r="I50" s="79">
        <v>-18751841.283450894</v>
      </c>
      <c r="J50" s="79">
        <v>-17837747.322016291</v>
      </c>
      <c r="K50" s="79">
        <v>-9375460.8632119428</v>
      </c>
      <c r="L50" s="79">
        <v>-1251978.2345782451</v>
      </c>
    </row>
    <row r="51" spans="1:12">
      <c r="A51" s="64">
        <v>51</v>
      </c>
      <c r="B51" s="63"/>
      <c r="C51" s="63" t="s">
        <v>99</v>
      </c>
      <c r="D51" s="63"/>
      <c r="E51" s="79">
        <v>-246775.10778380535</v>
      </c>
      <c r="F51" s="79">
        <v>-118029.51028571857</v>
      </c>
      <c r="G51" s="79">
        <v>-33900.484608154606</v>
      </c>
      <c r="H51" s="79">
        <v>-47949.487199932555</v>
      </c>
      <c r="I51" s="79">
        <v>-18663.822262286321</v>
      </c>
      <c r="J51" s="79">
        <v>-17494.604035783093</v>
      </c>
      <c r="K51" s="79">
        <v>-9458.7111465467642</v>
      </c>
      <c r="L51" s="79">
        <v>-1278.4882453834423</v>
      </c>
    </row>
    <row r="52" spans="1:12">
      <c r="A52" s="64">
        <v>52</v>
      </c>
      <c r="B52" s="63"/>
      <c r="C52" s="63" t="s">
        <v>100</v>
      </c>
      <c r="D52" s="63"/>
      <c r="E52" s="79">
        <v>-488824.40959822887</v>
      </c>
      <c r="F52" s="79">
        <v>-70339.051256215927</v>
      </c>
      <c r="G52" s="79">
        <v>-261146.06115201497</v>
      </c>
      <c r="H52" s="79">
        <v>-2401.6595847386784</v>
      </c>
      <c r="I52" s="79">
        <v>0</v>
      </c>
      <c r="J52" s="79">
        <v>0</v>
      </c>
      <c r="K52" s="79">
        <v>-151100.59124110671</v>
      </c>
      <c r="L52" s="79">
        <v>-3837.0463641525594</v>
      </c>
    </row>
    <row r="53" spans="1:12">
      <c r="A53" s="64">
        <v>53</v>
      </c>
      <c r="B53" s="63"/>
      <c r="C53" s="63" t="s">
        <v>101</v>
      </c>
      <c r="D53" s="63"/>
      <c r="E53" s="79">
        <v>-3361133.7291666698</v>
      </c>
      <c r="F53" s="79">
        <v>-2732689.5457170624</v>
      </c>
      <c r="G53" s="79">
        <v>-297256.92135311483</v>
      </c>
      <c r="H53" s="79">
        <v>-227064.39435162395</v>
      </c>
      <c r="I53" s="79">
        <v>0</v>
      </c>
      <c r="J53" s="79">
        <v>0</v>
      </c>
      <c r="K53" s="79">
        <v>-102064.33575462081</v>
      </c>
      <c r="L53" s="79">
        <v>-2058.531990247569</v>
      </c>
    </row>
    <row r="54" spans="1:12">
      <c r="A54" s="64">
        <v>54</v>
      </c>
      <c r="B54" s="63"/>
      <c r="C54" s="63" t="s">
        <v>102</v>
      </c>
      <c r="D54" s="63"/>
      <c r="E54" s="79">
        <v>-6838656.5700603072</v>
      </c>
      <c r="F54" s="79">
        <v>-3110917.2336319042</v>
      </c>
      <c r="G54" s="79">
        <v>-928673.53639214195</v>
      </c>
      <c r="H54" s="79">
        <v>-1396221.2862179212</v>
      </c>
      <c r="I54" s="79">
        <v>-556570.81063573854</v>
      </c>
      <c r="J54" s="79">
        <v>-566814.29722614994</v>
      </c>
      <c r="K54" s="79">
        <v>-252795.69619611776</v>
      </c>
      <c r="L54" s="79">
        <v>-26663.709760333786</v>
      </c>
    </row>
    <row r="55" spans="1:12">
      <c r="A55" s="64">
        <v>55</v>
      </c>
      <c r="B55" s="63"/>
      <c r="C55" s="63"/>
      <c r="D55" s="63"/>
      <c r="E55" s="79"/>
      <c r="F55" s="79"/>
      <c r="G55" s="79"/>
      <c r="H55" s="79"/>
      <c r="I55" s="79"/>
      <c r="J55" s="79"/>
      <c r="K55" s="79"/>
      <c r="L55" s="79"/>
    </row>
    <row r="56" spans="1:12">
      <c r="A56" s="64">
        <v>56</v>
      </c>
      <c r="B56" s="63"/>
      <c r="C56" s="63" t="s">
        <v>103</v>
      </c>
      <c r="D56" s="63"/>
      <c r="E56" s="80">
        <v>-943518398.8926897</v>
      </c>
      <c r="F56" s="80">
        <v>-458081411.9199124</v>
      </c>
      <c r="G56" s="80">
        <v>-129359476.89582227</v>
      </c>
      <c r="H56" s="80">
        <v>-180525236.74989805</v>
      </c>
      <c r="I56" s="80">
        <v>-69851606.620819241</v>
      </c>
      <c r="J56" s="80">
        <v>-63582412.08652059</v>
      </c>
      <c r="K56" s="80">
        <v>-36662278.573589116</v>
      </c>
      <c r="L56" s="80">
        <v>-5455976.0461282078</v>
      </c>
    </row>
    <row r="57" spans="1:12">
      <c r="A57" s="64">
        <v>57</v>
      </c>
      <c r="B57" s="63"/>
      <c r="C57" s="63"/>
      <c r="D57" s="63"/>
      <c r="E57" s="79"/>
      <c r="F57" s="79"/>
      <c r="G57" s="79"/>
      <c r="H57" s="79"/>
      <c r="I57" s="79"/>
      <c r="J57" s="79"/>
      <c r="K57" s="79"/>
      <c r="L57" s="79"/>
    </row>
    <row r="58" spans="1:12" ht="13.5" thickBot="1">
      <c r="A58" s="64">
        <v>58</v>
      </c>
      <c r="B58" s="63"/>
      <c r="C58" s="63" t="s">
        <v>104</v>
      </c>
      <c r="D58" s="63"/>
      <c r="E58" s="81">
        <v>849617296.10430956</v>
      </c>
      <c r="F58" s="81">
        <v>399068840.16150051</v>
      </c>
      <c r="G58" s="81">
        <v>116240423.86628444</v>
      </c>
      <c r="H58" s="81">
        <v>168152445.48116407</v>
      </c>
      <c r="I58" s="81">
        <v>66100307.436634719</v>
      </c>
      <c r="J58" s="81">
        <v>63974943.0601025</v>
      </c>
      <c r="K58" s="81">
        <v>32017550.432092786</v>
      </c>
      <c r="L58" s="81">
        <v>4062785.6665301584</v>
      </c>
    </row>
    <row r="59" spans="1:12" ht="14.25" thickTop="1" thickBot="1">
      <c r="A59" s="64"/>
      <c r="B59" s="63"/>
      <c r="C59" s="63"/>
      <c r="D59" s="63"/>
      <c r="E59" s="82"/>
      <c r="F59" s="75"/>
      <c r="G59" s="75"/>
      <c r="H59" s="75"/>
      <c r="I59" s="83"/>
      <c r="J59" s="75"/>
      <c r="K59" s="75"/>
      <c r="L59" s="75"/>
    </row>
    <row r="60" spans="1:12">
      <c r="A60" s="64"/>
      <c r="B60" s="63"/>
      <c r="C60" s="63" t="s">
        <v>261</v>
      </c>
      <c r="D60" s="63"/>
      <c r="E60" s="208">
        <v>4008166903</v>
      </c>
      <c r="F60" s="209">
        <v>1572834858.0000002</v>
      </c>
      <c r="G60" s="209">
        <v>543201558.99999988</v>
      </c>
      <c r="H60" s="209">
        <v>895773150.00000012</v>
      </c>
      <c r="I60" s="209">
        <v>386902405</v>
      </c>
      <c r="J60" s="209">
        <v>447981631.00000006</v>
      </c>
      <c r="K60" s="209">
        <v>148533366</v>
      </c>
      <c r="L60" s="210">
        <v>12939934</v>
      </c>
    </row>
    <row r="61" spans="1:12">
      <c r="A61" s="64"/>
      <c r="B61" s="63"/>
      <c r="C61" s="63" t="s">
        <v>262</v>
      </c>
      <c r="D61" s="63"/>
      <c r="E61" s="211">
        <f>E58/E60</f>
        <v>0.21197153628218299</v>
      </c>
      <c r="F61" s="212">
        <f t="shared" ref="F61:L61" si="0">F58/F60</f>
        <v>0.25372583658843378</v>
      </c>
      <c r="G61" s="212">
        <f t="shared" si="0"/>
        <v>0.21399132962776432</v>
      </c>
      <c r="H61" s="212">
        <f t="shared" si="0"/>
        <v>0.18771766655560512</v>
      </c>
      <c r="I61" s="212">
        <f t="shared" si="0"/>
        <v>0.17084491226317067</v>
      </c>
      <c r="J61" s="212">
        <f t="shared" si="0"/>
        <v>0.14280706759626599</v>
      </c>
      <c r="K61" s="212">
        <f t="shared" si="0"/>
        <v>0.21555796717144879</v>
      </c>
      <c r="L61" s="213">
        <f t="shared" si="0"/>
        <v>0.31397267300823622</v>
      </c>
    </row>
    <row r="62" spans="1:12">
      <c r="A62" s="64"/>
      <c r="B62" s="63"/>
      <c r="C62" s="63" t="s">
        <v>263</v>
      </c>
      <c r="D62" s="63"/>
      <c r="E62" s="214">
        <f>E61/E61</f>
        <v>1</v>
      </c>
      <c r="F62" s="215">
        <f>F61/$E$61</f>
        <v>1.1969806939110268</v>
      </c>
      <c r="G62" s="215">
        <f t="shared" ref="G62:L62" si="1">G61/$E$61</f>
        <v>1.0095286064393689</v>
      </c>
      <c r="H62" s="215">
        <f t="shared" si="1"/>
        <v>0.88557959171324596</v>
      </c>
      <c r="I62" s="215">
        <f t="shared" si="1"/>
        <v>0.80598044086323317</v>
      </c>
      <c r="J62" s="215">
        <f t="shared" si="1"/>
        <v>0.67370869740811268</v>
      </c>
      <c r="K62" s="215">
        <f t="shared" si="1"/>
        <v>1.0169193984823106</v>
      </c>
      <c r="L62" s="216">
        <f t="shared" si="1"/>
        <v>1.4812020449305336</v>
      </c>
    </row>
    <row r="63" spans="1:12">
      <c r="A63" s="64"/>
      <c r="B63" s="63"/>
      <c r="C63" s="63" t="s">
        <v>264</v>
      </c>
      <c r="D63" s="63"/>
      <c r="E63" s="202"/>
      <c r="F63" s="203"/>
      <c r="G63" s="203"/>
      <c r="H63" s="203"/>
      <c r="I63" s="212">
        <f>(I58+J58)/(I60+J60)</f>
        <v>0.15580038051744136</v>
      </c>
      <c r="J63" s="203"/>
      <c r="K63" s="203"/>
      <c r="L63" s="204"/>
    </row>
    <row r="64" spans="1:12" ht="13.5" thickBot="1">
      <c r="A64" s="64"/>
      <c r="B64" s="63"/>
      <c r="C64" s="63" t="s">
        <v>265</v>
      </c>
      <c r="D64" s="63"/>
      <c r="E64" s="205"/>
      <c r="F64" s="206"/>
      <c r="G64" s="206"/>
      <c r="H64" s="206"/>
      <c r="I64" s="206">
        <f>I63/E61</f>
        <v>0.73500613926784553</v>
      </c>
      <c r="J64" s="206"/>
      <c r="K64" s="206"/>
      <c r="L64" s="207"/>
    </row>
  </sheetData>
  <printOptions horizontalCentered="1" verticalCentered="1"/>
  <pageMargins left="0.25" right="1" top="0.5" bottom="0.5" header="0.5" footer="0.25"/>
  <pageSetup scale="54" orientation="landscape" horizontalDpi="300" r:id="rId1"/>
  <headerFooter alignWithMargins="0">
    <oddFooter>&amp;R&amp;F.xls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V58"/>
  <sheetViews>
    <sheetView view="pageBreakPreview" topLeftCell="B1" zoomScale="80" zoomScaleNormal="55" zoomScaleSheetLayoutView="80" workbookViewId="0">
      <selection activeCell="B1" sqref="B1"/>
    </sheetView>
  </sheetViews>
  <sheetFormatPr defaultColWidth="11.7109375" defaultRowHeight="15.75"/>
  <cols>
    <col min="1" max="1" width="0" style="1" hidden="1" customWidth="1"/>
    <col min="2" max="2" width="5.28515625" style="1" customWidth="1"/>
    <col min="3" max="3" width="2.42578125" style="1" customWidth="1"/>
    <col min="4" max="4" width="41" style="2" customWidth="1"/>
    <col min="5" max="5" width="2.42578125" style="2" customWidth="1"/>
    <col min="6" max="6" width="6.42578125" style="2" bestFit="1" customWidth="1"/>
    <col min="7" max="7" width="2.42578125" style="2" customWidth="1"/>
    <col min="8" max="8" width="10.5703125" style="1" hidden="1" customWidth="1"/>
    <col min="9" max="9" width="11.140625" style="1" bestFit="1" customWidth="1"/>
    <col min="10" max="10" width="2.28515625" style="1" customWidth="1"/>
    <col min="11" max="11" width="12.5703125" style="1" hidden="1" customWidth="1"/>
    <col min="12" max="12" width="13.7109375" style="1" bestFit="1" customWidth="1"/>
    <col min="13" max="13" width="3.42578125" style="1" customWidth="1"/>
    <col min="14" max="14" width="13" style="1" bestFit="1" customWidth="1"/>
    <col min="15" max="15" width="2.7109375" style="1" customWidth="1"/>
    <col min="16" max="16" width="11.28515625" style="1" customWidth="1"/>
    <col min="17" max="17" width="3.42578125" style="1" customWidth="1"/>
    <col min="18" max="18" width="11.42578125" style="1" bestFit="1" customWidth="1"/>
    <col min="19" max="19" width="2.5703125" style="1" customWidth="1"/>
    <col min="20" max="20" width="13.140625" style="1" bestFit="1" customWidth="1"/>
    <col min="21" max="16384" width="11.7109375" style="1"/>
  </cols>
  <sheetData>
    <row r="1" spans="2:22">
      <c r="P1" s="3" t="s">
        <v>0</v>
      </c>
    </row>
    <row r="2" spans="2:22">
      <c r="B2" s="219" t="s">
        <v>1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</row>
    <row r="3" spans="2:22">
      <c r="B3" s="220" t="s">
        <v>2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2">
      <c r="B4" s="220" t="s">
        <v>258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5" spans="2:22">
      <c r="B5" s="220" t="s">
        <v>3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</row>
    <row r="6" spans="2:22">
      <c r="B6" s="220" t="s">
        <v>4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</row>
    <row r="7" spans="2:22">
      <c r="B7" s="219" t="s">
        <v>231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</row>
    <row r="8" spans="2:22">
      <c r="M8" s="4"/>
      <c r="N8" s="4"/>
      <c r="O8" s="5"/>
      <c r="P8" s="5"/>
      <c r="Q8" s="4"/>
      <c r="R8" s="4"/>
      <c r="S8" s="4"/>
      <c r="T8" s="6"/>
      <c r="U8" s="6"/>
    </row>
    <row r="9" spans="2:22">
      <c r="M9" s="7"/>
      <c r="N9" s="8" t="s">
        <v>5</v>
      </c>
      <c r="O9" s="7"/>
      <c r="Q9" s="9"/>
      <c r="R9" s="9"/>
      <c r="S9" s="9"/>
    </row>
    <row r="10" spans="2:22">
      <c r="F10" s="10" t="s">
        <v>6</v>
      </c>
      <c r="G10" s="10"/>
      <c r="H10" s="7" t="s">
        <v>7</v>
      </c>
      <c r="M10" s="8"/>
      <c r="N10" s="8" t="s">
        <v>8</v>
      </c>
      <c r="O10" s="8"/>
      <c r="P10" s="11" t="s">
        <v>105</v>
      </c>
      <c r="Q10" s="11"/>
      <c r="R10" s="11"/>
      <c r="S10" s="11"/>
      <c r="T10" s="12"/>
    </row>
    <row r="11" spans="2:22">
      <c r="B11" s="13" t="s">
        <v>9</v>
      </c>
      <c r="F11" s="10" t="s">
        <v>10</v>
      </c>
      <c r="G11" s="10"/>
      <c r="H11" s="7" t="s">
        <v>11</v>
      </c>
      <c r="I11" s="7" t="s">
        <v>7</v>
      </c>
      <c r="K11" s="7" t="s">
        <v>12</v>
      </c>
      <c r="M11" s="7"/>
      <c r="N11" s="7" t="s">
        <v>13</v>
      </c>
      <c r="O11" s="7"/>
      <c r="P11" s="13" t="s">
        <v>14</v>
      </c>
      <c r="Q11" s="8"/>
      <c r="R11" s="8"/>
      <c r="S11" s="7"/>
      <c r="T11" s="13" t="s">
        <v>15</v>
      </c>
    </row>
    <row r="12" spans="2:22">
      <c r="B12" s="14" t="s">
        <v>16</v>
      </c>
      <c r="D12" s="15" t="s">
        <v>17</v>
      </c>
      <c r="F12" s="15" t="s">
        <v>16</v>
      </c>
      <c r="G12" s="16"/>
      <c r="H12" s="17" t="s">
        <v>18</v>
      </c>
      <c r="I12" s="18" t="s">
        <v>11</v>
      </c>
      <c r="K12" s="17" t="s">
        <v>18</v>
      </c>
      <c r="L12" s="18" t="s">
        <v>12</v>
      </c>
      <c r="M12" s="19"/>
      <c r="N12" s="20" t="s">
        <v>19</v>
      </c>
      <c r="O12" s="19"/>
      <c r="P12" s="20" t="s">
        <v>19</v>
      </c>
      <c r="Q12" s="19"/>
      <c r="R12" s="20" t="s">
        <v>20</v>
      </c>
      <c r="S12" s="19"/>
      <c r="T12" s="20" t="s">
        <v>21</v>
      </c>
    </row>
    <row r="13" spans="2:22">
      <c r="B13" s="21"/>
      <c r="D13" s="22" t="s">
        <v>22</v>
      </c>
      <c r="F13" s="22" t="s">
        <v>23</v>
      </c>
      <c r="G13" s="10"/>
      <c r="H13" s="22"/>
      <c r="I13" s="22" t="s">
        <v>24</v>
      </c>
      <c r="K13" s="22"/>
      <c r="L13" s="22" t="s">
        <v>25</v>
      </c>
      <c r="M13" s="22"/>
      <c r="N13" s="22" t="s">
        <v>26</v>
      </c>
      <c r="O13" s="22"/>
      <c r="P13" s="22" t="s">
        <v>27</v>
      </c>
      <c r="Q13" s="22"/>
      <c r="R13" s="22" t="s">
        <v>28</v>
      </c>
      <c r="S13" s="22"/>
      <c r="T13" s="23" t="s">
        <v>29</v>
      </c>
    </row>
    <row r="14" spans="2:22">
      <c r="O14" s="22"/>
      <c r="P14" s="23" t="s">
        <v>234</v>
      </c>
      <c r="R14" s="23" t="s">
        <v>30</v>
      </c>
      <c r="T14" s="23"/>
    </row>
    <row r="15" spans="2:22">
      <c r="D15" s="24" t="s">
        <v>31</v>
      </c>
    </row>
    <row r="16" spans="2:22">
      <c r="B16" s="13">
        <v>1</v>
      </c>
      <c r="D16" s="2" t="s">
        <v>32</v>
      </c>
      <c r="F16" s="25" t="s">
        <v>33</v>
      </c>
      <c r="G16" s="25"/>
      <c r="H16" s="26">
        <v>101336.91666666667</v>
      </c>
      <c r="I16" s="26">
        <f>'2017 ROO'!E13+'2017 ROO'!E14+'2017 ROO'!E15+'2017 ROO'!E16+'2017 ROO'!E17</f>
        <v>107084.16666666667</v>
      </c>
      <c r="J16" s="3"/>
      <c r="K16" s="26">
        <v>1569938.6044392167</v>
      </c>
      <c r="L16" s="26">
        <f>('2017 ROO'!J13+'2017 ROO'!J14+'2017 ROO'!J15+'2017 ROO'!J16+'2017 ROO'!J17)/1000</f>
        <v>1637294.9340945808</v>
      </c>
      <c r="M16" s="27"/>
      <c r="N16" s="182">
        <f>('2017 ROO'!Q13+'2017 ROO'!Q14+'2017 ROO'!Q15+'2017 ROO'!Q16+'2017 ROO'!Q17)/1000</f>
        <v>157361.39913594275</v>
      </c>
      <c r="O16" s="29"/>
      <c r="P16" s="30">
        <f>T16*L16/100</f>
        <v>-3945.8807911679401</v>
      </c>
      <c r="Q16" s="29"/>
      <c r="R16" s="28">
        <f>P16/N16</f>
        <v>-2.5075277754483729E-2</v>
      </c>
      <c r="S16" s="27"/>
      <c r="T16" s="31">
        <f>ROUND(R55*'Exhibit 3'!F62*R56,3)</f>
        <v>-0.24099999999999999</v>
      </c>
      <c r="V16" s="30"/>
    </row>
    <row r="17" spans="2:22">
      <c r="D17" s="2" t="s">
        <v>34</v>
      </c>
      <c r="H17" s="32"/>
      <c r="I17" s="32"/>
      <c r="K17" s="32"/>
      <c r="L17" s="32"/>
      <c r="M17" s="19"/>
      <c r="N17" s="32"/>
      <c r="O17" s="6"/>
      <c r="P17" s="33"/>
      <c r="Q17" s="6"/>
      <c r="R17" s="193"/>
      <c r="S17" s="6"/>
      <c r="T17" s="196"/>
    </row>
    <row r="18" spans="2:22">
      <c r="R18" s="194"/>
      <c r="T18" s="31"/>
    </row>
    <row r="19" spans="2:22">
      <c r="B19" s="34">
        <f>MAX(B$13:B18)+1</f>
        <v>2</v>
      </c>
      <c r="D19" s="24" t="s">
        <v>35</v>
      </c>
      <c r="H19" s="35">
        <f>SUM(H16:H16)</f>
        <v>101336.91666666667</v>
      </c>
      <c r="I19" s="35">
        <f>SUM(I16:I18)</f>
        <v>107084.16666666667</v>
      </c>
      <c r="K19" s="35">
        <f>SUM(K16:K16)</f>
        <v>1569938.6044392167</v>
      </c>
      <c r="L19" s="35">
        <f>SUM(L16:L18)</f>
        <v>1637294.9340945808</v>
      </c>
      <c r="M19" s="36"/>
      <c r="N19" s="36">
        <f>SUM(N16:N18)</f>
        <v>157361.39913594275</v>
      </c>
      <c r="O19" s="36"/>
      <c r="P19" s="36">
        <f>SUM(P16:P16)</f>
        <v>-3945.8807911679401</v>
      </c>
      <c r="Q19" s="36"/>
      <c r="R19" s="28">
        <f>P19/N19</f>
        <v>-2.5075277754483729E-2</v>
      </c>
      <c r="S19" s="36"/>
      <c r="T19" s="31"/>
    </row>
    <row r="20" spans="2:22">
      <c r="R20" s="194"/>
      <c r="T20" s="31"/>
    </row>
    <row r="21" spans="2:22">
      <c r="D21" s="24" t="s">
        <v>36</v>
      </c>
      <c r="H21" s="37"/>
      <c r="I21" s="37"/>
      <c r="L21" s="37"/>
      <c r="N21" s="37"/>
      <c r="R21" s="194"/>
      <c r="T21" s="31"/>
    </row>
    <row r="22" spans="2:22">
      <c r="B22" s="34">
        <f>MAX(B$13:B21)+1</f>
        <v>3</v>
      </c>
      <c r="D22" s="2" t="s">
        <v>37</v>
      </c>
      <c r="F22" s="10">
        <v>24</v>
      </c>
      <c r="G22" s="10"/>
      <c r="H22" s="26">
        <v>17306.416666666664</v>
      </c>
      <c r="I22" s="26">
        <f>'2017 ROO'!E18+'2017 ROO'!E45+'2017 ROO'!E75</f>
        <v>19540.666666666668</v>
      </c>
      <c r="K22" s="26">
        <v>513041.74113523914</v>
      </c>
      <c r="L22" s="26">
        <f>('2017 ROO'!J18+'2017 ROO'!J45+'2017 ROO'!J75)/1000</f>
        <v>543374.18286763737</v>
      </c>
      <c r="M22" s="36"/>
      <c r="N22" s="182">
        <f>('2017 ROO'!Q18+'2017 ROO'!Q45+'2017 ROO'!Q75)/1000</f>
        <v>50936.479012319709</v>
      </c>
      <c r="O22" s="29"/>
      <c r="P22" s="30">
        <f t="shared" ref="P22:P28" si="0">T22*L22/100</f>
        <v>-1103.0495912213039</v>
      </c>
      <c r="Q22" s="29"/>
      <c r="R22" s="28">
        <f>P22/N22</f>
        <v>-2.1655395359277105E-2</v>
      </c>
      <c r="S22" s="27"/>
      <c r="T22" s="31">
        <f>ROUND(R55*'Exhibit 3'!G62*R56,3)</f>
        <v>-0.20300000000000001</v>
      </c>
      <c r="U22" s="38"/>
      <c r="V22" s="30"/>
    </row>
    <row r="23" spans="2:22">
      <c r="B23" s="34">
        <f>MAX(B$13:B22)+1</f>
        <v>4</v>
      </c>
      <c r="D23" s="39" t="s">
        <v>38</v>
      </c>
      <c r="E23" s="39"/>
      <c r="F23" s="34">
        <v>33</v>
      </c>
      <c r="G23" s="10"/>
      <c r="H23" s="26">
        <v>0</v>
      </c>
      <c r="I23" s="26">
        <v>0</v>
      </c>
      <c r="K23" s="26">
        <v>0</v>
      </c>
      <c r="L23" s="26">
        <v>0</v>
      </c>
      <c r="M23" s="27"/>
      <c r="N23" s="182">
        <v>0</v>
      </c>
      <c r="O23" s="29"/>
      <c r="P23" s="30">
        <f t="shared" si="0"/>
        <v>0</v>
      </c>
      <c r="Q23" s="29"/>
      <c r="R23" s="28">
        <f>R24</f>
        <v>-2.2109656502471698E-2</v>
      </c>
      <c r="S23" s="27"/>
      <c r="T23" s="31">
        <f>T24</f>
        <v>-0.17799999999999999</v>
      </c>
      <c r="U23" s="38"/>
      <c r="V23" s="30"/>
    </row>
    <row r="24" spans="2:22">
      <c r="B24" s="34">
        <f>MAX(B$13:B23)+1</f>
        <v>5</v>
      </c>
      <c r="D24" s="2" t="s">
        <v>39</v>
      </c>
      <c r="F24" s="10">
        <v>36</v>
      </c>
      <c r="G24" s="10"/>
      <c r="H24" s="26">
        <v>1058.6666666666667</v>
      </c>
      <c r="I24" s="26">
        <f>'2017 ROO'!E19+'2017 ROO'!E48+'2017 ROO'!E78</f>
        <v>1101.1666666666667</v>
      </c>
      <c r="K24" s="26">
        <v>901191.51506367233</v>
      </c>
      <c r="L24" s="26">
        <f>('2017 ROO'!J19+'2017 ROO'!J48+'2017 ROO'!J78)/1000</f>
        <v>922757.20514216553</v>
      </c>
      <c r="M24" s="36"/>
      <c r="N24" s="182">
        <f>('2017 ROO'!Q19+'2017 ROO'!Q48+'2017 ROO'!Q78)/1000</f>
        <v>74289.160709911259</v>
      </c>
      <c r="O24" s="29"/>
      <c r="P24" s="30">
        <f t="shared" si="0"/>
        <v>-1642.5078251530545</v>
      </c>
      <c r="Q24" s="29"/>
      <c r="R24" s="28">
        <f>P24/N24</f>
        <v>-2.2109656502471698E-2</v>
      </c>
      <c r="S24" s="27"/>
      <c r="T24" s="31">
        <f>ROUND(R55*'Exhibit 3'!H62*R56,3)</f>
        <v>-0.17799999999999999</v>
      </c>
      <c r="U24" s="38"/>
      <c r="V24" s="30"/>
    </row>
    <row r="25" spans="2:22">
      <c r="B25" s="34">
        <f>MAX(B$13:B24)+1</f>
        <v>6</v>
      </c>
      <c r="D25" s="2" t="s">
        <v>40</v>
      </c>
      <c r="F25" s="10" t="s">
        <v>41</v>
      </c>
      <c r="G25" s="10"/>
      <c r="H25" s="26">
        <v>5259</v>
      </c>
      <c r="I25" s="26">
        <f>'2017 ROO'!E105</f>
        <v>5169.583333333333</v>
      </c>
      <c r="K25" s="26">
        <v>168033.04399999999</v>
      </c>
      <c r="L25" s="26">
        <f>'2017 ROO'!J105/1000</f>
        <v>139102.20980699998</v>
      </c>
      <c r="M25" s="36"/>
      <c r="N25" s="182">
        <f>'2017 ROO'!Q105/1000</f>
        <v>12062.622176678356</v>
      </c>
      <c r="O25" s="29"/>
      <c r="P25" s="30">
        <f t="shared" si="0"/>
        <v>-283.76850800627994</v>
      </c>
      <c r="Q25" s="29"/>
      <c r="R25" s="28">
        <f>P25/N25</f>
        <v>-2.3524612132419482E-2</v>
      </c>
      <c r="S25" s="27"/>
      <c r="T25" s="31">
        <f>ROUND(R55*'Exhibit 3'!K62*R56,3)</f>
        <v>-0.20399999999999999</v>
      </c>
      <c r="V25" s="30"/>
    </row>
    <row r="26" spans="2:22">
      <c r="B26" s="34">
        <f>MAX(B$13:B25)+1</f>
        <v>7</v>
      </c>
      <c r="D26" s="2" t="s">
        <v>42</v>
      </c>
      <c r="F26" s="10">
        <v>47</v>
      </c>
      <c r="G26" s="10"/>
      <c r="H26" s="26">
        <v>1.0833333333333333</v>
      </c>
      <c r="I26" s="26">
        <f>'2017 ROO'!E80</f>
        <v>1</v>
      </c>
      <c r="K26" s="26">
        <v>1616.6904507017675</v>
      </c>
      <c r="L26" s="26">
        <f>'2017 ROO'!J80/1000</f>
        <v>2211.1067276415802</v>
      </c>
      <c r="M26" s="36"/>
      <c r="N26" s="182">
        <f>'2017 ROO'!Q80/1000</f>
        <v>347.54749696885699</v>
      </c>
      <c r="O26" s="29"/>
      <c r="P26" s="30">
        <f t="shared" si="0"/>
        <v>-3.2724379569095383</v>
      </c>
      <c r="Q26" s="29"/>
      <c r="R26" s="28">
        <f>P26/N26</f>
        <v>-9.4158006760232098E-3</v>
      </c>
      <c r="S26" s="27"/>
      <c r="T26" s="31">
        <f>T27</f>
        <v>-0.14799999999999999</v>
      </c>
      <c r="V26" s="30"/>
    </row>
    <row r="27" spans="2:22">
      <c r="B27" s="34">
        <f>MAX(B$13:B26)+1</f>
        <v>8</v>
      </c>
      <c r="D27" s="2" t="s">
        <v>43</v>
      </c>
      <c r="F27" s="10">
        <v>48</v>
      </c>
      <c r="G27" s="10"/>
      <c r="H27" s="26">
        <v>63.666666666666671</v>
      </c>
      <c r="I27" s="26">
        <f>'2017 ROO'!E51+'2017 ROO'!E82</f>
        <v>70.833333333333343</v>
      </c>
      <c r="K27" s="26">
        <v>1712994.197548511</v>
      </c>
      <c r="L27" s="26">
        <f>('2017 ROO'!J51+'2017 ROO'!J82)/1000</f>
        <v>868826.99741174828</v>
      </c>
      <c r="M27" s="36"/>
      <c r="N27" s="182">
        <f>('2017 ROO'!Q51+'2017 ROO'!Q82)/1000</f>
        <v>57781.509628941429</v>
      </c>
      <c r="O27" s="29"/>
      <c r="P27" s="30">
        <f t="shared" si="0"/>
        <v>-1285.8639561693874</v>
      </c>
      <c r="Q27" s="29"/>
      <c r="R27" s="28">
        <f>P27/N27</f>
        <v>-2.2253900329480623E-2</v>
      </c>
      <c r="S27" s="27"/>
      <c r="T27" s="31">
        <f>ROUND(R55*'Exhibit 3'!I64*R56,3)</f>
        <v>-0.14799999999999999</v>
      </c>
      <c r="V27" s="30"/>
    </row>
    <row r="28" spans="2:22">
      <c r="B28" s="34">
        <f>MAX(B$13:B27)+1</f>
        <v>9</v>
      </c>
      <c r="D28" s="2" t="s">
        <v>44</v>
      </c>
      <c r="F28" s="10" t="s">
        <v>45</v>
      </c>
      <c r="G28" s="10"/>
      <c r="H28" s="26">
        <v>28</v>
      </c>
      <c r="I28" s="26">
        <f>'2017 ROO'!E54</f>
        <v>27.833333333333332</v>
      </c>
      <c r="K28" s="26">
        <v>233.86177246899351</v>
      </c>
      <c r="L28" s="26">
        <f>'2017 ROO'!J54/1000</f>
        <v>272.12571766391329</v>
      </c>
      <c r="M28" s="36"/>
      <c r="N28" s="182">
        <f>'2017 ROO'!Q54/1000</f>
        <v>25.134765528542093</v>
      </c>
      <c r="O28" s="29"/>
      <c r="P28" s="30">
        <f t="shared" si="0"/>
        <v>-0.81093463863846149</v>
      </c>
      <c r="Q28" s="29"/>
      <c r="R28" s="28">
        <f>P28/N28</f>
        <v>-3.226346542670528E-2</v>
      </c>
      <c r="S28" s="27"/>
      <c r="T28" s="31">
        <f>$T$41</f>
        <v>-0.29799999999999999</v>
      </c>
      <c r="V28" s="30"/>
    </row>
    <row r="29" spans="2:22">
      <c r="B29" s="13"/>
      <c r="D29" s="2" t="s">
        <v>34</v>
      </c>
      <c r="F29" s="10"/>
      <c r="G29" s="10"/>
      <c r="H29" s="32"/>
      <c r="I29" s="32"/>
      <c r="K29" s="32"/>
      <c r="L29" s="32"/>
      <c r="M29" s="19"/>
      <c r="N29" s="32"/>
      <c r="O29" s="6"/>
      <c r="P29" s="33"/>
      <c r="Q29" s="6"/>
      <c r="R29" s="193"/>
      <c r="S29" s="6"/>
      <c r="T29" s="196"/>
    </row>
    <row r="30" spans="2:22">
      <c r="B30" s="13"/>
      <c r="R30" s="194"/>
      <c r="T30" s="31"/>
    </row>
    <row r="31" spans="2:22">
      <c r="B31" s="34">
        <f>MAX(B$13:B30)+1</f>
        <v>10</v>
      </c>
      <c r="D31" s="24" t="s">
        <v>46</v>
      </c>
      <c r="H31" s="35">
        <f>SUM(H22:H28)</f>
        <v>23716.833333333332</v>
      </c>
      <c r="I31" s="35">
        <f>SUM(I22:I30)</f>
        <v>25911.083333333332</v>
      </c>
      <c r="K31" s="35">
        <f>SUM(K22:K28)</f>
        <v>3297111.0499705928</v>
      </c>
      <c r="L31" s="35">
        <f>SUM(L22:L30)</f>
        <v>2476543.8276738566</v>
      </c>
      <c r="M31" s="27"/>
      <c r="N31" s="182">
        <f>SUM(N22:N30)</f>
        <v>195442.45379034814</v>
      </c>
      <c r="O31" s="27"/>
      <c r="P31" s="30">
        <f>SUM(P22:P28)</f>
        <v>-4319.273253145574</v>
      </c>
      <c r="Q31" s="29"/>
      <c r="R31" s="28">
        <f>P31/N31</f>
        <v>-2.2099974541758848E-2</v>
      </c>
      <c r="S31" s="36"/>
      <c r="T31" s="31"/>
    </row>
    <row r="32" spans="2:22">
      <c r="B32" s="13"/>
      <c r="N32" s="182"/>
      <c r="R32" s="194"/>
      <c r="T32" s="31"/>
    </row>
    <row r="33" spans="2:22">
      <c r="B33" s="13"/>
      <c r="D33" s="24" t="s">
        <v>47</v>
      </c>
      <c r="N33" s="182"/>
      <c r="R33" s="194"/>
      <c r="T33" s="40" t="s">
        <v>0</v>
      </c>
    </row>
    <row r="34" spans="2:22">
      <c r="B34" s="34">
        <f>MAX(B$13:B33)+1</f>
        <v>11</v>
      </c>
      <c r="D34" s="2" t="s">
        <v>48</v>
      </c>
      <c r="F34" s="10" t="s">
        <v>49</v>
      </c>
      <c r="G34" s="10"/>
      <c r="H34" s="26">
        <v>2828</v>
      </c>
      <c r="I34" s="26">
        <f>'2017 ROO'!E23+'2017 ROO'!E53+'2017 ROO'!E86</f>
        <v>2368.9166666666665</v>
      </c>
      <c r="K34" s="26">
        <v>3735.0893644456642</v>
      </c>
      <c r="L34" s="26">
        <f>('2017 ROO'!J23+'2017 ROO'!J53+'2017 ROO'!J86)/1000</f>
        <v>3089.8820515623579</v>
      </c>
      <c r="M34" s="36"/>
      <c r="N34" s="182">
        <f>('2017 ROO'!Q23+'2017 ROO'!Q53+'2017 ROO'!Q86)/1000</f>
        <v>462.55326541264583</v>
      </c>
      <c r="O34" s="29"/>
      <c r="P34" s="30">
        <f t="shared" ref="P34:P38" si="1">T34*L34/100</f>
        <v>-9.2078485136558257</v>
      </c>
      <c r="Q34" s="29"/>
      <c r="R34" s="28">
        <f>P34/N34</f>
        <v>-1.9906569042251736E-2</v>
      </c>
      <c r="S34" s="27"/>
      <c r="T34" s="31">
        <f t="shared" ref="T34:T38" si="2">$T$41</f>
        <v>-0.29799999999999999</v>
      </c>
      <c r="V34" s="30"/>
    </row>
    <row r="35" spans="2:22">
      <c r="B35" s="34">
        <f>MAX(B$13:B34)+1</f>
        <v>12</v>
      </c>
      <c r="D35" s="2" t="s">
        <v>50</v>
      </c>
      <c r="F35" s="10" t="s">
        <v>51</v>
      </c>
      <c r="G35" s="10"/>
      <c r="H35" s="26">
        <v>178</v>
      </c>
      <c r="I35" s="26">
        <f>'2017 ROO'!E126</f>
        <v>193.25</v>
      </c>
      <c r="K35" s="26">
        <v>2902.2385934150548</v>
      </c>
      <c r="L35" s="26">
        <f>'2017 ROO'!J126/1000</f>
        <v>4462.5519743658697</v>
      </c>
      <c r="M35" s="36"/>
      <c r="N35" s="182">
        <f>'2017 ROO'!Q126/1000</f>
        <v>937.91679813055214</v>
      </c>
      <c r="O35" s="29"/>
      <c r="P35" s="30">
        <f t="shared" si="1"/>
        <v>-13.298404883610292</v>
      </c>
      <c r="Q35" s="29"/>
      <c r="R35" s="28">
        <f>P35/N35</f>
        <v>-1.4178661593561988E-2</v>
      </c>
      <c r="S35" s="27"/>
      <c r="T35" s="31">
        <f t="shared" si="2"/>
        <v>-0.29799999999999999</v>
      </c>
      <c r="V35" s="30"/>
    </row>
    <row r="36" spans="2:22">
      <c r="B36" s="34">
        <f>MAX(B$13:B35)+1</f>
        <v>13</v>
      </c>
      <c r="D36" s="2" t="s">
        <v>50</v>
      </c>
      <c r="F36" s="10">
        <v>52</v>
      </c>
      <c r="G36" s="10"/>
      <c r="H36" s="26">
        <v>30</v>
      </c>
      <c r="I36" s="26">
        <f>'2017 ROO'!E123</f>
        <v>14</v>
      </c>
      <c r="K36" s="26">
        <v>466.2387672357238</v>
      </c>
      <c r="L36" s="26">
        <f>'2017 ROO'!J123/1000</f>
        <v>175.53686057573989</v>
      </c>
      <c r="M36" s="36"/>
      <c r="N36" s="182">
        <f>'2017 ROO'!Q123/1000</f>
        <v>37.038604828386383</v>
      </c>
      <c r="O36" s="29"/>
      <c r="P36" s="30">
        <f t="shared" si="1"/>
        <v>-0.5230998445157049</v>
      </c>
      <c r="Q36" s="29"/>
      <c r="R36" s="28">
        <f>P36/N36</f>
        <v>-1.4123097966011971E-2</v>
      </c>
      <c r="S36" s="27"/>
      <c r="T36" s="31">
        <f t="shared" si="2"/>
        <v>-0.29799999999999999</v>
      </c>
      <c r="V36" s="30"/>
    </row>
    <row r="37" spans="2:22">
      <c r="B37" s="34">
        <f>MAX(B$13:B36)+1</f>
        <v>14</v>
      </c>
      <c r="D37" s="2" t="s">
        <v>50</v>
      </c>
      <c r="F37" s="10">
        <v>53</v>
      </c>
      <c r="G37" s="10"/>
      <c r="H37" s="26">
        <v>272.33333333333337</v>
      </c>
      <c r="I37" s="26">
        <f>'2017 ROO'!E124+'2017 ROO'!E125</f>
        <v>220.75</v>
      </c>
      <c r="K37" s="26">
        <v>4499.9316487570059</v>
      </c>
      <c r="L37" s="26">
        <f>('2017 ROO'!J124+'2017 ROO'!J125)/1000</f>
        <v>4980.451525857864</v>
      </c>
      <c r="M37" s="26"/>
      <c r="N37" s="182">
        <f>('2017 ROO'!Q124+'2017 ROO'!Q125)/1000</f>
        <v>366.77149220948235</v>
      </c>
      <c r="O37" s="29"/>
      <c r="P37" s="30">
        <f t="shared" si="1"/>
        <v>-14.841745547056435</v>
      </c>
      <c r="Q37" s="29"/>
      <c r="R37" s="28">
        <f>P37/N37</f>
        <v>-4.0465919141227963E-2</v>
      </c>
      <c r="S37" s="27"/>
      <c r="T37" s="31">
        <f t="shared" si="2"/>
        <v>-0.29799999999999999</v>
      </c>
      <c r="V37" s="30"/>
    </row>
    <row r="38" spans="2:22">
      <c r="B38" s="34">
        <f>MAX(B$13:B37)+1</f>
        <v>15</v>
      </c>
      <c r="D38" s="2" t="s">
        <v>50</v>
      </c>
      <c r="F38" s="10">
        <v>57</v>
      </c>
      <c r="G38" s="10"/>
      <c r="H38" s="26">
        <v>50.666666666666664</v>
      </c>
      <c r="I38" s="26">
        <f>'2017 ROO'!E127</f>
        <v>40.083333333333336</v>
      </c>
      <c r="K38" s="26">
        <v>2174.0459905922153</v>
      </c>
      <c r="L38" s="26">
        <f>'2017 ROO'!J127/1000</f>
        <v>1905.8826392005269</v>
      </c>
      <c r="M38" s="26"/>
      <c r="N38" s="182">
        <f>'2017 ROO'!Q127/1000</f>
        <v>249.91094327375487</v>
      </c>
      <c r="O38" s="29"/>
      <c r="P38" s="30">
        <f t="shared" si="1"/>
        <v>-5.6795302648175694</v>
      </c>
      <c r="Q38" s="29"/>
      <c r="R38" s="28">
        <f>P38/N38</f>
        <v>-2.2726216749124735E-2</v>
      </c>
      <c r="S38" s="27"/>
      <c r="T38" s="31">
        <f t="shared" si="2"/>
        <v>-0.29799999999999999</v>
      </c>
      <c r="V38" s="30"/>
    </row>
    <row r="39" spans="2:22">
      <c r="B39" s="13"/>
      <c r="D39" s="2" t="s">
        <v>34</v>
      </c>
      <c r="H39" s="32"/>
      <c r="I39" s="32"/>
      <c r="K39" s="32"/>
      <c r="L39" s="32"/>
      <c r="M39" s="19"/>
      <c r="N39" s="32"/>
      <c r="O39" s="6"/>
      <c r="P39" s="33"/>
      <c r="Q39" s="6"/>
      <c r="R39" s="193"/>
      <c r="S39" s="6"/>
      <c r="T39" s="197"/>
    </row>
    <row r="40" spans="2:22">
      <c r="B40" s="13"/>
      <c r="R40" s="194"/>
      <c r="T40" s="198"/>
    </row>
    <row r="41" spans="2:22" ht="16.5" thickBot="1">
      <c r="B41" s="34">
        <f>MAX(B$13:B40)+1</f>
        <v>16</v>
      </c>
      <c r="D41" s="24" t="s">
        <v>52</v>
      </c>
      <c r="H41" s="41">
        <f>SUM(H34:H38)</f>
        <v>3359</v>
      </c>
      <c r="I41" s="41">
        <f>SUM(I34:I40)</f>
        <v>2837</v>
      </c>
      <c r="K41" s="41">
        <f>SUM(K34:K38)</f>
        <v>13777.544364445665</v>
      </c>
      <c r="L41" s="41">
        <f>SUM(L34:L40)</f>
        <v>14614.305051562358</v>
      </c>
      <c r="M41" s="19"/>
      <c r="N41" s="183">
        <f>SUM(N34:N40)</f>
        <v>2054.1911038548219</v>
      </c>
      <c r="O41" s="45"/>
      <c r="P41" s="42">
        <f>SUM(P34:P38)</f>
        <v>-43.550629053655832</v>
      </c>
      <c r="Q41" s="45"/>
      <c r="R41" s="44">
        <f>P41/N41</f>
        <v>-2.1200865378070363E-2</v>
      </c>
      <c r="S41" s="45"/>
      <c r="T41" s="46">
        <f>ROUND(R55*'Exhibit 3'!L62*R56,3)</f>
        <v>-0.29799999999999999</v>
      </c>
    </row>
    <row r="42" spans="2:22" ht="16.5" thickTop="1">
      <c r="B42" s="13"/>
      <c r="D42" s="24"/>
      <c r="H42" s="47"/>
      <c r="I42" s="47"/>
      <c r="K42" s="47"/>
      <c r="L42" s="47"/>
      <c r="M42" s="45"/>
      <c r="N42" s="47"/>
      <c r="O42" s="45"/>
      <c r="P42" s="45"/>
      <c r="Q42" s="45"/>
      <c r="R42" s="195"/>
      <c r="S42" s="45"/>
      <c r="T42" s="198"/>
    </row>
    <row r="43" spans="2:22" ht="16.5" thickBot="1">
      <c r="B43" s="34">
        <f>MAX(B$13:B42)+1</f>
        <v>17</v>
      </c>
      <c r="D43" s="48" t="s">
        <v>53</v>
      </c>
      <c r="H43" s="49">
        <f>H41+H31+H19</f>
        <v>128412.75</v>
      </c>
      <c r="I43" s="49">
        <f>I41+I31+I19</f>
        <v>135832.25</v>
      </c>
      <c r="K43" s="49">
        <f>K41+K31+K19</f>
        <v>4880827.1987742558</v>
      </c>
      <c r="L43" s="49">
        <f>L41+L31+L19</f>
        <v>4128453.0668199998</v>
      </c>
      <c r="M43" s="19"/>
      <c r="N43" s="50">
        <f>N41+N31+N19</f>
        <v>354858.04403014574</v>
      </c>
      <c r="O43" s="51"/>
      <c r="P43" s="50">
        <f>P41+P31+P19</f>
        <v>-8308.7046733671705</v>
      </c>
      <c r="Q43" s="51"/>
      <c r="R43" s="52">
        <f>P43/N43</f>
        <v>-2.3414164658646805E-2</v>
      </c>
      <c r="S43" s="51"/>
      <c r="T43" s="199"/>
    </row>
    <row r="44" spans="2:22" ht="16.5" thickTop="1">
      <c r="B44" s="217" t="s">
        <v>0</v>
      </c>
      <c r="C44" s="218"/>
      <c r="D44" s="218"/>
      <c r="H44" s="53"/>
      <c r="I44" s="53"/>
      <c r="K44" s="53"/>
      <c r="L44" s="53"/>
      <c r="M44" s="51"/>
      <c r="N44" s="53"/>
      <c r="O44" s="43"/>
      <c r="P44" s="51"/>
      <c r="Q44" s="51"/>
      <c r="R44" s="191"/>
      <c r="S44" s="51"/>
      <c r="T44" s="198"/>
    </row>
    <row r="45" spans="2:22">
      <c r="B45" s="34">
        <v>18</v>
      </c>
      <c r="D45" s="2" t="s">
        <v>54</v>
      </c>
      <c r="H45" s="53"/>
      <c r="I45" s="53"/>
      <c r="K45" s="53"/>
      <c r="L45" s="53"/>
      <c r="M45" s="51"/>
      <c r="N45" s="53">
        <f>('2017 ROO'!Q25+'2017 ROO'!Q57+'2017 ROO'!Q88+'2017 ROO'!Q107+'2017 ROO'!Q131)/1000</f>
        <v>674.90093999999999</v>
      </c>
      <c r="O45" s="55"/>
      <c r="P45" s="29" t="s">
        <v>0</v>
      </c>
      <c r="Q45" s="29"/>
      <c r="R45" s="53" t="s">
        <v>0</v>
      </c>
      <c r="S45" s="51"/>
      <c r="T45" s="198"/>
    </row>
    <row r="46" spans="2:22">
      <c r="B46" s="34"/>
      <c r="H46" s="53"/>
      <c r="I46" s="53"/>
      <c r="K46" s="53"/>
      <c r="L46" s="53"/>
      <c r="M46" s="51"/>
      <c r="N46" s="53"/>
      <c r="O46" s="54"/>
      <c r="P46" s="29"/>
      <c r="Q46" s="29"/>
      <c r="R46" s="192"/>
      <c r="S46" s="51"/>
      <c r="T46" s="198"/>
    </row>
    <row r="47" spans="2:22" ht="16.5" thickBot="1">
      <c r="B47" s="34">
        <v>19</v>
      </c>
      <c r="D47" s="56" t="s">
        <v>55</v>
      </c>
      <c r="H47" s="57">
        <f>SUM(H43:H45)</f>
        <v>128412.75</v>
      </c>
      <c r="I47" s="57">
        <f>SUM(I43:I45)</f>
        <v>135832.25</v>
      </c>
      <c r="K47" s="57">
        <f>SUM(K43:K45)</f>
        <v>4880827.1987742558</v>
      </c>
      <c r="L47" s="57">
        <f>SUM(L43:L45)</f>
        <v>4128453.0668199998</v>
      </c>
      <c r="M47" s="19"/>
      <c r="N47" s="58">
        <f>SUM(N43:N45)</f>
        <v>355532.94497014576</v>
      </c>
      <c r="O47" s="51"/>
      <c r="P47" s="58">
        <f>SUM(P43:P45)</f>
        <v>-8308.7046733671705</v>
      </c>
      <c r="Q47" s="59"/>
      <c r="R47" s="52">
        <f>P47/N47</f>
        <v>-2.3369718027298019E-2</v>
      </c>
      <c r="S47" s="51"/>
      <c r="T47" s="199"/>
      <c r="V47" s="60"/>
    </row>
    <row r="48" spans="2:22" ht="18.75" customHeight="1" thickTop="1">
      <c r="T48" s="198"/>
    </row>
    <row r="49" spans="12:21" ht="18.75" customHeight="1"/>
    <row r="50" spans="12:21">
      <c r="L50" s="187"/>
      <c r="M50" s="61"/>
      <c r="N50" s="61"/>
      <c r="P50" s="6"/>
      <c r="Q50" s="6"/>
      <c r="R50" s="60"/>
    </row>
    <row r="51" spans="12:21">
      <c r="P51" s="6"/>
      <c r="Q51" s="6"/>
    </row>
    <row r="52" spans="12:21">
      <c r="P52" s="186"/>
      <c r="R52" s="60"/>
    </row>
    <row r="53" spans="12:21">
      <c r="R53" s="6"/>
    </row>
    <row r="54" spans="12:21">
      <c r="P54" s="189" t="s">
        <v>259</v>
      </c>
      <c r="R54" s="60">
        <v>-8303.2549999999992</v>
      </c>
      <c r="T54" s="201" t="s">
        <v>260</v>
      </c>
      <c r="U54" s="60">
        <f>P47-R54</f>
        <v>-5.4496733671712718</v>
      </c>
    </row>
    <row r="55" spans="12:21">
      <c r="P55" s="189" t="s">
        <v>232</v>
      </c>
      <c r="R55" s="188">
        <f>R54*1000/L47/10</f>
        <v>-0.20112266908718185</v>
      </c>
    </row>
    <row r="56" spans="12:21">
      <c r="P56" s="189" t="s">
        <v>233</v>
      </c>
      <c r="R56" s="190">
        <v>0.99917566111665579</v>
      </c>
    </row>
    <row r="58" spans="12:21">
      <c r="P58" s="21"/>
    </row>
  </sheetData>
  <mergeCells count="7">
    <mergeCell ref="B44:D44"/>
    <mergeCell ref="B2:T2"/>
    <mergeCell ref="B3:T3"/>
    <mergeCell ref="B4:T4"/>
    <mergeCell ref="B5:T5"/>
    <mergeCell ref="B6:T6"/>
    <mergeCell ref="B7:T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view="pageBreakPreview" zoomScale="90" zoomScaleNormal="100" zoomScaleSheetLayoutView="90" workbookViewId="0">
      <selection activeCell="M31" sqref="M31"/>
    </sheetView>
  </sheetViews>
  <sheetFormatPr defaultColWidth="9.7109375" defaultRowHeight="15"/>
  <cols>
    <col min="1" max="1" width="5.28515625" style="84" customWidth="1"/>
    <col min="2" max="2" width="9.7109375" style="84"/>
    <col min="3" max="3" width="3.140625" style="84" customWidth="1"/>
    <col min="4" max="4" width="14" style="84" customWidth="1"/>
    <col min="5" max="5" width="3" style="84" customWidth="1"/>
    <col min="6" max="6" width="14" style="84" customWidth="1"/>
    <col min="7" max="7" width="3" style="84" customWidth="1"/>
    <col min="8" max="8" width="14" style="84" customWidth="1"/>
    <col min="9" max="9" width="3.28515625" style="84" customWidth="1"/>
    <col min="10" max="10" width="8.85546875" style="84" bestFit="1" customWidth="1"/>
    <col min="11" max="11" width="3.28515625" style="84" customWidth="1"/>
    <col min="12" max="12" width="2.5703125" style="84" customWidth="1"/>
    <col min="13" max="13" width="24.140625" style="84" customWidth="1"/>
    <col min="14" max="14" width="17.42578125" style="84" customWidth="1"/>
    <col min="15" max="15" width="10.42578125" style="84" customWidth="1"/>
    <col min="16" max="16" width="9.42578125" style="84" customWidth="1"/>
    <col min="17" max="17" width="1.85546875" style="84" customWidth="1"/>
    <col min="18" max="16384" width="9.7109375" style="84"/>
  </cols>
  <sheetData>
    <row r="1" spans="1:20" ht="18.75">
      <c r="B1" s="221" t="s">
        <v>106</v>
      </c>
      <c r="C1" s="221"/>
      <c r="D1" s="221"/>
      <c r="E1" s="221"/>
      <c r="F1" s="221"/>
      <c r="G1" s="221"/>
      <c r="H1" s="221"/>
      <c r="I1" s="221"/>
      <c r="J1" s="221"/>
      <c r="K1" s="85"/>
    </row>
    <row r="2" spans="1:20" ht="18.75">
      <c r="A2" s="86"/>
      <c r="B2" s="221" t="s">
        <v>107</v>
      </c>
      <c r="C2" s="221"/>
      <c r="D2" s="221"/>
      <c r="E2" s="221"/>
      <c r="F2" s="221"/>
      <c r="G2" s="221"/>
      <c r="H2" s="221"/>
      <c r="I2" s="221"/>
      <c r="J2" s="221"/>
      <c r="K2" s="85"/>
    </row>
    <row r="3" spans="1:20" ht="18.75">
      <c r="A3" s="86"/>
      <c r="B3" s="221" t="s">
        <v>108</v>
      </c>
      <c r="C3" s="221"/>
      <c r="D3" s="221"/>
      <c r="E3" s="221"/>
      <c r="F3" s="221"/>
      <c r="G3" s="221"/>
      <c r="H3" s="221"/>
      <c r="I3" s="221"/>
      <c r="J3" s="221"/>
      <c r="K3" s="85"/>
    </row>
    <row r="4" spans="1:20" ht="18.75">
      <c r="B4" s="87" t="s">
        <v>0</v>
      </c>
      <c r="C4" s="87"/>
      <c r="D4" s="87"/>
      <c r="E4" s="87"/>
      <c r="F4" s="87"/>
      <c r="G4" s="87"/>
      <c r="H4" s="87"/>
      <c r="I4" s="87"/>
      <c r="J4" s="87"/>
      <c r="K4" s="87"/>
    </row>
    <row r="6" spans="1:20" ht="18.75" thickBot="1">
      <c r="D6" s="222" t="s">
        <v>109</v>
      </c>
      <c r="E6" s="222"/>
      <c r="F6" s="222"/>
      <c r="G6" s="222"/>
      <c r="H6" s="222"/>
      <c r="I6" s="222"/>
      <c r="J6" s="222"/>
      <c r="K6" s="88"/>
      <c r="L6" s="86"/>
      <c r="M6" s="89"/>
    </row>
    <row r="7" spans="1:20">
      <c r="D7" s="88" t="s">
        <v>0</v>
      </c>
      <c r="E7" s="90"/>
      <c r="F7" s="90" t="s">
        <v>0</v>
      </c>
      <c r="H7" s="222" t="s">
        <v>110</v>
      </c>
      <c r="I7" s="222"/>
      <c r="J7" s="222"/>
      <c r="K7" s="88"/>
      <c r="L7" s="90"/>
      <c r="M7" s="91" t="s">
        <v>111</v>
      </c>
      <c r="N7" s="92"/>
      <c r="O7" s="91" t="s">
        <v>112</v>
      </c>
      <c r="P7" s="92"/>
    </row>
    <row r="8" spans="1:20" ht="18">
      <c r="B8" s="93" t="s">
        <v>113</v>
      </c>
      <c r="D8" s="94" t="s">
        <v>5</v>
      </c>
      <c r="E8" s="95" t="s">
        <v>0</v>
      </c>
      <c r="F8" s="94" t="s">
        <v>114</v>
      </c>
      <c r="G8" s="95" t="s">
        <v>0</v>
      </c>
      <c r="H8" s="93" t="s">
        <v>115</v>
      </c>
      <c r="J8" s="96" t="s">
        <v>20</v>
      </c>
      <c r="K8" s="90"/>
      <c r="M8" s="97" t="s">
        <v>116</v>
      </c>
      <c r="N8" s="98">
        <v>7.75</v>
      </c>
      <c r="O8" s="97"/>
      <c r="P8" s="98">
        <v>7.75</v>
      </c>
    </row>
    <row r="9" spans="1:20">
      <c r="B9" s="99"/>
      <c r="D9" s="99"/>
      <c r="E9" s="99"/>
      <c r="F9" s="99"/>
      <c r="M9" s="97" t="s">
        <v>117</v>
      </c>
      <c r="N9" s="100">
        <f>6.717+0.004+P11+P12+P13</f>
        <v>6.3439999999999994</v>
      </c>
      <c r="O9" s="97"/>
      <c r="P9" s="101">
        <f>N9+P14</f>
        <v>6.1029999999999998</v>
      </c>
      <c r="Q9" s="102"/>
      <c r="R9" s="103">
        <f>(P9-N9)/N9</f>
        <v>-3.7988650693568674E-2</v>
      </c>
    </row>
    <row r="10" spans="1:20" ht="15.75" thickBot="1">
      <c r="B10" s="104">
        <v>50</v>
      </c>
      <c r="D10" s="105">
        <f>ROUND((($B10*N$9/100))+((B10*$P$15)/100),2)+P17+N8</f>
        <v>11.25</v>
      </c>
      <c r="F10" s="105">
        <f>ROUND((($B10*P$9/100))+((B10*$P$16)/100),2)+P18+P8</f>
        <v>11.129999999999999</v>
      </c>
      <c r="H10" s="106">
        <f>F10-D10</f>
        <v>-0.12000000000000099</v>
      </c>
      <c r="J10" s="107">
        <f>(F10-D10)/D10</f>
        <v>-1.0666666666666755E-2</v>
      </c>
      <c r="K10" s="107"/>
      <c r="M10" s="108" t="s">
        <v>118</v>
      </c>
      <c r="N10" s="109">
        <f>10.613+0.004+P11+P12+P13</f>
        <v>10.239999999999998</v>
      </c>
      <c r="O10" s="108"/>
      <c r="P10" s="109">
        <f>N10+P14</f>
        <v>9.9989999999999988</v>
      </c>
      <c r="R10" s="103">
        <f>(P10-N10)/N10</f>
        <v>-2.353515624999997E-2</v>
      </c>
    </row>
    <row r="11" spans="1:20">
      <c r="B11" s="104">
        <v>100</v>
      </c>
      <c r="D11" s="105">
        <f>ROUND((($B11*N$9/100))+((B11*$P$15)/100),2)+P17+N8</f>
        <v>14.02</v>
      </c>
      <c r="F11" s="105">
        <f>ROUND((($B11*P$9/100))+((B11*$P$16)/100),2)+P18+P8</f>
        <v>13.780000000000001</v>
      </c>
      <c r="H11" s="106">
        <f>F11-D11</f>
        <v>-0.23999999999999844</v>
      </c>
      <c r="J11" s="107">
        <f>(F11-D11)/D11</f>
        <v>-1.7118402282453527E-2</v>
      </c>
      <c r="K11" s="107"/>
      <c r="M11" s="110"/>
      <c r="N11" s="110" t="s">
        <v>119</v>
      </c>
      <c r="O11" s="110"/>
      <c r="P11" s="111">
        <v>0.33</v>
      </c>
      <c r="T11" s="106"/>
    </row>
    <row r="12" spans="1:20">
      <c r="B12" s="104">
        <v>150</v>
      </c>
      <c r="D12" s="105">
        <f>ROUND((($B12*N$9/100))+((B12*$P$15)/100),2)+P17+N8</f>
        <v>16.78</v>
      </c>
      <c r="F12" s="105">
        <f>ROUND((($B12*P$9/100))+((B12*$P$16)/100),2)+P18+P8</f>
        <v>16.420000000000002</v>
      </c>
      <c r="H12" s="106">
        <f>F12-D12</f>
        <v>-0.35999999999999943</v>
      </c>
      <c r="J12" s="107">
        <f>(F12-D12)/D12</f>
        <v>-2.145411203814061E-2</v>
      </c>
      <c r="K12" s="107"/>
      <c r="M12" s="110"/>
      <c r="N12" s="110" t="s">
        <v>120</v>
      </c>
      <c r="O12" s="110"/>
      <c r="P12" s="111">
        <v>-0.49</v>
      </c>
      <c r="Q12" s="112"/>
      <c r="T12" s="106"/>
    </row>
    <row r="13" spans="1:20">
      <c r="D13" s="113"/>
      <c r="F13" s="113"/>
      <c r="M13" s="110"/>
      <c r="N13" s="110" t="s">
        <v>127</v>
      </c>
      <c r="O13" s="110"/>
      <c r="P13" s="111">
        <v>-0.217</v>
      </c>
      <c r="T13" s="106"/>
    </row>
    <row r="14" spans="1:20">
      <c r="B14" s="104">
        <v>200</v>
      </c>
      <c r="D14" s="105">
        <f>ROUND((($B14*N$9/100))+((B14*$P$15)/100),2)+P17+N8</f>
        <v>19.55</v>
      </c>
      <c r="F14" s="105">
        <f>ROUND((($B14*P$9/100))+((B14*$P$16)/100),2)+P18+P8</f>
        <v>19.07</v>
      </c>
      <c r="H14" s="106">
        <f>F14-D14</f>
        <v>-0.48000000000000043</v>
      </c>
      <c r="J14" s="107">
        <f>(F14-D14)/D14</f>
        <v>-2.4552429667519204E-2</v>
      </c>
      <c r="K14" s="107"/>
      <c r="M14" s="110"/>
      <c r="N14" s="84" t="s">
        <v>128</v>
      </c>
      <c r="P14" s="84">
        <f>'Exhibit 4'!T16</f>
        <v>-0.24099999999999999</v>
      </c>
      <c r="R14" s="84" t="s">
        <v>0</v>
      </c>
      <c r="T14" s="106"/>
    </row>
    <row r="15" spans="1:20">
      <c r="B15" s="104">
        <v>300</v>
      </c>
      <c r="D15" s="105">
        <f>ROUND((($B15*N$9/100))+((B15*$P$15)/100),2)+P17+N8</f>
        <v>25.08</v>
      </c>
      <c r="F15" s="105">
        <f>ROUND((($B15*P$9/100))+((B15*$P$16)/100),2)+P18+P8</f>
        <v>24.349999999999998</v>
      </c>
      <c r="H15" s="106">
        <f>F15-D15</f>
        <v>-0.73000000000000043</v>
      </c>
      <c r="J15" s="107">
        <f>(F15-D15)/D15</f>
        <v>-2.9106858054226494E-2</v>
      </c>
      <c r="K15" s="107"/>
      <c r="M15" s="110"/>
      <c r="N15" s="110" t="s">
        <v>121</v>
      </c>
      <c r="O15" s="110"/>
      <c r="P15" s="111">
        <v>-0.81499999999999995</v>
      </c>
      <c r="T15" s="106"/>
    </row>
    <row r="16" spans="1:20">
      <c r="B16" s="104">
        <v>400</v>
      </c>
      <c r="D16" s="105">
        <f>ROUND((($B16*N$9/100))+((B16*$P$15)/100),2)+P17+N8</f>
        <v>30.61</v>
      </c>
      <c r="F16" s="105">
        <f>ROUND((($B16*P$9/100))+((B16*$P$16)/100),2)+P18+P8</f>
        <v>29.639999999999997</v>
      </c>
      <c r="H16" s="106">
        <f>F16-D16</f>
        <v>-0.97000000000000242</v>
      </c>
      <c r="J16" s="107">
        <f>(F16-D16)/D16</f>
        <v>-3.1688990525971981E-2</v>
      </c>
      <c r="K16" s="107"/>
      <c r="N16" s="84" t="s">
        <v>0</v>
      </c>
      <c r="O16" s="84" t="s">
        <v>0</v>
      </c>
      <c r="P16" s="111">
        <v>-0.81499999999999995</v>
      </c>
      <c r="Q16" s="84" t="s">
        <v>0</v>
      </c>
      <c r="T16" s="106"/>
    </row>
    <row r="17" spans="2:20">
      <c r="B17" s="104">
        <v>500</v>
      </c>
      <c r="D17" s="105">
        <f>ROUND((($B17*N$9/100))+((B17*$P$15)/100),2)+P17+N8</f>
        <v>36.14</v>
      </c>
      <c r="F17" s="105">
        <f>ROUND((($B17*P$9/100))+((B17*$P$16)/100),2)+P18+P8</f>
        <v>34.93</v>
      </c>
      <c r="H17" s="106">
        <f>F17-D17</f>
        <v>-1.2100000000000009</v>
      </c>
      <c r="J17" s="107">
        <f>(F17-D17)/D17</f>
        <v>-3.3480907581627029E-2</v>
      </c>
      <c r="K17" s="107"/>
      <c r="N17" s="84" t="s">
        <v>122</v>
      </c>
      <c r="P17" s="106">
        <v>0.74</v>
      </c>
      <c r="T17" s="106"/>
    </row>
    <row r="18" spans="2:20">
      <c r="D18" s="113"/>
      <c r="F18" s="113"/>
      <c r="N18" s="84" t="s">
        <v>123</v>
      </c>
      <c r="P18" s="106">
        <f>P17</f>
        <v>0.74</v>
      </c>
      <c r="T18" s="106"/>
    </row>
    <row r="19" spans="2:20">
      <c r="B19" s="104">
        <v>600</v>
      </c>
      <c r="D19" s="105">
        <f>ROUND((($B19*N$9/100))+((B19*$P$15)/100),2)+P17+N8</f>
        <v>41.660000000000004</v>
      </c>
      <c r="F19" s="105">
        <f>ROUND((($B19*P$9/100))+((B19*$P$16)/100),2)+P18+P8</f>
        <v>40.22</v>
      </c>
      <c r="H19" s="106">
        <f>F19-D19</f>
        <v>-1.4400000000000048</v>
      </c>
      <c r="J19" s="107">
        <f>(F19-D19)/D19</f>
        <v>-3.4565530484877691E-2</v>
      </c>
      <c r="K19" s="107"/>
      <c r="N19" s="84" t="s">
        <v>0</v>
      </c>
      <c r="P19" s="114" t="s">
        <v>0</v>
      </c>
      <c r="T19" s="106"/>
    </row>
    <row r="20" spans="2:20">
      <c r="B20" s="104">
        <v>700</v>
      </c>
      <c r="D20" s="105">
        <f>ROUND((((600*N$9/100)+(($B20-600)*N$10/100)))+((B20*$P$15)/100),2)+P17+N8</f>
        <v>51.09</v>
      </c>
      <c r="F20" s="105">
        <f>ROUND((((600*P$9/100)+(($B20-600)*P$10/100)))+((B20*$P$16)/100),2)+P18+P8</f>
        <v>49.4</v>
      </c>
      <c r="H20" s="106">
        <f>F20-D20</f>
        <v>-1.6900000000000048</v>
      </c>
      <c r="J20" s="107">
        <f>(F20-D20)/D20</f>
        <v>-3.3078880407124776E-2</v>
      </c>
      <c r="K20" s="107"/>
      <c r="T20" s="106"/>
    </row>
    <row r="21" spans="2:20">
      <c r="B21" s="104">
        <v>800</v>
      </c>
      <c r="D21" s="105">
        <f>ROUND((((600*N$9/100)+(($B21-600)*N$10/100)))+((B21*$P$15)/100),2)+P17+N8</f>
        <v>60.510000000000005</v>
      </c>
      <c r="F21" s="105">
        <f>ROUND((((600*P$9/100)+(($B21-600)*P$10/100)))+((B21*$P$16)/100),2)+P18+P8</f>
        <v>58.59</v>
      </c>
      <c r="H21" s="106">
        <f>F21-D21</f>
        <v>-1.9200000000000017</v>
      </c>
      <c r="J21" s="107">
        <f>(F21-D21)/D21</f>
        <v>-3.1730292513634135E-2</v>
      </c>
      <c r="K21" s="107"/>
      <c r="T21" s="106"/>
    </row>
    <row r="22" spans="2:20">
      <c r="B22" s="104">
        <v>900</v>
      </c>
      <c r="D22" s="105">
        <f>ROUND((((600*N$9/100)+(($B22-600)*N$10/100)))+((B22*$P$15)/100),2)+P17+N8</f>
        <v>69.94</v>
      </c>
      <c r="F22" s="105">
        <f>ROUND((((600*P$9/100)+(($B22-600)*P$10/100)))+((B22*$P$16)/100),2)+P18+P8</f>
        <v>67.77000000000001</v>
      </c>
      <c r="H22" s="106">
        <f>F22-D22</f>
        <v>-2.1699999999999875</v>
      </c>
      <c r="J22" s="107">
        <f>(F22-D22)/D22</f>
        <v>-3.1026594223620068E-2</v>
      </c>
      <c r="K22" s="107"/>
      <c r="M22" s="115" t="s">
        <v>131</v>
      </c>
      <c r="N22" s="116">
        <f>'Exhibit 4'!R16</f>
        <v>-2.5075277754483729E-2</v>
      </c>
      <c r="T22" s="106"/>
    </row>
    <row r="23" spans="2:20">
      <c r="B23" s="104">
        <v>1000</v>
      </c>
      <c r="D23" s="105">
        <f>ROUND((((600*N$9/100)+(($B23-600)*N$10/100)))+((B23*$P$15)/100),2)+P17+N8</f>
        <v>79.36</v>
      </c>
      <c r="F23" s="105">
        <f>ROUND((((600*P$9/100)+(($B23-600)*P$10/100)))+((B23*$P$16)/100),2)+P18+P8</f>
        <v>76.949999999999989</v>
      </c>
      <c r="H23" s="106">
        <f>F23-D23</f>
        <v>-2.4100000000000108</v>
      </c>
      <c r="J23" s="107">
        <f>(F23-D23)/D23</f>
        <v>-3.0367943548387233E-2</v>
      </c>
      <c r="K23" s="107"/>
      <c r="N23" s="117" t="s">
        <v>0</v>
      </c>
      <c r="T23" s="106"/>
    </row>
    <row r="24" spans="2:20">
      <c r="D24" s="113"/>
      <c r="F24" s="113"/>
      <c r="J24" s="118"/>
      <c r="K24" s="118"/>
      <c r="T24" s="106"/>
    </row>
    <row r="25" spans="2:20">
      <c r="B25" s="104">
        <v>1100</v>
      </c>
      <c r="D25" s="105">
        <f>ROUND((((600*N$9/100)+(($B25-600)*N$10/100)))+((B25*$P$15)/100),2)+P17+N8</f>
        <v>88.789999999999992</v>
      </c>
      <c r="F25" s="105">
        <f>ROUND((((600*P$9/100)+(($B25-600)*P$10/100)))+((B25*$P$16)/100),2)+P18+P8</f>
        <v>86.14</v>
      </c>
      <c r="H25" s="106">
        <f>F25-D25</f>
        <v>-2.6499999999999915</v>
      </c>
      <c r="J25" s="107">
        <f>(F25-D25)/D25</f>
        <v>-2.9845703344971188E-2</v>
      </c>
      <c r="K25" s="107"/>
      <c r="T25" s="106"/>
    </row>
    <row r="26" spans="2:20">
      <c r="B26" s="104">
        <v>1200</v>
      </c>
      <c r="C26" s="84" t="s">
        <v>124</v>
      </c>
      <c r="D26" s="105">
        <f>ROUND((((600*N$9/100)+(($B26-600)*N$10/100)))+((B26*$P$15)/100),2)+P17+N8</f>
        <v>98.21</v>
      </c>
      <c r="F26" s="105">
        <f>ROUND((((600*P$9/100)+(($B26-600)*P$10/100)))+((B26*$P$16)/100),2)+P18+P8</f>
        <v>95.32</v>
      </c>
      <c r="H26" s="106">
        <f>F26-D26</f>
        <v>-2.8900000000000006</v>
      </c>
      <c r="J26" s="107">
        <f>(F26-D26)/D26</f>
        <v>-2.9426738621321665E-2</v>
      </c>
      <c r="K26" s="107"/>
      <c r="T26" s="106"/>
    </row>
    <row r="27" spans="2:20">
      <c r="B27" s="104">
        <v>1300</v>
      </c>
      <c r="D27" s="105">
        <f>ROUND((((600*N$9/100)+(($B27-600)*N$10/100)))+((B27*$P$15)/100),2)+P17+N8</f>
        <v>107.64</v>
      </c>
      <c r="F27" s="105">
        <f>ROUND((((600*P$9/100)+(($B27-600)*P$10/100)))+((B27*$P$16)/100),2)+P18+P8</f>
        <v>104.50999999999999</v>
      </c>
      <c r="H27" s="106">
        <f>F27-D27</f>
        <v>-3.1300000000000097</v>
      </c>
      <c r="J27" s="107">
        <f>(F27-D27)/D27</f>
        <v>-2.907840951319221E-2</v>
      </c>
      <c r="K27" s="107"/>
      <c r="M27" s="106"/>
      <c r="T27" s="106"/>
    </row>
    <row r="28" spans="2:20">
      <c r="B28" s="104">
        <v>1400</v>
      </c>
      <c r="D28" s="105">
        <f>ROUND((((600*N$9/100)+(($B28-600)*N$10/100)))+((B28*$P$15)/100),2)+P17+N8</f>
        <v>117.05999999999999</v>
      </c>
      <c r="F28" s="105">
        <f>ROUND((((600*P$9/100)+(($B28-600)*P$10/100)))+((B28*$P$16)/100),2)+P18+P8</f>
        <v>113.69</v>
      </c>
      <c r="H28" s="106">
        <f>F28-D28</f>
        <v>-3.3699999999999903</v>
      </c>
      <c r="J28" s="107">
        <f>(F28-D28)/D28</f>
        <v>-2.8788655390398005E-2</v>
      </c>
      <c r="K28" s="107"/>
      <c r="T28" s="106"/>
    </row>
    <row r="29" spans="2:20">
      <c r="B29" s="104">
        <v>1500</v>
      </c>
      <c r="D29" s="105">
        <f>ROUND((((600*N$9/100)+(($B29-600)*N$10/100)))+((B29*$P$15)/100),2)+P17+N8</f>
        <v>126.49</v>
      </c>
      <c r="F29" s="105">
        <f>ROUND((((600*P$9/100)+(($B29-600)*P$10/100)))+((B29*$P$16)/100),2)+P18+P8</f>
        <v>122.86999999999999</v>
      </c>
      <c r="H29" s="106">
        <f>F29-D29</f>
        <v>-3.6200000000000045</v>
      </c>
      <c r="J29" s="107">
        <f>(F29-D29)/D29</f>
        <v>-2.8618863151237288E-2</v>
      </c>
      <c r="K29" s="107"/>
      <c r="T29" s="106"/>
    </row>
    <row r="30" spans="2:20">
      <c r="D30" s="113"/>
      <c r="F30" s="113"/>
      <c r="T30" s="106"/>
    </row>
    <row r="31" spans="2:20">
      <c r="B31" s="104">
        <v>1600</v>
      </c>
      <c r="D31" s="105">
        <f>ROUND((((600*N$9/100)+(($B31-600)*N$10/100)))+((B31*$P$15)/100),2)+P17+N8</f>
        <v>135.91</v>
      </c>
      <c r="F31" s="105">
        <f>ROUND((((600*P$9/100)+(($B31-600)*P$10/100)))+((B31*$P$16)/100),2)+P18+P8</f>
        <v>132.06</v>
      </c>
      <c r="H31" s="106">
        <f>F31-D31</f>
        <v>-3.8499999999999943</v>
      </c>
      <c r="J31" s="107">
        <f>(F31-D31)/D31</f>
        <v>-2.8327569715252701E-2</v>
      </c>
      <c r="K31" s="107"/>
      <c r="T31" s="106"/>
    </row>
    <row r="32" spans="2:20">
      <c r="B32" s="104">
        <v>2000</v>
      </c>
      <c r="D32" s="105">
        <f>ROUND((((600*N$9/100)+(($B32-600)*N$10/100)))+((B32*$P$15)/100),2)+P17+N8</f>
        <v>173.61</v>
      </c>
      <c r="F32" s="105">
        <f>ROUND((((600*P$9/100)+(($B32-600)*P$10/100)))+((B32*$P$16)/100),2)+P18+P8</f>
        <v>168.79000000000002</v>
      </c>
      <c r="H32" s="106">
        <f>F32-D32</f>
        <v>-4.8199999999999932</v>
      </c>
      <c r="J32" s="107">
        <f>(F32-D32)/D32</f>
        <v>-2.7763377685617145E-2</v>
      </c>
      <c r="K32" s="107"/>
      <c r="T32" s="106"/>
    </row>
    <row r="33" spans="2:20">
      <c r="B33" s="104">
        <v>2600</v>
      </c>
      <c r="D33" s="105">
        <f>ROUND((((600*N$9/100)+(($B33-600)*N$10/100)))+((B33*$P$15)/100),2)+P17+N8</f>
        <v>230.16</v>
      </c>
      <c r="F33" s="105">
        <f>ROUND((((600*P$9/100)+(($B33-600)*P$10/100)))+((B33*$P$16)/100),2)+P18+P8</f>
        <v>223.9</v>
      </c>
      <c r="H33" s="106">
        <f>F33-D33</f>
        <v>-6.2599999999999909</v>
      </c>
      <c r="J33" s="107">
        <f>(F33-D33)/D33</f>
        <v>-2.7198470629127523E-2</v>
      </c>
      <c r="K33" s="107"/>
      <c r="T33" s="106"/>
    </row>
    <row r="34" spans="2:20">
      <c r="B34" s="119"/>
      <c r="C34" s="120"/>
      <c r="D34" s="121"/>
      <c r="E34" s="120"/>
      <c r="F34" s="121"/>
      <c r="G34" s="120"/>
      <c r="H34" s="120"/>
      <c r="I34" s="120"/>
      <c r="J34" s="122"/>
      <c r="K34" s="122"/>
      <c r="T34" s="106"/>
    </row>
    <row r="35" spans="2:20">
      <c r="B35" s="123"/>
    </row>
    <row r="36" spans="2:20">
      <c r="B36" s="84" t="s">
        <v>125</v>
      </c>
    </row>
    <row r="37" spans="2:20">
      <c r="B37" s="84" t="s">
        <v>126</v>
      </c>
    </row>
    <row r="38" spans="2:20" ht="16.5">
      <c r="B38" s="124" t="s">
        <v>129</v>
      </c>
    </row>
    <row r="39" spans="2:20">
      <c r="B39" s="124" t="s">
        <v>130</v>
      </c>
    </row>
    <row r="47" spans="2:20">
      <c r="P47" s="117"/>
    </row>
  </sheetData>
  <mergeCells count="5">
    <mergeCell ref="B1:J1"/>
    <mergeCell ref="B2:J2"/>
    <mergeCell ref="B3:J3"/>
    <mergeCell ref="D6:J6"/>
    <mergeCell ref="H7:J7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4"/>
  <sheetViews>
    <sheetView view="pageBreakPreview" topLeftCell="A3" zoomScale="90" zoomScaleNormal="70" zoomScaleSheetLayoutView="90" workbookViewId="0">
      <pane ySplit="9" topLeftCell="A12" activePane="bottomLeft" state="frozen"/>
      <selection pane="bottomLeft" activeCell="A3" sqref="A3"/>
    </sheetView>
  </sheetViews>
  <sheetFormatPr defaultRowHeight="15.75"/>
  <cols>
    <col min="1" max="1" width="6.7109375" style="125" customWidth="1"/>
    <col min="2" max="2" width="17.7109375" style="125" customWidth="1"/>
    <col min="3" max="3" width="8.7109375" style="125" customWidth="1"/>
    <col min="4" max="4" width="8.7109375" style="125" hidden="1" customWidth="1"/>
    <col min="5" max="5" width="14.85546875" style="125" customWidth="1"/>
    <col min="6" max="8" width="20.28515625" style="125" customWidth="1"/>
    <col min="9" max="9" width="18" style="125" customWidth="1"/>
    <col min="10" max="10" width="20.85546875" style="125" customWidth="1"/>
    <col min="11" max="16" width="17.85546875" style="125" customWidth="1"/>
    <col min="17" max="17" width="16.85546875" style="125" bestFit="1" customWidth="1"/>
    <col min="18" max="18" width="9.140625" style="125"/>
    <col min="19" max="20" width="16.7109375" style="125" bestFit="1" customWidth="1"/>
    <col min="21" max="23" width="12.7109375" style="125" bestFit="1" customWidth="1"/>
    <col min="24" max="24" width="9.140625" style="125"/>
    <col min="25" max="25" width="11.85546875" style="125" customWidth="1"/>
    <col min="26" max="26" width="9.140625" style="125"/>
    <col min="27" max="28" width="17.42578125" style="125" bestFit="1" customWidth="1"/>
    <col min="29" max="29" width="14.5703125" style="125" bestFit="1" customWidth="1"/>
    <col min="30" max="33" width="9.140625" style="125"/>
    <col min="34" max="36" width="15.5703125" style="125" bestFit="1" customWidth="1"/>
    <col min="37" max="16384" width="9.140625" style="125"/>
  </cols>
  <sheetData>
    <row r="1" spans="1:25" hidden="1">
      <c r="K1" s="126"/>
      <c r="L1" s="126"/>
      <c r="M1" s="126"/>
      <c r="Q1" s="125" t="s">
        <v>132</v>
      </c>
    </row>
    <row r="2" spans="1:25" hidden="1">
      <c r="Q2" s="125" t="s">
        <v>133</v>
      </c>
    </row>
    <row r="3" spans="1:25" ht="18.75">
      <c r="A3" s="127" t="s">
        <v>134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9"/>
      <c r="S3" s="129"/>
      <c r="T3" s="129"/>
      <c r="U3" s="129"/>
      <c r="V3" s="130"/>
      <c r="W3" s="130"/>
      <c r="X3" s="130"/>
      <c r="Y3" s="130"/>
    </row>
    <row r="4" spans="1:25" ht="18.75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9"/>
      <c r="S4" s="129"/>
      <c r="T4" s="129"/>
      <c r="U4" s="129"/>
      <c r="V4" s="130"/>
      <c r="W4" s="130"/>
      <c r="X4" s="130"/>
      <c r="Y4" s="130"/>
    </row>
    <row r="5" spans="1:25" ht="18.75">
      <c r="A5" s="127" t="s">
        <v>135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9"/>
      <c r="S5" s="129"/>
      <c r="T5" s="129"/>
      <c r="U5" s="129"/>
      <c r="V5" s="130"/>
      <c r="W5" s="130"/>
      <c r="X5" s="130"/>
      <c r="Y5" s="130"/>
    </row>
    <row r="6" spans="1:25" ht="18.75">
      <c r="A6" s="127" t="s">
        <v>136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9"/>
      <c r="S6" s="129"/>
      <c r="T6" s="131"/>
      <c r="U6" s="129"/>
      <c r="V6" s="130"/>
      <c r="W6" s="130"/>
      <c r="X6" s="130"/>
      <c r="Y6" s="130"/>
    </row>
    <row r="7" spans="1:25" ht="18.75">
      <c r="A7" s="132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29"/>
      <c r="S7" s="129"/>
      <c r="T7" s="131"/>
      <c r="U7" s="129"/>
      <c r="V7" s="130"/>
      <c r="W7" s="130"/>
      <c r="X7" s="130"/>
      <c r="Y7" s="130"/>
    </row>
    <row r="8" spans="1:25" ht="18.75">
      <c r="A8" s="127"/>
      <c r="B8" s="128"/>
      <c r="C8" s="128"/>
      <c r="D8" s="128"/>
      <c r="E8" s="133"/>
      <c r="F8" s="133"/>
      <c r="G8" s="133"/>
      <c r="H8" s="133" t="s">
        <v>137</v>
      </c>
      <c r="I8" s="133"/>
      <c r="J8" s="133"/>
      <c r="K8" s="133"/>
      <c r="L8" s="133"/>
      <c r="M8" s="133"/>
      <c r="N8" s="133"/>
      <c r="O8" s="133"/>
      <c r="P8" s="133"/>
      <c r="Q8" s="133"/>
      <c r="R8" s="129"/>
      <c r="S8" s="129"/>
      <c r="T8" s="131"/>
      <c r="U8" s="129"/>
      <c r="V8" s="130"/>
      <c r="W8" s="130"/>
      <c r="X8" s="130"/>
      <c r="Y8" s="130"/>
    </row>
    <row r="9" spans="1:25" ht="18.75">
      <c r="A9" s="127"/>
      <c r="B9" s="128"/>
      <c r="C9" s="128"/>
      <c r="D9" s="128"/>
      <c r="E9" s="133"/>
      <c r="F9" s="133"/>
      <c r="G9" s="133"/>
      <c r="H9" s="134" t="s">
        <v>138</v>
      </c>
      <c r="I9" s="134" t="s">
        <v>139</v>
      </c>
      <c r="J9" s="135"/>
      <c r="K9" s="133" t="s">
        <v>140</v>
      </c>
      <c r="L9" s="133"/>
      <c r="M9" s="133" t="s">
        <v>137</v>
      </c>
      <c r="N9" s="133" t="s">
        <v>141</v>
      </c>
      <c r="O9" s="133" t="s">
        <v>142</v>
      </c>
      <c r="P9" s="133"/>
      <c r="Q9" s="133"/>
      <c r="R9" s="128"/>
      <c r="S9" s="128"/>
      <c r="T9" s="136"/>
      <c r="U9" s="128"/>
      <c r="V9" s="130"/>
      <c r="W9" s="130"/>
      <c r="X9" s="130"/>
      <c r="Y9" s="130"/>
    </row>
    <row r="10" spans="1:25" ht="19.5">
      <c r="A10" s="127"/>
      <c r="B10" s="128"/>
      <c r="C10" s="128"/>
      <c r="D10" s="128"/>
      <c r="E10" s="134" t="s">
        <v>143</v>
      </c>
      <c r="F10" s="137" t="s">
        <v>140</v>
      </c>
      <c r="G10" s="137" t="s">
        <v>34</v>
      </c>
      <c r="H10" s="137" t="s">
        <v>144</v>
      </c>
      <c r="I10" s="137" t="s">
        <v>145</v>
      </c>
      <c r="J10" s="135" t="s">
        <v>146</v>
      </c>
      <c r="K10" s="137" t="s">
        <v>13</v>
      </c>
      <c r="L10" s="137" t="s">
        <v>34</v>
      </c>
      <c r="M10" s="137" t="s">
        <v>147</v>
      </c>
      <c r="N10" s="137" t="s">
        <v>148</v>
      </c>
      <c r="O10" s="137" t="s">
        <v>149</v>
      </c>
      <c r="P10" s="133" t="s">
        <v>139</v>
      </c>
      <c r="Q10" s="133" t="s">
        <v>146</v>
      </c>
      <c r="R10" s="128"/>
      <c r="S10" s="128"/>
      <c r="T10" s="136"/>
      <c r="U10" s="128"/>
      <c r="V10" s="130"/>
      <c r="W10" s="130"/>
      <c r="X10" s="130"/>
      <c r="Y10" s="130"/>
    </row>
    <row r="11" spans="1:25">
      <c r="B11" s="138"/>
      <c r="C11" s="139"/>
      <c r="D11" s="139"/>
      <c r="E11" s="140" t="s">
        <v>150</v>
      </c>
      <c r="F11" s="140" t="s">
        <v>151</v>
      </c>
      <c r="G11" s="140" t="s">
        <v>151</v>
      </c>
      <c r="H11" s="140" t="s">
        <v>151</v>
      </c>
      <c r="I11" s="140" t="s">
        <v>151</v>
      </c>
      <c r="J11" s="141" t="s">
        <v>151</v>
      </c>
      <c r="K11" s="140" t="s">
        <v>115</v>
      </c>
      <c r="L11" s="140" t="s">
        <v>115</v>
      </c>
      <c r="M11" s="140" t="s">
        <v>115</v>
      </c>
      <c r="N11" s="140" t="s">
        <v>115</v>
      </c>
      <c r="O11" s="140" t="s">
        <v>115</v>
      </c>
      <c r="P11" s="140" t="s">
        <v>149</v>
      </c>
      <c r="Q11" s="140" t="s">
        <v>14</v>
      </c>
    </row>
    <row r="12" spans="1:25" ht="15.75" customHeight="1">
      <c r="A12" s="138" t="s">
        <v>31</v>
      </c>
      <c r="B12" s="138"/>
      <c r="D12" s="142" t="s">
        <v>152</v>
      </c>
      <c r="E12" s="143"/>
      <c r="F12" s="143"/>
      <c r="G12" s="143"/>
      <c r="H12" s="143"/>
      <c r="I12" s="143"/>
      <c r="J12" s="144"/>
      <c r="K12" s="139"/>
      <c r="L12" s="139"/>
      <c r="M12" s="139"/>
      <c r="N12" s="139"/>
      <c r="O12" s="139"/>
      <c r="P12" s="139"/>
      <c r="U12" s="38"/>
    </row>
    <row r="13" spans="1:25" ht="15.75" customHeight="1">
      <c r="B13" s="125" t="s">
        <v>153</v>
      </c>
      <c r="D13" s="145">
        <v>16</v>
      </c>
      <c r="E13" s="146">
        <v>101218.58333333333</v>
      </c>
      <c r="F13" s="146">
        <v>1586200189</v>
      </c>
      <c r="G13" s="146">
        <f>(F13/($F$39-$F$37)*$F$37)</f>
        <v>12956573.193006663</v>
      </c>
      <c r="H13" s="146">
        <v>-51434678.626813047</v>
      </c>
      <c r="I13" s="146">
        <f>H13+G13</f>
        <v>-38478105.433806382</v>
      </c>
      <c r="J13" s="147">
        <f>F13+I13</f>
        <v>1547722083.5661936</v>
      </c>
      <c r="K13" s="148">
        <v>142646293.38</v>
      </c>
      <c r="L13" s="148">
        <f>K13/($K$20+$K$23)*$K$37</f>
        <v>1744984.9363477838</v>
      </c>
      <c r="M13" s="148">
        <v>1936352.8854792099</v>
      </c>
      <c r="N13" s="148">
        <v>2366432</v>
      </c>
      <c r="O13" s="148">
        <v>0</v>
      </c>
      <c r="P13" s="148">
        <f>L13+M13+N13</f>
        <v>6047769.8218269935</v>
      </c>
      <c r="Q13" s="148">
        <f>K13+P13</f>
        <v>148694063.20182699</v>
      </c>
      <c r="S13" s="149"/>
      <c r="T13" s="149"/>
      <c r="U13" s="38"/>
    </row>
    <row r="14" spans="1:25" ht="15.75" customHeight="1">
      <c r="B14" s="125" t="s">
        <v>154</v>
      </c>
      <c r="D14" s="145">
        <v>17</v>
      </c>
      <c r="E14" s="146">
        <v>5086.166666666667</v>
      </c>
      <c r="F14" s="146">
        <v>79777110</v>
      </c>
      <c r="G14" s="146">
        <f t="shared" ref="G14:G19" si="0">(F14/($F$39-$F$37)*$F$37)</f>
        <v>651644.08125130017</v>
      </c>
      <c r="H14" s="146">
        <v>-2180276.7518375088</v>
      </c>
      <c r="I14" s="146">
        <f t="shared" ref="I14:I19" si="1">H14+G14</f>
        <v>-1528632.6705862086</v>
      </c>
      <c r="J14" s="147">
        <f t="shared" ref="J14:J19" si="2">F14+I14</f>
        <v>78248477.329413787</v>
      </c>
      <c r="K14" s="148">
        <v>7142459.4199999999</v>
      </c>
      <c r="L14" s="148">
        <f t="shared" ref="L14:L19" si="3">K14/($K$20+$K$23)*$K$37</f>
        <v>87373.347046413997</v>
      </c>
      <c r="M14" s="148">
        <v>136185.08084515162</v>
      </c>
      <c r="N14" s="148">
        <v>119132</v>
      </c>
      <c r="O14" s="148">
        <v>0</v>
      </c>
      <c r="P14" s="148">
        <f t="shared" ref="P14:P19" si="4">L14+M14+N14</f>
        <v>342690.4278915656</v>
      </c>
      <c r="Q14" s="148">
        <f t="shared" ref="Q14:Q19" si="5">K14+P14</f>
        <v>7485149.8478915654</v>
      </c>
      <c r="S14" s="149"/>
      <c r="T14" s="149"/>
      <c r="U14" s="38"/>
    </row>
    <row r="15" spans="1:25" ht="15.75" customHeight="1">
      <c r="B15" s="125" t="s">
        <v>155</v>
      </c>
      <c r="D15" s="145">
        <v>18</v>
      </c>
      <c r="E15" s="146">
        <v>83.25</v>
      </c>
      <c r="F15" s="146">
        <v>2300451</v>
      </c>
      <c r="G15" s="146">
        <f t="shared" si="0"/>
        <v>18790.794481758425</v>
      </c>
      <c r="H15" s="146">
        <v>-82952.416249456859</v>
      </c>
      <c r="I15" s="146">
        <f t="shared" si="1"/>
        <v>-64161.621767698438</v>
      </c>
      <c r="J15" s="147">
        <f t="shared" si="2"/>
        <v>2236289.3782323017</v>
      </c>
      <c r="K15" s="148">
        <v>226700.05</v>
      </c>
      <c r="L15" s="148">
        <f t="shared" si="3"/>
        <v>2773.2103158507557</v>
      </c>
      <c r="M15" s="148">
        <v>191.91390172769843</v>
      </c>
      <c r="N15" s="148">
        <v>3714</v>
      </c>
      <c r="O15" s="148">
        <v>0</v>
      </c>
      <c r="P15" s="148">
        <f t="shared" si="4"/>
        <v>6679.1242175784537</v>
      </c>
      <c r="Q15" s="148">
        <f t="shared" si="5"/>
        <v>233379.17421757843</v>
      </c>
      <c r="S15" s="149"/>
      <c r="T15" s="149"/>
      <c r="U15" s="38"/>
    </row>
    <row r="16" spans="1:25" ht="15.75" customHeight="1">
      <c r="B16" s="139" t="s">
        <v>156</v>
      </c>
      <c r="D16" s="145" t="s">
        <v>157</v>
      </c>
      <c r="E16" s="146">
        <v>15</v>
      </c>
      <c r="F16" s="146">
        <v>365852</v>
      </c>
      <c r="G16" s="146">
        <f t="shared" si="0"/>
        <v>2988.392164293125</v>
      </c>
      <c r="H16" s="146">
        <v>0</v>
      </c>
      <c r="I16" s="146">
        <f t="shared" si="1"/>
        <v>2988.392164293125</v>
      </c>
      <c r="J16" s="147">
        <f t="shared" si="2"/>
        <v>368840.39216429315</v>
      </c>
      <c r="K16" s="148">
        <v>35371.730000000003</v>
      </c>
      <c r="L16" s="148">
        <f t="shared" si="3"/>
        <v>432.7005950174588</v>
      </c>
      <c r="M16" s="148">
        <v>2775.45</v>
      </c>
      <c r="N16" s="148">
        <v>624</v>
      </c>
      <c r="O16" s="148">
        <v>0</v>
      </c>
      <c r="P16" s="148">
        <f t="shared" si="4"/>
        <v>3832.1505950174587</v>
      </c>
      <c r="Q16" s="148">
        <f t="shared" si="5"/>
        <v>39203.880595017465</v>
      </c>
      <c r="S16" s="149"/>
      <c r="T16" s="149"/>
      <c r="U16" s="38"/>
    </row>
    <row r="17" spans="2:21" ht="15.75" customHeight="1">
      <c r="B17" s="139" t="s">
        <v>158</v>
      </c>
      <c r="D17" s="145">
        <v>135</v>
      </c>
      <c r="E17" s="146">
        <v>681.16666666666663</v>
      </c>
      <c r="F17" s="146">
        <v>8648599</v>
      </c>
      <c r="G17" s="146">
        <f t="shared" si="0"/>
        <v>70644.428576892722</v>
      </c>
      <c r="H17" s="146">
        <v>0</v>
      </c>
      <c r="I17" s="146">
        <f t="shared" si="1"/>
        <v>70644.428576892722</v>
      </c>
      <c r="J17" s="147">
        <f t="shared" si="2"/>
        <v>8719243.4285768922</v>
      </c>
      <c r="K17" s="148">
        <v>819831</v>
      </c>
      <c r="L17" s="148">
        <f t="shared" si="3"/>
        <v>10028.95141158655</v>
      </c>
      <c r="M17" s="148">
        <v>65256.08</v>
      </c>
      <c r="N17" s="148">
        <v>14487</v>
      </c>
      <c r="O17" s="148">
        <v>0</v>
      </c>
      <c r="P17" s="148">
        <f t="shared" si="4"/>
        <v>89772.031411586548</v>
      </c>
      <c r="Q17" s="148">
        <f t="shared" si="5"/>
        <v>909603.03141158656</v>
      </c>
      <c r="S17" s="149"/>
      <c r="T17" s="149"/>
      <c r="U17" s="38"/>
    </row>
    <row r="18" spans="2:21" ht="15.75" customHeight="1">
      <c r="B18" s="139" t="s">
        <v>159</v>
      </c>
      <c r="D18" s="145">
        <v>24</v>
      </c>
      <c r="E18" s="146">
        <v>3444.5</v>
      </c>
      <c r="F18" s="146">
        <v>22197846</v>
      </c>
      <c r="G18" s="146">
        <f t="shared" si="0"/>
        <v>181318.86405045068</v>
      </c>
      <c r="H18" s="146">
        <v>-359751.70941284631</v>
      </c>
      <c r="I18" s="146">
        <f t="shared" si="1"/>
        <v>-178432.84536239563</v>
      </c>
      <c r="J18" s="147">
        <f t="shared" si="2"/>
        <v>22019413.154637605</v>
      </c>
      <c r="K18" s="148">
        <v>2484576.5900000003</v>
      </c>
      <c r="L18" s="148">
        <f t="shared" si="3"/>
        <v>30393.7005303232</v>
      </c>
      <c r="M18" s="148">
        <v>49631.907503332004</v>
      </c>
      <c r="N18" s="148">
        <v>41478</v>
      </c>
      <c r="O18" s="148">
        <v>0</v>
      </c>
      <c r="P18" s="148">
        <f t="shared" si="4"/>
        <v>121503.60803365521</v>
      </c>
      <c r="Q18" s="148">
        <f t="shared" si="5"/>
        <v>2606080.1980336555</v>
      </c>
      <c r="S18" s="149"/>
      <c r="T18" s="149"/>
      <c r="U18" s="38"/>
    </row>
    <row r="19" spans="2:21" ht="15.75" customHeight="1">
      <c r="B19" s="139" t="s">
        <v>160</v>
      </c>
      <c r="D19" s="145">
        <v>36</v>
      </c>
      <c r="E19" s="150">
        <v>1.8333333333333333</v>
      </c>
      <c r="F19" s="150">
        <v>1346861</v>
      </c>
      <c r="G19" s="150">
        <f t="shared" si="0"/>
        <v>11001.57675451276</v>
      </c>
      <c r="H19" s="150">
        <v>0</v>
      </c>
      <c r="I19" s="150">
        <f t="shared" si="1"/>
        <v>11001.57675451276</v>
      </c>
      <c r="J19" s="151">
        <f t="shared" si="2"/>
        <v>1357862.5767545127</v>
      </c>
      <c r="K19" s="152">
        <v>100354.47</v>
      </c>
      <c r="L19" s="152">
        <f t="shared" si="3"/>
        <v>1227.6311868732946</v>
      </c>
      <c r="M19" s="152">
        <v>3056.9636345713925</v>
      </c>
      <c r="N19" s="152">
        <v>1693</v>
      </c>
      <c r="O19" s="152">
        <v>0</v>
      </c>
      <c r="P19" s="152">
        <f t="shared" si="4"/>
        <v>5977.5948214446871</v>
      </c>
      <c r="Q19" s="152">
        <f t="shared" si="5"/>
        <v>106332.06482144468</v>
      </c>
      <c r="S19" s="149"/>
      <c r="T19" s="149"/>
      <c r="U19" s="38"/>
    </row>
    <row r="20" spans="2:21" ht="15.75" customHeight="1">
      <c r="B20" s="139" t="s">
        <v>161</v>
      </c>
      <c r="C20" s="153"/>
      <c r="D20" s="145"/>
      <c r="E20" s="146">
        <v>110530.5</v>
      </c>
      <c r="F20" s="146">
        <f>SUM(F13:F19)</f>
        <v>1700836908</v>
      </c>
      <c r="G20" s="146">
        <f>SUM(G13:G19)</f>
        <v>13892961.33028587</v>
      </c>
      <c r="H20" s="146">
        <f>SUM(H13:H19)</f>
        <v>-54057659.504312851</v>
      </c>
      <c r="I20" s="146">
        <f>SUM(I13:I19)</f>
        <v>-40164698.174026988</v>
      </c>
      <c r="J20" s="146">
        <f>SUM(J13:J19)</f>
        <v>1660672209.825973</v>
      </c>
      <c r="K20" s="148">
        <v>153455586.63999999</v>
      </c>
      <c r="L20" s="148">
        <f>SUM(L13:L19)</f>
        <v>1877214.4774338489</v>
      </c>
      <c r="M20" s="148">
        <v>2193450.2813639925</v>
      </c>
      <c r="N20" s="148">
        <v>2547560</v>
      </c>
      <c r="O20" s="148">
        <v>0</v>
      </c>
      <c r="P20" s="148">
        <f>SUM(P13:P19)</f>
        <v>6618224.7587978411</v>
      </c>
      <c r="Q20" s="148">
        <f>SUM(Q13:Q19)</f>
        <v>160073811.39879787</v>
      </c>
      <c r="S20" s="149"/>
      <c r="T20" s="149"/>
      <c r="U20" s="38"/>
    </row>
    <row r="21" spans="2:21" ht="15.75" customHeight="1">
      <c r="B21" s="139"/>
      <c r="C21" s="153"/>
      <c r="D21" s="145"/>
      <c r="E21" s="143"/>
      <c r="F21" s="143"/>
      <c r="G21" s="143"/>
      <c r="H21" s="143"/>
      <c r="I21" s="143"/>
      <c r="J21" s="144"/>
      <c r="K21" s="148"/>
      <c r="L21" s="148"/>
      <c r="M21" s="148"/>
      <c r="N21" s="148"/>
      <c r="O21" s="148"/>
      <c r="P21" s="148"/>
      <c r="Q21" s="149"/>
      <c r="S21" s="149"/>
      <c r="T21" s="149"/>
      <c r="U21" s="38"/>
    </row>
    <row r="22" spans="2:21" ht="15.75" customHeight="1">
      <c r="B22" s="125" t="s">
        <v>162</v>
      </c>
      <c r="C22" s="153"/>
      <c r="D22" s="145" t="s">
        <v>163</v>
      </c>
      <c r="E22" s="150">
        <v>1074.8333333333333</v>
      </c>
      <c r="F22" s="150">
        <v>984129</v>
      </c>
      <c r="G22" s="150">
        <f>(F22/($F$39-$F$37)*$F$37)</f>
        <v>8038.6697141292889</v>
      </c>
      <c r="H22" s="150">
        <v>0</v>
      </c>
      <c r="I22" s="150">
        <f t="shared" ref="I22" si="6">H22+G22</f>
        <v>8038.6697141292889</v>
      </c>
      <c r="J22" s="151">
        <f t="shared" ref="J22" si="7">F22+I22</f>
        <v>992167.6697141293</v>
      </c>
      <c r="K22" s="152">
        <v>145960.1</v>
      </c>
      <c r="L22" s="152">
        <f>K22/($K$20+$K$23)*$K$37</f>
        <v>1785.5225661512115</v>
      </c>
      <c r="M22" s="152">
        <v>4339.9922414876619</v>
      </c>
      <c r="N22" s="152">
        <v>2450</v>
      </c>
      <c r="O22" s="152">
        <v>0</v>
      </c>
      <c r="P22" s="152">
        <f t="shared" ref="P22" si="8">L22+M22+N22</f>
        <v>8575.5148076388723</v>
      </c>
      <c r="Q22" s="152">
        <f>K22+P22</f>
        <v>154535.61480763886</v>
      </c>
      <c r="S22" s="149"/>
      <c r="T22" s="149"/>
      <c r="U22" s="38"/>
    </row>
    <row r="23" spans="2:21" ht="15.75" customHeight="1">
      <c r="B23" s="125" t="s">
        <v>161</v>
      </c>
      <c r="D23" s="145"/>
      <c r="E23" s="146">
        <v>1074.8333333333333</v>
      </c>
      <c r="F23" s="146">
        <v>984129</v>
      </c>
      <c r="G23" s="146">
        <f>SUM(G22)</f>
        <v>8038.6697141292889</v>
      </c>
      <c r="H23" s="146">
        <v>0</v>
      </c>
      <c r="I23" s="146">
        <f>SUM(I22)</f>
        <v>8038.6697141292889</v>
      </c>
      <c r="J23" s="147">
        <f>SUM(J22)</f>
        <v>992167.6697141293</v>
      </c>
      <c r="K23" s="148">
        <v>145960.1</v>
      </c>
      <c r="L23" s="148">
        <f>SUM(L22)</f>
        <v>1785.5225661512115</v>
      </c>
      <c r="M23" s="148">
        <v>4339.9922414876619</v>
      </c>
      <c r="N23" s="148">
        <v>2450</v>
      </c>
      <c r="O23" s="148">
        <v>0</v>
      </c>
      <c r="P23" s="148">
        <f>SUM(P22)</f>
        <v>8575.5148076388723</v>
      </c>
      <c r="Q23" s="148">
        <f>SUM(Q22)</f>
        <v>154535.61480763886</v>
      </c>
      <c r="S23" s="154"/>
      <c r="T23" s="154"/>
      <c r="U23" s="155"/>
    </row>
    <row r="24" spans="2:21" ht="15.75" customHeight="1">
      <c r="D24" s="145"/>
      <c r="E24" s="143"/>
      <c r="F24" s="143"/>
      <c r="G24" s="143"/>
      <c r="H24" s="143"/>
      <c r="I24" s="143"/>
      <c r="J24" s="144"/>
      <c r="K24" s="148"/>
      <c r="L24" s="148"/>
      <c r="M24" s="148"/>
      <c r="N24" s="148"/>
      <c r="O24" s="148"/>
      <c r="P24" s="148"/>
      <c r="Q24" s="148"/>
      <c r="S24" s="154"/>
      <c r="T24" s="154"/>
      <c r="U24" s="155"/>
    </row>
    <row r="25" spans="2:21" s="153" customFormat="1" ht="15.75" customHeight="1">
      <c r="B25" s="125" t="s">
        <v>164</v>
      </c>
      <c r="D25" s="145" t="s">
        <v>165</v>
      </c>
      <c r="E25" s="150">
        <v>0</v>
      </c>
      <c r="F25" s="150">
        <v>0</v>
      </c>
      <c r="G25" s="150"/>
      <c r="H25" s="150">
        <v>0</v>
      </c>
      <c r="I25" s="150">
        <v>0</v>
      </c>
      <c r="J25" s="151">
        <v>0</v>
      </c>
      <c r="K25" s="152">
        <v>1866.38</v>
      </c>
      <c r="L25" s="152"/>
      <c r="M25" s="152">
        <v>0</v>
      </c>
      <c r="N25" s="152">
        <v>0</v>
      </c>
      <c r="O25" s="152">
        <v>0</v>
      </c>
      <c r="P25" s="152">
        <v>0</v>
      </c>
      <c r="Q25" s="152">
        <v>1866.38</v>
      </c>
      <c r="S25" s="154"/>
      <c r="T25" s="154"/>
      <c r="U25" s="155"/>
    </row>
    <row r="26" spans="2:21" s="153" customFormat="1" ht="15.75" customHeight="1">
      <c r="B26" s="125"/>
      <c r="D26" s="145"/>
      <c r="E26" s="150"/>
      <c r="F26" s="150"/>
      <c r="G26" s="150"/>
      <c r="H26" s="150"/>
      <c r="I26" s="150"/>
      <c r="J26" s="151"/>
      <c r="K26" s="152"/>
      <c r="L26" s="152"/>
      <c r="M26" s="152"/>
      <c r="N26" s="152"/>
      <c r="O26" s="152"/>
      <c r="P26" s="152"/>
      <c r="Q26" s="152"/>
      <c r="S26" s="154"/>
      <c r="T26" s="154"/>
      <c r="U26" s="155"/>
    </row>
    <row r="27" spans="2:21" s="153" customFormat="1" ht="15.75" customHeight="1">
      <c r="B27" s="125" t="s">
        <v>166</v>
      </c>
      <c r="D27" s="145" t="s">
        <v>167</v>
      </c>
      <c r="E27" s="150">
        <v>0</v>
      </c>
      <c r="F27" s="150">
        <v>0</v>
      </c>
      <c r="G27" s="150"/>
      <c r="H27" s="150">
        <v>0</v>
      </c>
      <c r="I27" s="150">
        <v>0</v>
      </c>
      <c r="J27" s="151">
        <v>0</v>
      </c>
      <c r="K27" s="152">
        <v>0</v>
      </c>
      <c r="L27" s="152"/>
      <c r="M27" s="152">
        <v>0</v>
      </c>
      <c r="N27" s="152">
        <v>0</v>
      </c>
      <c r="O27" s="152">
        <v>0</v>
      </c>
      <c r="P27" s="152">
        <v>0</v>
      </c>
      <c r="Q27" s="152">
        <v>0</v>
      </c>
      <c r="S27" s="154"/>
      <c r="T27" s="154"/>
      <c r="U27" s="155"/>
    </row>
    <row r="28" spans="2:21" ht="15.75" customHeight="1">
      <c r="B28" s="125" t="s">
        <v>168</v>
      </c>
      <c r="D28" s="145" t="s">
        <v>169</v>
      </c>
      <c r="E28" s="150">
        <v>0</v>
      </c>
      <c r="F28" s="150">
        <v>0</v>
      </c>
      <c r="G28" s="150"/>
      <c r="H28" s="150">
        <v>0</v>
      </c>
      <c r="I28" s="150">
        <v>0</v>
      </c>
      <c r="J28" s="151">
        <v>0</v>
      </c>
      <c r="K28" s="152">
        <v>-12240234.35</v>
      </c>
      <c r="L28" s="152"/>
      <c r="M28" s="152">
        <v>12240234.35</v>
      </c>
      <c r="N28" s="152">
        <v>0</v>
      </c>
      <c r="O28" s="152">
        <v>0</v>
      </c>
      <c r="P28" s="152">
        <v>12240234.35</v>
      </c>
      <c r="Q28" s="152">
        <v>0</v>
      </c>
      <c r="S28" s="154"/>
      <c r="T28" s="154"/>
      <c r="U28" s="155"/>
    </row>
    <row r="29" spans="2:21" s="153" customFormat="1" ht="15.75" customHeight="1">
      <c r="B29" s="125" t="s">
        <v>170</v>
      </c>
      <c r="D29" s="145" t="s">
        <v>171</v>
      </c>
      <c r="E29" s="150">
        <v>0</v>
      </c>
      <c r="F29" s="150">
        <v>0</v>
      </c>
      <c r="G29" s="150"/>
      <c r="H29" s="150">
        <v>0</v>
      </c>
      <c r="I29" s="150">
        <v>0</v>
      </c>
      <c r="J29" s="151">
        <v>0</v>
      </c>
      <c r="K29" s="152">
        <v>0</v>
      </c>
      <c r="L29" s="152"/>
      <c r="M29" s="152">
        <v>0</v>
      </c>
      <c r="N29" s="152">
        <v>0</v>
      </c>
      <c r="O29" s="152">
        <v>0</v>
      </c>
      <c r="P29" s="152">
        <v>0</v>
      </c>
      <c r="Q29" s="152">
        <v>0</v>
      </c>
      <c r="S29" s="154"/>
      <c r="T29" s="154"/>
      <c r="U29" s="155"/>
    </row>
    <row r="30" spans="2:21" s="153" customFormat="1" ht="15.75" customHeight="1">
      <c r="B30" s="125" t="s">
        <v>172</v>
      </c>
      <c r="D30" s="145" t="s">
        <v>173</v>
      </c>
      <c r="E30" s="150">
        <v>0</v>
      </c>
      <c r="F30" s="150">
        <v>0</v>
      </c>
      <c r="G30" s="150"/>
      <c r="H30" s="150">
        <v>0</v>
      </c>
      <c r="I30" s="150">
        <v>0</v>
      </c>
      <c r="J30" s="151">
        <v>0</v>
      </c>
      <c r="K30" s="152">
        <v>0</v>
      </c>
      <c r="L30" s="152"/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S30" s="154"/>
      <c r="T30" s="154"/>
      <c r="U30" s="155"/>
    </row>
    <row r="31" spans="2:21" s="153" customFormat="1" ht="15.75" customHeight="1">
      <c r="B31" s="125" t="s">
        <v>174</v>
      </c>
      <c r="D31" s="145" t="s">
        <v>175</v>
      </c>
      <c r="E31" s="150">
        <v>0</v>
      </c>
      <c r="F31" s="150">
        <v>0</v>
      </c>
      <c r="G31" s="150"/>
      <c r="H31" s="150">
        <v>0</v>
      </c>
      <c r="I31" s="150">
        <v>0</v>
      </c>
      <c r="J31" s="151">
        <v>0</v>
      </c>
      <c r="K31" s="152">
        <v>0</v>
      </c>
      <c r="L31" s="152"/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S31" s="154"/>
      <c r="T31" s="154"/>
      <c r="U31" s="155"/>
    </row>
    <row r="32" spans="2:21" s="153" customFormat="1" ht="15.75" customHeight="1">
      <c r="B32" s="125" t="s">
        <v>176</v>
      </c>
      <c r="D32" s="145" t="s">
        <v>177</v>
      </c>
      <c r="E32" s="150">
        <v>0</v>
      </c>
      <c r="F32" s="150">
        <v>0</v>
      </c>
      <c r="G32" s="150"/>
      <c r="H32" s="150">
        <v>0</v>
      </c>
      <c r="I32" s="150">
        <v>0</v>
      </c>
      <c r="J32" s="151">
        <v>0</v>
      </c>
      <c r="K32" s="152">
        <v>6093686.7400000002</v>
      </c>
      <c r="L32" s="152"/>
      <c r="M32" s="152">
        <v>-6093686.7400000002</v>
      </c>
      <c r="N32" s="152">
        <v>0</v>
      </c>
      <c r="O32" s="152">
        <v>0</v>
      </c>
      <c r="P32" s="152">
        <v>-6093686.7400000002</v>
      </c>
      <c r="Q32" s="152">
        <v>0</v>
      </c>
      <c r="S32" s="154"/>
      <c r="T32" s="154"/>
      <c r="U32" s="155"/>
    </row>
    <row r="33" spans="1:21" s="153" customFormat="1" ht="15.75" customHeight="1">
      <c r="B33" s="125" t="s">
        <v>178</v>
      </c>
      <c r="D33" s="145" t="s">
        <v>179</v>
      </c>
      <c r="E33" s="150">
        <v>0</v>
      </c>
      <c r="F33" s="150">
        <v>0</v>
      </c>
      <c r="G33" s="150"/>
      <c r="H33" s="150">
        <v>0</v>
      </c>
      <c r="I33" s="150">
        <v>0</v>
      </c>
      <c r="J33" s="151">
        <v>0</v>
      </c>
      <c r="K33" s="152">
        <v>170286.65</v>
      </c>
      <c r="L33" s="152"/>
      <c r="M33" s="152">
        <v>-170286.65</v>
      </c>
      <c r="N33" s="152">
        <v>0</v>
      </c>
      <c r="O33" s="152">
        <v>0</v>
      </c>
      <c r="P33" s="152">
        <v>-170286.65</v>
      </c>
      <c r="Q33" s="152">
        <v>0</v>
      </c>
      <c r="S33" s="154"/>
      <c r="T33" s="154"/>
      <c r="U33" s="155"/>
    </row>
    <row r="34" spans="1:21" s="153" customFormat="1" ht="15.75" customHeight="1">
      <c r="B34" s="125" t="s">
        <v>180</v>
      </c>
      <c r="D34" s="145" t="s">
        <v>181</v>
      </c>
      <c r="E34" s="150">
        <v>0</v>
      </c>
      <c r="F34" s="150">
        <v>0</v>
      </c>
      <c r="G34" s="150"/>
      <c r="H34" s="150">
        <v>0</v>
      </c>
      <c r="I34" s="150">
        <v>0</v>
      </c>
      <c r="J34" s="151">
        <v>0</v>
      </c>
      <c r="K34" s="152">
        <v>521775.74</v>
      </c>
      <c r="L34" s="152"/>
      <c r="M34" s="152">
        <v>-521775.74</v>
      </c>
      <c r="N34" s="152">
        <v>0</v>
      </c>
      <c r="O34" s="152">
        <v>0</v>
      </c>
      <c r="P34" s="152">
        <v>-521775.74</v>
      </c>
      <c r="Q34" s="152">
        <v>0</v>
      </c>
      <c r="S34" s="154"/>
      <c r="T34" s="154"/>
      <c r="U34" s="155"/>
    </row>
    <row r="35" spans="1:21" s="153" customFormat="1" ht="15.75" customHeight="1">
      <c r="B35" s="125" t="s">
        <v>182</v>
      </c>
      <c r="D35" s="145" t="s">
        <v>183</v>
      </c>
      <c r="E35" s="150">
        <v>0</v>
      </c>
      <c r="F35" s="150">
        <v>0</v>
      </c>
      <c r="G35" s="150"/>
      <c r="H35" s="150">
        <v>0</v>
      </c>
      <c r="I35" s="150">
        <v>0</v>
      </c>
      <c r="J35" s="151">
        <v>0</v>
      </c>
      <c r="K35" s="152">
        <v>0</v>
      </c>
      <c r="L35" s="152"/>
      <c r="M35" s="152">
        <v>0</v>
      </c>
      <c r="N35" s="152">
        <v>0</v>
      </c>
      <c r="O35" s="152">
        <v>0</v>
      </c>
      <c r="P35" s="152">
        <v>0</v>
      </c>
      <c r="Q35" s="152">
        <v>0</v>
      </c>
      <c r="S35" s="154"/>
      <c r="T35" s="154"/>
      <c r="U35" s="155"/>
    </row>
    <row r="36" spans="1:21" ht="15.75" customHeight="1">
      <c r="B36" s="153"/>
      <c r="D36" s="145"/>
      <c r="E36" s="143"/>
      <c r="F36" s="143"/>
      <c r="G36" s="143"/>
      <c r="H36" s="143"/>
      <c r="I36" s="143"/>
      <c r="J36" s="144"/>
      <c r="K36" s="148"/>
      <c r="L36" s="148"/>
      <c r="M36" s="148"/>
      <c r="N36" s="148"/>
      <c r="O36" s="148"/>
      <c r="P36" s="148"/>
      <c r="Q36" s="148"/>
      <c r="S36" s="154"/>
      <c r="T36" s="154"/>
      <c r="U36" s="155"/>
    </row>
    <row r="37" spans="1:21" s="153" customFormat="1" ht="15.75" customHeight="1">
      <c r="B37" s="125" t="s">
        <v>184</v>
      </c>
      <c r="D37" s="145" t="s">
        <v>185</v>
      </c>
      <c r="E37" s="150">
        <v>0</v>
      </c>
      <c r="F37" s="150">
        <v>13901000</v>
      </c>
      <c r="G37" s="150">
        <f>-F37</f>
        <v>-13901000</v>
      </c>
      <c r="H37" s="150">
        <v>0</v>
      </c>
      <c r="I37" s="150">
        <f t="shared" ref="I37" si="9">H37+G37</f>
        <v>-13901000</v>
      </c>
      <c r="J37" s="151">
        <f t="shared" ref="J37" si="10">F37+I37</f>
        <v>0</v>
      </c>
      <c r="K37" s="152">
        <v>1879000</v>
      </c>
      <c r="L37" s="152">
        <f>-K37</f>
        <v>-1879000</v>
      </c>
      <c r="M37" s="152">
        <v>0</v>
      </c>
      <c r="N37" s="152">
        <v>0</v>
      </c>
      <c r="O37" s="152">
        <v>0</v>
      </c>
      <c r="P37" s="152">
        <f t="shared" ref="P37" si="11">L37+M37+N37</f>
        <v>-1879000</v>
      </c>
      <c r="Q37" s="152">
        <f>K37+P37</f>
        <v>0</v>
      </c>
      <c r="S37" s="154"/>
      <c r="T37" s="154"/>
      <c r="U37" s="155"/>
    </row>
    <row r="38" spans="1:21" ht="15.75" customHeight="1">
      <c r="D38" s="145"/>
      <c r="E38" s="156"/>
      <c r="F38" s="156"/>
      <c r="G38" s="156"/>
      <c r="H38" s="156"/>
      <c r="I38" s="156"/>
      <c r="J38" s="157"/>
      <c r="K38" s="158"/>
      <c r="L38" s="158"/>
      <c r="M38" s="158"/>
      <c r="N38" s="158"/>
      <c r="O38" s="158"/>
      <c r="P38" s="158"/>
      <c r="Q38" s="149"/>
      <c r="S38" s="154"/>
      <c r="T38" s="154"/>
      <c r="U38" s="155"/>
    </row>
    <row r="39" spans="1:21" ht="15.75" customHeight="1">
      <c r="B39" s="159" t="s">
        <v>139</v>
      </c>
      <c r="C39" s="160"/>
      <c r="D39" s="161"/>
      <c r="E39" s="162">
        <v>111605.33333333333</v>
      </c>
      <c r="F39" s="162">
        <v>1715722037</v>
      </c>
      <c r="G39" s="162">
        <f>SUM(G20,G23,G37)</f>
        <v>0</v>
      </c>
      <c r="H39" s="162">
        <f>SUM(H20,H23,H37)</f>
        <v>-54057659.504312851</v>
      </c>
      <c r="I39" s="162">
        <f>SUM(I20,I23,I37)</f>
        <v>-54057659.504312858</v>
      </c>
      <c r="J39" s="162">
        <f>SUM(J20,J23,J37)</f>
        <v>1661664377.4956872</v>
      </c>
      <c r="K39" s="164">
        <v>150027927.89999998</v>
      </c>
      <c r="L39" s="165">
        <f>L20+L23+L37</f>
        <v>0</v>
      </c>
      <c r="M39" s="165">
        <v>7652275.4936054796</v>
      </c>
      <c r="N39" s="165">
        <v>2550010</v>
      </c>
      <c r="O39" s="165">
        <v>0</v>
      </c>
      <c r="P39" s="165">
        <f>P20+P23+P25+P27+P28+P29+P30+P31+P32+P33+P34+P35+P37</f>
        <v>10202285.493605478</v>
      </c>
      <c r="Q39" s="165">
        <f>Q20+Q23+Q25+Q37</f>
        <v>160230213.3936055</v>
      </c>
      <c r="S39" s="149"/>
      <c r="T39" s="149"/>
      <c r="U39" s="38"/>
    </row>
    <row r="40" spans="1:21" ht="15.75" customHeight="1">
      <c r="D40" s="145"/>
      <c r="E40" s="143"/>
      <c r="F40" s="143"/>
      <c r="G40" s="143"/>
      <c r="H40" s="143"/>
      <c r="I40" s="143"/>
      <c r="J40" s="144"/>
      <c r="K40" s="148"/>
      <c r="L40" s="148"/>
      <c r="M40" s="166"/>
      <c r="N40" s="166"/>
      <c r="O40" s="166"/>
      <c r="P40" s="166"/>
      <c r="Q40" s="149"/>
      <c r="S40" s="149"/>
      <c r="T40" s="149"/>
      <c r="U40" s="38"/>
    </row>
    <row r="41" spans="1:21" ht="15.75" customHeight="1">
      <c r="A41" s="138" t="s">
        <v>186</v>
      </c>
      <c r="B41" s="138"/>
      <c r="D41" s="142" t="s">
        <v>187</v>
      </c>
      <c r="E41" s="143"/>
      <c r="F41" s="143"/>
      <c r="G41" s="143"/>
      <c r="H41" s="143"/>
      <c r="I41" s="143"/>
      <c r="J41" s="144"/>
      <c r="K41" s="148"/>
      <c r="L41" s="148"/>
      <c r="M41" s="148"/>
      <c r="N41" s="148"/>
      <c r="O41" s="148"/>
      <c r="P41" s="148"/>
      <c r="Q41" s="149"/>
      <c r="S41" s="149"/>
      <c r="T41" s="149"/>
      <c r="U41" s="38"/>
    </row>
    <row r="42" spans="1:21" ht="15.75" customHeight="1">
      <c r="B42" s="167" t="s">
        <v>188</v>
      </c>
      <c r="D42" s="145">
        <v>24</v>
      </c>
      <c r="E42" s="146">
        <v>15528.25</v>
      </c>
      <c r="F42" s="146">
        <v>519510086</v>
      </c>
      <c r="G42" s="146">
        <f>F42/($F$69-$F$67)*$F$67</f>
        <v>-9102961.3212651368</v>
      </c>
      <c r="H42" s="146">
        <v>-8452406.2152439263</v>
      </c>
      <c r="I42" s="146">
        <f t="shared" ref="I42:I44" si="12">H42+G42</f>
        <v>-17555367.536509063</v>
      </c>
      <c r="J42" s="147">
        <f t="shared" ref="J42:J44" si="13">F42+I42</f>
        <v>501954718.46349096</v>
      </c>
      <c r="K42" s="148">
        <v>48850993.379999995</v>
      </c>
      <c r="L42" s="148">
        <f>K42/($K$45+$K$48+$K$51+$K$55)*$K$67</f>
        <v>-916820.31356226152</v>
      </c>
      <c r="M42" s="148">
        <v>-2320902.8434510562</v>
      </c>
      <c r="N42" s="148">
        <v>761573</v>
      </c>
      <c r="O42" s="148">
        <v>0</v>
      </c>
      <c r="P42" s="148">
        <f>L42+M42+N42+O42</f>
        <v>-2476150.1570133176</v>
      </c>
      <c r="Q42" s="148">
        <f>K42+P42</f>
        <v>46374843.222986676</v>
      </c>
      <c r="S42" s="149"/>
      <c r="T42" s="149"/>
      <c r="U42" s="38"/>
    </row>
    <row r="43" spans="1:21" s="153" customFormat="1" ht="15.75" customHeight="1">
      <c r="B43" s="167" t="s">
        <v>189</v>
      </c>
      <c r="D43" s="145" t="s">
        <v>190</v>
      </c>
      <c r="E43" s="146">
        <v>112.75</v>
      </c>
      <c r="F43" s="146">
        <v>1225700</v>
      </c>
      <c r="G43" s="146">
        <f t="shared" ref="G43:G44" si="14">F43/($F$69-$F$67)*$F$67</f>
        <v>-21476.964532840037</v>
      </c>
      <c r="H43" s="146">
        <v>0</v>
      </c>
      <c r="I43" s="146">
        <f t="shared" si="12"/>
        <v>-21476.964532840037</v>
      </c>
      <c r="J43" s="147">
        <f t="shared" si="13"/>
        <v>1204223.0354671599</v>
      </c>
      <c r="K43" s="148">
        <v>172343.96</v>
      </c>
      <c r="L43" s="148">
        <f t="shared" ref="L43:L44" si="15">K43/($K$45+$K$48+$K$51+$K$55)*$K$67</f>
        <v>-3234.4980626832416</v>
      </c>
      <c r="M43" s="148">
        <v>6.59</v>
      </c>
      <c r="N43" s="148">
        <v>2821</v>
      </c>
      <c r="O43" s="148">
        <v>0</v>
      </c>
      <c r="P43" s="148">
        <f t="shared" ref="P43:P44" si="16">L43+M43+N43+O43</f>
        <v>-406.9080626832415</v>
      </c>
      <c r="Q43" s="148">
        <f t="shared" ref="Q43:Q44" si="17">K43+P43</f>
        <v>171937.05193731675</v>
      </c>
      <c r="S43" s="154"/>
      <c r="T43" s="154"/>
      <c r="U43" s="155"/>
    </row>
    <row r="44" spans="1:21" ht="15.75" customHeight="1">
      <c r="B44" s="167" t="s">
        <v>191</v>
      </c>
      <c r="D44" s="145" t="s">
        <v>192</v>
      </c>
      <c r="E44" s="150">
        <v>77.583333333333329</v>
      </c>
      <c r="F44" s="150">
        <v>192762</v>
      </c>
      <c r="G44" s="150">
        <f t="shared" si="14"/>
        <v>-3377.614944341447</v>
      </c>
      <c r="H44" s="150">
        <v>0</v>
      </c>
      <c r="I44" s="150">
        <f t="shared" si="12"/>
        <v>-3377.614944341447</v>
      </c>
      <c r="J44" s="151">
        <f t="shared" si="13"/>
        <v>189384.38505565855</v>
      </c>
      <c r="K44" s="152">
        <v>80703.090000000011</v>
      </c>
      <c r="L44" s="152">
        <f t="shared" si="15"/>
        <v>-1514.6105976533865</v>
      </c>
      <c r="M44" s="152">
        <v>1454.98</v>
      </c>
      <c r="N44" s="152">
        <v>1345</v>
      </c>
      <c r="O44" s="152">
        <v>0</v>
      </c>
      <c r="P44" s="152">
        <f t="shared" si="16"/>
        <v>1285.3694023466135</v>
      </c>
      <c r="Q44" s="152">
        <f t="shared" si="17"/>
        <v>81988.45940234662</v>
      </c>
      <c r="S44" s="149"/>
      <c r="T44" s="149"/>
      <c r="U44" s="38"/>
    </row>
    <row r="45" spans="1:21" ht="15.75" customHeight="1">
      <c r="B45" s="125" t="s">
        <v>161</v>
      </c>
      <c r="D45" s="145"/>
      <c r="E45" s="146">
        <v>15718.583333333334</v>
      </c>
      <c r="F45" s="146">
        <v>520928548</v>
      </c>
      <c r="G45" s="146">
        <f>SUM(G42:G44)</f>
        <v>-9127815.9007423166</v>
      </c>
      <c r="H45" s="146">
        <f>SUM(H42:H44)</f>
        <v>-8452406.2152439263</v>
      </c>
      <c r="I45" s="146">
        <f>SUM(I42:I44)</f>
        <v>-17580222.115986247</v>
      </c>
      <c r="J45" s="147">
        <f>SUM(J42:J44)</f>
        <v>503348325.88401377</v>
      </c>
      <c r="K45" s="146">
        <v>49104040.43</v>
      </c>
      <c r="L45" s="146">
        <f>SUM(L42:L44)</f>
        <v>-921569.42222259822</v>
      </c>
      <c r="M45" s="146">
        <v>-2319441.2734510563</v>
      </c>
      <c r="N45" s="146">
        <v>765739</v>
      </c>
      <c r="O45" s="146">
        <v>0</v>
      </c>
      <c r="P45" s="146">
        <f>SUM(P42:P44)</f>
        <v>-2475271.6956736543</v>
      </c>
      <c r="Q45" s="146">
        <f>SUM(Q42:Q44)</f>
        <v>46628768.73432634</v>
      </c>
      <c r="U45" s="38"/>
    </row>
    <row r="46" spans="1:21" ht="15.75" customHeight="1">
      <c r="D46" s="145"/>
      <c r="E46" s="143"/>
      <c r="F46" s="143"/>
      <c r="G46" s="143"/>
      <c r="H46" s="143"/>
      <c r="I46" s="143"/>
      <c r="J46" s="144" t="s">
        <v>0</v>
      </c>
      <c r="K46" s="148"/>
      <c r="L46" s="148"/>
      <c r="M46" s="148"/>
      <c r="N46" s="148"/>
      <c r="O46" s="148"/>
      <c r="P46" s="148"/>
      <c r="Q46" s="149"/>
      <c r="S46" s="149"/>
      <c r="T46" s="149"/>
      <c r="U46" s="38"/>
    </row>
    <row r="47" spans="1:21" ht="15.75" customHeight="1">
      <c r="B47" s="167" t="s">
        <v>193</v>
      </c>
      <c r="D47" s="145">
        <v>36</v>
      </c>
      <c r="E47" s="150">
        <v>992.91666666666663</v>
      </c>
      <c r="F47" s="150">
        <v>845766694</v>
      </c>
      <c r="G47" s="150">
        <f>F47/($F$69-$F$67)*$F$67</f>
        <v>-14819695.920776187</v>
      </c>
      <c r="H47" s="150">
        <v>-13066804.00052326</v>
      </c>
      <c r="I47" s="150">
        <f t="shared" ref="I47" si="18">H47+G47</f>
        <v>-27886499.921299446</v>
      </c>
      <c r="J47" s="151">
        <f t="shared" ref="J47" si="19">F47+I47</f>
        <v>817880194.07870054</v>
      </c>
      <c r="K47" s="152">
        <v>68586317.949999988</v>
      </c>
      <c r="L47" s="152">
        <f>K47/($K$45+$K$48+$K$51+$K$55)*$K$67</f>
        <v>-1287206.7726414769</v>
      </c>
      <c r="M47" s="152">
        <v>-2847635.9592695157</v>
      </c>
      <c r="N47" s="152">
        <v>1075967</v>
      </c>
      <c r="O47" s="152">
        <v>0</v>
      </c>
      <c r="P47" s="152">
        <f>L47+M47+N47+O47</f>
        <v>-3058875.7319109924</v>
      </c>
      <c r="Q47" s="152">
        <f>K47+P47</f>
        <v>65527442.218088999</v>
      </c>
      <c r="S47" s="149"/>
      <c r="T47" s="149"/>
      <c r="U47" s="38"/>
    </row>
    <row r="48" spans="1:21" ht="15.75" customHeight="1">
      <c r="B48" s="125" t="s">
        <v>161</v>
      </c>
      <c r="D48" s="145"/>
      <c r="E48" s="146">
        <v>992.91666666666663</v>
      </c>
      <c r="F48" s="146">
        <v>845766694</v>
      </c>
      <c r="G48" s="146">
        <f>SUM(G47)</f>
        <v>-14819695.920776187</v>
      </c>
      <c r="H48" s="146">
        <f>SUM(H47)</f>
        <v>-13066804.00052326</v>
      </c>
      <c r="I48" s="146">
        <f>SUM(I47)</f>
        <v>-27886499.921299446</v>
      </c>
      <c r="J48" s="147">
        <f>SUM(J47)</f>
        <v>817880194.07870054</v>
      </c>
      <c r="K48" s="148">
        <v>68586317.949999988</v>
      </c>
      <c r="L48" s="148">
        <f>SUM(L47)</f>
        <v>-1287206.7726414769</v>
      </c>
      <c r="M48" s="148">
        <v>-2847635.9592695157</v>
      </c>
      <c r="N48" s="148">
        <v>1075967</v>
      </c>
      <c r="O48" s="148">
        <v>0</v>
      </c>
      <c r="P48" s="148">
        <f>SUM(P47)</f>
        <v>-3058875.7319109924</v>
      </c>
      <c r="Q48" s="148">
        <f>SUM(Q47)</f>
        <v>65527442.218088999</v>
      </c>
      <c r="S48" s="149"/>
      <c r="T48" s="149"/>
      <c r="U48" s="38"/>
    </row>
    <row r="49" spans="2:21" ht="15.75" customHeight="1">
      <c r="D49" s="145"/>
      <c r="E49" s="143"/>
      <c r="F49" s="143"/>
      <c r="G49" s="143"/>
      <c r="H49" s="143" t="s">
        <v>0</v>
      </c>
      <c r="I49" s="143" t="s">
        <v>0</v>
      </c>
      <c r="J49" s="144" t="s">
        <v>0</v>
      </c>
      <c r="K49" s="148" t="s">
        <v>0</v>
      </c>
      <c r="L49" s="148"/>
      <c r="M49" s="148" t="s">
        <v>0</v>
      </c>
      <c r="N49" s="148" t="s">
        <v>0</v>
      </c>
      <c r="O49" s="148" t="s">
        <v>0</v>
      </c>
      <c r="P49" s="148"/>
      <c r="Q49" s="148" t="s">
        <v>0</v>
      </c>
      <c r="S49" s="149"/>
      <c r="T49" s="149"/>
      <c r="U49" s="38"/>
    </row>
    <row r="50" spans="2:21" ht="15.75" customHeight="1">
      <c r="B50" s="167" t="s">
        <v>194</v>
      </c>
      <c r="C50" s="153"/>
      <c r="D50" s="145" t="s">
        <v>195</v>
      </c>
      <c r="E50" s="150">
        <v>38.75</v>
      </c>
      <c r="F50" s="150">
        <v>203144243</v>
      </c>
      <c r="G50" s="150">
        <f>F50/($F$69-$F$67)*$F$67</f>
        <v>-3559534.7164572394</v>
      </c>
      <c r="H50" s="150">
        <v>-3087258.2669199659</v>
      </c>
      <c r="I50" s="150">
        <f t="shared" ref="I50" si="20">H50+G50</f>
        <v>-6646792.9833772052</v>
      </c>
      <c r="J50" s="151">
        <f t="shared" ref="J50" si="21">F50+I50</f>
        <v>196497450.01662278</v>
      </c>
      <c r="K50" s="152">
        <v>15144476.08</v>
      </c>
      <c r="L50" s="152">
        <f>K50/($K$45+$K$48+$K$51+$K$55)*$K$67</f>
        <v>-284226.83650249592</v>
      </c>
      <c r="M50" s="152">
        <v>-659593.59135960182</v>
      </c>
      <c r="N50" s="152">
        <v>237079</v>
      </c>
      <c r="O50" s="152">
        <v>0</v>
      </c>
      <c r="P50" s="152">
        <f>L50+M50+N50+O50</f>
        <v>-706741.42786209774</v>
      </c>
      <c r="Q50" s="152">
        <f>K50+P50</f>
        <v>14437734.652137902</v>
      </c>
      <c r="U50" s="38"/>
    </row>
    <row r="51" spans="2:21" ht="15.75" customHeight="1">
      <c r="B51" s="125" t="s">
        <v>161</v>
      </c>
      <c r="D51" s="145"/>
      <c r="E51" s="146">
        <v>38.75</v>
      </c>
      <c r="F51" s="146">
        <v>203144243</v>
      </c>
      <c r="G51" s="146">
        <f>SUM(G50)</f>
        <v>-3559534.7164572394</v>
      </c>
      <c r="H51" s="146">
        <f>SUM(H50)</f>
        <v>-3087258.2669199659</v>
      </c>
      <c r="I51" s="146">
        <f>SUM(I50)</f>
        <v>-6646792.9833772052</v>
      </c>
      <c r="J51" s="147">
        <f>SUM(J50)</f>
        <v>196497450.01662278</v>
      </c>
      <c r="K51" s="148">
        <v>15144476.08</v>
      </c>
      <c r="L51" s="148">
        <f>SUM(L50)</f>
        <v>-284226.83650249592</v>
      </c>
      <c r="M51" s="148">
        <v>-659593.59135960182</v>
      </c>
      <c r="N51" s="148">
        <v>237079</v>
      </c>
      <c r="O51" s="148">
        <v>0</v>
      </c>
      <c r="P51" s="148">
        <f>SUM(P50)</f>
        <v>-706741.42786209774</v>
      </c>
      <c r="Q51" s="148">
        <f>SUM(Q50)</f>
        <v>14437734.652137902</v>
      </c>
      <c r="S51" s="149"/>
      <c r="T51" s="149"/>
      <c r="U51" s="38"/>
    </row>
    <row r="52" spans="2:21" ht="15.75" customHeight="1">
      <c r="D52" s="145"/>
      <c r="E52" s="143"/>
      <c r="F52" s="143"/>
      <c r="G52" s="143"/>
      <c r="H52" s="143" t="s">
        <v>0</v>
      </c>
      <c r="I52" s="143" t="s">
        <v>0</v>
      </c>
      <c r="J52" s="144" t="s">
        <v>0</v>
      </c>
      <c r="K52" s="148" t="s">
        <v>0</v>
      </c>
      <c r="L52" s="148"/>
      <c r="M52" s="148" t="s">
        <v>0</v>
      </c>
      <c r="N52" s="148" t="s">
        <v>0</v>
      </c>
      <c r="O52" s="148" t="s">
        <v>0</v>
      </c>
      <c r="P52" s="148"/>
      <c r="Q52" s="148" t="s">
        <v>0</v>
      </c>
      <c r="S52" s="149"/>
      <c r="T52" s="149"/>
      <c r="U52" s="38"/>
    </row>
    <row r="53" spans="2:21" ht="15.75" customHeight="1">
      <c r="B53" s="167" t="s">
        <v>196</v>
      </c>
      <c r="D53" s="145" t="s">
        <v>197</v>
      </c>
      <c r="E53" s="146">
        <v>1242.1666666666667</v>
      </c>
      <c r="F53" s="146">
        <v>2003183</v>
      </c>
      <c r="G53" s="146">
        <f t="shared" ref="G53:G54" si="22">F53/($F$69-$F$67)*$F$67</f>
        <v>-35100.179688168479</v>
      </c>
      <c r="H53" s="146">
        <v>0</v>
      </c>
      <c r="I53" s="146">
        <f t="shared" ref="I53:I54" si="23">H53+G53</f>
        <v>-35100.179688168479</v>
      </c>
      <c r="J53" s="147">
        <f t="shared" ref="J53:J54" si="24">F53+I53</f>
        <v>1968082.8203118315</v>
      </c>
      <c r="K53" s="148">
        <v>293339.08999999997</v>
      </c>
      <c r="L53" s="148">
        <f t="shared" ref="L53:L54" si="25">K53/($K$45+$K$48+$K$51+$K$55)*$K$67</f>
        <v>-5505.2971877532873</v>
      </c>
      <c r="M53" s="148">
        <v>-2562.4615584331809</v>
      </c>
      <c r="N53" s="148">
        <v>4739</v>
      </c>
      <c r="O53" s="148">
        <v>0</v>
      </c>
      <c r="P53" s="148">
        <f t="shared" ref="P53:P54" si="26">L53+M53+N53+O53</f>
        <v>-3328.7587461864678</v>
      </c>
      <c r="Q53" s="148">
        <f t="shared" ref="Q53:Q54" si="27">K53+P53</f>
        <v>290010.33125381352</v>
      </c>
      <c r="S53" s="149"/>
      <c r="T53" s="149"/>
      <c r="U53" s="38"/>
    </row>
    <row r="54" spans="2:21" ht="15.75" customHeight="1">
      <c r="B54" s="167" t="s">
        <v>198</v>
      </c>
      <c r="D54" s="145">
        <v>54</v>
      </c>
      <c r="E54" s="150">
        <v>27.833333333333332</v>
      </c>
      <c r="F54" s="150">
        <v>276979</v>
      </c>
      <c r="G54" s="150">
        <f t="shared" si="22"/>
        <v>-4853.282336086726</v>
      </c>
      <c r="H54" s="150">
        <v>0</v>
      </c>
      <c r="I54" s="150">
        <f t="shared" si="23"/>
        <v>-4853.282336086726</v>
      </c>
      <c r="J54" s="151">
        <f t="shared" si="24"/>
        <v>272125.71766391327</v>
      </c>
      <c r="K54" s="152">
        <v>26197.759999999998</v>
      </c>
      <c r="L54" s="152">
        <f t="shared" si="25"/>
        <v>-491.67144567549991</v>
      </c>
      <c r="M54" s="152">
        <v>-982.32302578240353</v>
      </c>
      <c r="N54" s="152">
        <v>411</v>
      </c>
      <c r="O54" s="152">
        <v>0</v>
      </c>
      <c r="P54" s="152">
        <f t="shared" si="26"/>
        <v>-1062.9944714579035</v>
      </c>
      <c r="Q54" s="152">
        <f t="shared" si="27"/>
        <v>25134.765528542095</v>
      </c>
      <c r="S54" s="149"/>
      <c r="T54" s="149"/>
      <c r="U54" s="38"/>
    </row>
    <row r="55" spans="2:21" ht="15.75" customHeight="1">
      <c r="B55" s="125" t="s">
        <v>161</v>
      </c>
      <c r="D55" s="145"/>
      <c r="E55" s="146">
        <v>1270</v>
      </c>
      <c r="F55" s="146">
        <v>2280162</v>
      </c>
      <c r="G55" s="146">
        <f>SUM(G53:G54)</f>
        <v>-39953.462024255205</v>
      </c>
      <c r="H55" s="146">
        <f>SUM(H53:H54)</f>
        <v>0</v>
      </c>
      <c r="I55" s="146">
        <f>SUM(I53:I54)</f>
        <v>-39953.462024255205</v>
      </c>
      <c r="J55" s="147">
        <f>SUM(J53:J54)</f>
        <v>2240208.5379757448</v>
      </c>
      <c r="K55" s="148">
        <v>319536.84999999998</v>
      </c>
      <c r="L55" s="148">
        <f>SUM(L53:L54)</f>
        <v>-5996.9686334287871</v>
      </c>
      <c r="M55" s="148">
        <v>-3544.7845842155843</v>
      </c>
      <c r="N55" s="148">
        <v>5150</v>
      </c>
      <c r="O55" s="148">
        <v>0</v>
      </c>
      <c r="P55" s="148">
        <f>SUM(P53:P54)</f>
        <v>-4391.753217644371</v>
      </c>
      <c r="Q55" s="148">
        <f>SUM(Q53:Q54)</f>
        <v>315145.09678235563</v>
      </c>
      <c r="U55" s="38"/>
    </row>
    <row r="56" spans="2:21" ht="15.75" customHeight="1">
      <c r="D56" s="145"/>
      <c r="E56" s="143"/>
      <c r="F56" s="143"/>
      <c r="G56" s="143"/>
      <c r="H56" s="143" t="s">
        <v>0</v>
      </c>
      <c r="I56" s="143" t="s">
        <v>0</v>
      </c>
      <c r="J56" s="144" t="s">
        <v>0</v>
      </c>
      <c r="K56" s="148" t="s">
        <v>0</v>
      </c>
      <c r="L56" s="148"/>
      <c r="M56" s="148" t="s">
        <v>0</v>
      </c>
      <c r="N56" s="148" t="s">
        <v>0</v>
      </c>
      <c r="O56" s="148" t="s">
        <v>0</v>
      </c>
      <c r="P56" s="148"/>
      <c r="Q56" s="149"/>
      <c r="S56" s="149"/>
      <c r="T56" s="149"/>
      <c r="U56" s="38"/>
    </row>
    <row r="57" spans="2:21" s="153" customFormat="1" ht="15.75" customHeight="1">
      <c r="B57" s="125" t="s">
        <v>164</v>
      </c>
      <c r="D57" s="145" t="s">
        <v>165</v>
      </c>
      <c r="E57" s="150">
        <v>0</v>
      </c>
      <c r="F57" s="150">
        <v>0</v>
      </c>
      <c r="G57" s="150"/>
      <c r="H57" s="150">
        <v>0</v>
      </c>
      <c r="I57" s="150">
        <v>0</v>
      </c>
      <c r="J57" s="151">
        <v>0</v>
      </c>
      <c r="K57" s="152">
        <v>418769.94</v>
      </c>
      <c r="L57" s="152"/>
      <c r="M57" s="152">
        <v>0</v>
      </c>
      <c r="N57" s="152">
        <v>0</v>
      </c>
      <c r="O57" s="152">
        <v>0</v>
      </c>
      <c r="P57" s="152">
        <v>0</v>
      </c>
      <c r="Q57" s="152">
        <v>418769.94</v>
      </c>
      <c r="S57" s="154"/>
      <c r="T57" s="154"/>
      <c r="U57" s="155"/>
    </row>
    <row r="58" spans="2:21" s="153" customFormat="1" ht="15.75" customHeight="1">
      <c r="B58" s="125"/>
      <c r="D58" s="145"/>
      <c r="E58" s="150"/>
      <c r="F58" s="150"/>
      <c r="G58" s="150"/>
      <c r="H58" s="150"/>
      <c r="I58" s="150"/>
      <c r="J58" s="151"/>
      <c r="K58" s="152"/>
      <c r="L58" s="152"/>
      <c r="M58" s="152"/>
      <c r="N58" s="152"/>
      <c r="O58" s="152"/>
      <c r="P58" s="152"/>
      <c r="Q58" s="152"/>
      <c r="S58" s="154"/>
      <c r="T58" s="154"/>
      <c r="U58" s="155"/>
    </row>
    <row r="59" spans="2:21" s="153" customFormat="1" ht="15.75" customHeight="1">
      <c r="B59" s="125" t="s">
        <v>166</v>
      </c>
      <c r="D59" s="145" t="s">
        <v>167</v>
      </c>
      <c r="E59" s="150">
        <v>0</v>
      </c>
      <c r="F59" s="150">
        <v>0</v>
      </c>
      <c r="G59" s="150"/>
      <c r="H59" s="150">
        <v>0</v>
      </c>
      <c r="I59" s="150">
        <v>0</v>
      </c>
      <c r="J59" s="151">
        <v>0</v>
      </c>
      <c r="K59" s="152">
        <v>0</v>
      </c>
      <c r="L59" s="152"/>
      <c r="M59" s="152">
        <v>0</v>
      </c>
      <c r="N59" s="152">
        <v>0</v>
      </c>
      <c r="O59" s="152">
        <v>0</v>
      </c>
      <c r="P59" s="152">
        <v>0</v>
      </c>
      <c r="Q59" s="152">
        <v>0</v>
      </c>
      <c r="S59" s="154"/>
      <c r="T59" s="154"/>
      <c r="U59" s="155"/>
    </row>
    <row r="60" spans="2:21" ht="15.75" customHeight="1">
      <c r="B60" s="125" t="s">
        <v>168</v>
      </c>
      <c r="D60" s="145" t="s">
        <v>169</v>
      </c>
      <c r="E60" s="150">
        <v>0</v>
      </c>
      <c r="F60" s="150">
        <v>0</v>
      </c>
      <c r="G60" s="150"/>
      <c r="H60" s="150">
        <v>0</v>
      </c>
      <c r="I60" s="150">
        <v>0</v>
      </c>
      <c r="J60" s="151">
        <v>0</v>
      </c>
      <c r="K60" s="152">
        <v>-7966022.1399999997</v>
      </c>
      <c r="L60" s="152"/>
      <c r="M60" s="152">
        <v>7966022.1399999997</v>
      </c>
      <c r="N60" s="152">
        <v>0</v>
      </c>
      <c r="O60" s="152">
        <v>0</v>
      </c>
      <c r="P60" s="152">
        <v>7966022.1399999997</v>
      </c>
      <c r="Q60" s="152">
        <v>0</v>
      </c>
      <c r="S60" s="149"/>
      <c r="T60" s="149"/>
      <c r="U60" s="38"/>
    </row>
    <row r="61" spans="2:21" s="153" customFormat="1" ht="15.75" customHeight="1">
      <c r="B61" s="125" t="s">
        <v>170</v>
      </c>
      <c r="D61" s="145" t="s">
        <v>171</v>
      </c>
      <c r="E61" s="150">
        <v>0</v>
      </c>
      <c r="F61" s="150">
        <v>0</v>
      </c>
      <c r="G61" s="150"/>
      <c r="H61" s="150">
        <v>0</v>
      </c>
      <c r="I61" s="150">
        <v>0</v>
      </c>
      <c r="J61" s="151">
        <v>0</v>
      </c>
      <c r="K61" s="152">
        <v>0</v>
      </c>
      <c r="L61" s="152"/>
      <c r="M61" s="152">
        <v>0</v>
      </c>
      <c r="N61" s="152">
        <v>0</v>
      </c>
      <c r="O61" s="152">
        <v>0</v>
      </c>
      <c r="P61" s="152">
        <v>0</v>
      </c>
      <c r="Q61" s="152">
        <v>0</v>
      </c>
      <c r="S61" s="154"/>
      <c r="T61" s="154"/>
      <c r="U61" s="155"/>
    </row>
    <row r="62" spans="2:21" s="153" customFormat="1" ht="15.75" customHeight="1">
      <c r="B62" s="125" t="s">
        <v>176</v>
      </c>
      <c r="D62" s="145" t="s">
        <v>177</v>
      </c>
      <c r="E62" s="150">
        <v>0</v>
      </c>
      <c r="F62" s="150">
        <v>0</v>
      </c>
      <c r="G62" s="150"/>
      <c r="H62" s="150">
        <v>0</v>
      </c>
      <c r="I62" s="150">
        <v>0</v>
      </c>
      <c r="J62" s="151">
        <v>0</v>
      </c>
      <c r="K62" s="152">
        <v>5003428.46</v>
      </c>
      <c r="L62" s="152"/>
      <c r="M62" s="152">
        <v>-5003428.46</v>
      </c>
      <c r="N62" s="152">
        <v>0</v>
      </c>
      <c r="O62" s="152">
        <v>0</v>
      </c>
      <c r="P62" s="152">
        <v>-5003428.46</v>
      </c>
      <c r="Q62" s="152">
        <v>0</v>
      </c>
      <c r="S62" s="154"/>
      <c r="T62" s="154"/>
      <c r="U62" s="155"/>
    </row>
    <row r="63" spans="2:21" s="153" customFormat="1" ht="15.75" customHeight="1">
      <c r="B63" s="125" t="s">
        <v>178</v>
      </c>
      <c r="D63" s="145" t="s">
        <v>179</v>
      </c>
      <c r="E63" s="150">
        <v>0</v>
      </c>
      <c r="F63" s="150">
        <v>0</v>
      </c>
      <c r="G63" s="150"/>
      <c r="H63" s="150">
        <v>0</v>
      </c>
      <c r="I63" s="150">
        <v>0</v>
      </c>
      <c r="J63" s="151">
        <v>0</v>
      </c>
      <c r="K63" s="152">
        <v>27158.29</v>
      </c>
      <c r="L63" s="152"/>
      <c r="M63" s="152">
        <v>-27158.29</v>
      </c>
      <c r="N63" s="152">
        <v>0</v>
      </c>
      <c r="O63" s="152">
        <v>0</v>
      </c>
      <c r="P63" s="152">
        <v>-27158.29</v>
      </c>
      <c r="Q63" s="152">
        <v>0</v>
      </c>
      <c r="S63" s="154"/>
      <c r="T63" s="154"/>
      <c r="U63" s="155"/>
    </row>
    <row r="64" spans="2:21" s="153" customFormat="1" ht="15.75" customHeight="1">
      <c r="B64" s="125" t="s">
        <v>199</v>
      </c>
      <c r="D64" s="145" t="s">
        <v>181</v>
      </c>
      <c r="E64" s="150">
        <v>0</v>
      </c>
      <c r="F64" s="150">
        <v>0</v>
      </c>
      <c r="G64" s="150"/>
      <c r="H64" s="150">
        <v>0</v>
      </c>
      <c r="I64" s="150">
        <v>0</v>
      </c>
      <c r="J64" s="151">
        <v>0</v>
      </c>
      <c r="K64" s="152">
        <v>18430.759999999998</v>
      </c>
      <c r="L64" s="152"/>
      <c r="M64" s="152">
        <v>-18430.759999999998</v>
      </c>
      <c r="N64" s="152">
        <v>0</v>
      </c>
      <c r="O64" s="152">
        <v>0</v>
      </c>
      <c r="P64" s="152">
        <v>-18430.759999999998</v>
      </c>
      <c r="Q64" s="152">
        <v>0</v>
      </c>
      <c r="S64" s="154"/>
      <c r="T64" s="154"/>
      <c r="U64" s="155"/>
    </row>
    <row r="65" spans="1:21" s="153" customFormat="1" ht="15.75" customHeight="1">
      <c r="B65" s="125" t="s">
        <v>182</v>
      </c>
      <c r="D65" s="145" t="s">
        <v>183</v>
      </c>
      <c r="E65" s="150">
        <v>0</v>
      </c>
      <c r="F65" s="150">
        <v>0</v>
      </c>
      <c r="G65" s="150"/>
      <c r="H65" s="150">
        <v>0</v>
      </c>
      <c r="I65" s="150">
        <v>0</v>
      </c>
      <c r="J65" s="151">
        <v>0</v>
      </c>
      <c r="K65" s="152">
        <v>0</v>
      </c>
      <c r="L65" s="152"/>
      <c r="M65" s="152">
        <v>0</v>
      </c>
      <c r="N65" s="152">
        <v>0</v>
      </c>
      <c r="O65" s="152">
        <v>0</v>
      </c>
      <c r="P65" s="152">
        <v>0</v>
      </c>
      <c r="Q65" s="152">
        <v>0</v>
      </c>
      <c r="S65" s="154"/>
      <c r="T65" s="154"/>
      <c r="U65" s="155"/>
    </row>
    <row r="66" spans="1:21" ht="15.75" customHeight="1">
      <c r="B66" s="153"/>
      <c r="D66" s="145"/>
      <c r="E66" s="143"/>
      <c r="F66" s="143"/>
      <c r="G66" s="143"/>
      <c r="H66" s="143"/>
      <c r="I66" s="143"/>
      <c r="J66" s="144"/>
      <c r="K66" s="148"/>
      <c r="L66" s="148"/>
      <c r="M66" s="166"/>
      <c r="N66" s="148"/>
      <c r="O66" s="148"/>
      <c r="P66" s="148"/>
      <c r="Q66" s="148"/>
      <c r="S66" s="149"/>
      <c r="T66" s="149"/>
      <c r="U66" s="38"/>
    </row>
    <row r="67" spans="1:21" s="153" customFormat="1" ht="15.75" customHeight="1">
      <c r="B67" s="125" t="s">
        <v>184</v>
      </c>
      <c r="D67" s="145" t="s">
        <v>185</v>
      </c>
      <c r="E67" s="150">
        <v>0</v>
      </c>
      <c r="F67" s="150">
        <v>-27547000</v>
      </c>
      <c r="G67" s="150">
        <f>-F67</f>
        <v>27547000</v>
      </c>
      <c r="H67" s="150">
        <v>0</v>
      </c>
      <c r="I67" s="146">
        <f t="shared" ref="I67" si="28">H67+G67</f>
        <v>27547000</v>
      </c>
      <c r="J67" s="151">
        <f t="shared" ref="J67" si="29">F67+I67</f>
        <v>0</v>
      </c>
      <c r="K67" s="152">
        <v>-2499000</v>
      </c>
      <c r="L67" s="152">
        <f>-K67</f>
        <v>2499000</v>
      </c>
      <c r="M67" s="152">
        <v>0</v>
      </c>
      <c r="N67" s="152">
        <v>0</v>
      </c>
      <c r="O67" s="152">
        <v>0</v>
      </c>
      <c r="P67" s="152">
        <f>L67+M67+N67+O67</f>
        <v>2499000</v>
      </c>
      <c r="Q67" s="152">
        <f t="shared" ref="Q67" si="30">K67+P67</f>
        <v>0</v>
      </c>
      <c r="S67" s="154"/>
      <c r="T67" s="154"/>
      <c r="U67" s="155"/>
    </row>
    <row r="68" spans="1:21" ht="15.75" customHeight="1">
      <c r="B68" s="153"/>
      <c r="D68" s="145"/>
      <c r="E68" s="143"/>
      <c r="F68" s="143"/>
      <c r="G68" s="143"/>
      <c r="H68" s="143"/>
      <c r="I68" s="143"/>
      <c r="J68" s="168"/>
      <c r="K68" s="148"/>
      <c r="L68" s="148"/>
      <c r="M68" s="166"/>
      <c r="N68" s="166"/>
      <c r="O68" s="166"/>
      <c r="P68" s="166"/>
      <c r="Q68" s="149"/>
      <c r="S68" s="149"/>
      <c r="T68" s="149"/>
      <c r="U68" s="38"/>
    </row>
    <row r="69" spans="1:21" ht="15.75" customHeight="1">
      <c r="B69" s="159" t="s">
        <v>139</v>
      </c>
      <c r="C69" s="160"/>
      <c r="D69" s="161"/>
      <c r="E69" s="162">
        <v>18020.25</v>
      </c>
      <c r="F69" s="162">
        <v>1544572647</v>
      </c>
      <c r="G69" s="162">
        <f>G45+G48+G51+G55+G67</f>
        <v>0</v>
      </c>
      <c r="H69" s="162">
        <v>-24606468.482687153</v>
      </c>
      <c r="I69" s="162">
        <v>-24606468.482687153</v>
      </c>
      <c r="J69" s="163">
        <v>1519966178.517313</v>
      </c>
      <c r="K69" s="165">
        <v>128157136.61999999</v>
      </c>
      <c r="L69" s="165">
        <f>L45+L48+L51+L55+L67</f>
        <v>0</v>
      </c>
      <c r="M69" s="165">
        <v>-2913210.9786643907</v>
      </c>
      <c r="N69" s="165">
        <v>2083935</v>
      </c>
      <c r="O69" s="165">
        <v>0</v>
      </c>
      <c r="P69" s="165">
        <f>P45+P48+P51+P55+P60+P57+P59+P61+P62+P63+P64+P65+P67</f>
        <v>-829275.97866438795</v>
      </c>
      <c r="Q69" s="185">
        <f>Q45+Q48+Q51+Q55+Q57</f>
        <v>127327860.64133561</v>
      </c>
      <c r="S69" s="149"/>
      <c r="T69" s="149"/>
      <c r="U69" s="38"/>
    </row>
    <row r="70" spans="1:21" ht="15.75" customHeight="1">
      <c r="D70" s="145"/>
      <c r="E70" s="146"/>
      <c r="F70" s="146"/>
      <c r="G70" s="146"/>
      <c r="H70" s="146"/>
      <c r="I70" s="146"/>
      <c r="J70" s="147"/>
      <c r="K70" s="148"/>
      <c r="L70" s="148"/>
      <c r="M70" s="148"/>
      <c r="N70" s="148"/>
      <c r="O70" s="148"/>
      <c r="P70" s="148"/>
      <c r="Q70" s="166" t="s">
        <v>0</v>
      </c>
      <c r="U70" s="38"/>
    </row>
    <row r="71" spans="1:21" ht="15.75" customHeight="1">
      <c r="A71" s="138" t="s">
        <v>200</v>
      </c>
      <c r="B71" s="138"/>
      <c r="D71" s="142" t="s">
        <v>201</v>
      </c>
      <c r="E71" s="143"/>
      <c r="F71" s="143"/>
      <c r="G71" s="143"/>
      <c r="H71" s="143"/>
      <c r="I71" s="143"/>
      <c r="J71" s="144"/>
      <c r="K71" s="148"/>
      <c r="L71" s="148"/>
      <c r="M71" s="148"/>
      <c r="N71" s="148"/>
      <c r="O71" s="148"/>
      <c r="P71" s="148"/>
      <c r="Q71" s="149" t="s">
        <v>0</v>
      </c>
      <c r="S71" s="149"/>
      <c r="T71" s="149"/>
      <c r="U71" s="38"/>
    </row>
    <row r="72" spans="1:21" ht="15.75" customHeight="1">
      <c r="B72" s="167" t="s">
        <v>188</v>
      </c>
      <c r="D72" s="145">
        <v>24</v>
      </c>
      <c r="E72" s="146">
        <v>372.58333333333337</v>
      </c>
      <c r="F72" s="146">
        <v>17188820</v>
      </c>
      <c r="G72" s="146">
        <f>F72/($F$99-$F$97)*$F$97</f>
        <v>780644.33522618469</v>
      </c>
      <c r="H72" s="146">
        <v>0</v>
      </c>
      <c r="I72" s="146">
        <f>G72+H72</f>
        <v>780644.33522618469</v>
      </c>
      <c r="J72" s="147">
        <f t="shared" ref="J72:J74" si="31">F72+I72</f>
        <v>17969464.335226186</v>
      </c>
      <c r="K72" s="148">
        <v>1638826.58</v>
      </c>
      <c r="L72" s="148">
        <f>K72/($K$75+$K$78+$K$83+$K$86)*$K$97</f>
        <v>80108.814828733972</v>
      </c>
      <c r="M72" s="148">
        <v>-54508.495344246898</v>
      </c>
      <c r="N72" s="148">
        <v>25931</v>
      </c>
      <c r="O72" s="148">
        <v>0</v>
      </c>
      <c r="P72" s="148">
        <f t="shared" ref="P72:P74" si="32">L72+M72+N72+O72</f>
        <v>51531.319484487074</v>
      </c>
      <c r="Q72" s="148">
        <f t="shared" ref="Q72:Q74" si="33">K72+P72</f>
        <v>1690357.8994844873</v>
      </c>
      <c r="S72" s="149"/>
      <c r="T72" s="149"/>
      <c r="U72" s="38"/>
    </row>
    <row r="73" spans="1:21" s="153" customFormat="1" ht="15.75" customHeight="1">
      <c r="B73" s="167" t="s">
        <v>189</v>
      </c>
      <c r="D73" s="145" t="s">
        <v>190</v>
      </c>
      <c r="E73" s="146">
        <v>4</v>
      </c>
      <c r="F73" s="146">
        <v>33312</v>
      </c>
      <c r="G73" s="146">
        <f t="shared" ref="G73:G74" si="34">F73/($F$99-$F$97)*$F$97</f>
        <v>1512.8917572616774</v>
      </c>
      <c r="H73" s="146">
        <v>0</v>
      </c>
      <c r="I73" s="146">
        <f t="shared" ref="I73:I74" si="35">G73+H73</f>
        <v>1512.8917572616774</v>
      </c>
      <c r="J73" s="147">
        <f t="shared" si="31"/>
        <v>34824.891757261677</v>
      </c>
      <c r="K73" s="148">
        <v>8752.25</v>
      </c>
      <c r="L73" s="148">
        <f t="shared" ref="L73:L74" si="36">K73/($K$75+$K$78+$K$83+$K$86)*$K$97</f>
        <v>427.82584999615204</v>
      </c>
      <c r="M73" s="148">
        <v>0</v>
      </c>
      <c r="N73" s="148">
        <v>143</v>
      </c>
      <c r="O73" s="148">
        <v>0</v>
      </c>
      <c r="P73" s="148">
        <f t="shared" si="32"/>
        <v>570.8258499961521</v>
      </c>
      <c r="Q73" s="148">
        <f t="shared" si="33"/>
        <v>9323.0758499961521</v>
      </c>
      <c r="S73" s="154"/>
      <c r="T73" s="154"/>
      <c r="U73" s="155"/>
    </row>
    <row r="74" spans="1:21" ht="15.75" customHeight="1">
      <c r="B74" s="167" t="s">
        <v>191</v>
      </c>
      <c r="C74" s="153"/>
      <c r="D74" s="145" t="s">
        <v>192</v>
      </c>
      <c r="E74" s="150">
        <v>1</v>
      </c>
      <c r="F74" s="150">
        <v>2061</v>
      </c>
      <c r="G74" s="150">
        <f t="shared" si="34"/>
        <v>93.602002633174749</v>
      </c>
      <c r="H74" s="150">
        <v>0</v>
      </c>
      <c r="I74" s="150">
        <f t="shared" si="35"/>
        <v>93.602002633174749</v>
      </c>
      <c r="J74" s="151">
        <f t="shared" si="31"/>
        <v>2154.6020026331748</v>
      </c>
      <c r="K74" s="152">
        <v>1814.88</v>
      </c>
      <c r="L74" s="152">
        <f t="shared" si="36"/>
        <v>88.714625226772142</v>
      </c>
      <c r="M74" s="152">
        <v>15.51</v>
      </c>
      <c r="N74" s="152">
        <v>30</v>
      </c>
      <c r="O74" s="152">
        <v>0</v>
      </c>
      <c r="P74" s="152">
        <f t="shared" si="32"/>
        <v>134.22462522677216</v>
      </c>
      <c r="Q74" s="152">
        <f t="shared" si="33"/>
        <v>1949.1046252267722</v>
      </c>
      <c r="S74" s="149"/>
      <c r="T74" s="149"/>
      <c r="U74" s="38"/>
    </row>
    <row r="75" spans="1:21" ht="15.75" customHeight="1">
      <c r="B75" s="125" t="s">
        <v>161</v>
      </c>
      <c r="D75" s="145"/>
      <c r="E75" s="146">
        <v>377.58333333333337</v>
      </c>
      <c r="F75" s="146">
        <v>17224193</v>
      </c>
      <c r="G75" s="146">
        <f>SUM(G72:G74)</f>
        <v>782250.82898607955</v>
      </c>
      <c r="H75" s="146">
        <v>0</v>
      </c>
      <c r="I75" s="146">
        <f>SUM(I72:I74)</f>
        <v>782250.82898607955</v>
      </c>
      <c r="J75" s="147">
        <f>SUM(J72:J74)</f>
        <v>18006443.828986079</v>
      </c>
      <c r="K75" s="148">
        <v>1649393.71</v>
      </c>
      <c r="L75" s="148">
        <f>SUM(L72:L74)</f>
        <v>80625.355303956894</v>
      </c>
      <c r="M75" s="148">
        <v>-54492.985344246896</v>
      </c>
      <c r="N75" s="148">
        <v>26104</v>
      </c>
      <c r="O75" s="148">
        <v>0</v>
      </c>
      <c r="P75" s="148">
        <f>SUM(P72:P74)</f>
        <v>52236.369959709999</v>
      </c>
      <c r="Q75" s="148">
        <f>SUM(Q72:Q74)</f>
        <v>1701630.0799597101</v>
      </c>
      <c r="U75" s="38"/>
    </row>
    <row r="76" spans="1:21" ht="15.75" customHeight="1">
      <c r="D76" s="145"/>
      <c r="E76" s="143"/>
      <c r="F76" s="143"/>
      <c r="G76" s="143"/>
      <c r="H76" s="143" t="s">
        <v>0</v>
      </c>
      <c r="I76" s="143" t="s">
        <v>0</v>
      </c>
      <c r="J76" s="144" t="s">
        <v>0</v>
      </c>
      <c r="K76" s="148" t="s">
        <v>0</v>
      </c>
      <c r="L76" s="148"/>
      <c r="M76" s="148" t="s">
        <v>0</v>
      </c>
      <c r="N76" s="148" t="s">
        <v>0</v>
      </c>
      <c r="O76" s="148" t="s">
        <v>0</v>
      </c>
      <c r="P76" s="148"/>
      <c r="Q76" s="149"/>
      <c r="S76" s="149"/>
      <c r="T76" s="149"/>
      <c r="U76" s="38"/>
    </row>
    <row r="77" spans="1:21" s="153" customFormat="1" ht="15.75" customHeight="1">
      <c r="B77" s="167" t="s">
        <v>193</v>
      </c>
      <c r="C77" s="125"/>
      <c r="D77" s="145">
        <v>36</v>
      </c>
      <c r="E77" s="150">
        <v>106.41666666666667</v>
      </c>
      <c r="F77" s="150">
        <v>99021984</v>
      </c>
      <c r="G77" s="150">
        <f>F77/($F$99-$F$97)*$F$97</f>
        <v>4497164.4867104264</v>
      </c>
      <c r="H77" s="150">
        <v>0</v>
      </c>
      <c r="I77" s="150">
        <f>G77+H77</f>
        <v>4497164.4867104264</v>
      </c>
      <c r="J77" s="151">
        <f t="shared" ref="J77" si="37">F77+I77</f>
        <v>103519148.48671043</v>
      </c>
      <c r="K77" s="152">
        <v>8404720.2000000011</v>
      </c>
      <c r="L77" s="152">
        <f>K77/($K$75+$K$78+$K$83+$K$86)*$K$97</f>
        <v>410837.96321458247</v>
      </c>
      <c r="M77" s="152">
        <v>-292939.73621376371</v>
      </c>
      <c r="N77" s="152">
        <v>132768</v>
      </c>
      <c r="O77" s="152">
        <v>0</v>
      </c>
      <c r="P77" s="152">
        <f>L77+M77+N77+O77</f>
        <v>250666.22700081876</v>
      </c>
      <c r="Q77" s="152">
        <f>K77+P77</f>
        <v>8655386.4270008206</v>
      </c>
      <c r="S77" s="154"/>
      <c r="T77" s="154"/>
      <c r="U77" s="155"/>
    </row>
    <row r="78" spans="1:21" ht="15.75" customHeight="1">
      <c r="B78" s="125" t="s">
        <v>161</v>
      </c>
      <c r="D78" s="145"/>
      <c r="E78" s="146">
        <v>106.41666666666667</v>
      </c>
      <c r="F78" s="146">
        <v>99021984</v>
      </c>
      <c r="G78" s="146">
        <f>SUM(G77)</f>
        <v>4497164.4867104264</v>
      </c>
      <c r="H78" s="146">
        <v>0</v>
      </c>
      <c r="I78" s="146">
        <f>SUM(I77)</f>
        <v>4497164.4867104264</v>
      </c>
      <c r="J78" s="147">
        <f>SUM(J77)</f>
        <v>103519148.48671043</v>
      </c>
      <c r="K78" s="148">
        <v>8404720.2000000011</v>
      </c>
      <c r="L78" s="148">
        <f>SUM(L77)</f>
        <v>410837.96321458247</v>
      </c>
      <c r="M78" s="148">
        <v>-292939.73621376371</v>
      </c>
      <c r="N78" s="148">
        <v>132768</v>
      </c>
      <c r="O78" s="148">
        <v>0</v>
      </c>
      <c r="P78" s="148">
        <f>SUM(P77)</f>
        <v>250666.22700081876</v>
      </c>
      <c r="Q78" s="148">
        <f>SUM(Q77)</f>
        <v>8655386.4270008206</v>
      </c>
      <c r="S78" s="149"/>
      <c r="T78" s="149"/>
      <c r="U78" s="38"/>
    </row>
    <row r="79" spans="1:21" ht="15.75" customHeight="1">
      <c r="D79" s="145"/>
      <c r="E79" s="143"/>
      <c r="F79" s="143"/>
      <c r="G79" s="143"/>
      <c r="H79" s="143"/>
      <c r="I79" s="143"/>
      <c r="J79" s="144"/>
      <c r="K79" s="148"/>
      <c r="L79" s="148"/>
      <c r="M79" s="148"/>
      <c r="N79" s="148"/>
      <c r="O79" s="148"/>
      <c r="P79" s="148"/>
      <c r="Q79" s="149"/>
      <c r="S79" s="149"/>
      <c r="T79" s="149"/>
      <c r="U79" s="38"/>
    </row>
    <row r="80" spans="1:21" ht="15.75" customHeight="1">
      <c r="B80" s="167" t="s">
        <v>202</v>
      </c>
      <c r="C80" s="153"/>
      <c r="D80" s="145">
        <v>47</v>
      </c>
      <c r="E80" s="146">
        <v>1</v>
      </c>
      <c r="F80" s="146">
        <v>2115050</v>
      </c>
      <c r="G80" s="146">
        <f t="shared" ref="G80:G82" si="38">F80/($F$99-$F$97)*$F$97</f>
        <v>96056.727641579942</v>
      </c>
      <c r="H80" s="146">
        <v>0</v>
      </c>
      <c r="I80" s="146">
        <f t="shared" ref="I80:I82" si="39">G80+H80</f>
        <v>96056.727641579942</v>
      </c>
      <c r="J80" s="147">
        <f t="shared" ref="J80" si="40">F80+I80</f>
        <v>2211106.7276415802</v>
      </c>
      <c r="K80" s="148">
        <v>331287.82</v>
      </c>
      <c r="L80" s="148">
        <f t="shared" ref="L80:L82" si="41">K80/($K$75+$K$78+$K$83+$K$86)*$K$97</f>
        <v>16193.949348438655</v>
      </c>
      <c r="M80" s="148">
        <v>-5337.2723795816701</v>
      </c>
      <c r="N80" s="148">
        <v>5403</v>
      </c>
      <c r="O80" s="148">
        <v>0</v>
      </c>
      <c r="P80" s="148">
        <f t="shared" ref="P80:P82" si="42">L80+M80+N80+O80</f>
        <v>16259.676968856984</v>
      </c>
      <c r="Q80" s="148">
        <f t="shared" ref="Q80:Q82" si="43">K80+P80</f>
        <v>347547.49696885701</v>
      </c>
      <c r="S80" s="149"/>
      <c r="T80" s="149"/>
      <c r="U80" s="38"/>
    </row>
    <row r="81" spans="2:21" ht="15.75" customHeight="1">
      <c r="B81" s="167" t="s">
        <v>203</v>
      </c>
      <c r="C81" s="153"/>
      <c r="D81" s="145" t="s">
        <v>204</v>
      </c>
      <c r="E81" s="146">
        <v>0</v>
      </c>
      <c r="F81" s="146">
        <v>0</v>
      </c>
      <c r="G81" s="146">
        <f t="shared" si="38"/>
        <v>0</v>
      </c>
      <c r="H81" s="146">
        <v>0</v>
      </c>
      <c r="I81" s="146">
        <f t="shared" si="39"/>
        <v>0</v>
      </c>
      <c r="J81" s="147">
        <v>0</v>
      </c>
      <c r="K81" s="148">
        <v>0</v>
      </c>
      <c r="L81" s="148">
        <f t="shared" si="41"/>
        <v>0</v>
      </c>
      <c r="M81" s="148">
        <v>0</v>
      </c>
      <c r="N81" s="148">
        <v>0</v>
      </c>
      <c r="O81" s="148">
        <v>0</v>
      </c>
      <c r="P81" s="148">
        <f t="shared" si="42"/>
        <v>0</v>
      </c>
      <c r="Q81" s="148">
        <f t="shared" si="43"/>
        <v>0</v>
      </c>
      <c r="S81" s="149"/>
      <c r="T81" s="149"/>
      <c r="U81" s="38"/>
    </row>
    <row r="82" spans="2:21" ht="15.75" customHeight="1">
      <c r="B82" s="167" t="s">
        <v>194</v>
      </c>
      <c r="C82" s="153"/>
      <c r="D82" s="145" t="s">
        <v>195</v>
      </c>
      <c r="E82" s="150">
        <v>32.083333333333336</v>
      </c>
      <c r="F82" s="150">
        <v>643121651</v>
      </c>
      <c r="G82" s="150">
        <f t="shared" si="38"/>
        <v>29207896.395125519</v>
      </c>
      <c r="H82" s="150">
        <v>0</v>
      </c>
      <c r="I82" s="150">
        <f t="shared" si="39"/>
        <v>29207896.395125519</v>
      </c>
      <c r="J82" s="151">
        <f t="shared" ref="J82" si="44">F82+I82</f>
        <v>672329547.39512551</v>
      </c>
      <c r="K82" s="152">
        <v>42234666.030000001</v>
      </c>
      <c r="L82" s="152">
        <f t="shared" si="41"/>
        <v>2064507.0574524675</v>
      </c>
      <c r="M82" s="152">
        <v>-1620149.1106489333</v>
      </c>
      <c r="N82" s="152">
        <v>664751</v>
      </c>
      <c r="O82" s="152">
        <v>0</v>
      </c>
      <c r="P82" s="152">
        <f t="shared" si="42"/>
        <v>1109108.9468035342</v>
      </c>
      <c r="Q82" s="152">
        <f t="shared" si="43"/>
        <v>43343774.976803534</v>
      </c>
      <c r="U82" s="38"/>
    </row>
    <row r="83" spans="2:21" ht="15.75" customHeight="1">
      <c r="B83" s="125" t="s">
        <v>161</v>
      </c>
      <c r="D83" s="145"/>
      <c r="E83" s="146">
        <v>33.083333333333336</v>
      </c>
      <c r="F83" s="146">
        <v>645236701</v>
      </c>
      <c r="G83" s="146">
        <f>SUM(G80:G82)</f>
        <v>29303953.122767098</v>
      </c>
      <c r="H83" s="146">
        <v>0</v>
      </c>
      <c r="I83" s="146">
        <f>SUM(I80:I82)</f>
        <v>29303953.122767098</v>
      </c>
      <c r="J83" s="147">
        <f>SUM(J80:J82)</f>
        <v>674540654.12276709</v>
      </c>
      <c r="K83" s="148">
        <v>42565953.850000001</v>
      </c>
      <c r="L83" s="148">
        <f>SUM(L80:L82)</f>
        <v>2080701.0068009063</v>
      </c>
      <c r="M83" s="148">
        <v>-1625486.3830285149</v>
      </c>
      <c r="N83" s="148">
        <v>670154</v>
      </c>
      <c r="O83" s="148">
        <v>0</v>
      </c>
      <c r="P83" s="148">
        <f>SUM(P80:P82)</f>
        <v>1125368.6237723911</v>
      </c>
      <c r="Q83" s="148">
        <f>SUM(Q80:Q82)</f>
        <v>43691322.473772392</v>
      </c>
      <c r="S83" s="149"/>
      <c r="T83" s="149"/>
      <c r="U83" s="38"/>
    </row>
    <row r="84" spans="2:21" ht="15.75" customHeight="1">
      <c r="D84" s="145"/>
      <c r="E84" s="143"/>
      <c r="F84" s="143"/>
      <c r="G84" s="143"/>
      <c r="H84" s="143"/>
      <c r="I84" s="146"/>
      <c r="J84" s="144"/>
      <c r="K84" s="148"/>
      <c r="L84" s="148"/>
      <c r="M84" s="148"/>
      <c r="N84" s="148"/>
      <c r="O84" s="148"/>
      <c r="P84" s="148"/>
      <c r="Q84" s="149"/>
      <c r="S84" s="149"/>
      <c r="T84" s="149"/>
      <c r="U84" s="38"/>
    </row>
    <row r="85" spans="2:21" ht="15.75" customHeight="1">
      <c r="B85" s="167" t="s">
        <v>196</v>
      </c>
      <c r="D85" s="145" t="s">
        <v>197</v>
      </c>
      <c r="E85" s="150">
        <v>51.916666666666664</v>
      </c>
      <c r="F85" s="150">
        <v>124000</v>
      </c>
      <c r="G85" s="150">
        <f>F85/($F$99-$F$97)*$F$97</f>
        <v>5631.5615363967345</v>
      </c>
      <c r="H85" s="150">
        <v>0</v>
      </c>
      <c r="I85" s="150">
        <f>G85+H85</f>
        <v>5631.5615363967345</v>
      </c>
      <c r="J85" s="151">
        <f t="shared" ref="J85" si="45">F85+I85</f>
        <v>129631.56153639674</v>
      </c>
      <c r="K85" s="152">
        <v>17095.82</v>
      </c>
      <c r="L85" s="152">
        <f>K85/($K$75+$K$78+$K$83+$K$86)*$K$97</f>
        <v>835.67468055428208</v>
      </c>
      <c r="M85" s="152">
        <v>-199.17532936084473</v>
      </c>
      <c r="N85" s="152">
        <v>275</v>
      </c>
      <c r="O85" s="152">
        <v>0</v>
      </c>
      <c r="P85" s="152">
        <f>L85+M85+N85+O85</f>
        <v>911.49935119343741</v>
      </c>
      <c r="Q85" s="152">
        <f>K85+P85</f>
        <v>18007.319351193437</v>
      </c>
      <c r="S85" s="149"/>
      <c r="T85" s="149"/>
      <c r="U85" s="38"/>
    </row>
    <row r="86" spans="2:21" ht="15.75" customHeight="1">
      <c r="B86" s="125" t="s">
        <v>161</v>
      </c>
      <c r="D86" s="145"/>
      <c r="E86" s="146">
        <v>51.916666666666664</v>
      </c>
      <c r="F86" s="146">
        <v>124000</v>
      </c>
      <c r="G86" s="146">
        <f>SUM(G85)</f>
        <v>5631.5615363967345</v>
      </c>
      <c r="H86" s="146">
        <v>0</v>
      </c>
      <c r="I86" s="146">
        <f>SUM(I85)</f>
        <v>5631.5615363967345</v>
      </c>
      <c r="J86" s="147">
        <f>SUM(J85)</f>
        <v>129631.56153639674</v>
      </c>
      <c r="K86" s="148">
        <v>17095.82</v>
      </c>
      <c r="L86" s="148">
        <f>SUM(L85)</f>
        <v>835.67468055428208</v>
      </c>
      <c r="M86" s="148">
        <v>-199.17532936084473</v>
      </c>
      <c r="N86" s="148">
        <v>275</v>
      </c>
      <c r="O86" s="148">
        <v>0</v>
      </c>
      <c r="P86" s="148">
        <f>SUM(P85)</f>
        <v>911.49935119343741</v>
      </c>
      <c r="Q86" s="148">
        <f>SUM(Q85)</f>
        <v>18007.319351193437</v>
      </c>
      <c r="U86" s="38"/>
    </row>
    <row r="87" spans="2:21" ht="15.75" customHeight="1">
      <c r="D87" s="145"/>
      <c r="E87" s="143"/>
      <c r="F87" s="143"/>
      <c r="G87" s="143"/>
      <c r="H87" s="143" t="s">
        <v>0</v>
      </c>
      <c r="I87" s="143" t="s">
        <v>0</v>
      </c>
      <c r="J87" s="144" t="s">
        <v>0</v>
      </c>
      <c r="K87" s="148" t="s">
        <v>0</v>
      </c>
      <c r="L87" s="148"/>
      <c r="M87" s="148"/>
      <c r="N87" s="148"/>
      <c r="O87" s="148"/>
      <c r="P87" s="148"/>
      <c r="Q87" s="149"/>
      <c r="S87" s="149"/>
      <c r="T87" s="149"/>
      <c r="U87" s="38"/>
    </row>
    <row r="88" spans="2:21" s="153" customFormat="1" ht="15.75" customHeight="1">
      <c r="B88" s="125" t="s">
        <v>164</v>
      </c>
      <c r="D88" s="145" t="s">
        <v>165</v>
      </c>
      <c r="E88" s="150">
        <v>0</v>
      </c>
      <c r="F88" s="150">
        <v>0</v>
      </c>
      <c r="G88" s="150"/>
      <c r="H88" s="150">
        <v>0</v>
      </c>
      <c r="I88" s="150">
        <v>0</v>
      </c>
      <c r="J88" s="151">
        <v>0</v>
      </c>
      <c r="K88" s="152">
        <v>25949.87</v>
      </c>
      <c r="L88" s="152"/>
      <c r="M88" s="152">
        <v>0</v>
      </c>
      <c r="N88" s="152">
        <v>0</v>
      </c>
      <c r="O88" s="152">
        <v>0</v>
      </c>
      <c r="P88" s="152">
        <v>0</v>
      </c>
      <c r="Q88" s="152">
        <v>25949.87</v>
      </c>
      <c r="S88" s="154"/>
      <c r="T88" s="154"/>
      <c r="U88" s="155"/>
    </row>
    <row r="89" spans="2:21" s="153" customFormat="1" ht="15.75" customHeight="1">
      <c r="B89" s="125"/>
      <c r="D89" s="145"/>
      <c r="E89" s="150"/>
      <c r="F89" s="150"/>
      <c r="G89" s="150"/>
      <c r="H89" s="150"/>
      <c r="I89" s="150"/>
      <c r="J89" s="151"/>
      <c r="K89" s="152"/>
      <c r="L89" s="152"/>
      <c r="M89" s="152"/>
      <c r="N89" s="152"/>
      <c r="O89" s="152"/>
      <c r="P89" s="152"/>
      <c r="Q89" s="152"/>
      <c r="S89" s="154"/>
      <c r="T89" s="154"/>
      <c r="U89" s="155"/>
    </row>
    <row r="90" spans="2:21" s="153" customFormat="1" ht="15.75" customHeight="1">
      <c r="B90" s="125" t="s">
        <v>166</v>
      </c>
      <c r="D90" s="145" t="s">
        <v>167</v>
      </c>
      <c r="E90" s="150">
        <v>0</v>
      </c>
      <c r="F90" s="150">
        <v>0</v>
      </c>
      <c r="G90" s="150"/>
      <c r="H90" s="150">
        <v>0</v>
      </c>
      <c r="I90" s="150">
        <v>0</v>
      </c>
      <c r="J90" s="151">
        <v>0</v>
      </c>
      <c r="K90" s="152">
        <v>0</v>
      </c>
      <c r="L90" s="152"/>
      <c r="M90" s="152">
        <v>0</v>
      </c>
      <c r="N90" s="152">
        <v>0</v>
      </c>
      <c r="O90" s="152">
        <v>0</v>
      </c>
      <c r="P90" s="152">
        <v>0</v>
      </c>
      <c r="Q90" s="152">
        <v>0</v>
      </c>
      <c r="S90" s="154"/>
      <c r="T90" s="154"/>
      <c r="U90" s="155"/>
    </row>
    <row r="91" spans="2:21" ht="15.75" customHeight="1">
      <c r="B91" s="125" t="s">
        <v>168</v>
      </c>
      <c r="D91" s="145" t="s">
        <v>169</v>
      </c>
      <c r="E91" s="150">
        <v>0</v>
      </c>
      <c r="F91" s="150">
        <v>0</v>
      </c>
      <c r="G91" s="150"/>
      <c r="H91" s="150">
        <v>0</v>
      </c>
      <c r="I91" s="150">
        <v>0</v>
      </c>
      <c r="J91" s="151">
        <v>0</v>
      </c>
      <c r="K91" s="152">
        <v>-4230588.96</v>
      </c>
      <c r="L91" s="152"/>
      <c r="M91" s="152">
        <v>4230588.96</v>
      </c>
      <c r="N91" s="152">
        <v>0</v>
      </c>
      <c r="O91" s="152">
        <v>0</v>
      </c>
      <c r="P91" s="152">
        <v>4230588.96</v>
      </c>
      <c r="Q91" s="152">
        <v>0</v>
      </c>
      <c r="S91" s="149"/>
      <c r="T91" s="149"/>
      <c r="U91" s="38"/>
    </row>
    <row r="92" spans="2:21" s="153" customFormat="1" ht="15.75" customHeight="1">
      <c r="B92" s="125" t="s">
        <v>176</v>
      </c>
      <c r="D92" s="145" t="s">
        <v>177</v>
      </c>
      <c r="E92" s="150">
        <v>0</v>
      </c>
      <c r="F92" s="150">
        <v>0</v>
      </c>
      <c r="G92" s="150"/>
      <c r="H92" s="150">
        <v>0</v>
      </c>
      <c r="I92" s="150">
        <v>0</v>
      </c>
      <c r="J92" s="151">
        <v>0</v>
      </c>
      <c r="K92" s="152">
        <v>1991451.54</v>
      </c>
      <c r="L92" s="152"/>
      <c r="M92" s="152">
        <v>-1991451.54</v>
      </c>
      <c r="N92" s="152">
        <v>0</v>
      </c>
      <c r="O92" s="152">
        <v>0</v>
      </c>
      <c r="P92" s="152">
        <v>-1991451.54</v>
      </c>
      <c r="Q92" s="152">
        <v>0</v>
      </c>
      <c r="S92" s="154"/>
      <c r="T92" s="154"/>
      <c r="U92" s="155"/>
    </row>
    <row r="93" spans="2:21" s="153" customFormat="1" ht="15.75" customHeight="1">
      <c r="B93" s="125" t="s">
        <v>178</v>
      </c>
      <c r="D93" s="145" t="s">
        <v>179</v>
      </c>
      <c r="E93" s="150">
        <v>1.4166666666666667</v>
      </c>
      <c r="F93" s="150">
        <v>0</v>
      </c>
      <c r="G93" s="150"/>
      <c r="H93" s="150">
        <v>0</v>
      </c>
      <c r="I93" s="150">
        <v>0</v>
      </c>
      <c r="J93" s="151">
        <v>0</v>
      </c>
      <c r="K93" s="152">
        <v>28.58</v>
      </c>
      <c r="L93" s="152"/>
      <c r="M93" s="152">
        <v>-28.58</v>
      </c>
      <c r="N93" s="152">
        <v>0</v>
      </c>
      <c r="O93" s="152">
        <v>0</v>
      </c>
      <c r="P93" s="152">
        <v>-28.58</v>
      </c>
      <c r="Q93" s="152">
        <v>0</v>
      </c>
      <c r="S93" s="154"/>
      <c r="T93" s="154"/>
      <c r="U93" s="155"/>
    </row>
    <row r="94" spans="2:21" s="153" customFormat="1" ht="15.75" customHeight="1">
      <c r="B94" s="125" t="s">
        <v>205</v>
      </c>
      <c r="D94" s="145" t="s">
        <v>181</v>
      </c>
      <c r="E94" s="150">
        <v>0</v>
      </c>
      <c r="F94" s="150">
        <v>0</v>
      </c>
      <c r="G94" s="150"/>
      <c r="H94" s="150">
        <v>0</v>
      </c>
      <c r="I94" s="150">
        <v>0</v>
      </c>
      <c r="J94" s="151">
        <v>0</v>
      </c>
      <c r="K94" s="152">
        <v>309.94</v>
      </c>
      <c r="L94" s="152"/>
      <c r="M94" s="152">
        <v>-309.94</v>
      </c>
      <c r="N94" s="152">
        <v>0</v>
      </c>
      <c r="O94" s="152">
        <v>0</v>
      </c>
      <c r="P94" s="152">
        <v>-309.94</v>
      </c>
      <c r="Q94" s="152">
        <v>0</v>
      </c>
      <c r="S94" s="154"/>
      <c r="T94" s="154"/>
      <c r="U94" s="155"/>
    </row>
    <row r="95" spans="2:21" s="153" customFormat="1" ht="15.75" customHeight="1">
      <c r="B95" s="125" t="s">
        <v>182</v>
      </c>
      <c r="D95" s="145" t="s">
        <v>183</v>
      </c>
      <c r="E95" s="150">
        <v>0</v>
      </c>
      <c r="F95" s="150">
        <v>0</v>
      </c>
      <c r="G95" s="150"/>
      <c r="H95" s="150">
        <v>0</v>
      </c>
      <c r="I95" s="150">
        <v>0</v>
      </c>
      <c r="J95" s="151">
        <v>0</v>
      </c>
      <c r="K95" s="152">
        <v>0</v>
      </c>
      <c r="L95" s="152"/>
      <c r="M95" s="152">
        <v>0</v>
      </c>
      <c r="N95" s="152">
        <v>0</v>
      </c>
      <c r="O95" s="152">
        <v>0</v>
      </c>
      <c r="P95" s="152">
        <v>0</v>
      </c>
      <c r="Q95" s="152">
        <v>0</v>
      </c>
      <c r="S95" s="154"/>
      <c r="T95" s="154"/>
      <c r="U95" s="155"/>
    </row>
    <row r="96" spans="2:21" ht="15.75" customHeight="1">
      <c r="D96" s="145"/>
      <c r="E96" s="143"/>
      <c r="F96" s="143"/>
      <c r="G96" s="143"/>
      <c r="H96" s="143"/>
      <c r="I96" s="143"/>
      <c r="J96" s="144"/>
      <c r="K96" s="148"/>
      <c r="L96" s="148"/>
      <c r="M96" s="148"/>
      <c r="N96" s="148"/>
      <c r="O96" s="148"/>
      <c r="P96" s="148"/>
      <c r="Q96" s="148"/>
      <c r="S96" s="149"/>
      <c r="T96" s="149"/>
      <c r="U96" s="38"/>
    </row>
    <row r="97" spans="1:21" s="153" customFormat="1" ht="15.75" customHeight="1">
      <c r="B97" s="125" t="s">
        <v>184</v>
      </c>
      <c r="D97" s="145" t="s">
        <v>185</v>
      </c>
      <c r="E97" s="150">
        <v>0</v>
      </c>
      <c r="F97" s="150">
        <v>34589000</v>
      </c>
      <c r="G97" s="150">
        <f>-F97</f>
        <v>-34589000</v>
      </c>
      <c r="H97" s="150">
        <v>0</v>
      </c>
      <c r="I97" s="150">
        <f>G97+H97</f>
        <v>-34589000</v>
      </c>
      <c r="J97" s="151">
        <f t="shared" ref="J97" si="46">F97+I97</f>
        <v>0</v>
      </c>
      <c r="K97" s="152">
        <v>2573000</v>
      </c>
      <c r="L97" s="152">
        <f>-K97</f>
        <v>-2573000</v>
      </c>
      <c r="M97" s="152">
        <v>0</v>
      </c>
      <c r="N97" s="152">
        <v>0</v>
      </c>
      <c r="O97" s="152">
        <v>0</v>
      </c>
      <c r="P97" s="152">
        <f t="shared" ref="P97" si="47">L97+M97+N97+O97</f>
        <v>-2573000</v>
      </c>
      <c r="Q97" s="152">
        <f t="shared" ref="Q97" si="48">K97+P97</f>
        <v>0</v>
      </c>
      <c r="S97" s="154"/>
      <c r="T97" s="154"/>
      <c r="U97" s="155"/>
    </row>
    <row r="98" spans="1:21" ht="15.75" customHeight="1">
      <c r="B98" s="153"/>
      <c r="D98" s="145"/>
      <c r="E98" s="143"/>
      <c r="F98" s="143"/>
      <c r="G98" s="143"/>
      <c r="H98" s="143"/>
      <c r="I98" s="143"/>
      <c r="J98" s="144"/>
      <c r="K98" s="148"/>
      <c r="L98" s="148"/>
      <c r="M98" s="166"/>
      <c r="N98" s="166"/>
      <c r="O98" s="166"/>
      <c r="P98" s="166"/>
      <c r="Q98" s="149"/>
      <c r="S98" s="149"/>
      <c r="T98" s="149"/>
      <c r="U98" s="38"/>
    </row>
    <row r="99" spans="1:21" ht="15.75" customHeight="1">
      <c r="B99" s="159" t="s">
        <v>139</v>
      </c>
      <c r="C99" s="160"/>
      <c r="D99" s="161"/>
      <c r="E99" s="162">
        <v>570.41666666666663</v>
      </c>
      <c r="F99" s="162">
        <v>796195878</v>
      </c>
      <c r="G99" s="162">
        <f>G75+G78+G83+G86+G97</f>
        <v>0</v>
      </c>
      <c r="H99" s="162">
        <v>0</v>
      </c>
      <c r="I99" s="162">
        <f>I75+I78+I83+I86+I97</f>
        <v>0</v>
      </c>
      <c r="J99" s="162">
        <f>J75+J78+J83+J86+J97</f>
        <v>796195878</v>
      </c>
      <c r="K99" s="165">
        <v>52997314.550000004</v>
      </c>
      <c r="L99" s="165">
        <f>L75+L78+L83+L86+L97</f>
        <v>0</v>
      </c>
      <c r="M99" s="165">
        <v>265680.62008411344</v>
      </c>
      <c r="N99" s="165">
        <v>829301</v>
      </c>
      <c r="O99" s="165">
        <v>0</v>
      </c>
      <c r="P99" s="165">
        <f>P75+P78+P83+P86+P88+P90+P91+P92+P93+P94+P95+P97</f>
        <v>1094981.620084113</v>
      </c>
      <c r="Q99" s="165">
        <f>Q75+Q78+Q83+Q86+Q88+Q97</f>
        <v>54092296.170084111</v>
      </c>
      <c r="S99" s="149"/>
      <c r="T99" s="149"/>
      <c r="U99" s="38"/>
    </row>
    <row r="100" spans="1:21" ht="15.75" customHeight="1">
      <c r="B100" s="139"/>
      <c r="C100" s="139"/>
      <c r="D100" s="169"/>
      <c r="E100" s="143"/>
      <c r="F100" s="143"/>
      <c r="G100" s="143"/>
      <c r="H100" s="143"/>
      <c r="I100" s="143"/>
      <c r="J100" s="144"/>
      <c r="K100" s="148" t="s">
        <v>0</v>
      </c>
      <c r="L100" s="148"/>
      <c r="M100" s="143"/>
      <c r="N100" s="143"/>
      <c r="O100" s="143"/>
      <c r="P100" s="143"/>
      <c r="Q100" s="143"/>
      <c r="S100" s="149"/>
      <c r="T100" s="149"/>
      <c r="U100" s="38"/>
    </row>
    <row r="101" spans="1:21" ht="15.75" customHeight="1">
      <c r="A101" s="138" t="s">
        <v>206</v>
      </c>
      <c r="B101" s="167"/>
      <c r="D101" s="145"/>
      <c r="E101" s="143"/>
      <c r="F101" s="143"/>
      <c r="G101" s="143"/>
      <c r="H101" s="143"/>
      <c r="I101" s="143"/>
      <c r="J101" s="144"/>
      <c r="K101" s="148"/>
      <c r="L101" s="148"/>
      <c r="M101" s="148"/>
      <c r="N101" s="148"/>
      <c r="O101" s="148"/>
      <c r="P101" s="148"/>
      <c r="Q101" s="148"/>
      <c r="U101" s="38"/>
    </row>
    <row r="102" spans="1:21" ht="15.75" customHeight="1">
      <c r="A102" s="138"/>
      <c r="B102" s="167"/>
      <c r="D102" s="142" t="s">
        <v>207</v>
      </c>
      <c r="E102" s="143"/>
      <c r="F102" s="143"/>
      <c r="G102" s="143"/>
      <c r="H102" s="143"/>
      <c r="I102" s="143"/>
      <c r="J102" s="144"/>
      <c r="K102" s="148"/>
      <c r="L102" s="148"/>
      <c r="M102" s="148"/>
      <c r="N102" s="148"/>
      <c r="O102" s="148"/>
      <c r="P102" s="148"/>
      <c r="Q102" s="148"/>
      <c r="U102" s="38"/>
    </row>
    <row r="103" spans="1:21" ht="15.75" customHeight="1">
      <c r="B103" s="167" t="s">
        <v>208</v>
      </c>
      <c r="D103" s="145">
        <v>40</v>
      </c>
      <c r="E103" s="146">
        <v>3092.5</v>
      </c>
      <c r="F103" s="146">
        <v>104774858</v>
      </c>
      <c r="G103" s="146">
        <f>F103/($F$119-$F$117)*$F$117</f>
        <v>-272703.8917722092</v>
      </c>
      <c r="H103" s="146">
        <v>-14180757.193</v>
      </c>
      <c r="I103" s="146">
        <f>H103+G103</f>
        <v>-14453461.084772209</v>
      </c>
      <c r="J103" s="147">
        <f t="shared" ref="J103:J104" si="49">F103+I103</f>
        <v>90321396.915227786</v>
      </c>
      <c r="K103" s="148">
        <v>8778574.7400000002</v>
      </c>
      <c r="L103" s="148">
        <f>K103/$K$105*$K$117</f>
        <v>-480470.7739742272</v>
      </c>
      <c r="M103" s="148">
        <v>-733767.82332164445</v>
      </c>
      <c r="N103" s="148">
        <v>131672</v>
      </c>
      <c r="O103" s="148">
        <v>0</v>
      </c>
      <c r="P103" s="148">
        <f t="shared" ref="P103:P104" si="50">L103+M103+N103+O103</f>
        <v>-1082566.5972958717</v>
      </c>
      <c r="Q103" s="148">
        <f t="shared" ref="Q103:Q104" si="51">K103+P103</f>
        <v>7696008.1427041283</v>
      </c>
      <c r="S103" s="149"/>
      <c r="T103" s="149"/>
      <c r="U103" s="38"/>
    </row>
    <row r="104" spans="1:21" ht="15.75" customHeight="1">
      <c r="B104" s="167" t="s">
        <v>209</v>
      </c>
      <c r="D104" s="145" t="s">
        <v>210</v>
      </c>
      <c r="E104" s="150">
        <v>2077.083333333333</v>
      </c>
      <c r="F104" s="150">
        <v>48908109</v>
      </c>
      <c r="G104" s="150">
        <f>F104/($F$119-$F$117)*$F$117</f>
        <v>-127296.10822779078</v>
      </c>
      <c r="H104" s="150">
        <v>0</v>
      </c>
      <c r="I104" s="150">
        <f>H104+G104</f>
        <v>-127296.10822779078</v>
      </c>
      <c r="J104" s="151">
        <f t="shared" si="49"/>
        <v>48780812.891772211</v>
      </c>
      <c r="K104" s="152">
        <v>4540822.26</v>
      </c>
      <c r="L104" s="152">
        <f>K104/$K$105*$K$117</f>
        <v>-248529.22602577278</v>
      </c>
      <c r="M104" s="152">
        <v>0</v>
      </c>
      <c r="N104" s="152">
        <v>74321</v>
      </c>
      <c r="O104" s="152">
        <v>0</v>
      </c>
      <c r="P104" s="152">
        <f t="shared" si="50"/>
        <v>-174208.22602577278</v>
      </c>
      <c r="Q104" s="152">
        <f t="shared" si="51"/>
        <v>4366614.0339742266</v>
      </c>
      <c r="S104" s="149"/>
      <c r="T104" s="149"/>
      <c r="U104" s="38"/>
    </row>
    <row r="105" spans="1:21" ht="15.75" customHeight="1">
      <c r="B105" s="125" t="s">
        <v>161</v>
      </c>
      <c r="D105" s="145"/>
      <c r="E105" s="146">
        <v>5169.583333333333</v>
      </c>
      <c r="F105" s="146">
        <v>153682967</v>
      </c>
      <c r="G105" s="146">
        <f>SUM(G103:G104)</f>
        <v>-400000</v>
      </c>
      <c r="H105" s="146">
        <f>SUM(H103:H104)</f>
        <v>-14180757.193</v>
      </c>
      <c r="I105" s="146">
        <f>SUM(I103:I104)</f>
        <v>-14580757.193</v>
      </c>
      <c r="J105" s="147">
        <f>SUM(J103:J104)</f>
        <v>139102209.80699998</v>
      </c>
      <c r="K105" s="148">
        <v>13319397</v>
      </c>
      <c r="L105" s="148">
        <f>SUM(L103:L104)</f>
        <v>-729000</v>
      </c>
      <c r="M105" s="148">
        <v>-733767.82332164445</v>
      </c>
      <c r="N105" s="148">
        <v>205993</v>
      </c>
      <c r="O105" s="148">
        <v>0</v>
      </c>
      <c r="P105" s="148">
        <f>SUM(P103:P104)</f>
        <v>-1256774.8233216444</v>
      </c>
      <c r="Q105" s="148">
        <f>SUM(Q103:Q104)</f>
        <v>12062622.176678356</v>
      </c>
      <c r="S105" s="149"/>
      <c r="T105" s="149"/>
      <c r="U105" s="38"/>
    </row>
    <row r="106" spans="1:21" s="153" customFormat="1" ht="15.75" customHeight="1">
      <c r="A106" s="125"/>
      <c r="B106" s="125"/>
      <c r="C106" s="125"/>
      <c r="D106" s="145"/>
      <c r="E106" s="143"/>
      <c r="F106" s="143"/>
      <c r="G106" s="143"/>
      <c r="H106" s="143" t="s">
        <v>0</v>
      </c>
      <c r="I106" s="143" t="s">
        <v>0</v>
      </c>
      <c r="J106" s="144" t="s">
        <v>0</v>
      </c>
      <c r="K106" s="148" t="s">
        <v>0</v>
      </c>
      <c r="L106" s="148"/>
      <c r="M106" s="148" t="s">
        <v>0</v>
      </c>
      <c r="N106" s="148" t="s">
        <v>0</v>
      </c>
      <c r="O106" s="148" t="s">
        <v>0</v>
      </c>
      <c r="P106" s="148"/>
      <c r="Q106" s="143"/>
      <c r="R106" s="153" t="s">
        <v>0</v>
      </c>
      <c r="S106" s="154"/>
      <c r="T106" s="154"/>
      <c r="U106" s="155"/>
    </row>
    <row r="107" spans="1:21" s="153" customFormat="1" ht="15.75" customHeight="1">
      <c r="B107" s="125" t="s">
        <v>164</v>
      </c>
      <c r="D107" s="145" t="s">
        <v>165</v>
      </c>
      <c r="E107" s="150">
        <v>0</v>
      </c>
      <c r="F107" s="150">
        <v>0</v>
      </c>
      <c r="G107" s="150"/>
      <c r="H107" s="150">
        <v>0</v>
      </c>
      <c r="I107" s="150">
        <v>0</v>
      </c>
      <c r="J107" s="151">
        <v>0</v>
      </c>
      <c r="K107" s="152">
        <v>228314.75</v>
      </c>
      <c r="L107" s="152"/>
      <c r="M107" s="152">
        <v>0</v>
      </c>
      <c r="N107" s="152">
        <v>0</v>
      </c>
      <c r="O107" s="152">
        <v>0</v>
      </c>
      <c r="P107" s="152">
        <v>0</v>
      </c>
      <c r="Q107" s="152">
        <v>228314.75</v>
      </c>
      <c r="S107" s="154"/>
      <c r="T107" s="154"/>
      <c r="U107" s="155"/>
    </row>
    <row r="108" spans="1:21" s="153" customFormat="1" ht="15.75" customHeight="1">
      <c r="B108" s="125"/>
      <c r="D108" s="145"/>
      <c r="E108" s="150"/>
      <c r="F108" s="150"/>
      <c r="G108" s="150"/>
      <c r="H108" s="150"/>
      <c r="I108" s="150"/>
      <c r="J108" s="151"/>
      <c r="K108" s="152"/>
      <c r="L108" s="152"/>
      <c r="M108" s="152"/>
      <c r="N108" s="152"/>
      <c r="O108" s="152"/>
      <c r="P108" s="152"/>
      <c r="Q108" s="152"/>
      <c r="S108" s="154"/>
      <c r="T108" s="154"/>
      <c r="U108" s="155"/>
    </row>
    <row r="109" spans="1:21" s="153" customFormat="1" ht="15.75" customHeight="1">
      <c r="B109" s="125" t="s">
        <v>211</v>
      </c>
      <c r="D109" s="145" t="s">
        <v>212</v>
      </c>
      <c r="E109" s="150">
        <v>0</v>
      </c>
      <c r="F109" s="150">
        <v>0</v>
      </c>
      <c r="G109" s="150"/>
      <c r="H109" s="150">
        <v>0</v>
      </c>
      <c r="I109" s="150">
        <v>0</v>
      </c>
      <c r="J109" s="151">
        <v>0</v>
      </c>
      <c r="K109" s="152">
        <v>0</v>
      </c>
      <c r="L109" s="152"/>
      <c r="M109" s="152">
        <v>0</v>
      </c>
      <c r="N109" s="152">
        <v>0</v>
      </c>
      <c r="O109" s="152">
        <v>0</v>
      </c>
      <c r="P109" s="152">
        <v>0</v>
      </c>
      <c r="Q109" s="152">
        <v>0</v>
      </c>
      <c r="S109" s="154"/>
      <c r="T109" s="154"/>
      <c r="U109" s="155"/>
    </row>
    <row r="110" spans="1:21" s="153" customFormat="1" ht="15.75" customHeight="1">
      <c r="B110" s="125" t="s">
        <v>166</v>
      </c>
      <c r="D110" s="145" t="s">
        <v>167</v>
      </c>
      <c r="E110" s="150">
        <v>0</v>
      </c>
      <c r="F110" s="150">
        <v>0</v>
      </c>
      <c r="G110" s="150"/>
      <c r="H110" s="150">
        <v>0</v>
      </c>
      <c r="I110" s="150">
        <v>0</v>
      </c>
      <c r="J110" s="151">
        <v>0</v>
      </c>
      <c r="K110" s="152">
        <v>0</v>
      </c>
      <c r="L110" s="152"/>
      <c r="M110" s="152">
        <v>0</v>
      </c>
      <c r="N110" s="152">
        <v>0</v>
      </c>
      <c r="O110" s="152">
        <v>0</v>
      </c>
      <c r="P110" s="152">
        <v>0</v>
      </c>
      <c r="Q110" s="152">
        <v>0</v>
      </c>
      <c r="S110" s="154"/>
      <c r="T110" s="154"/>
      <c r="U110" s="155"/>
    </row>
    <row r="111" spans="1:21" ht="15.75" customHeight="1">
      <c r="B111" s="125" t="s">
        <v>168</v>
      </c>
      <c r="D111" s="145" t="s">
        <v>169</v>
      </c>
      <c r="E111" s="150">
        <v>0</v>
      </c>
      <c r="F111" s="150">
        <v>0</v>
      </c>
      <c r="G111" s="150"/>
      <c r="H111" s="150">
        <v>0</v>
      </c>
      <c r="I111" s="150">
        <v>0</v>
      </c>
      <c r="J111" s="151">
        <v>0</v>
      </c>
      <c r="K111" s="152">
        <v>-887614.51</v>
      </c>
      <c r="L111" s="152"/>
      <c r="M111" s="152">
        <v>887614.51</v>
      </c>
      <c r="N111" s="152">
        <v>0</v>
      </c>
      <c r="O111" s="152">
        <v>0</v>
      </c>
      <c r="P111" s="152">
        <v>887614.51</v>
      </c>
      <c r="Q111" s="152">
        <v>0</v>
      </c>
      <c r="S111" s="149"/>
      <c r="T111" s="149"/>
      <c r="U111" s="38"/>
    </row>
    <row r="112" spans="1:21" s="153" customFormat="1" ht="15.75" customHeight="1">
      <c r="B112" s="125" t="s">
        <v>176</v>
      </c>
      <c r="D112" s="145" t="s">
        <v>177</v>
      </c>
      <c r="E112" s="150">
        <v>0</v>
      </c>
      <c r="F112" s="150">
        <v>0</v>
      </c>
      <c r="G112" s="150"/>
      <c r="H112" s="150">
        <v>0</v>
      </c>
      <c r="I112" s="150">
        <v>0</v>
      </c>
      <c r="J112" s="151">
        <v>0</v>
      </c>
      <c r="K112" s="152">
        <v>539361.99</v>
      </c>
      <c r="L112" s="152"/>
      <c r="M112" s="152">
        <v>-539361.99</v>
      </c>
      <c r="N112" s="152">
        <v>0</v>
      </c>
      <c r="O112" s="152">
        <v>0</v>
      </c>
      <c r="P112" s="152">
        <v>-539361.99</v>
      </c>
      <c r="Q112" s="152">
        <v>0</v>
      </c>
      <c r="S112" s="154"/>
      <c r="T112" s="154"/>
      <c r="U112" s="155"/>
    </row>
    <row r="113" spans="1:21" s="153" customFormat="1" ht="15.75" customHeight="1">
      <c r="B113" s="125" t="s">
        <v>178</v>
      </c>
      <c r="D113" s="145" t="s">
        <v>179</v>
      </c>
      <c r="E113" s="150">
        <v>0</v>
      </c>
      <c r="F113" s="150">
        <v>0</v>
      </c>
      <c r="G113" s="150"/>
      <c r="H113" s="150">
        <v>0</v>
      </c>
      <c r="I113" s="150">
        <v>0</v>
      </c>
      <c r="J113" s="151">
        <v>0</v>
      </c>
      <c r="K113" s="152">
        <v>337.23</v>
      </c>
      <c r="L113" s="152"/>
      <c r="M113" s="152">
        <v>-337.23</v>
      </c>
      <c r="N113" s="152">
        <v>0</v>
      </c>
      <c r="O113" s="152">
        <v>0</v>
      </c>
      <c r="P113" s="152">
        <v>-337.23</v>
      </c>
      <c r="Q113" s="152">
        <v>0</v>
      </c>
      <c r="S113" s="154"/>
      <c r="T113" s="154"/>
      <c r="U113" s="155"/>
    </row>
    <row r="114" spans="1:21" s="153" customFormat="1" ht="15.75" customHeight="1">
      <c r="B114" s="125" t="s">
        <v>205</v>
      </c>
      <c r="D114" s="145" t="s">
        <v>181</v>
      </c>
      <c r="E114" s="150">
        <v>0</v>
      </c>
      <c r="F114" s="150">
        <v>0</v>
      </c>
      <c r="G114" s="150"/>
      <c r="H114" s="150">
        <v>0</v>
      </c>
      <c r="I114" s="150">
        <v>0</v>
      </c>
      <c r="J114" s="151">
        <v>0</v>
      </c>
      <c r="K114" s="152">
        <v>-2758.01</v>
      </c>
      <c r="L114" s="152"/>
      <c r="M114" s="152">
        <v>2758.01</v>
      </c>
      <c r="N114" s="152">
        <v>0</v>
      </c>
      <c r="O114" s="152">
        <v>0</v>
      </c>
      <c r="P114" s="152">
        <v>2758.01</v>
      </c>
      <c r="Q114" s="152">
        <v>0</v>
      </c>
      <c r="S114" s="154"/>
      <c r="T114" s="154"/>
      <c r="U114" s="155"/>
    </row>
    <row r="115" spans="1:21" s="153" customFormat="1" ht="15.75" customHeight="1">
      <c r="B115" s="125" t="s">
        <v>213</v>
      </c>
      <c r="D115" s="145" t="s">
        <v>214</v>
      </c>
      <c r="E115" s="150">
        <v>0</v>
      </c>
      <c r="F115" s="150">
        <v>0</v>
      </c>
      <c r="G115" s="150"/>
      <c r="H115" s="150">
        <v>0</v>
      </c>
      <c r="I115" s="150">
        <v>0</v>
      </c>
      <c r="J115" s="151">
        <v>0</v>
      </c>
      <c r="K115" s="152">
        <v>109650.42</v>
      </c>
      <c r="L115" s="152"/>
      <c r="M115" s="152">
        <v>-109650.42</v>
      </c>
      <c r="N115" s="152">
        <v>0</v>
      </c>
      <c r="O115" s="152">
        <v>0</v>
      </c>
      <c r="P115" s="152">
        <v>-109650.42</v>
      </c>
      <c r="Q115" s="152">
        <v>0</v>
      </c>
      <c r="S115" s="154"/>
      <c r="T115" s="154"/>
      <c r="U115" s="155"/>
    </row>
    <row r="116" spans="1:21" ht="15.75" customHeight="1">
      <c r="D116" s="145"/>
      <c r="E116" s="143"/>
      <c r="F116" s="143"/>
      <c r="G116" s="143"/>
      <c r="H116" s="143"/>
      <c r="I116" s="143"/>
      <c r="J116" s="144"/>
      <c r="K116" s="148"/>
      <c r="L116" s="148"/>
      <c r="M116" s="148"/>
      <c r="N116" s="148"/>
      <c r="O116" s="148"/>
      <c r="P116" s="148"/>
      <c r="Q116" s="148"/>
      <c r="S116" s="149"/>
      <c r="T116" s="149"/>
      <c r="U116" s="38"/>
    </row>
    <row r="117" spans="1:21" s="153" customFormat="1" ht="15.75" customHeight="1">
      <c r="B117" s="125" t="s">
        <v>184</v>
      </c>
      <c r="D117" s="145" t="s">
        <v>185</v>
      </c>
      <c r="E117" s="150">
        <v>0</v>
      </c>
      <c r="F117" s="150">
        <v>-400000</v>
      </c>
      <c r="G117" s="150">
        <f>-F117</f>
        <v>400000</v>
      </c>
      <c r="H117" s="150">
        <v>0</v>
      </c>
      <c r="I117" s="146">
        <f>H117+G117</f>
        <v>400000</v>
      </c>
      <c r="J117" s="147">
        <f t="shared" ref="J117" si="52">F117+I117</f>
        <v>0</v>
      </c>
      <c r="K117" s="152">
        <v>-729000</v>
      </c>
      <c r="L117" s="152">
        <f>-K117</f>
        <v>729000</v>
      </c>
      <c r="M117" s="152">
        <v>0</v>
      </c>
      <c r="N117" s="152">
        <v>0</v>
      </c>
      <c r="O117" s="152">
        <v>0</v>
      </c>
      <c r="P117" s="152">
        <f t="shared" ref="P117" si="53">L117+M117+N117+O117</f>
        <v>729000</v>
      </c>
      <c r="Q117" s="152">
        <f t="shared" ref="Q117" si="54">K117+P117</f>
        <v>0</v>
      </c>
      <c r="S117" s="154"/>
      <c r="T117" s="154"/>
      <c r="U117" s="155"/>
    </row>
    <row r="118" spans="1:21" ht="15.75" customHeight="1">
      <c r="B118" s="167"/>
      <c r="D118" s="145"/>
      <c r="E118" s="146"/>
      <c r="F118" s="146"/>
      <c r="G118" s="146"/>
      <c r="H118" s="146"/>
      <c r="I118" s="146"/>
      <c r="J118" s="147"/>
      <c r="K118" s="148"/>
      <c r="L118" s="148"/>
      <c r="M118" s="148"/>
      <c r="N118" s="148"/>
      <c r="O118" s="148"/>
      <c r="P118" s="148"/>
      <c r="Q118" s="148"/>
      <c r="S118" s="149"/>
      <c r="T118" s="149"/>
      <c r="U118" s="38"/>
    </row>
    <row r="119" spans="1:21" ht="15.75" customHeight="1">
      <c r="B119" s="159" t="s">
        <v>139</v>
      </c>
      <c r="C119" s="160"/>
      <c r="D119" s="161"/>
      <c r="E119" s="162">
        <v>5169.583333333333</v>
      </c>
      <c r="F119" s="162">
        <v>153282967</v>
      </c>
      <c r="G119" s="162">
        <f>G105+G117</f>
        <v>0</v>
      </c>
      <c r="H119" s="162">
        <f>H105+H117</f>
        <v>-14180757.193</v>
      </c>
      <c r="I119" s="162">
        <f>I105+I117</f>
        <v>-14180757.193</v>
      </c>
      <c r="J119" s="163">
        <f>J105+J117</f>
        <v>139102209.80699998</v>
      </c>
      <c r="K119" s="165">
        <v>12577688.869999999</v>
      </c>
      <c r="L119" s="165">
        <f>L105+L117</f>
        <v>0</v>
      </c>
      <c r="M119" s="165">
        <v>-492744.94332164439</v>
      </c>
      <c r="N119" s="165">
        <v>205993</v>
      </c>
      <c r="O119" s="165">
        <v>0</v>
      </c>
      <c r="P119" s="165">
        <f>P105+P107+P109+P110+P111+P112+P113+P114+P115+P117</f>
        <v>-286751.94332164444</v>
      </c>
      <c r="Q119" s="165">
        <f>Q105+Q107+Q109+Q110+Q111+Q112+Q113+Q114+Q115+Q117</f>
        <v>12290936.926678356</v>
      </c>
      <c r="S119" s="149"/>
      <c r="T119" s="149"/>
      <c r="U119" s="38"/>
    </row>
    <row r="120" spans="1:21" ht="15.75" customHeight="1">
      <c r="B120" s="167"/>
      <c r="D120" s="145"/>
      <c r="E120" s="146"/>
      <c r="F120" s="146"/>
      <c r="G120" s="146"/>
      <c r="H120" s="146"/>
      <c r="I120" s="146"/>
      <c r="J120" s="147"/>
      <c r="K120" s="148"/>
      <c r="L120" s="148"/>
      <c r="M120" s="148"/>
      <c r="N120" s="148"/>
      <c r="O120" s="148"/>
      <c r="P120" s="148"/>
      <c r="Q120" s="148"/>
      <c r="S120" s="149"/>
      <c r="T120" s="149"/>
      <c r="U120" s="38"/>
    </row>
    <row r="121" spans="1:21" ht="15.75" customHeight="1">
      <c r="A121" s="138" t="s">
        <v>215</v>
      </c>
      <c r="B121" s="167"/>
      <c r="D121" s="145"/>
      <c r="E121" s="143"/>
      <c r="F121" s="143"/>
      <c r="G121" s="143"/>
      <c r="H121" s="143"/>
      <c r="I121" s="143"/>
      <c r="J121" s="144"/>
      <c r="K121" s="148"/>
      <c r="L121" s="148"/>
      <c r="M121" s="148"/>
      <c r="N121" s="148"/>
      <c r="O121" s="148"/>
      <c r="P121" s="148"/>
      <c r="Q121" s="148"/>
      <c r="U121" s="38"/>
    </row>
    <row r="122" spans="1:21" ht="15.75" customHeight="1">
      <c r="A122" s="138"/>
      <c r="B122" s="167"/>
      <c r="D122" s="142" t="s">
        <v>216</v>
      </c>
      <c r="E122" s="143"/>
      <c r="F122" s="143"/>
      <c r="G122" s="143"/>
      <c r="H122" s="143"/>
      <c r="I122" s="143"/>
      <c r="J122" s="144"/>
      <c r="K122" s="148"/>
      <c r="L122" s="148"/>
      <c r="M122" s="148"/>
      <c r="N122" s="148"/>
      <c r="O122" s="148"/>
      <c r="P122" s="148"/>
      <c r="Q122" s="148"/>
      <c r="U122" s="38"/>
    </row>
    <row r="123" spans="1:21" ht="15.75" customHeight="1">
      <c r="B123" s="167" t="s">
        <v>217</v>
      </c>
      <c r="D123" s="145">
        <v>52</v>
      </c>
      <c r="E123" s="146">
        <v>14</v>
      </c>
      <c r="F123" s="146">
        <v>150831</v>
      </c>
      <c r="G123" s="146">
        <f>F123/($F$139-$F$137)*$F$137</f>
        <v>24705.860575739898</v>
      </c>
      <c r="H123" s="146">
        <v>0</v>
      </c>
      <c r="I123" s="146">
        <f>H123+G123</f>
        <v>24705.860575739898</v>
      </c>
      <c r="J123" s="147">
        <f t="shared" ref="J123:J128" si="55">F123+I123</f>
        <v>175536.86057573991</v>
      </c>
      <c r="K123" s="148">
        <v>31498.21</v>
      </c>
      <c r="L123" s="148">
        <f>K123/$K$129*$K$137</f>
        <v>5522.0221125377166</v>
      </c>
      <c r="M123" s="148">
        <v>-489.62728415133103</v>
      </c>
      <c r="N123" s="148">
        <v>508</v>
      </c>
      <c r="O123" s="148">
        <v>0</v>
      </c>
      <c r="P123" s="148">
        <f t="shared" ref="P123:P128" si="56">L123+M123+N123+O123</f>
        <v>5540.3948283863856</v>
      </c>
      <c r="Q123" s="148">
        <f t="shared" ref="Q123:Q128" si="57">K123+P123</f>
        <v>37038.604828386386</v>
      </c>
      <c r="S123" s="149"/>
      <c r="T123" s="149"/>
      <c r="U123" s="38"/>
    </row>
    <row r="124" spans="1:21" ht="15.75" customHeight="1">
      <c r="B124" s="167" t="s">
        <v>218</v>
      </c>
      <c r="D124" s="145" t="s">
        <v>219</v>
      </c>
      <c r="E124" s="146">
        <v>115.91666666666667</v>
      </c>
      <c r="F124" s="146">
        <v>3328028</v>
      </c>
      <c r="G124" s="146">
        <f t="shared" ref="G124:G128" si="58">F124/($F$139-$F$137)*$F$137</f>
        <v>545125.31084563851</v>
      </c>
      <c r="H124" s="146">
        <v>0</v>
      </c>
      <c r="I124" s="146">
        <f t="shared" ref="I124:I128" si="59">H124+G124</f>
        <v>545125.31084563851</v>
      </c>
      <c r="J124" s="147">
        <f t="shared" si="55"/>
        <v>3873153.3108456386</v>
      </c>
      <c r="K124" s="148">
        <v>249153.92000000001</v>
      </c>
      <c r="L124" s="148">
        <f t="shared" ref="L124:L128" si="60">K124/$K$129*$K$137</f>
        <v>43679.734679064408</v>
      </c>
      <c r="M124" s="148">
        <v>-13924.536145697648</v>
      </c>
      <c r="N124" s="148">
        <v>3850</v>
      </c>
      <c r="O124" s="148">
        <v>0</v>
      </c>
      <c r="P124" s="148">
        <f t="shared" si="56"/>
        <v>33605.198533366762</v>
      </c>
      <c r="Q124" s="148">
        <f t="shared" si="57"/>
        <v>282759.11853336677</v>
      </c>
      <c r="S124" s="149"/>
      <c r="T124" s="149"/>
      <c r="U124" s="38"/>
    </row>
    <row r="125" spans="1:21" ht="15.75" customHeight="1">
      <c r="B125" s="167" t="s">
        <v>220</v>
      </c>
      <c r="D125" s="145" t="s">
        <v>221</v>
      </c>
      <c r="E125" s="146">
        <v>104.83333333333333</v>
      </c>
      <c r="F125" s="146">
        <v>951452</v>
      </c>
      <c r="G125" s="146">
        <f t="shared" si="58"/>
        <v>155846.2150122248</v>
      </c>
      <c r="H125" s="146">
        <v>0</v>
      </c>
      <c r="I125" s="146">
        <f t="shared" si="59"/>
        <v>155846.2150122248</v>
      </c>
      <c r="J125" s="147">
        <f t="shared" si="55"/>
        <v>1107298.2150122249</v>
      </c>
      <c r="K125" s="148">
        <v>70499.03</v>
      </c>
      <c r="L125" s="148">
        <f t="shared" si="60"/>
        <v>12359.343676115559</v>
      </c>
      <c r="M125" s="148">
        <v>0</v>
      </c>
      <c r="N125" s="148">
        <v>1154</v>
      </c>
      <c r="O125" s="148">
        <v>0</v>
      </c>
      <c r="P125" s="148">
        <f t="shared" si="56"/>
        <v>13513.343676115559</v>
      </c>
      <c r="Q125" s="148">
        <f t="shared" si="57"/>
        <v>84012.37367611556</v>
      </c>
      <c r="S125" s="149"/>
      <c r="T125" s="149"/>
      <c r="U125" s="38"/>
    </row>
    <row r="126" spans="1:21" ht="15.75" customHeight="1">
      <c r="B126" s="167" t="s">
        <v>222</v>
      </c>
      <c r="D126" s="145">
        <v>51</v>
      </c>
      <c r="E126" s="146">
        <v>193.25</v>
      </c>
      <c r="F126" s="146">
        <v>3834472</v>
      </c>
      <c r="G126" s="146">
        <f t="shared" si="58"/>
        <v>628079.97436586977</v>
      </c>
      <c r="H126" s="146">
        <v>0</v>
      </c>
      <c r="I126" s="146">
        <f t="shared" si="59"/>
        <v>628079.97436586977</v>
      </c>
      <c r="J126" s="147">
        <f t="shared" si="55"/>
        <v>4462551.9743658695</v>
      </c>
      <c r="K126" s="148">
        <v>797766.3</v>
      </c>
      <c r="L126" s="148">
        <f t="shared" si="60"/>
        <v>139858.20620401599</v>
      </c>
      <c r="M126" s="148">
        <v>-12452.708073463864</v>
      </c>
      <c r="N126" s="148">
        <v>12745</v>
      </c>
      <c r="O126" s="148">
        <v>0</v>
      </c>
      <c r="P126" s="148">
        <f t="shared" si="56"/>
        <v>140150.49813055212</v>
      </c>
      <c r="Q126" s="148">
        <f t="shared" si="57"/>
        <v>937916.79813055217</v>
      </c>
      <c r="S126" s="149"/>
      <c r="T126" s="149"/>
      <c r="U126" s="38"/>
    </row>
    <row r="127" spans="1:21" s="153" customFormat="1" ht="15.75" customHeight="1">
      <c r="B127" s="167" t="s">
        <v>223</v>
      </c>
      <c r="D127" s="145">
        <v>57</v>
      </c>
      <c r="E127" s="146">
        <v>40.083333333333336</v>
      </c>
      <c r="F127" s="146">
        <v>1637640</v>
      </c>
      <c r="G127" s="146">
        <f t="shared" si="58"/>
        <v>268242.63920052699</v>
      </c>
      <c r="H127" s="146">
        <v>0</v>
      </c>
      <c r="I127" s="146">
        <f t="shared" si="59"/>
        <v>268242.63920052699</v>
      </c>
      <c r="J127" s="147">
        <f t="shared" si="55"/>
        <v>1905882.639200527</v>
      </c>
      <c r="K127" s="148">
        <v>214273.49</v>
      </c>
      <c r="L127" s="148">
        <f t="shared" si="60"/>
        <v>37564.767963342339</v>
      </c>
      <c r="M127" s="148">
        <v>-5318.3146895874515</v>
      </c>
      <c r="N127" s="148">
        <v>3391</v>
      </c>
      <c r="O127" s="148">
        <v>0</v>
      </c>
      <c r="P127" s="148">
        <f t="shared" si="56"/>
        <v>35637.453273754887</v>
      </c>
      <c r="Q127" s="148">
        <f t="shared" si="57"/>
        <v>249910.94327375488</v>
      </c>
      <c r="S127" s="154"/>
      <c r="T127" s="154"/>
      <c r="U127" s="155"/>
    </row>
    <row r="128" spans="1:21" s="153" customFormat="1" ht="15.75" customHeight="1">
      <c r="B128" s="167" t="s">
        <v>224</v>
      </c>
      <c r="D128" s="145">
        <v>12</v>
      </c>
      <c r="E128" s="150">
        <v>0</v>
      </c>
      <c r="F128" s="150">
        <v>0</v>
      </c>
      <c r="G128" s="184">
        <f t="shared" si="58"/>
        <v>0</v>
      </c>
      <c r="H128" s="150">
        <v>0</v>
      </c>
      <c r="I128" s="150">
        <f t="shared" si="59"/>
        <v>0</v>
      </c>
      <c r="J128" s="151">
        <f t="shared" si="55"/>
        <v>0</v>
      </c>
      <c r="K128" s="152">
        <v>90.84</v>
      </c>
      <c r="L128" s="152">
        <f t="shared" si="60"/>
        <v>15.925364924004448</v>
      </c>
      <c r="M128" s="152">
        <v>0</v>
      </c>
      <c r="N128" s="152">
        <v>0</v>
      </c>
      <c r="O128" s="152">
        <v>0</v>
      </c>
      <c r="P128" s="152">
        <f t="shared" si="56"/>
        <v>15.925364924004448</v>
      </c>
      <c r="Q128" s="152">
        <f t="shared" si="57"/>
        <v>106.76536492400444</v>
      </c>
      <c r="S128" s="154"/>
      <c r="T128" s="154"/>
      <c r="U128" s="155"/>
    </row>
    <row r="129" spans="1:21" ht="15.75" customHeight="1">
      <c r="B129" s="125" t="s">
        <v>225</v>
      </c>
      <c r="D129" s="145"/>
      <c r="E129" s="146">
        <v>468.08333333333331</v>
      </c>
      <c r="F129" s="146">
        <v>9902423</v>
      </c>
      <c r="G129" s="146">
        <f>SUM(G123:G128)</f>
        <v>1622000</v>
      </c>
      <c r="H129" s="146">
        <v>0</v>
      </c>
      <c r="I129" s="146">
        <f>SUM(I123:I128)</f>
        <v>1622000</v>
      </c>
      <c r="J129" s="147">
        <f>SUM(J123:J128)</f>
        <v>11524423</v>
      </c>
      <c r="K129" s="148">
        <v>1363281.79</v>
      </c>
      <c r="L129" s="148">
        <f>SUM(L123:L128)</f>
        <v>239000.00000000003</v>
      </c>
      <c r="M129" s="148">
        <v>-32185.186192900295</v>
      </c>
      <c r="N129" s="148">
        <v>21648</v>
      </c>
      <c r="O129" s="148">
        <v>0</v>
      </c>
      <c r="P129" s="148">
        <f>SUM(P123:P128)</f>
        <v>228462.81380709974</v>
      </c>
      <c r="Q129" s="148">
        <f>SUM(Q123:Q128)</f>
        <v>1591744.6038070996</v>
      </c>
      <c r="S129" s="149"/>
      <c r="T129" s="149"/>
      <c r="U129" s="38"/>
    </row>
    <row r="130" spans="1:21" ht="15.75" customHeight="1">
      <c r="D130" s="145"/>
      <c r="E130" s="143"/>
      <c r="F130" s="143"/>
      <c r="G130" s="143"/>
      <c r="H130" s="143"/>
      <c r="I130" s="143"/>
      <c r="J130" s="144"/>
      <c r="K130" s="148"/>
      <c r="L130" s="148"/>
      <c r="M130" s="148"/>
      <c r="N130" s="148"/>
      <c r="O130" s="148"/>
      <c r="P130" s="148"/>
      <c r="Q130" s="148"/>
      <c r="S130" s="149"/>
      <c r="T130" s="149"/>
      <c r="U130" s="38"/>
    </row>
    <row r="131" spans="1:21" ht="15.75" customHeight="1">
      <c r="B131" s="167" t="s">
        <v>164</v>
      </c>
      <c r="D131" s="145" t="s">
        <v>165</v>
      </c>
      <c r="E131" s="150">
        <v>0</v>
      </c>
      <c r="F131" s="150">
        <v>0</v>
      </c>
      <c r="G131" s="150"/>
      <c r="H131" s="150">
        <v>0</v>
      </c>
      <c r="I131" s="150">
        <v>0</v>
      </c>
      <c r="J131" s="151">
        <v>0</v>
      </c>
      <c r="K131" s="152">
        <v>0</v>
      </c>
      <c r="L131" s="152"/>
      <c r="M131" s="152">
        <v>0</v>
      </c>
      <c r="N131" s="152">
        <v>0</v>
      </c>
      <c r="O131" s="152">
        <v>0</v>
      </c>
      <c r="P131" s="152">
        <v>0</v>
      </c>
      <c r="Q131" s="152">
        <v>0</v>
      </c>
      <c r="S131" s="149"/>
      <c r="T131" s="149"/>
      <c r="U131" s="38"/>
    </row>
    <row r="132" spans="1:21" ht="15.75" customHeight="1">
      <c r="B132" s="167"/>
      <c r="D132" s="145"/>
      <c r="E132" s="150"/>
      <c r="F132" s="150"/>
      <c r="G132" s="150"/>
      <c r="H132" s="150"/>
      <c r="I132" s="150"/>
      <c r="J132" s="151"/>
      <c r="K132" s="152"/>
      <c r="L132" s="152"/>
      <c r="M132" s="152"/>
      <c r="N132" s="152"/>
      <c r="O132" s="152"/>
      <c r="P132" s="152"/>
      <c r="Q132" s="152"/>
      <c r="S132" s="149"/>
      <c r="T132" s="149"/>
      <c r="U132" s="38"/>
    </row>
    <row r="133" spans="1:21" ht="15.75" customHeight="1">
      <c r="B133" s="125" t="s">
        <v>166</v>
      </c>
      <c r="D133" s="145" t="s">
        <v>167</v>
      </c>
      <c r="E133" s="150">
        <v>0</v>
      </c>
      <c r="F133" s="150">
        <v>0</v>
      </c>
      <c r="G133" s="150"/>
      <c r="H133" s="150">
        <v>0</v>
      </c>
      <c r="I133" s="150">
        <v>0</v>
      </c>
      <c r="J133" s="151">
        <v>0</v>
      </c>
      <c r="K133" s="152">
        <v>0</v>
      </c>
      <c r="L133" s="152"/>
      <c r="M133" s="152">
        <v>0</v>
      </c>
      <c r="N133" s="152">
        <v>0</v>
      </c>
      <c r="O133" s="152">
        <v>0</v>
      </c>
      <c r="P133" s="152">
        <v>0</v>
      </c>
      <c r="Q133" s="152">
        <v>0</v>
      </c>
      <c r="S133" s="149"/>
      <c r="T133" s="149"/>
      <c r="U133" s="38"/>
    </row>
    <row r="134" spans="1:21" ht="15.75" customHeight="1">
      <c r="B134" s="125" t="s">
        <v>168</v>
      </c>
      <c r="D134" s="145" t="s">
        <v>169</v>
      </c>
      <c r="E134" s="150">
        <v>0</v>
      </c>
      <c r="F134" s="150">
        <v>0</v>
      </c>
      <c r="G134" s="150"/>
      <c r="H134" s="150">
        <v>0</v>
      </c>
      <c r="I134" s="150">
        <v>0</v>
      </c>
      <c r="J134" s="151">
        <v>0</v>
      </c>
      <c r="K134" s="152">
        <v>-77374.83</v>
      </c>
      <c r="L134" s="152"/>
      <c r="M134" s="152">
        <v>77374.83</v>
      </c>
      <c r="N134" s="152">
        <v>0</v>
      </c>
      <c r="O134" s="152">
        <v>0</v>
      </c>
      <c r="P134" s="152">
        <v>77374.83</v>
      </c>
      <c r="Q134" s="152">
        <v>0</v>
      </c>
      <c r="S134" s="149"/>
      <c r="T134" s="149"/>
      <c r="U134" s="38"/>
    </row>
    <row r="135" spans="1:21" ht="15.75" customHeight="1">
      <c r="B135" s="125" t="s">
        <v>176</v>
      </c>
      <c r="D135" s="145" t="s">
        <v>177</v>
      </c>
      <c r="E135" s="150">
        <v>0</v>
      </c>
      <c r="F135" s="150">
        <v>0</v>
      </c>
      <c r="G135" s="150"/>
      <c r="H135" s="150">
        <v>0</v>
      </c>
      <c r="I135" s="150">
        <v>0</v>
      </c>
      <c r="J135" s="151">
        <v>0</v>
      </c>
      <c r="K135" s="152">
        <v>32629.24</v>
      </c>
      <c r="L135" s="152"/>
      <c r="M135" s="152">
        <v>-32629.24</v>
      </c>
      <c r="N135" s="152">
        <v>0</v>
      </c>
      <c r="O135" s="152">
        <v>0</v>
      </c>
      <c r="P135" s="152">
        <v>-32629.24</v>
      </c>
      <c r="Q135" s="152">
        <v>0</v>
      </c>
      <c r="S135" s="149"/>
      <c r="T135" s="149"/>
      <c r="U135" s="38"/>
    </row>
    <row r="136" spans="1:21" ht="15.75" customHeight="1">
      <c r="B136" s="153"/>
      <c r="D136" s="145"/>
      <c r="E136" s="143"/>
      <c r="F136" s="143"/>
      <c r="G136" s="143"/>
      <c r="H136" s="143"/>
      <c r="I136" s="143"/>
      <c r="J136" s="144"/>
      <c r="K136" s="148"/>
      <c r="L136" s="148"/>
      <c r="M136" s="166"/>
      <c r="N136" s="166"/>
      <c r="O136" s="166"/>
      <c r="P136" s="166"/>
      <c r="Q136" s="149"/>
      <c r="S136" s="149"/>
      <c r="T136" s="149"/>
      <c r="U136" s="38"/>
    </row>
    <row r="137" spans="1:21" s="153" customFormat="1" ht="15.75" customHeight="1">
      <c r="B137" s="125" t="s">
        <v>184</v>
      </c>
      <c r="D137" s="145" t="s">
        <v>185</v>
      </c>
      <c r="E137" s="150">
        <v>0</v>
      </c>
      <c r="F137" s="150">
        <v>1622000</v>
      </c>
      <c r="G137" s="150">
        <f>-F137</f>
        <v>-1622000</v>
      </c>
      <c r="H137" s="150">
        <v>0</v>
      </c>
      <c r="I137" s="150">
        <f t="shared" ref="I137" si="61">H137+G137</f>
        <v>-1622000</v>
      </c>
      <c r="J137" s="147">
        <f t="shared" ref="J137" si="62">F137+I137</f>
        <v>0</v>
      </c>
      <c r="K137" s="152">
        <v>239000</v>
      </c>
      <c r="L137" s="152">
        <f>-K137</f>
        <v>-239000</v>
      </c>
      <c r="M137" s="152">
        <v>0</v>
      </c>
      <c r="N137" s="152">
        <v>0</v>
      </c>
      <c r="O137" s="152">
        <v>0</v>
      </c>
      <c r="P137" s="148">
        <f t="shared" ref="P137" si="63">L137+M137+N137+O137</f>
        <v>-239000</v>
      </c>
      <c r="Q137" s="148">
        <f t="shared" ref="Q137" si="64">K137+P137</f>
        <v>0</v>
      </c>
      <c r="S137" s="154"/>
      <c r="T137" s="154"/>
      <c r="U137" s="155"/>
    </row>
    <row r="138" spans="1:21" ht="15.75" customHeight="1">
      <c r="B138" s="153"/>
      <c r="E138" s="143"/>
      <c r="F138" s="143"/>
      <c r="G138" s="143"/>
      <c r="H138" s="143"/>
      <c r="I138" s="143"/>
      <c r="J138" s="144"/>
      <c r="K138" s="148"/>
      <c r="L138" s="148"/>
      <c r="M138" s="166"/>
      <c r="N138" s="166"/>
      <c r="O138" s="166"/>
      <c r="P138" s="166"/>
      <c r="Q138" s="149"/>
      <c r="S138" s="149"/>
      <c r="T138" s="149"/>
      <c r="U138" s="38"/>
    </row>
    <row r="139" spans="1:21" ht="15.75" customHeight="1">
      <c r="B139" s="159" t="s">
        <v>139</v>
      </c>
      <c r="C139" s="160"/>
      <c r="D139" s="160"/>
      <c r="E139" s="162">
        <v>468.08333333333331</v>
      </c>
      <c r="F139" s="162">
        <v>11524423</v>
      </c>
      <c r="G139" s="162">
        <f>G129+G137</f>
        <v>0</v>
      </c>
      <c r="H139" s="162">
        <v>0</v>
      </c>
      <c r="I139" s="162">
        <f>I129+I137</f>
        <v>0</v>
      </c>
      <c r="J139" s="163">
        <f>J129+J137</f>
        <v>11524423</v>
      </c>
      <c r="K139" s="165">
        <v>1557536.2</v>
      </c>
      <c r="L139" s="165">
        <f>L129+L137</f>
        <v>0</v>
      </c>
      <c r="M139" s="165">
        <v>12560.403807099701</v>
      </c>
      <c r="N139" s="165">
        <v>21648</v>
      </c>
      <c r="O139" s="165">
        <v>0</v>
      </c>
      <c r="P139" s="165">
        <f>P129+P131+P133+P134+P135+P137</f>
        <v>34208.403807099734</v>
      </c>
      <c r="Q139" s="165">
        <f>Q129+Q131+Q133+Q134+Q135+Q137</f>
        <v>1591744.6038070996</v>
      </c>
      <c r="S139" s="149"/>
      <c r="T139" s="149"/>
      <c r="U139" s="38"/>
    </row>
    <row r="140" spans="1:21" ht="15.75" customHeight="1">
      <c r="B140" s="139"/>
      <c r="C140" s="139"/>
      <c r="D140" s="139"/>
      <c r="E140" s="143"/>
      <c r="F140" s="143"/>
      <c r="G140" s="143"/>
      <c r="H140" s="143"/>
      <c r="I140" s="143"/>
      <c r="J140" s="144"/>
      <c r="K140" s="148" t="s">
        <v>0</v>
      </c>
      <c r="L140" s="148"/>
      <c r="M140" s="143"/>
      <c r="N140" s="143"/>
      <c r="O140" s="143"/>
      <c r="P140" s="143"/>
      <c r="Q140" s="143"/>
      <c r="S140" s="149"/>
      <c r="T140" s="149"/>
      <c r="U140" s="38"/>
    </row>
    <row r="141" spans="1:21" ht="15.75" customHeight="1" thickBot="1">
      <c r="E141" s="143"/>
      <c r="F141" s="143"/>
      <c r="G141" s="143"/>
      <c r="H141" s="143"/>
      <c r="I141" s="143"/>
      <c r="J141" s="144"/>
      <c r="K141" s="148"/>
      <c r="L141" s="148"/>
      <c r="M141" s="143"/>
      <c r="N141" s="143"/>
      <c r="O141" s="143"/>
      <c r="P141" s="143"/>
      <c r="Q141" s="149" t="s">
        <v>0</v>
      </c>
      <c r="S141" s="149"/>
      <c r="T141" s="149"/>
      <c r="U141" s="38"/>
    </row>
    <row r="142" spans="1:21" s="175" customFormat="1" ht="15.75" customHeight="1" thickTop="1" thickBot="1">
      <c r="A142" s="170"/>
      <c r="B142" s="171" t="s">
        <v>139</v>
      </c>
      <c r="C142" s="172"/>
      <c r="D142" s="172"/>
      <c r="E142" s="173">
        <v>135833.66666666669</v>
      </c>
      <c r="F142" s="173">
        <v>4221297952</v>
      </c>
      <c r="G142" s="173"/>
      <c r="H142" s="173">
        <v>-92844885.180000007</v>
      </c>
      <c r="I142" s="173">
        <v>-92844885.180000007</v>
      </c>
      <c r="J142" s="173">
        <f>J39+J69+J99+J119+J139</f>
        <v>4128453066.8200006</v>
      </c>
      <c r="K142" s="173">
        <v>345317604.13999999</v>
      </c>
      <c r="L142" s="173">
        <f>L39+L69+L99+L119+L139</f>
        <v>0</v>
      </c>
      <c r="M142" s="173">
        <v>4524560.5955106579</v>
      </c>
      <c r="N142" s="174">
        <v>5690887</v>
      </c>
      <c r="O142" s="174">
        <v>0</v>
      </c>
      <c r="P142" s="173">
        <v>10215447.595510658</v>
      </c>
      <c r="Q142" s="173">
        <f>Q39+Q69+Q99+Q119+Q139</f>
        <v>355533051.73551065</v>
      </c>
      <c r="S142" s="176"/>
      <c r="T142" s="176"/>
      <c r="U142" s="177"/>
    </row>
    <row r="143" spans="1:21" ht="15.75" customHeight="1" thickTop="1">
      <c r="A143" s="139"/>
      <c r="B143" s="139"/>
      <c r="C143" s="139"/>
      <c r="D143" s="139"/>
      <c r="E143" s="139"/>
      <c r="F143" s="139"/>
      <c r="G143" s="139"/>
      <c r="H143" s="139"/>
      <c r="I143" s="139"/>
      <c r="J143" s="178" t="s">
        <v>0</v>
      </c>
      <c r="K143" s="148" t="s">
        <v>0</v>
      </c>
      <c r="L143" s="148"/>
      <c r="M143" s="139" t="s">
        <v>0</v>
      </c>
      <c r="N143" s="139"/>
      <c r="O143" s="139"/>
      <c r="P143" s="139"/>
      <c r="Q143" s="166" t="s">
        <v>0</v>
      </c>
    </row>
    <row r="144" spans="1:21" ht="15.75" customHeight="1">
      <c r="A144" s="139"/>
      <c r="B144" s="139"/>
      <c r="C144" s="139"/>
      <c r="D144" s="139"/>
      <c r="E144" s="139"/>
      <c r="F144" s="146"/>
      <c r="G144" s="146"/>
      <c r="H144" s="139"/>
      <c r="I144" s="139"/>
      <c r="J144" s="179" t="s">
        <v>0</v>
      </c>
      <c r="K144" s="148" t="s">
        <v>0</v>
      </c>
      <c r="L144" s="148"/>
      <c r="M144" s="148"/>
      <c r="N144" s="139"/>
      <c r="O144" s="139"/>
      <c r="P144" s="146"/>
      <c r="Q144" s="139"/>
    </row>
    <row r="145" spans="1:17" ht="15.75" customHeight="1">
      <c r="A145" s="139"/>
      <c r="B145" s="180" t="s">
        <v>226</v>
      </c>
      <c r="C145" s="139"/>
      <c r="D145" s="139"/>
      <c r="E145" s="139"/>
      <c r="F145" s="146"/>
      <c r="G145" s="146"/>
      <c r="H145" s="139"/>
      <c r="I145" s="139"/>
      <c r="J145" s="139"/>
      <c r="K145" s="139"/>
      <c r="L145" s="139"/>
      <c r="M145" s="139"/>
      <c r="N145" s="139"/>
      <c r="O145" s="139"/>
      <c r="P145" s="148"/>
      <c r="Q145" s="139"/>
    </row>
    <row r="146" spans="1:17" ht="15.75" customHeight="1">
      <c r="A146" s="139"/>
      <c r="B146" s="180" t="s">
        <v>227</v>
      </c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</row>
    <row r="147" spans="1:17" ht="15.75" customHeight="1">
      <c r="B147" s="181" t="s">
        <v>228</v>
      </c>
      <c r="J147" s="139"/>
    </row>
    <row r="148" spans="1:17" ht="15.75" customHeight="1">
      <c r="B148" s="125" t="s">
        <v>229</v>
      </c>
      <c r="J148" s="139"/>
    </row>
    <row r="149" spans="1:17" ht="15.75" customHeight="1">
      <c r="B149" s="181" t="s">
        <v>230</v>
      </c>
      <c r="J149" s="139"/>
    </row>
    <row r="150" spans="1:17" ht="18.75">
      <c r="B150" s="181" t="s">
        <v>0</v>
      </c>
    </row>
    <row r="153" spans="1:17">
      <c r="E153" s="200"/>
      <c r="J153" s="200"/>
      <c r="Q153" s="200"/>
    </row>
    <row r="154" spans="1:17">
      <c r="E154" s="200"/>
      <c r="J154" s="200"/>
      <c r="Q154" s="200"/>
    </row>
    <row r="155" spans="1:17">
      <c r="E155" s="200"/>
      <c r="J155" s="200"/>
      <c r="Q155" s="200"/>
    </row>
    <row r="156" spans="1:17">
      <c r="E156" s="200"/>
      <c r="J156" s="200"/>
      <c r="Q156" s="200"/>
    </row>
    <row r="157" spans="1:17">
      <c r="E157" s="200"/>
      <c r="J157" s="200"/>
      <c r="Q157" s="200"/>
    </row>
    <row r="158" spans="1:17">
      <c r="E158" s="200"/>
      <c r="J158" s="200"/>
      <c r="Q158" s="200"/>
    </row>
    <row r="159" spans="1:17">
      <c r="E159" s="200"/>
      <c r="J159" s="200"/>
      <c r="Q159" s="200"/>
    </row>
    <row r="160" spans="1:17">
      <c r="E160" s="200"/>
      <c r="J160" s="200"/>
      <c r="Q160" s="200"/>
    </row>
    <row r="161" spans="5:17">
      <c r="E161" s="200"/>
      <c r="J161" s="200"/>
      <c r="Q161" s="200"/>
    </row>
    <row r="162" spans="5:17">
      <c r="E162" s="200"/>
      <c r="J162" s="200"/>
      <c r="Q162" s="200"/>
    </row>
    <row r="163" spans="5:17">
      <c r="E163" s="200"/>
      <c r="J163" s="200"/>
      <c r="Q163" s="200"/>
    </row>
    <row r="164" spans="5:17">
      <c r="E164" s="200"/>
      <c r="J164" s="200"/>
      <c r="Q164" s="200"/>
    </row>
  </sheetData>
  <printOptions horizontalCentered="1"/>
  <pageMargins left="0.5" right="0.5" top="1" bottom="1" header="0.5" footer="0.5"/>
  <pageSetup scale="37" fitToHeight="3" orientation="landscape" r:id="rId1"/>
  <headerFooter alignWithMargins="0">
    <oddFooter>&amp;LPrepared by Pricing &amp;D&amp;CPage &amp;P of &amp;N&amp;R&amp;F&amp;A</oddFooter>
  </headerFooter>
  <rowBreaks count="1" manualBreakCount="1">
    <brk id="69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3ADFA1E6F129499349515E94D3248D" ma:contentTypeVersion="104" ma:contentTypeDescription="" ma:contentTypeScope="" ma:versionID="fc582f01ab4e6ed24f5087737d74eb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5f66bc563baa40e4f8b42c568476d43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2017-12-28T08:00:00+00:00</OpenedDate>
    <SignificantOrder xmlns="dc463f71-b30c-4ab2-9473-d307f9d35888">false</SignificantOrder>
    <Date1 xmlns="dc463f71-b30c-4ab2-9473-d307f9d35888">2018-11-20T08:00:00+00:00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171219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E804AB3-1E63-409D-B898-36BD9B195A5B}"/>
</file>

<file path=customXml/itemProps2.xml><?xml version="1.0" encoding="utf-8"?>
<ds:datastoreItem xmlns:ds="http://schemas.openxmlformats.org/officeDocument/2006/customXml" ds:itemID="{5D09AC1F-2675-4A33-BF41-9A71349D1C89}"/>
</file>

<file path=customXml/itemProps3.xml><?xml version="1.0" encoding="utf-8"?>
<ds:datastoreItem xmlns:ds="http://schemas.openxmlformats.org/officeDocument/2006/customXml" ds:itemID="{B450F341-8683-41B6-98A5-4067EC1B759C}"/>
</file>

<file path=customXml/itemProps4.xml><?xml version="1.0" encoding="utf-8"?>
<ds:datastoreItem xmlns:ds="http://schemas.openxmlformats.org/officeDocument/2006/customXml" ds:itemID="{50AF9D7A-16A9-4530-9F5F-42B048793E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Exhibit 3</vt:lpstr>
      <vt:lpstr>Exhibit 4</vt:lpstr>
      <vt:lpstr>Exhibit 5</vt:lpstr>
      <vt:lpstr>2017 ROO</vt:lpstr>
      <vt:lpstr>'2017 ROO'!Print_Area</vt:lpstr>
      <vt:lpstr>'Exhibit 4'!Print_Area</vt:lpstr>
      <vt:lpstr>'Exhibit 5'!Print_Area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McNay, Kaley</cp:lastModifiedBy>
  <cp:lastPrinted>2018-11-20T21:12:09Z</cp:lastPrinted>
  <dcterms:created xsi:type="dcterms:W3CDTF">2018-11-08T23:03:52Z</dcterms:created>
  <dcterms:modified xsi:type="dcterms:W3CDTF">2018-11-20T21:13:18Z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0x0101006E56B4D1795A2E4DB2F0B01679ED314A00723ADFA1E6F129499349515E94D3248D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