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1860" yWindow="3150" windowWidth="27870" windowHeight="14310" tabRatio="675"/>
  </bookViews>
  <sheets>
    <sheet name="Exh. BGM-8" sheetId="3" r:id="rId1"/>
    <sheet name="WA Electric-Revenue" sheetId="2" r:id="rId2"/>
    <sheet name="Pres &amp; Prop Rev (e)" sheetId="7" r:id="rId3"/>
    <sheet name="WA Natural Gas" sheetId="1" r:id="rId4"/>
    <sheet name="Pres &amp; Prop Rev (G)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ctuals_Mo">[1]Tables!$B$19</definedName>
    <definedName name="Allocation_Categories">OFFSET('[2]Allocation Factors'!$A$4,0,0,COUNTA('[2]Allocation Factors'!$A:$A)-COUNTA('[2]Allocation Factors'!$A$1:$A$3),1)</definedName>
    <definedName name="Base1_Billing2" localSheetId="2">'Pres &amp; Prop Rev (e)'!$N$8</definedName>
    <definedName name="Base1_Billing2" localSheetId="4">'Pres &amp; Prop Rev (G)'!$O$8</definedName>
    <definedName name="Base1_Billing2" localSheetId="1">#REF!</definedName>
    <definedName name="Base1_Billing2">#REF!</definedName>
    <definedName name="BaseRev60_EntryLookup">INDEX('[3]Rev Summary'!$F$1176:$F$1177,2):'[3]Rev Summary'!$F$1221</definedName>
    <definedName name="Basic">'[3]Rev Summary'!$I$1279:$I$1322</definedName>
    <definedName name="BilledRev60_EntryLookup">INDEX('[3]Rev Summary'!$F$70:$F$71,2):'[3]Rev Summary'!$F$115</definedName>
    <definedName name="CalRev60_EntryLookup">INDEX('[3]Rev Summary'!$F$373:$F$374,2):'[3]Rev Summary'!$F$418</definedName>
    <definedName name="ClassEntry">'[3]Rev Summary'!$D$2</definedName>
    <definedName name="ClassEntryNo">'[3]Rev Summary'!$D$3</definedName>
    <definedName name="CopyClasses">'[3]Rev Summary'!$F$1279:INDEX('[3]Rev Summary'!$F$1279:$F$1323,COUNTA('[3]Rev Summary'!$F$1279:$F$1323))</definedName>
    <definedName name="CustMos">'[1]Cust Load'!$D$3</definedName>
    <definedName name="DSMFlag">'[3]Exp Summary'!$E$30</definedName>
    <definedName name="EndMo">[1]Tables!$B$16</definedName>
    <definedName name="ERM">'[4]Rate Design'!$D$45</definedName>
    <definedName name="GRCRev60_EntryLookup">INDEX('[3]Rev Summary'!$F$1075:$F$1076,2):'[3]Rev Summary'!$F$1120</definedName>
    <definedName name="GrossUnbillAccrRev60_EntryLookup">INDEX('[3]Rev Summary'!$F$873:$F$874,2):'[3]Rev Summary'!$F$918</definedName>
    <definedName name="GrossUnbillRevRev60_EntryLookup">INDEX('[3]Rev Summary'!$F$974:$F$975,2):'[3]Rev Summary'!$F$1019</definedName>
    <definedName name="ID" localSheetId="1">#REF!</definedName>
    <definedName name="ID">#REF!</definedName>
    <definedName name="ID_001b" localSheetId="1">#REF!</definedName>
    <definedName name="ID_001b">#REF!</definedName>
    <definedName name="ID_011b" localSheetId="1">#REF!</definedName>
    <definedName name="ID_011b">#REF!</definedName>
    <definedName name="ID_012b" localSheetId="1">#REF!</definedName>
    <definedName name="ID_012b">#REF!</definedName>
    <definedName name="ID_021b" localSheetId="1">#REF!</definedName>
    <definedName name="ID_021b">#REF!</definedName>
    <definedName name="ID_Elec">#REF!</definedName>
    <definedName name="ID_Gas" localSheetId="1">'[5]DEBT CALC'!#REF!</definedName>
    <definedName name="ID_Gas">#REF!</definedName>
    <definedName name="ID04X">[3]Rates!$O$121:$V$121</definedName>
    <definedName name="IDPPRider">[3]Rates!$O$124:$V$124</definedName>
    <definedName name="IDResEx">[3]Rates!$O$125:$V$125</definedName>
    <definedName name="IDSurch">[3]Rates!$O$122:$V$122</definedName>
    <definedName name="ManualSched">'[3]Rev Summary'!$B$36</definedName>
    <definedName name="Month1">[3]Setup!$B$3</definedName>
    <definedName name="NetUnbillRev60_EntryLookup">INDEX('[3]Rev Summary'!$F$272:$F$273,2):'[3]Rev Summary'!$F$317</definedName>
    <definedName name="PPRev60_EntryLookup">INDEX('[3]Rev Summary'!$F$671:$F$672,2):'[3]Rev Summary'!$F$716</definedName>
    <definedName name="_xlnm.Print_Area" localSheetId="2">'Pres &amp; Prop Rev (e)'!$A$1:$I$295</definedName>
    <definedName name="_xlnm.Print_Area" localSheetId="4">'Pres &amp; Prop Rev (G)'!$A$1:$J$274</definedName>
    <definedName name="_xlnm.Print_Area" localSheetId="1">'WA Electric-Revenue'!$M$11:$R$38</definedName>
    <definedName name="_xlnm.Print_Area" localSheetId="3">'WA Natural Gas'!$N$10:$R$37</definedName>
    <definedName name="Print_for_CBReport">#REF!</definedName>
    <definedName name="Print_for_Checking" localSheetId="1">'[5]ADJ SUMMARY'!#REF!:'[5]ADJ SUMMARY'!#REF!</definedName>
    <definedName name="Print_for_Checking">#REF!</definedName>
    <definedName name="PrintHeader" localSheetId="2">'Pres &amp; Prop Rev (e)'!$P$6</definedName>
    <definedName name="PrintHeader" localSheetId="4">'Pres &amp; Prop Rev (G)'!$Q$6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INDEX('[3]Rev Summary'!$F$772:$F$773,2):'[3]Rev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RRC_Adjustment_Print">#REF!</definedName>
    <definedName name="RRC_Rate_Print">#REF!</definedName>
    <definedName name="Sch">CHOOSE([1]Rev!$B$5, [1]!Rates_WA[St-Sch], [1]!Rates_ID[St-Sch])</definedName>
    <definedName name="Sch_2">CHOOSE('[1]Manual Rev'!$C1, [1]!Rates_WA[St-Sch], [1]!Rates_ID[St-Sch])</definedName>
    <definedName name="Sched">'[3]Rev Summary'!$E$2</definedName>
    <definedName name="SL_RateIncr" localSheetId="2">'[7]St Lts'!$AD$1</definedName>
    <definedName name="SL_RateIncr">'[4]St Lts'!$AD$1</definedName>
    <definedName name="StartMo">[1]Tables!$B$13</definedName>
    <definedName name="Summary" localSheetId="1">#REF!</definedName>
    <definedName name="Summary">#REF!</definedName>
    <definedName name="SurchRev60_EntryLookup">INDEX('[3]Rev Summary'!$F$474:$F$475,2):'[3]Rev Summary'!$F$519</definedName>
    <definedName name="TableName">"Dummy"</definedName>
    <definedName name="TaxCreditRev60_EntryLookup">INDEX('[3]Rev Summary'!$F$572:$F$621,2):'[3]Rev Summary'!$F$617</definedName>
    <definedName name="TaxRev60_EntryLookup">INDEX('[3]Rev Summary'!$F$171:$F$216,2):'[3]Rev Summary'!$F$216</definedName>
    <definedName name="Utility">[3]Setup!$B$1</definedName>
    <definedName name="vl_tbl_SchedClass">[1]!tbl_SchedAll[StClSch]</definedName>
    <definedName name="WA_001b" localSheetId="1">#REF!</definedName>
    <definedName name="WA_001b">#REF!</definedName>
    <definedName name="WA_011b" localSheetId="1">#REF!</definedName>
    <definedName name="WA_011b">#REF!</definedName>
    <definedName name="WA_012b" localSheetId="1">#REF!</definedName>
    <definedName name="WA_012b">#REF!</definedName>
    <definedName name="WA_021b" localSheetId="1">#REF!</definedName>
    <definedName name="WA_021b">#REF!</definedName>
    <definedName name="WA_Elec">#REF!</definedName>
    <definedName name="WA_Gas" localSheetId="1">'[5]DEBT CALC'!#REF!</definedName>
    <definedName name="WA_Gas">#REF!</definedName>
    <definedName name="WA04X">[3]Rates!$D$121:$K$121</definedName>
    <definedName name="WAPPRider">[3]Rates!$D$124:$K$124</definedName>
    <definedName name="WAResEx">[3]Rates!$D$125:$K$125</definedName>
    <definedName name="WASurch">[3]Rates!$D$122:$K$122</definedName>
    <definedName name="Year1">[3]Setup!$B$2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3" l="1"/>
  <c r="V48" i="2" l="1"/>
  <c r="AB48" i="2"/>
  <c r="AH48" i="2"/>
  <c r="AN48" i="2"/>
  <c r="AT48" i="2"/>
  <c r="AZ48" i="2"/>
  <c r="AT42" i="2"/>
  <c r="AZ42" i="2"/>
  <c r="AT43" i="2"/>
  <c r="AZ43" i="2"/>
  <c r="AT44" i="2"/>
  <c r="AZ44" i="2"/>
  <c r="AT45" i="2"/>
  <c r="AZ45" i="2"/>
  <c r="AT46" i="2"/>
  <c r="AZ46" i="2"/>
  <c r="AT47" i="2"/>
  <c r="AZ47" i="2"/>
  <c r="AT54" i="2"/>
  <c r="AZ54" i="2"/>
  <c r="AT55" i="2"/>
  <c r="AZ55" i="2"/>
  <c r="AT56" i="2"/>
  <c r="AZ56" i="2"/>
  <c r="AT57" i="2"/>
  <c r="AZ57" i="2"/>
  <c r="AT58" i="2"/>
  <c r="AZ58" i="2"/>
  <c r="AT59" i="2"/>
  <c r="AZ59" i="2"/>
  <c r="AN42" i="2"/>
  <c r="AN43" i="2"/>
  <c r="AN44" i="2"/>
  <c r="AN45" i="2"/>
  <c r="AN46" i="2"/>
  <c r="AN47" i="2"/>
  <c r="AN54" i="2"/>
  <c r="AN55" i="2"/>
  <c r="AN56" i="2"/>
  <c r="AN57" i="2"/>
  <c r="AN58" i="2"/>
  <c r="AN59" i="2"/>
  <c r="AH42" i="2"/>
  <c r="AH43" i="2"/>
  <c r="AH44" i="2"/>
  <c r="AH45" i="2"/>
  <c r="AH46" i="2"/>
  <c r="AH47" i="2"/>
  <c r="AH54" i="2"/>
  <c r="AH55" i="2"/>
  <c r="AH56" i="2"/>
  <c r="AH57" i="2"/>
  <c r="AH58" i="2"/>
  <c r="AH59" i="2"/>
  <c r="AB71" i="2" l="1"/>
  <c r="V71" i="2"/>
  <c r="P17" i="3" s="1"/>
  <c r="Q33" i="3"/>
  <c r="P33" i="3"/>
  <c r="O33" i="3"/>
  <c r="Q32" i="3"/>
  <c r="P32" i="3"/>
  <c r="O32" i="3"/>
  <c r="Q31" i="3"/>
  <c r="P31" i="3"/>
  <c r="O31" i="3"/>
  <c r="Q30" i="3"/>
  <c r="P30" i="3"/>
  <c r="O30" i="3"/>
  <c r="Q29" i="3"/>
  <c r="P29" i="3"/>
  <c r="O29" i="3"/>
  <c r="AI33" i="3"/>
  <c r="AH33" i="3"/>
  <c r="AN33" i="3" s="1"/>
  <c r="AO33" i="3" s="1"/>
  <c r="AG33" i="3"/>
  <c r="AI32" i="3"/>
  <c r="AH32" i="3"/>
  <c r="AG32" i="3"/>
  <c r="AI31" i="3"/>
  <c r="AH31" i="3"/>
  <c r="AG31" i="3"/>
  <c r="AI30" i="3"/>
  <c r="AH30" i="3"/>
  <c r="AG30" i="3"/>
  <c r="AI29" i="3"/>
  <c r="AH29" i="3"/>
  <c r="AG29" i="3"/>
  <c r="AI17" i="3"/>
  <c r="AH17" i="3"/>
  <c r="AG17" i="3"/>
  <c r="AI16" i="3"/>
  <c r="AH16" i="3"/>
  <c r="AG16" i="3"/>
  <c r="AI15" i="3"/>
  <c r="AH15" i="3"/>
  <c r="AG15" i="3"/>
  <c r="AI14" i="3"/>
  <c r="AH14" i="3"/>
  <c r="AG14" i="3"/>
  <c r="AI13" i="3"/>
  <c r="AH13" i="3"/>
  <c r="AG13" i="3"/>
  <c r="AI12" i="3"/>
  <c r="AH12" i="3"/>
  <c r="AG12" i="3"/>
  <c r="AI28" i="3"/>
  <c r="AH28" i="3"/>
  <c r="AG28" i="3"/>
  <c r="Q28" i="3"/>
  <c r="O28" i="3"/>
  <c r="P28" i="3"/>
  <c r="AB70" i="1"/>
  <c r="AB69" i="1"/>
  <c r="AB68" i="1"/>
  <c r="AB67" i="1"/>
  <c r="AB66" i="1"/>
  <c r="AB65" i="1"/>
  <c r="AB60" i="1"/>
  <c r="AB59" i="1"/>
  <c r="AB58" i="1"/>
  <c r="AB57" i="1"/>
  <c r="AB56" i="1"/>
  <c r="AB55" i="1"/>
  <c r="AB50" i="1"/>
  <c r="AB49" i="1"/>
  <c r="AB48" i="1"/>
  <c r="AB47" i="1"/>
  <c r="AB46" i="1"/>
  <c r="AB45" i="1"/>
  <c r="V70" i="1"/>
  <c r="V69" i="1"/>
  <c r="V68" i="1"/>
  <c r="V67" i="1"/>
  <c r="V66" i="1"/>
  <c r="V65" i="1"/>
  <c r="V55" i="1"/>
  <c r="V56" i="1"/>
  <c r="V57" i="1"/>
  <c r="V58" i="1"/>
  <c r="V59" i="1"/>
  <c r="V60" i="1"/>
  <c r="V50" i="1"/>
  <c r="V49" i="1"/>
  <c r="V48" i="1"/>
  <c r="V47" i="1"/>
  <c r="V46" i="1"/>
  <c r="V45" i="1"/>
  <c r="I170" i="8"/>
  <c r="H28" i="3" a="1"/>
  <c r="H32" i="3" s="1"/>
  <c r="G28" i="3" a="1"/>
  <c r="G33" i="3" s="1"/>
  <c r="V33" i="3" s="1"/>
  <c r="W33" i="3" s="1"/>
  <c r="I46" i="8"/>
  <c r="F28" i="3" a="1"/>
  <c r="F33" i="3" s="1"/>
  <c r="S33" i="3" s="1"/>
  <c r="T33" i="3" s="1"/>
  <c r="E48" i="8"/>
  <c r="F48" i="8"/>
  <c r="I48" i="8"/>
  <c r="F25" i="8"/>
  <c r="E25" i="8"/>
  <c r="I25" i="8"/>
  <c r="Q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AB70" i="2"/>
  <c r="AB69" i="2"/>
  <c r="AB68" i="2"/>
  <c r="AB67" i="2"/>
  <c r="AB66" i="2"/>
  <c r="AB59" i="2"/>
  <c r="AB58" i="2"/>
  <c r="AB57" i="2"/>
  <c r="AB56" i="2"/>
  <c r="AB55" i="2"/>
  <c r="AB54" i="2"/>
  <c r="AB47" i="2"/>
  <c r="AB46" i="2"/>
  <c r="AB45" i="2"/>
  <c r="AB44" i="2"/>
  <c r="AB43" i="2"/>
  <c r="AB42" i="2"/>
  <c r="V66" i="2"/>
  <c r="AQ32" i="3" l="1"/>
  <c r="AR32" i="3" s="1"/>
  <c r="AH35" i="3"/>
  <c r="AK33" i="3"/>
  <c r="AL33" i="3" s="1"/>
  <c r="AN30" i="3"/>
  <c r="AO30" i="3" s="1"/>
  <c r="AQ33" i="3"/>
  <c r="AR33" i="3" s="1"/>
  <c r="Y32" i="3"/>
  <c r="Z32" i="3" s="1"/>
  <c r="AI19" i="3"/>
  <c r="P19" i="3"/>
  <c r="Q19" i="3"/>
  <c r="AI35" i="3"/>
  <c r="AG35" i="3"/>
  <c r="P35" i="3"/>
  <c r="O35" i="3"/>
  <c r="Q35" i="3"/>
  <c r="AG19" i="3"/>
  <c r="AH19" i="3"/>
  <c r="G30" i="3"/>
  <c r="V30" i="3" s="1"/>
  <c r="W30" i="3" s="1"/>
  <c r="G32" i="3"/>
  <c r="H31" i="3"/>
  <c r="Y31" i="3" s="1"/>
  <c r="Z31" i="3" s="1"/>
  <c r="G31" i="3"/>
  <c r="AN31" i="3" s="1"/>
  <c r="AO31" i="3" s="1"/>
  <c r="H30" i="3"/>
  <c r="Y30" i="3" s="1"/>
  <c r="Z30" i="3" s="1"/>
  <c r="H29" i="3"/>
  <c r="G29" i="3"/>
  <c r="V29" i="3" s="1"/>
  <c r="W29" i="3" s="1"/>
  <c r="H28" i="3"/>
  <c r="G28" i="3"/>
  <c r="AN28" i="3" s="1"/>
  <c r="AO28" i="3" s="1"/>
  <c r="H33" i="3"/>
  <c r="Y33" i="3" s="1"/>
  <c r="Z33" i="3" s="1"/>
  <c r="F31" i="3"/>
  <c r="S31" i="3" s="1"/>
  <c r="T31" i="3" s="1"/>
  <c r="F30" i="3"/>
  <c r="S30" i="3" s="1"/>
  <c r="T30" i="3" s="1"/>
  <c r="F29" i="3"/>
  <c r="S29" i="3" s="1"/>
  <c r="T29" i="3" s="1"/>
  <c r="F32" i="3"/>
  <c r="AK32" i="3" s="1"/>
  <c r="AL32" i="3" s="1"/>
  <c r="F28" i="3"/>
  <c r="V69" i="2"/>
  <c r="V70" i="2"/>
  <c r="V68" i="2"/>
  <c r="V67" i="2"/>
  <c r="V47" i="2"/>
  <c r="V46" i="2"/>
  <c r="V45" i="2"/>
  <c r="V44" i="2"/>
  <c r="V43" i="2"/>
  <c r="V42" i="2"/>
  <c r="V59" i="2"/>
  <c r="V58" i="2"/>
  <c r="V57" i="2"/>
  <c r="V56" i="2"/>
  <c r="V55" i="2"/>
  <c r="V54" i="2"/>
  <c r="AK31" i="3" l="1"/>
  <c r="AL31" i="3" s="1"/>
  <c r="V28" i="3"/>
  <c r="W28" i="3" s="1"/>
  <c r="AK29" i="3"/>
  <c r="AL29" i="3" s="1"/>
  <c r="V31" i="3"/>
  <c r="W31" i="3" s="1"/>
  <c r="S32" i="3"/>
  <c r="T32" i="3" s="1"/>
  <c r="Y29" i="3"/>
  <c r="Z29" i="3" s="1"/>
  <c r="AQ29" i="3"/>
  <c r="AR29" i="3" s="1"/>
  <c r="AQ30" i="3"/>
  <c r="AR30" i="3" s="1"/>
  <c r="V32" i="3"/>
  <c r="W32" i="3" s="1"/>
  <c r="AN32" i="3"/>
  <c r="AO32" i="3" s="1"/>
  <c r="F35" i="3"/>
  <c r="AK28" i="3"/>
  <c r="AL28" i="3" s="1"/>
  <c r="AK35" i="3"/>
  <c r="AL35" i="3" s="1"/>
  <c r="AN29" i="3"/>
  <c r="AO29" i="3" s="1"/>
  <c r="AK30" i="3"/>
  <c r="AL30" i="3" s="1"/>
  <c r="H35" i="3"/>
  <c r="Y35" i="3" s="1"/>
  <c r="Z35" i="3" s="1"/>
  <c r="AQ28" i="3"/>
  <c r="AR28" i="3" s="1"/>
  <c r="AQ31" i="3"/>
  <c r="AR31" i="3" s="1"/>
  <c r="S28" i="3"/>
  <c r="S35" i="3"/>
  <c r="T35" i="3" s="1"/>
  <c r="Y28" i="3"/>
  <c r="Z28" i="3" s="1"/>
  <c r="G35" i="3"/>
  <c r="I48" i="7"/>
  <c r="AQ35" i="3" l="1"/>
  <c r="AR35" i="3" s="1"/>
  <c r="V35" i="3"/>
  <c r="W35" i="3" s="1"/>
  <c r="AN35" i="3"/>
  <c r="AO35" i="3" s="1"/>
  <c r="O9" i="8"/>
  <c r="O10" i="8"/>
  <c r="M54" i="8" s="1"/>
  <c r="M53" i="8"/>
  <c r="M56" i="8" l="1"/>
  <c r="M55" i="8"/>
  <c r="O19" i="3"/>
  <c r="Q6" i="8"/>
  <c r="N9" i="7"/>
  <c r="N10" i="7"/>
  <c r="L57" i="7" s="1"/>
  <c r="L55" i="7"/>
  <c r="L56" i="7"/>
  <c r="L133" i="7"/>
  <c r="N133" i="7" s="1"/>
  <c r="L134" i="7"/>
  <c r="N134" i="7" s="1"/>
  <c r="L135" i="7"/>
  <c r="N135" i="7" s="1"/>
  <c r="L136" i="7"/>
  <c r="K205" i="8" l="1"/>
  <c r="L59" i="7"/>
  <c r="L58" i="7"/>
  <c r="N136" i="7"/>
  <c r="P6" i="7"/>
  <c r="K204" i="8"/>
  <c r="G12" i="3" a="1"/>
  <c r="D7" i="2"/>
  <c r="D8" i="2"/>
  <c r="D9" i="2"/>
  <c r="E11" i="2"/>
  <c r="F11" i="2"/>
  <c r="G11" i="2"/>
  <c r="H11" i="2"/>
  <c r="H14" i="2" s="1"/>
  <c r="I11" i="2"/>
  <c r="J11" i="2"/>
  <c r="J13" i="2" s="1"/>
  <c r="J14" i="2" s="1"/>
  <c r="E12" i="2"/>
  <c r="D12" i="2" s="1"/>
  <c r="F12" i="2"/>
  <c r="G12" i="2"/>
  <c r="H12" i="2"/>
  <c r="F14" i="2"/>
  <c r="G14" i="2"/>
  <c r="M14" i="2"/>
  <c r="M23" i="2" s="1"/>
  <c r="O14" i="2"/>
  <c r="Q14" i="2"/>
  <c r="P14" i="2" s="1"/>
  <c r="M15" i="2"/>
  <c r="O15" i="2"/>
  <c r="Q15" i="2"/>
  <c r="P15" i="2" s="1"/>
  <c r="M16" i="2"/>
  <c r="O16" i="2"/>
  <c r="Q16" i="2"/>
  <c r="P16" i="2" s="1"/>
  <c r="J17" i="2"/>
  <c r="M17" i="2"/>
  <c r="O17" i="2"/>
  <c r="Q17" i="2"/>
  <c r="J18" i="2"/>
  <c r="M18" i="2"/>
  <c r="O18" i="2"/>
  <c r="P18" i="2"/>
  <c r="Q18" i="2"/>
  <c r="M19" i="2"/>
  <c r="O19" i="2"/>
  <c r="Q19" i="2"/>
  <c r="P19" i="2" s="1"/>
  <c r="J20" i="2"/>
  <c r="M20" i="2"/>
  <c r="O20" i="2"/>
  <c r="Q20" i="2"/>
  <c r="P20" i="2" s="1"/>
  <c r="J21" i="2"/>
  <c r="M21" i="2"/>
  <c r="O21" i="2"/>
  <c r="Q21" i="2"/>
  <c r="P21" i="2" s="1"/>
  <c r="M22" i="2"/>
  <c r="O22" i="2"/>
  <c r="Q22" i="2"/>
  <c r="P22" i="2" s="1"/>
  <c r="M26" i="2"/>
  <c r="M12" i="2" s="1"/>
  <c r="M28" i="2"/>
  <c r="E29" i="2" s="1"/>
  <c r="O28" i="2"/>
  <c r="Q28" i="2"/>
  <c r="H29" i="2"/>
  <c r="M29" i="2"/>
  <c r="F29" i="2" s="1"/>
  <c r="O29" i="2"/>
  <c r="Q29" i="2"/>
  <c r="P29" i="2" s="1"/>
  <c r="E30" i="2"/>
  <c r="M30" i="2"/>
  <c r="O30" i="2"/>
  <c r="Q30" i="2"/>
  <c r="P30" i="2" s="1"/>
  <c r="M31" i="2"/>
  <c r="G29" i="2" s="1"/>
  <c r="O31" i="2"/>
  <c r="Q31" i="2"/>
  <c r="P31" i="2" s="1"/>
  <c r="M32" i="2"/>
  <c r="O32" i="2"/>
  <c r="Q32" i="2"/>
  <c r="P32" i="2" s="1"/>
  <c r="C33" i="2"/>
  <c r="M33" i="2"/>
  <c r="I29" i="2" s="1"/>
  <c r="O33" i="2"/>
  <c r="I30" i="2" s="1"/>
  <c r="I33" i="2" s="1"/>
  <c r="Q33" i="2"/>
  <c r="P33" i="2" s="1"/>
  <c r="M34" i="2"/>
  <c r="O34" i="2"/>
  <c r="Q34" i="2"/>
  <c r="M35" i="2"/>
  <c r="O35" i="2"/>
  <c r="Q35" i="2"/>
  <c r="P35" i="2" s="1"/>
  <c r="M36" i="2"/>
  <c r="J29" i="2" s="1"/>
  <c r="O36" i="2"/>
  <c r="J30" i="2" s="1"/>
  <c r="J33" i="2" s="1"/>
  <c r="Q36" i="2"/>
  <c r="P36" i="2" s="1"/>
  <c r="E14" i="2" l="1"/>
  <c r="E22" i="2" s="1"/>
  <c r="E16" i="2" s="1"/>
  <c r="F22" i="2"/>
  <c r="F16" i="2" s="1"/>
  <c r="O37" i="2"/>
  <c r="Q37" i="2"/>
  <c r="Q23" i="2"/>
  <c r="I13" i="2"/>
  <c r="D13" i="2" s="1"/>
  <c r="H31" i="2"/>
  <c r="H34" i="2" s="1"/>
  <c r="G30" i="2"/>
  <c r="G33" i="2" s="1"/>
  <c r="J35" i="2"/>
  <c r="H30" i="2"/>
  <c r="H33" i="2" s="1"/>
  <c r="H36" i="2" s="1"/>
  <c r="E33" i="2"/>
  <c r="D11" i="2"/>
  <c r="O23" i="2"/>
  <c r="I35" i="2"/>
  <c r="I36" i="2" s="1"/>
  <c r="D29" i="2"/>
  <c r="G31" i="2"/>
  <c r="G34" i="2" s="1"/>
  <c r="G36" i="2" s="1"/>
  <c r="F31" i="2"/>
  <c r="F34" i="2" s="1"/>
  <c r="P17" i="2"/>
  <c r="P23" i="2" s="1"/>
  <c r="E31" i="2"/>
  <c r="E34" i="2" s="1"/>
  <c r="D34" i="2" s="1"/>
  <c r="F30" i="2"/>
  <c r="P34" i="2"/>
  <c r="P28" i="2"/>
  <c r="M37" i="2"/>
  <c r="G13" i="3"/>
  <c r="G14" i="3"/>
  <c r="G15" i="3"/>
  <c r="G16" i="3"/>
  <c r="G17" i="3"/>
  <c r="G12" i="3"/>
  <c r="E17" i="2"/>
  <c r="E38" i="2"/>
  <c r="I17" i="2"/>
  <c r="F17" i="2"/>
  <c r="F18" i="2" s="1"/>
  <c r="F38" i="2"/>
  <c r="I18" i="2"/>
  <c r="J36" i="2"/>
  <c r="V15" i="3" l="1"/>
  <c r="W15" i="3" s="1"/>
  <c r="AN15" i="3"/>
  <c r="AO15" i="3" s="1"/>
  <c r="V13" i="3"/>
  <c r="W13" i="3" s="1"/>
  <c r="AN13" i="3"/>
  <c r="AO13" i="3" s="1"/>
  <c r="V17" i="3"/>
  <c r="W17" i="3" s="1"/>
  <c r="AN17" i="3"/>
  <c r="AO17" i="3" s="1"/>
  <c r="V14" i="3"/>
  <c r="W14" i="3" s="1"/>
  <c r="AN14" i="3"/>
  <c r="AO14" i="3" s="1"/>
  <c r="V12" i="3"/>
  <c r="W12" i="3" s="1"/>
  <c r="AN12" i="3"/>
  <c r="AO12" i="3" s="1"/>
  <c r="V16" i="3"/>
  <c r="W16" i="3" s="1"/>
  <c r="AN16" i="3"/>
  <c r="AO16" i="3" s="1"/>
  <c r="I14" i="2"/>
  <c r="D14" i="2" s="1"/>
  <c r="D35" i="2"/>
  <c r="P37" i="2"/>
  <c r="E36" i="2"/>
  <c r="E39" i="2"/>
  <c r="D39" i="2" s="1"/>
  <c r="D31" i="2"/>
  <c r="F39" i="2"/>
  <c r="D30" i="2"/>
  <c r="F33" i="2"/>
  <c r="P134" i="7"/>
  <c r="P135" i="7"/>
  <c r="P133" i="7"/>
  <c r="P136" i="7" s="1"/>
  <c r="L222" i="7"/>
  <c r="N222" i="7" s="1"/>
  <c r="O222" i="7" s="1"/>
  <c r="G19" i="3"/>
  <c r="L221" i="7"/>
  <c r="N221" i="7" s="1"/>
  <c r="E18" i="2"/>
  <c r="D18" i="2" s="1"/>
  <c r="D20" i="2" s="1"/>
  <c r="D21" i="2" s="1"/>
  <c r="D17" i="2"/>
  <c r="V19" i="3" l="1"/>
  <c r="W19" i="3" s="1"/>
  <c r="AN19" i="3"/>
  <c r="AO19" i="3" s="1"/>
  <c r="E40" i="2"/>
  <c r="F36" i="2"/>
  <c r="F40" i="2" s="1"/>
  <c r="D40" i="2" s="1"/>
  <c r="D42" i="2" s="1"/>
  <c r="D43" i="2" s="1"/>
  <c r="D45" i="2" s="1"/>
  <c r="D46" i="2" s="1"/>
  <c r="D33" i="2"/>
  <c r="D36" i="2"/>
  <c r="O221" i="7"/>
  <c r="L223" i="7"/>
  <c r="N223" i="7" s="1"/>
  <c r="O223" i="7" s="1"/>
  <c r="O224" i="7" l="1"/>
  <c r="N224" i="7"/>
  <c r="F12" i="3" a="1"/>
  <c r="AG22" i="1"/>
  <c r="F16" i="3" l="1"/>
  <c r="F17" i="3"/>
  <c r="F12" i="3"/>
  <c r="F13" i="3"/>
  <c r="F14" i="3"/>
  <c r="F15" i="3"/>
  <c r="R15" i="1"/>
  <c r="Q15" i="1" s="1"/>
  <c r="R16" i="1"/>
  <c r="Q16" i="1" s="1"/>
  <c r="R17" i="1"/>
  <c r="Q17" i="1" s="1"/>
  <c r="R18" i="1"/>
  <c r="Q18" i="1" s="1"/>
  <c r="R19" i="1"/>
  <c r="R20" i="1"/>
  <c r="R14" i="1"/>
  <c r="Q14" i="1" s="1"/>
  <c r="P15" i="1"/>
  <c r="P16" i="1"/>
  <c r="P17" i="1"/>
  <c r="P18" i="1"/>
  <c r="P19" i="1"/>
  <c r="P20" i="1"/>
  <c r="P14" i="1"/>
  <c r="N15" i="1"/>
  <c r="N16" i="1"/>
  <c r="N17" i="1"/>
  <c r="N18" i="1"/>
  <c r="N19" i="1"/>
  <c r="N20" i="1"/>
  <c r="N14" i="1"/>
  <c r="Q20" i="1"/>
  <c r="Q19" i="1"/>
  <c r="S15" i="3" l="1"/>
  <c r="T15" i="3" s="1"/>
  <c r="AK15" i="3"/>
  <c r="AL15" i="3" s="1"/>
  <c r="S14" i="3"/>
  <c r="T14" i="3" s="1"/>
  <c r="AK14" i="3"/>
  <c r="AL14" i="3" s="1"/>
  <c r="S13" i="3"/>
  <c r="T13" i="3" s="1"/>
  <c r="AK13" i="3"/>
  <c r="AL13" i="3" s="1"/>
  <c r="S12" i="3"/>
  <c r="T12" i="3" s="1"/>
  <c r="AK12" i="3"/>
  <c r="AL12" i="3" s="1"/>
  <c r="S17" i="3"/>
  <c r="T17" i="3" s="1"/>
  <c r="AK17" i="3"/>
  <c r="AL17" i="3" s="1"/>
  <c r="S16" i="3"/>
  <c r="T16" i="3" s="1"/>
  <c r="AK16" i="3"/>
  <c r="AL16" i="3" s="1"/>
  <c r="F19" i="3"/>
  <c r="N21" i="1"/>
  <c r="R21" i="1"/>
  <c r="Q21" i="1"/>
  <c r="P21" i="1"/>
  <c r="H36" i="1"/>
  <c r="R35" i="1"/>
  <c r="Q35" i="1" s="1"/>
  <c r="P35" i="1"/>
  <c r="N35" i="1"/>
  <c r="R34" i="1"/>
  <c r="Q34" i="1" s="1"/>
  <c r="P34" i="1"/>
  <c r="J30" i="1" s="1"/>
  <c r="N34" i="1"/>
  <c r="J29" i="1" s="1"/>
  <c r="R33" i="1"/>
  <c r="Q33" i="1" s="1"/>
  <c r="P33" i="1"/>
  <c r="I30" i="1" s="1"/>
  <c r="N33" i="1"/>
  <c r="R32" i="1"/>
  <c r="Q32" i="1"/>
  <c r="P32" i="1"/>
  <c r="G30" i="1" s="1"/>
  <c r="G34" i="1" s="1"/>
  <c r="N32" i="1"/>
  <c r="G29" i="1" s="1"/>
  <c r="R31" i="1"/>
  <c r="Q31" i="1" s="1"/>
  <c r="P31" i="1"/>
  <c r="F30" i="1" s="1"/>
  <c r="F34" i="1" s="1"/>
  <c r="N31" i="1"/>
  <c r="G31" i="1"/>
  <c r="G35" i="1" s="1"/>
  <c r="R30" i="1"/>
  <c r="P30" i="1"/>
  <c r="N30" i="1"/>
  <c r="R29" i="1"/>
  <c r="Q29" i="1"/>
  <c r="P29" i="1"/>
  <c r="N29" i="1"/>
  <c r="E29" i="1" s="1"/>
  <c r="I29" i="1"/>
  <c r="I36" i="1" s="1"/>
  <c r="N27" i="1"/>
  <c r="N12" i="1" s="1"/>
  <c r="J22" i="1"/>
  <c r="J21" i="1"/>
  <c r="J19" i="1"/>
  <c r="J18" i="1"/>
  <c r="J14" i="1"/>
  <c r="J15" i="1" s="1"/>
  <c r="I14" i="1"/>
  <c r="I15" i="1" s="1"/>
  <c r="H14" i="1"/>
  <c r="H15" i="1" s="1"/>
  <c r="G13" i="1"/>
  <c r="F13" i="1"/>
  <c r="E13" i="1"/>
  <c r="G12" i="1"/>
  <c r="F12" i="1"/>
  <c r="E12" i="1"/>
  <c r="D9" i="1"/>
  <c r="D8" i="1"/>
  <c r="D7" i="1"/>
  <c r="S19" i="3" l="1"/>
  <c r="T19" i="3" s="1"/>
  <c r="AK19" i="3"/>
  <c r="AL19" i="3" s="1"/>
  <c r="G37" i="1"/>
  <c r="R36" i="1"/>
  <c r="E15" i="1"/>
  <c r="E23" i="1" s="1"/>
  <c r="I31" i="1"/>
  <c r="F15" i="1"/>
  <c r="P36" i="1"/>
  <c r="J31" i="1"/>
  <c r="G15" i="1"/>
  <c r="F23" i="1" s="1"/>
  <c r="F17" i="1" s="1"/>
  <c r="J36" i="1"/>
  <c r="J37" i="1" s="1"/>
  <c r="D12" i="1"/>
  <c r="D36" i="1"/>
  <c r="D13" i="1"/>
  <c r="I37" i="1"/>
  <c r="F29" i="1"/>
  <c r="F37" i="1" s="1"/>
  <c r="N36" i="1"/>
  <c r="F31" i="1"/>
  <c r="F35" i="1" s="1"/>
  <c r="Q30" i="1"/>
  <c r="Q36" i="1" s="1"/>
  <c r="H37" i="1"/>
  <c r="D14" i="1"/>
  <c r="E30" i="1"/>
  <c r="E31" i="1"/>
  <c r="D15" i="1" l="1"/>
  <c r="H12" i="3" a="1"/>
  <c r="F39" i="1"/>
  <c r="F40" i="1" s="1"/>
  <c r="D29" i="1"/>
  <c r="F41" i="1"/>
  <c r="F18" i="1"/>
  <c r="F19" i="1" s="1"/>
  <c r="I19" i="1"/>
  <c r="E17" i="1"/>
  <c r="E39" i="1"/>
  <c r="E40" i="1" s="1"/>
  <c r="D31" i="1"/>
  <c r="E35" i="1"/>
  <c r="D35" i="1" s="1"/>
  <c r="D30" i="1"/>
  <c r="E34" i="1"/>
  <c r="H16" i="3" l="1"/>
  <c r="H17" i="3"/>
  <c r="H12" i="3"/>
  <c r="H13" i="3"/>
  <c r="H14" i="3"/>
  <c r="H15" i="3"/>
  <c r="I18" i="1"/>
  <c r="E18" i="1"/>
  <c r="D34" i="1"/>
  <c r="E37" i="1"/>
  <c r="D37" i="1" s="1"/>
  <c r="D40" i="1"/>
  <c r="Y15" i="3" l="1"/>
  <c r="Z15" i="3" s="1"/>
  <c r="AQ15" i="3"/>
  <c r="AR15" i="3" s="1"/>
  <c r="Y14" i="3"/>
  <c r="Z14" i="3" s="1"/>
  <c r="AQ14" i="3"/>
  <c r="AR14" i="3" s="1"/>
  <c r="Y13" i="3"/>
  <c r="Z13" i="3" s="1"/>
  <c r="AQ13" i="3"/>
  <c r="AR13" i="3" s="1"/>
  <c r="Y12" i="3"/>
  <c r="Z12" i="3" s="1"/>
  <c r="AQ12" i="3"/>
  <c r="AR12" i="3" s="1"/>
  <c r="Y17" i="3"/>
  <c r="Z17" i="3" s="1"/>
  <c r="AQ17" i="3"/>
  <c r="AR17" i="3" s="1"/>
  <c r="Y16" i="3"/>
  <c r="Z16" i="3" s="1"/>
  <c r="AQ16" i="3"/>
  <c r="AR16" i="3" s="1"/>
  <c r="H19" i="3"/>
  <c r="E41" i="1"/>
  <c r="D41" i="1" s="1"/>
  <c r="D43" i="1" s="1"/>
  <c r="E19" i="1"/>
  <c r="D19" i="1" s="1"/>
  <c r="D21" i="1" s="1"/>
  <c r="D18" i="1"/>
  <c r="Y19" i="3" l="1"/>
  <c r="Z19" i="3" s="1"/>
  <c r="AQ19" i="3"/>
  <c r="AR19" i="3" s="1"/>
  <c r="D45" i="1"/>
  <c r="D46" i="1" s="1"/>
</calcChain>
</file>

<file path=xl/comments1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2.xml><?xml version="1.0" encoding="utf-8"?>
<comments xmlns="http://schemas.openxmlformats.org/spreadsheetml/2006/main">
  <authors>
    <author>KZX5DR</author>
    <author>Joe Miller</author>
  </authors>
  <commentList>
    <comment ref="J8" authorId="0" shapeId="0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1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$.03168 first 2.5M Therms
$.021 all addition therms</t>
        </r>
      </text>
    </comment>
    <comment ref="I62" authorId="1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B90" authorId="1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sharedStrings.xml><?xml version="1.0" encoding="utf-8"?>
<sst xmlns="http://schemas.openxmlformats.org/spreadsheetml/2006/main" count="1075" uniqueCount="282">
  <si>
    <t xml:space="preserve">Decoupled Revenue Comparison </t>
  </si>
  <si>
    <t>Total Base Rate Revenue by Rate Sched:</t>
  </si>
  <si>
    <t>12 ME December 2018 Test Year</t>
  </si>
  <si>
    <t>UG-19____ Proposed Decoupling Base at Present Rates</t>
  </si>
  <si>
    <t>WA101</t>
  </si>
  <si>
    <t>Natural Gas Service</t>
  </si>
  <si>
    <t xml:space="preserve"> </t>
  </si>
  <si>
    <t>RESIDENTIAL</t>
  </si>
  <si>
    <t xml:space="preserve">GENERAL SVC. </t>
  </si>
  <si>
    <t>LG. GEN. SVC.</t>
  </si>
  <si>
    <t>INTERRUPTIBLE</t>
  </si>
  <si>
    <t>SCHEDULES</t>
  </si>
  <si>
    <t>WA111</t>
  </si>
  <si>
    <t>TOTAL</t>
  </si>
  <si>
    <t>SCHEDULE 101/102</t>
  </si>
  <si>
    <t>SCH. 111/112/116</t>
  </si>
  <si>
    <t>SCH. 121/122/126</t>
  </si>
  <si>
    <t>SCH 131</t>
  </si>
  <si>
    <t>146 &amp; 148</t>
  </si>
  <si>
    <t>WA112</t>
  </si>
  <si>
    <t>WA121</t>
  </si>
  <si>
    <t>Revenue at Present Rates</t>
  </si>
  <si>
    <t>WA132</t>
  </si>
  <si>
    <t>Usage</t>
  </si>
  <si>
    <t>WA146</t>
  </si>
  <si>
    <t>Customer Bills</t>
  </si>
  <si>
    <t>WA148</t>
  </si>
  <si>
    <t>Fixed Charge per Bill</t>
  </si>
  <si>
    <t>PGA Sch 150 Rate</t>
  </si>
  <si>
    <t>Decoupled Gas Cost Revenue</t>
  </si>
  <si>
    <t>Total Loads by Rate Sched:</t>
  </si>
  <si>
    <t>Decoupled Fixed Charge Revenue</t>
  </si>
  <si>
    <t>Revenue Not Subject to Decoupling</t>
  </si>
  <si>
    <t>Decoupled Revenues from Rates</t>
  </si>
  <si>
    <t>Allowed Annual Decoupled Revenue per Customer</t>
  </si>
  <si>
    <t>Usage Per Customer</t>
  </si>
  <si>
    <t>average $/therm</t>
  </si>
  <si>
    <t>UG-19____ Base</t>
  </si>
  <si>
    <t>Allowed Decoupled Revenues</t>
  </si>
  <si>
    <t>Residential</t>
  </si>
  <si>
    <t>Decoupling Revenue Adjustment</t>
  </si>
  <si>
    <t>Non-Residential</t>
  </si>
  <si>
    <t>Average Customers</t>
  </si>
  <si>
    <t>Total Revenue with Decoupling excl Gas Cost</t>
  </si>
  <si>
    <t>Total Customers by Rate Sched:</t>
  </si>
  <si>
    <t>Test Year Annual Decoupled Revenue per Customer</t>
  </si>
  <si>
    <t>12 ME March 2022 Forecast Customers</t>
  </si>
  <si>
    <t>2019 Final Budget Version</t>
  </si>
  <si>
    <t>GSFM December MidMonth_(12 13 18 pricing) - v4 GRC update 1-18-19.xlsm</t>
  </si>
  <si>
    <t>12 ME 03.2022</t>
  </si>
  <si>
    <t>Base Rate Revenue</t>
  </si>
  <si>
    <t>Therms</t>
  </si>
  <si>
    <t>Avg Customers</t>
  </si>
  <si>
    <t>Bills</t>
  </si>
  <si>
    <t>Total Revenue with Decoupling</t>
  </si>
  <si>
    <t>Change in Non-Gas Cost Revenue</t>
  </si>
  <si>
    <t>Annual Average Revenue Growth</t>
  </si>
  <si>
    <t>3.25 years</t>
  </si>
  <si>
    <t>12 ME 03.2021</t>
  </si>
  <si>
    <t>Change in Non-Power Supply Revenue</t>
  </si>
  <si>
    <t>Exclude Power Cost Revenue</t>
  </si>
  <si>
    <t>WA04X</t>
  </si>
  <si>
    <t>WA032</t>
  </si>
  <si>
    <t>WA031</t>
  </si>
  <si>
    <t>WA025</t>
  </si>
  <si>
    <t>Decoupled Power Cost Revenue</t>
  </si>
  <si>
    <t>WA022</t>
  </si>
  <si>
    <t>WA021</t>
  </si>
  <si>
    <t>WA012</t>
  </si>
  <si>
    <t>WA011</t>
  </si>
  <si>
    <t>Base Rate Revenue at Present Rates</t>
  </si>
  <si>
    <t>WA001</t>
  </si>
  <si>
    <t>kWhs</t>
  </si>
  <si>
    <t>SCH. 41-48</t>
  </si>
  <si>
    <t>SCHEDULE 25</t>
  </si>
  <si>
    <t>SCH. 30, 31, 32</t>
  </si>
  <si>
    <t>SCH. 21,22</t>
  </si>
  <si>
    <t>SCH. 11,12</t>
  </si>
  <si>
    <t>SCHEDULE 1,2</t>
  </si>
  <si>
    <t>ST &amp; AREA LTG</t>
  </si>
  <si>
    <t>EX LG GEN SVC</t>
  </si>
  <si>
    <t>PUMPING</t>
  </si>
  <si>
    <t>Electric Service</t>
  </si>
  <si>
    <t>EREV December Mid-month_v4_12 13 18_GRC and decoupling update -1-18-19.xlsm</t>
  </si>
  <si>
    <t>UE-19____ Base</t>
  </si>
  <si>
    <t>average $/kWh</t>
  </si>
  <si>
    <t>Total Calendar Energy Usage by Rate Sched:</t>
  </si>
  <si>
    <t>SCHEDULE 1</t>
  </si>
  <si>
    <t>UE-19___ Proposed Decoupling Base at Present Rates</t>
  </si>
  <si>
    <t>PRCA</t>
  </si>
  <si>
    <t>Note:  Total Base Load for Sch. 21 = Base Load per bill times total billings (base load per bill on PDE-E-18) =</t>
  </si>
  <si>
    <t>AVERAGE RATE</t>
  </si>
  <si>
    <t>OVER 250000 KWHS</t>
  </si>
  <si>
    <t>0-250000 KWHS</t>
  </si>
  <si>
    <t>SCHEDULE 21</t>
  </si>
  <si>
    <t>PROPOSED BASELOAD AND WEATHER-SENSITIVE RATES</t>
  </si>
  <si>
    <t>PRESENT BASELOAD AND WEATHER-SENSITIVE RATES</t>
  </si>
  <si>
    <t>REVENUE</t>
  </si>
  <si>
    <t>KWHS</t>
  </si>
  <si>
    <t>RATES</t>
  </si>
  <si>
    <t>REFERENCE</t>
  </si>
  <si>
    <t>WTHR-SENS.</t>
  </si>
  <si>
    <t>BASELOAD</t>
  </si>
  <si>
    <t>WORK PAPER</t>
  </si>
  <si>
    <t>Note:  Total Base Load for Sch. 1 = Base Load per bill times total billings (base load per bill on PDE-E-18) =</t>
  </si>
  <si>
    <t>over 3650 KWHS</t>
  </si>
  <si>
    <t>0-3650 KWHS</t>
  </si>
  <si>
    <t>SCHEDULE 11</t>
  </si>
  <si>
    <t>OVER 1500 KWHS</t>
  </si>
  <si>
    <t>801-1500 KWHS</t>
  </si>
  <si>
    <t>0-800 KWHS</t>
  </si>
  <si>
    <t>OVER 100 KWHS</t>
  </si>
  <si>
    <t>PERCENT REVENUE INCREASE</t>
  </si>
  <si>
    <t>TOTAL REVENUE INCREASE</t>
  </si>
  <si>
    <t>TOTAL PRESENT REVENUE</t>
  </si>
  <si>
    <t>TOTAL PROPOSED REVENUE</t>
  </si>
  <si>
    <t>TOTAL ADJUSTMENT REVENUE</t>
  </si>
  <si>
    <t>WEATHER-SENSITIVE REVENUE</t>
  </si>
  <si>
    <t>WEATHER-SENSITIVE RATE</t>
  </si>
  <si>
    <t>WEATHER-SENSITIVE KWHS</t>
  </si>
  <si>
    <t>WEATHER NORMALIZATION ADJ</t>
  </si>
  <si>
    <t>TOTAL UNBILLED REVENUE ADJ</t>
  </si>
  <si>
    <t>TOTAL UNBILLED KWH ADJUST</t>
  </si>
  <si>
    <t>UNBILLED LOAD REVENUE</t>
  </si>
  <si>
    <t>UNBILLED LOAD RATE</t>
  </si>
  <si>
    <t>UNBILLED LOAD KWHS</t>
  </si>
  <si>
    <t>UNBILLED REVENUE ADJUSTMENT</t>
  </si>
  <si>
    <t>ADJUSTMENT REVENUE</t>
  </si>
  <si>
    <t>ADJUST TO ACTUAL</t>
  </si>
  <si>
    <t>SUBTOTAL</t>
  </si>
  <si>
    <t>STREET &amp; AREA LIGHT REVENUE</t>
  </si>
  <si>
    <t>PDE-E-11</t>
  </si>
  <si>
    <t>ANNUAL MINIMUM ADJUSTMENT</t>
  </si>
  <si>
    <t>PRIMARY VOLTAGE DISCOUNT</t>
  </si>
  <si>
    <t>POWER FACTOR ADJUSTMENT</t>
  </si>
  <si>
    <t>DEMAND BLOCK 2</t>
  </si>
  <si>
    <t>DEMAND BLOCK 1</t>
  </si>
  <si>
    <t>BLOCK 4</t>
  </si>
  <si>
    <t>BLOCK 3</t>
  </si>
  <si>
    <t>BLOCK 2</t>
  </si>
  <si>
    <t>BLOCK 1</t>
  </si>
  <si>
    <t>MONTHLY MINIMUM</t>
  </si>
  <si>
    <t>BASIC CHARGE</t>
  </si>
  <si>
    <t>PROPOSED REVENUE</t>
  </si>
  <si>
    <t>PDE-E-5/6</t>
  </si>
  <si>
    <t>PDE-E-17</t>
  </si>
  <si>
    <t>PDE-E-15</t>
  </si>
  <si>
    <t>PDE-E-29/8</t>
  </si>
  <si>
    <t>PDE-E-22/23</t>
  </si>
  <si>
    <t>PRESENT REVENUE</t>
  </si>
  <si>
    <t>ADJUST TO ACTUAL PER KWH</t>
  </si>
  <si>
    <t>BLOCK 4 PER KWH</t>
  </si>
  <si>
    <t>BLOCK 3 PER KWH</t>
  </si>
  <si>
    <t>BLOCK 2 PER KWH</t>
  </si>
  <si>
    <t>BLOCK 1 PER KWH</t>
  </si>
  <si>
    <t>PROPOSED RATES</t>
  </si>
  <si>
    <t>PDE-E-21</t>
  </si>
  <si>
    <t>- range name where Proposed Rates table can be found</t>
  </si>
  <si>
    <t>- range name where Present Rates table can be found</t>
  </si>
  <si>
    <t>PRESENT RATES</t>
  </si>
  <si>
    <t>EXCESS DEMAND</t>
  </si>
  <si>
    <t>MINIMUM BILLS</t>
  </si>
  <si>
    <t>TOTAL BILLS</t>
  </si>
  <si>
    <t>TOTAL PROFORMA KWHS</t>
  </si>
  <si>
    <t>WEATHER &amp; UNBILLED ADJ. KWHS</t>
  </si>
  <si>
    <t>TOTAL BEFORE ADJUSTMENT</t>
  </si>
  <si>
    <t>ADJUSTMENT TO ACTUAL</t>
  </si>
  <si>
    <t>STREET &amp; AREA LIGHTS</t>
  </si>
  <si>
    <t>KILOWATT HOURS (KWHS)</t>
  </si>
  <si>
    <t>PROPOSED BILL DETERMINANTS</t>
  </si>
  <si>
    <t>PDE-E-10</t>
  </si>
  <si>
    <t>PDE-E-3</t>
  </si>
  <si>
    <t>PDE-E-20</t>
  </si>
  <si>
    <t>BILLING</t>
  </si>
  <si>
    <t>2)</t>
  </si>
  <si>
    <t>or</t>
  </si>
  <si>
    <t>BASE TARIFF</t>
  </si>
  <si>
    <t>1)</t>
  </si>
  <si>
    <t>Calculate all revenue exhibits using  ____ rates:</t>
  </si>
  <si>
    <t>PRESENT BILL DETERMINANTS</t>
  </si>
  <si>
    <t>Print Header for all printed pages on this worksheet:</t>
  </si>
  <si>
    <t>TRANSPORT</t>
  </si>
  <si>
    <t>GEN SERVICE</t>
  </si>
  <si>
    <t>LRG GEN SVC</t>
  </si>
  <si>
    <t>EX LRG GEN SVC</t>
  </si>
  <si>
    <t>SCH 148 - WSU</t>
  </si>
  <si>
    <t>SCH. 101 &amp; 102</t>
  </si>
  <si>
    <t>SCH. 111,112&amp;116</t>
  </si>
  <si>
    <t>SCH. 121,122&amp;126</t>
  </si>
  <si>
    <t>SCH. 131&amp;132</t>
  </si>
  <si>
    <t>SCHEDULE 146</t>
  </si>
  <si>
    <t>SCHEDULE 148</t>
  </si>
  <si>
    <t>ANN. MINIMUM</t>
  </si>
  <si>
    <t>THERMS</t>
  </si>
  <si>
    <t>PDE-G-8</t>
  </si>
  <si>
    <t>BLOCK 5</t>
  </si>
  <si>
    <t>LOAD ADJUSTMENT</t>
  </si>
  <si>
    <t>PDE-G-3</t>
  </si>
  <si>
    <t>WEATHER &amp; UNBILLED REV. ADJ.</t>
  </si>
  <si>
    <t>TOTAL PROFORMA THERMS</t>
  </si>
  <si>
    <t>TOTAL MINIMUM BILLS</t>
  </si>
  <si>
    <t>NET SHIFTING ADJUSTMENT</t>
  </si>
  <si>
    <t>SCHEDULE 101</t>
  </si>
  <si>
    <t>SCHEDULE 111</t>
  </si>
  <si>
    <t>SCHEDULE 121</t>
  </si>
  <si>
    <t>SCHEDULE 131</t>
  </si>
  <si>
    <t>PDE-G-13/14</t>
  </si>
  <si>
    <t>MONTHLY/ANNUAL MINIMUM</t>
  </si>
  <si>
    <t>BLOCK 1 PER THERM</t>
  </si>
  <si>
    <t>BLOCK 2 PER THERM</t>
  </si>
  <si>
    <t>BLOCK 3 PER THERM</t>
  </si>
  <si>
    <t>BLOCK 4 PER THERM</t>
  </si>
  <si>
    <t>BLOCK 5 PER THERM</t>
  </si>
  <si>
    <t>ADJUST TO ACTUAL PER THERM</t>
  </si>
  <si>
    <t>(1) Block 1 - Kaiser-Trentwood - workpaper PDE-G-19</t>
  </si>
  <si>
    <t>Block 2 - Lamb-Weston - workpaper PDE-G-21</t>
  </si>
  <si>
    <t>Block 3 - Mutual Materials - workpaper PDE-G-25</t>
  </si>
  <si>
    <t>Block 4 - Washington Potato - workpaper PDE-G-23</t>
  </si>
  <si>
    <t>Block 5 - Avista Electric generating facilities billed at 2.091 cents/therm (Sch. 148 floor)</t>
  </si>
  <si>
    <t>(2) Monthly minimum / rate per therm - workpaper PDE-G-27</t>
  </si>
  <si>
    <t>ANNUAL MINIMUM</t>
  </si>
  <si>
    <t>PDE-G-15</t>
  </si>
  <si>
    <t>UNBILLED LOAD THERMS</t>
  </si>
  <si>
    <t>PDE-G-2/5/6</t>
  </si>
  <si>
    <t>PDE-G-14</t>
  </si>
  <si>
    <t>WEATHER-SENSITIVE THERMS</t>
  </si>
  <si>
    <t>PDE-G-2/5</t>
  </si>
  <si>
    <t>TOTAL UNBILLED THERM ADJ</t>
  </si>
  <si>
    <t>PDE-G-17</t>
  </si>
  <si>
    <t>OTHER ADJUSTMENTS</t>
  </si>
  <si>
    <t>BASE LOAD THERMS</t>
  </si>
  <si>
    <t>BASE LOAD RATE</t>
  </si>
  <si>
    <t>BASE LOAD REVENUE</t>
  </si>
  <si>
    <t>TOTAL INCREASED REVENUE</t>
  </si>
  <si>
    <t>BASE LOAD</t>
  </si>
  <si>
    <t>THERMS(1)</t>
  </si>
  <si>
    <t>PRESENT BASELOAD AND WEATHER-SENSITIVE RATE</t>
  </si>
  <si>
    <t>0-70 THERMS</t>
  </si>
  <si>
    <t>OVER 70 THERMS</t>
  </si>
  <si>
    <t>PROPOSED BASELOAD AND WEATHER-SENSITIVE RATE</t>
  </si>
  <si>
    <t>(1) Base load per bill for Schedule 101 is shown on workpaper PDE-G-18 multiplied by total billings from PDE-G-1, or</t>
  </si>
  <si>
    <t>0-200 THERMS</t>
  </si>
  <si>
    <t>201-1,000 THERMS</t>
  </si>
  <si>
    <t>OVER 1,000 THERMS</t>
  </si>
  <si>
    <t>(1) Base load per bill for Schedule 111 is shown on workpaper PDE-G-18 multiplied by total billings from PDE-G-1, or</t>
  </si>
  <si>
    <t>0-500 THERMS</t>
  </si>
  <si>
    <t>501-1,000 THERMS</t>
  </si>
  <si>
    <t>1001-10,000 THERMS</t>
  </si>
  <si>
    <t>10,001-25,000 THERMS</t>
  </si>
  <si>
    <t>OVER 25,000 THERMS</t>
  </si>
  <si>
    <t>(1) Base load per bill for Schedule 121 is shown on workpaper PDE-G-18 multiplied by total billings from PDE-G-1, or</t>
  </si>
  <si>
    <t>kWH</t>
  </si>
  <si>
    <t>Customers</t>
  </si>
  <si>
    <t>Delta From Test Period</t>
  </si>
  <si>
    <t>KWh</t>
  </si>
  <si>
    <t/>
  </si>
  <si>
    <t>Note: Rates do not include BPA Residential Exchange Program Schedule 59, , Decoupling Schedule 75, Public Purpose Adjustment Schedules 89,91,92, REC Revenue Adjustment Schedule 98 or Power Cost Surcharge Schedule 93.</t>
  </si>
  <si>
    <t>BASE TARIFF REVENUE</t>
  </si>
  <si>
    <t>TOTAL BASE TARIFF REVENUE</t>
  </si>
  <si>
    <t>SUBTOTAL BASE TARIFF REVENUE</t>
  </si>
  <si>
    <t>663 X 2,587,975 = 1,583,840,700</t>
  </si>
  <si>
    <t>Total Base Load for Sch. 11 = 1,338 X 386,800 = 531,076,400</t>
  </si>
  <si>
    <t>53,800 X 22,787 = 1,321,737,148</t>
  </si>
  <si>
    <t>Note: Rates exclude Sch. 150 (Purch. Gas Cost Adj.)</t>
  </si>
  <si>
    <t>10 X 1,941,495 = 25,239,435</t>
  </si>
  <si>
    <t>527 X 36,840 = 19,193,640</t>
  </si>
  <si>
    <t>11,802 X 36 = 407,556</t>
  </si>
  <si>
    <t>%</t>
  </si>
  <si>
    <t>Revenues $</t>
  </si>
  <si>
    <t xml:space="preserve">Avista Expected Revenue Growth </t>
  </si>
  <si>
    <t>Per Avista Adj. 3.01</t>
  </si>
  <si>
    <t>Electric Rate Schedule</t>
  </si>
  <si>
    <t>Test Period vs. Pro Forma Period</t>
  </si>
  <si>
    <t>Page 1 of 3</t>
  </si>
  <si>
    <t>Page 2 of 3</t>
  </si>
  <si>
    <t>Twelve Months Ending Dec 31, 2019</t>
  </si>
  <si>
    <t>Twelve Months Ending June 30, 2020</t>
  </si>
  <si>
    <t>Total</t>
  </si>
  <si>
    <t>Gas Rate Schedule</t>
  </si>
  <si>
    <t>Test Period: Twelve Months Ending December 2018</t>
  </si>
  <si>
    <t>Per AWEC DR 104</t>
  </si>
  <si>
    <t>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</si>
</sst>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"/>
    <numFmt numFmtId="165" formatCode="_(* #,##0_);_(* \(#,##0\);_(* &quot;-&quot;??_);_(@_)"/>
    <numFmt numFmtId="166" formatCode="&quot;$&quot;#,##0.00"/>
    <numFmt numFmtId="167" formatCode="&quot;$&quot;#,##0"/>
    <numFmt numFmtId="168" formatCode="&quot;$&quot;#,##0.00000"/>
    <numFmt numFmtId="169" formatCode="#,##0,;\-#,##0,"/>
    <numFmt numFmtId="170" formatCode="_(&quot;$&quot;* #,##0.000000_);_(&quot;$&quot;* \(#,##0.000000\);_(&quot;$&quot;* &quot;-&quot;??_);_(@_)"/>
    <numFmt numFmtId="171" formatCode="_(&quot;$&quot;* #,##0_);_(&quot;$&quot;* \(#,##0\);_(&quot;$&quot;* &quot;-&quot;??_);_(@_)"/>
    <numFmt numFmtId="172" formatCode="#,##0.000\¢\ ;\(#,##0.000\¢\)"/>
    <numFmt numFmtId="173" formatCode="&quot;$&quot;#,##0.0000_);\(&quot;$&quot;#,##0.0000\)"/>
    <numFmt numFmtId="174" formatCode="0.0%"/>
    <numFmt numFmtId="175" formatCode="&quot;$&quot;#,##0.00;\-&quot;$&quot;#,##0.00;"/>
    <numFmt numFmtId="176" formatCode="#,##0.000\¢\ ;\(#,##0.000\¢\);"/>
    <numFmt numFmtId="177" formatCode="0.0000"/>
    <numFmt numFmtId="178" formatCode="#,##0;;"/>
    <numFmt numFmtId="179" formatCode=";;;"/>
    <numFmt numFmtId="180" formatCode="#,##0_);\(#,##0\);"/>
    <numFmt numFmtId="181" formatCode="0_);\(0\)"/>
    <numFmt numFmtId="182" formatCode="&quot;$&quot;#,##0.0;\-&quot;$&quot;#,##0;"/>
    <numFmt numFmtId="183" formatCode="&quot;$&quot;#,##0_);\(&quot;$&quot;#,##0\);"/>
    <numFmt numFmtId="184" formatCode="#,##0.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u/>
      <sz val="12"/>
      <color theme="1"/>
      <name val="Times New Roman"/>
      <family val="1"/>
    </font>
    <font>
      <sz val="10"/>
      <name val="Arial"/>
      <family val="2"/>
    </font>
    <font>
      <sz val="8"/>
      <name val="Geneva"/>
    </font>
    <font>
      <sz val="8"/>
      <color rgb="FF0000FF"/>
      <name val="Geneva"/>
    </font>
    <font>
      <b/>
      <sz val="8"/>
      <name val="Geneva"/>
    </font>
    <font>
      <u/>
      <sz val="8"/>
      <name val="Geneva"/>
    </font>
    <font>
      <sz val="8"/>
      <color indexed="39"/>
      <name val="Geneva"/>
    </font>
    <font>
      <sz val="8"/>
      <color indexed="10"/>
      <name val="Geneva"/>
    </font>
    <font>
      <sz val="8"/>
      <color indexed="12"/>
      <name val="Geneva"/>
    </font>
    <font>
      <b/>
      <sz val="8"/>
      <name val="Courier"/>
      <family val="3"/>
    </font>
    <font>
      <sz val="8"/>
      <color rgb="FF00B050"/>
      <name val="Geneva"/>
    </font>
    <font>
      <b/>
      <sz val="9"/>
      <name val="Arial"/>
      <family val="2"/>
    </font>
    <font>
      <b/>
      <sz val="8"/>
      <color indexed="12"/>
      <name val="Geneva"/>
    </font>
    <font>
      <b/>
      <sz val="8"/>
      <color indexed="10"/>
      <name val="Genev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8"/>
      <color theme="6" tint="-0.249977111117893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1" applyFont="1"/>
    <xf numFmtId="164" fontId="2" fillId="0" borderId="0" xfId="1" applyNumberFormat="1" applyFont="1"/>
    <xf numFmtId="3" fontId="2" fillId="0" borderId="0" xfId="1" applyNumberFormat="1" applyFont="1"/>
    <xf numFmtId="0" fontId="3" fillId="0" borderId="0" xfId="1" applyFont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0" borderId="0" xfId="1"/>
    <xf numFmtId="0" fontId="3" fillId="0" borderId="2" xfId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2" fillId="0" borderId="4" xfId="1" applyFont="1" applyBorder="1"/>
    <xf numFmtId="5" fontId="2" fillId="0" borderId="0" xfId="1" applyNumberFormat="1" applyFont="1"/>
    <xf numFmtId="5" fontId="2" fillId="0" borderId="0" xfId="2" applyNumberFormat="1" applyFont="1"/>
    <xf numFmtId="5" fontId="2" fillId="0" borderId="1" xfId="2" applyNumberFormat="1" applyFont="1" applyBorder="1"/>
    <xf numFmtId="165" fontId="2" fillId="0" borderId="0" xfId="1" applyNumberFormat="1" applyFont="1"/>
    <xf numFmtId="165" fontId="2" fillId="0" borderId="0" xfId="2" applyNumberFormat="1" applyFont="1"/>
    <xf numFmtId="165" fontId="2" fillId="0" borderId="1" xfId="2" applyNumberFormat="1" applyFont="1" applyBorder="1"/>
    <xf numFmtId="0" fontId="2" fillId="0" borderId="0" xfId="1" applyFont="1" applyAlignment="1">
      <alignment horizontal="right"/>
    </xf>
    <xf numFmtId="166" fontId="2" fillId="0" borderId="0" xfId="3" applyNumberFormat="1" applyFont="1"/>
    <xf numFmtId="166" fontId="2" fillId="0" borderId="1" xfId="3" applyNumberFormat="1" applyFont="1" applyBorder="1"/>
    <xf numFmtId="167" fontId="2" fillId="0" borderId="0" xfId="3" applyNumberFormat="1" applyFont="1"/>
    <xf numFmtId="168" fontId="2" fillId="2" borderId="0" xfId="1" applyNumberFormat="1" applyFont="1" applyFill="1"/>
    <xf numFmtId="169" fontId="2" fillId="0" borderId="0" xfId="1" applyNumberFormat="1" applyFont="1"/>
    <xf numFmtId="5" fontId="2" fillId="0" borderId="5" xfId="1" applyNumberFormat="1" applyFont="1" applyBorder="1"/>
    <xf numFmtId="5" fontId="2" fillId="0" borderId="5" xfId="2" applyNumberFormat="1" applyFont="1" applyBorder="1"/>
    <xf numFmtId="5" fontId="2" fillId="0" borderId="4" xfId="2" applyNumberFormat="1" applyFont="1" applyBorder="1"/>
    <xf numFmtId="5" fontId="2" fillId="0" borderId="0" xfId="1" applyNumberFormat="1" applyFont="1" applyBorder="1"/>
    <xf numFmtId="5" fontId="2" fillId="0" borderId="0" xfId="2" applyNumberFormat="1" applyFont="1" applyBorder="1"/>
    <xf numFmtId="7" fontId="2" fillId="0" borderId="0" xfId="2" applyNumberFormat="1" applyFont="1"/>
    <xf numFmtId="5" fontId="5" fillId="0" borderId="0" xfId="2" applyNumberFormat="1" applyFont="1" applyAlignment="1">
      <alignment horizontal="right"/>
    </xf>
    <xf numFmtId="5" fontId="2" fillId="0" borderId="0" xfId="2" applyNumberFormat="1" applyFont="1" applyAlignment="1">
      <alignment horizontal="center"/>
    </xf>
    <xf numFmtId="5" fontId="5" fillId="0" borderId="0" xfId="2" applyNumberFormat="1" applyFont="1" applyAlignment="1">
      <alignment horizontal="center"/>
    </xf>
    <xf numFmtId="170" fontId="2" fillId="0" borderId="0" xfId="3" applyNumberFormat="1" applyFont="1"/>
    <xf numFmtId="0" fontId="2" fillId="0" borderId="0" xfId="1" applyFont="1" applyFill="1"/>
    <xf numFmtId="3" fontId="2" fillId="0" borderId="0" xfId="1" applyNumberFormat="1" applyFont="1" applyFill="1"/>
    <xf numFmtId="0" fontId="5" fillId="0" borderId="0" xfId="1" applyFont="1"/>
    <xf numFmtId="0" fontId="2" fillId="0" borderId="0" xfId="1" applyFont="1" applyAlignment="1">
      <alignment horizontal="center"/>
    </xf>
    <xf numFmtId="171" fontId="6" fillId="0" borderId="0" xfId="1" applyNumberFormat="1" applyFont="1" applyFill="1" applyBorder="1"/>
    <xf numFmtId="171" fontId="6" fillId="0" borderId="1" xfId="1" applyNumberFormat="1" applyFont="1" applyFill="1" applyBorder="1"/>
    <xf numFmtId="3" fontId="8" fillId="0" borderId="0" xfId="4" applyNumberFormat="1" applyFont="1" applyAlignment="1">
      <alignment horizontal="left" indent="1"/>
    </xf>
    <xf numFmtId="165" fontId="6" fillId="0" borderId="0" xfId="2" applyNumberFormat="1" applyFont="1" applyFill="1" applyBorder="1"/>
    <xf numFmtId="165" fontId="6" fillId="0" borderId="1" xfId="2" applyNumberFormat="1" applyFont="1" applyFill="1" applyBorder="1"/>
    <xf numFmtId="37" fontId="6" fillId="0" borderId="0" xfId="1" applyNumberFormat="1" applyFont="1" applyFill="1" applyBorder="1"/>
    <xf numFmtId="166" fontId="2" fillId="0" borderId="0" xfId="3" applyNumberFormat="1" applyFont="1" applyFill="1"/>
    <xf numFmtId="166" fontId="2" fillId="0" borderId="1" xfId="3" applyNumberFormat="1" applyFont="1" applyFill="1" applyBorder="1"/>
    <xf numFmtId="167" fontId="2" fillId="0" borderId="0" xfId="3" applyNumberFormat="1" applyFont="1" applyFill="1"/>
    <xf numFmtId="5" fontId="2" fillId="0" borderId="0" xfId="2" applyNumberFormat="1" applyFont="1" applyFill="1"/>
    <xf numFmtId="5" fontId="2" fillId="0" borderId="1" xfId="2" applyNumberFormat="1" applyFont="1" applyFill="1" applyBorder="1"/>
    <xf numFmtId="0" fontId="8" fillId="0" borderId="0" xfId="1" applyFont="1" applyAlignment="1">
      <alignment horizontal="left" indent="1" readingOrder="1"/>
    </xf>
    <xf numFmtId="165" fontId="2" fillId="0" borderId="5" xfId="2" applyNumberFormat="1" applyFont="1" applyBorder="1"/>
    <xf numFmtId="5" fontId="2" fillId="0" borderId="5" xfId="2" applyNumberFormat="1" applyFont="1" applyFill="1" applyBorder="1"/>
    <xf numFmtId="5" fontId="2" fillId="0" borderId="4" xfId="2" applyNumberFormat="1" applyFont="1" applyFill="1" applyBorder="1"/>
    <xf numFmtId="44" fontId="2" fillId="0" borderId="0" xfId="3" applyFont="1"/>
    <xf numFmtId="0" fontId="9" fillId="0" borderId="0" xfId="1" applyFont="1"/>
    <xf numFmtId="171" fontId="2" fillId="0" borderId="0" xfId="3" applyNumberFormat="1" applyFont="1"/>
    <xf numFmtId="0" fontId="2" fillId="3" borderId="6" xfId="1" applyFont="1" applyFill="1" applyBorder="1"/>
    <xf numFmtId="0" fontId="1" fillId="3" borderId="7" xfId="1" applyFill="1" applyBorder="1"/>
    <xf numFmtId="5" fontId="10" fillId="3" borderId="8" xfId="1" applyNumberFormat="1" applyFont="1" applyFill="1" applyBorder="1"/>
    <xf numFmtId="0" fontId="2" fillId="3" borderId="9" xfId="1" applyFont="1" applyFill="1" applyBorder="1"/>
    <xf numFmtId="0" fontId="1" fillId="3" borderId="10" xfId="1" applyFill="1" applyBorder="1"/>
    <xf numFmtId="0" fontId="2" fillId="3" borderId="10" xfId="1" applyFont="1" applyFill="1" applyBorder="1"/>
    <xf numFmtId="5" fontId="10" fillId="3" borderId="11" xfId="1" applyNumberFormat="1" applyFont="1" applyFill="1" applyBorder="1"/>
    <xf numFmtId="170" fontId="2" fillId="0" borderId="0" xfId="1" applyNumberFormat="1" applyFont="1"/>
    <xf numFmtId="170" fontId="1" fillId="0" borderId="0" xfId="1" applyNumberFormat="1"/>
    <xf numFmtId="0" fontId="2" fillId="0" borderId="0" xfId="5" applyFont="1"/>
    <xf numFmtId="0" fontId="1" fillId="0" borderId="0" xfId="5"/>
    <xf numFmtId="5" fontId="2" fillId="0" borderId="0" xfId="5" applyNumberFormat="1" applyFont="1"/>
    <xf numFmtId="171" fontId="2" fillId="0" borderId="0" xfId="5" applyNumberFormat="1" applyFont="1"/>
    <xf numFmtId="10" fontId="2" fillId="0" borderId="0" xfId="6" applyNumberFormat="1" applyFont="1"/>
    <xf numFmtId="5" fontId="2" fillId="0" borderId="0" xfId="7" applyNumberFormat="1" applyFont="1"/>
    <xf numFmtId="5" fontId="10" fillId="3" borderId="11" xfId="5" applyNumberFormat="1" applyFont="1" applyFill="1" applyBorder="1"/>
    <xf numFmtId="0" fontId="2" fillId="3" borderId="10" xfId="5" applyFont="1" applyFill="1" applyBorder="1"/>
    <xf numFmtId="0" fontId="2" fillId="3" borderId="9" xfId="5" applyFont="1" applyFill="1" applyBorder="1"/>
    <xf numFmtId="5" fontId="10" fillId="3" borderId="8" xfId="5" applyNumberFormat="1" applyFont="1" applyFill="1" applyBorder="1"/>
    <xf numFmtId="0" fontId="2" fillId="3" borderId="7" xfId="5" applyFont="1" applyFill="1" applyBorder="1"/>
    <xf numFmtId="0" fontId="2" fillId="3" borderId="6" xfId="5" applyFont="1" applyFill="1" applyBorder="1"/>
    <xf numFmtId="0" fontId="2" fillId="0" borderId="0" xfId="5" applyFont="1" applyAlignment="1">
      <alignment horizontal="center"/>
    </xf>
    <xf numFmtId="168" fontId="2" fillId="2" borderId="0" xfId="5" applyNumberFormat="1" applyFont="1" applyFill="1"/>
    <xf numFmtId="0" fontId="2" fillId="0" borderId="0" xfId="5" applyFont="1" applyFill="1"/>
    <xf numFmtId="7" fontId="2" fillId="0" borderId="0" xfId="7" applyNumberFormat="1" applyFont="1"/>
    <xf numFmtId="165" fontId="2" fillId="0" borderId="5" xfId="5" applyNumberFormat="1" applyFont="1" applyFill="1" applyBorder="1"/>
    <xf numFmtId="5" fontId="2" fillId="0" borderId="5" xfId="5" applyNumberFormat="1" applyFont="1" applyFill="1" applyBorder="1"/>
    <xf numFmtId="5" fontId="2" fillId="0" borderId="0" xfId="7" applyNumberFormat="1" applyFont="1" applyBorder="1"/>
    <xf numFmtId="5" fontId="2" fillId="0" borderId="0" xfId="5" applyNumberFormat="1" applyFont="1" applyBorder="1"/>
    <xf numFmtId="165" fontId="2" fillId="0" borderId="0" xfId="5" applyNumberFormat="1" applyFont="1" applyFill="1"/>
    <xf numFmtId="165" fontId="2" fillId="0" borderId="0" xfId="7" applyNumberFormat="1" applyFont="1" applyFill="1"/>
    <xf numFmtId="0" fontId="8" fillId="0" borderId="0" xfId="5" applyFont="1" applyFill="1" applyBorder="1" applyAlignment="1">
      <alignment horizontal="left" indent="1" readingOrder="1"/>
    </xf>
    <xf numFmtId="5" fontId="2" fillId="0" borderId="0" xfId="5" applyNumberFormat="1" applyFont="1" applyFill="1"/>
    <xf numFmtId="5" fontId="2" fillId="0" borderId="5" xfId="7" applyNumberFormat="1" applyFont="1" applyBorder="1"/>
    <xf numFmtId="5" fontId="2" fillId="0" borderId="4" xfId="7" applyNumberFormat="1" applyFont="1" applyBorder="1"/>
    <xf numFmtId="5" fontId="2" fillId="0" borderId="5" xfId="5" applyNumberFormat="1" applyFont="1" applyBorder="1"/>
    <xf numFmtId="3" fontId="2" fillId="0" borderId="0" xfId="5" applyNumberFormat="1" applyFont="1"/>
    <xf numFmtId="0" fontId="8" fillId="0" borderId="0" xfId="5" applyFont="1" applyFill="1" applyAlignment="1">
      <alignment horizontal="left" indent="1" readingOrder="1"/>
    </xf>
    <xf numFmtId="171" fontId="2" fillId="0" borderId="0" xfId="7" applyNumberFormat="1" applyFont="1" applyFill="1"/>
    <xf numFmtId="171" fontId="2" fillId="0" borderId="1" xfId="7" applyNumberFormat="1" applyFont="1" applyFill="1" applyBorder="1"/>
    <xf numFmtId="5" fontId="2" fillId="0" borderId="0" xfId="7" applyNumberFormat="1" applyFont="1" applyFill="1"/>
    <xf numFmtId="5" fontId="2" fillId="0" borderId="1" xfId="7" applyNumberFormat="1" applyFont="1" applyFill="1" applyBorder="1"/>
    <xf numFmtId="0" fontId="2" fillId="0" borderId="1" xfId="5" applyFont="1" applyFill="1" applyBorder="1"/>
    <xf numFmtId="0" fontId="2" fillId="0" borderId="0" xfId="5" applyFont="1" applyAlignment="1">
      <alignment horizontal="right"/>
    </xf>
    <xf numFmtId="0" fontId="2" fillId="0" borderId="0" xfId="5" applyFont="1" applyFill="1" applyAlignment="1">
      <alignment horizontal="center"/>
    </xf>
    <xf numFmtId="165" fontId="2" fillId="0" borderId="1" xfId="7" applyNumberFormat="1" applyFont="1" applyFill="1" applyBorder="1"/>
    <xf numFmtId="37" fontId="2" fillId="0" borderId="0" xfId="5" applyNumberFormat="1" applyFont="1" applyFill="1"/>
    <xf numFmtId="165" fontId="2" fillId="0" borderId="0" xfId="5" applyNumberFormat="1" applyFont="1"/>
    <xf numFmtId="165" fontId="2" fillId="0" borderId="0" xfId="7" applyNumberFormat="1" applyFont="1" applyFill="1" applyBorder="1"/>
    <xf numFmtId="171" fontId="2" fillId="0" borderId="0" xfId="3" applyNumberFormat="1" applyFont="1" applyFill="1" applyBorder="1"/>
    <xf numFmtId="171" fontId="2" fillId="0" borderId="1" xfId="3" applyNumberFormat="1" applyFont="1" applyFill="1" applyBorder="1"/>
    <xf numFmtId="171" fontId="2" fillId="0" borderId="0" xfId="3" applyNumberFormat="1" applyFont="1" applyFill="1"/>
    <xf numFmtId="0" fontId="2" fillId="2" borderId="0" xfId="5" applyFont="1" applyFill="1" applyBorder="1"/>
    <xf numFmtId="0" fontId="2" fillId="2" borderId="1" xfId="5" applyFont="1" applyFill="1" applyBorder="1"/>
    <xf numFmtId="0" fontId="2" fillId="2" borderId="0" xfId="5" applyFont="1" applyFill="1"/>
    <xf numFmtId="0" fontId="3" fillId="2" borderId="2" xfId="5" applyFont="1" applyFill="1" applyBorder="1" applyAlignment="1">
      <alignment horizontal="center"/>
    </xf>
    <xf numFmtId="0" fontId="3" fillId="2" borderId="3" xfId="5" applyFont="1" applyFill="1" applyBorder="1" applyAlignment="1">
      <alignment horizontal="center"/>
    </xf>
    <xf numFmtId="0" fontId="3" fillId="2" borderId="0" xfId="5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/>
    </xf>
    <xf numFmtId="0" fontId="5" fillId="0" borderId="0" xfId="5" applyFont="1"/>
    <xf numFmtId="169" fontId="2" fillId="0" borderId="0" xfId="5" applyNumberFormat="1" applyFont="1"/>
    <xf numFmtId="165" fontId="2" fillId="0" borderId="0" xfId="7" applyNumberFormat="1" applyFont="1"/>
    <xf numFmtId="5" fontId="5" fillId="0" borderId="0" xfId="7" applyNumberFormat="1" applyFont="1" applyAlignment="1">
      <alignment horizontal="center"/>
    </xf>
    <xf numFmtId="43" fontId="2" fillId="0" borderId="0" xfId="7" applyNumberFormat="1" applyFont="1"/>
    <xf numFmtId="5" fontId="2" fillId="0" borderId="0" xfId="7" applyNumberFormat="1" applyFont="1" applyAlignment="1">
      <alignment horizontal="center"/>
    </xf>
    <xf numFmtId="5" fontId="5" fillId="0" borderId="0" xfId="7" applyNumberFormat="1" applyFont="1" applyAlignment="1">
      <alignment horizontal="right"/>
    </xf>
    <xf numFmtId="171" fontId="2" fillId="0" borderId="5" xfId="7" applyNumberFormat="1" applyFont="1" applyBorder="1"/>
    <xf numFmtId="0" fontId="2" fillId="0" borderId="1" xfId="5" applyFont="1" applyBorder="1"/>
    <xf numFmtId="164" fontId="2" fillId="0" borderId="0" xfId="5" applyNumberFormat="1" applyFont="1"/>
    <xf numFmtId="0" fontId="12" fillId="0" borderId="0" xfId="8" applyFont="1"/>
    <xf numFmtId="0" fontId="12" fillId="0" borderId="0" xfId="8" applyFont="1" applyAlignment="1">
      <alignment horizontal="left"/>
    </xf>
    <xf numFmtId="165" fontId="12" fillId="0" borderId="0" xfId="9" applyNumberFormat="1" applyFont="1"/>
    <xf numFmtId="37" fontId="12" fillId="0" borderId="0" xfId="8" applyNumberFormat="1" applyFont="1"/>
    <xf numFmtId="7" fontId="12" fillId="0" borderId="0" xfId="8" applyNumberFormat="1" applyFont="1"/>
    <xf numFmtId="166" fontId="13" fillId="0" borderId="0" xfId="8" applyNumberFormat="1" applyFont="1"/>
    <xf numFmtId="43" fontId="12" fillId="0" borderId="0" xfId="8" applyNumberFormat="1" applyFont="1"/>
    <xf numFmtId="0" fontId="12" fillId="0" borderId="0" xfId="8" applyFont="1" applyFill="1"/>
    <xf numFmtId="172" fontId="12" fillId="0" borderId="0" xfId="8" applyNumberFormat="1" applyFont="1"/>
    <xf numFmtId="0" fontId="12" fillId="0" borderId="5" xfId="8" applyFont="1" applyBorder="1"/>
    <xf numFmtId="37" fontId="12" fillId="0" borderId="5" xfId="8" applyNumberFormat="1" applyFont="1" applyBorder="1"/>
    <xf numFmtId="5" fontId="12" fillId="0" borderId="0" xfId="8" applyNumberFormat="1" applyFont="1"/>
    <xf numFmtId="0" fontId="12" fillId="0" borderId="0" xfId="8" applyFont="1" applyAlignment="1">
      <alignment horizontal="left" indent="1"/>
    </xf>
    <xf numFmtId="0" fontId="14" fillId="0" borderId="0" xfId="8" applyFont="1"/>
    <xf numFmtId="0" fontId="15" fillId="0" borderId="0" xfId="8" applyFont="1"/>
    <xf numFmtId="37" fontId="16" fillId="0" borderId="0" xfId="8" applyNumberFormat="1" applyFont="1" applyFill="1"/>
    <xf numFmtId="0" fontId="12" fillId="0" borderId="0" xfId="8" applyFont="1" applyAlignment="1">
      <alignment horizontal="center"/>
    </xf>
    <xf numFmtId="0" fontId="12" fillId="0" borderId="2" xfId="8" applyFont="1" applyBorder="1" applyAlignment="1">
      <alignment horizontal="center"/>
    </xf>
    <xf numFmtId="10" fontId="12" fillId="0" borderId="0" xfId="8" applyNumberFormat="1" applyFont="1"/>
    <xf numFmtId="173" fontId="12" fillId="0" borderId="0" xfId="8" applyNumberFormat="1" applyFont="1"/>
    <xf numFmtId="0" fontId="11" fillId="0" borderId="0" xfId="8"/>
    <xf numFmtId="0" fontId="17" fillId="0" borderId="0" xfId="8" applyFont="1" applyAlignment="1"/>
    <xf numFmtId="171" fontId="12" fillId="0" borderId="0" xfId="10" applyNumberFormat="1" applyFont="1"/>
    <xf numFmtId="165" fontId="12" fillId="0" borderId="0" xfId="8" applyNumberFormat="1" applyFont="1"/>
    <xf numFmtId="9" fontId="12" fillId="0" borderId="0" xfId="11" applyFont="1"/>
    <xf numFmtId="7" fontId="11" fillId="0" borderId="0" xfId="8" applyNumberFormat="1"/>
    <xf numFmtId="5" fontId="14" fillId="0" borderId="0" xfId="8" applyNumberFormat="1" applyFont="1"/>
    <xf numFmtId="10" fontId="14" fillId="0" borderId="0" xfId="8" applyNumberFormat="1" applyFont="1"/>
    <xf numFmtId="0" fontId="14" fillId="0" borderId="0" xfId="8" applyFont="1" applyAlignment="1">
      <alignment horizontal="left"/>
    </xf>
    <xf numFmtId="5" fontId="15" fillId="0" borderId="5" xfId="8" applyNumberFormat="1" applyFont="1" applyBorder="1"/>
    <xf numFmtId="5" fontId="12" fillId="0" borderId="5" xfId="8" applyNumberFormat="1" applyFont="1" applyBorder="1"/>
    <xf numFmtId="5" fontId="12" fillId="0" borderId="0" xfId="8" applyNumberFormat="1" applyFont="1" applyBorder="1"/>
    <xf numFmtId="5" fontId="12" fillId="0" borderId="0" xfId="8" applyNumberFormat="1" applyFont="1" applyAlignment="1">
      <alignment horizontal="left" indent="1"/>
    </xf>
    <xf numFmtId="5" fontId="18" fillId="0" borderId="0" xfId="8" applyNumberFormat="1" applyFont="1"/>
    <xf numFmtId="172" fontId="12" fillId="0" borderId="0" xfId="8" applyNumberFormat="1" applyFont="1" applyAlignment="1">
      <alignment horizontal="left" indent="1"/>
    </xf>
    <xf numFmtId="37" fontId="12" fillId="0" borderId="0" xfId="9" applyNumberFormat="1" applyFont="1"/>
    <xf numFmtId="0" fontId="12" fillId="0" borderId="12" xfId="8" applyFont="1" applyBorder="1"/>
    <xf numFmtId="3" fontId="12" fillId="0" borderId="0" xfId="8" applyNumberFormat="1" applyFont="1"/>
    <xf numFmtId="172" fontId="12" fillId="0" borderId="0" xfId="8" applyNumberFormat="1" applyFont="1" applyFill="1"/>
    <xf numFmtId="37" fontId="12" fillId="0" borderId="2" xfId="8" applyNumberFormat="1" applyFont="1" applyBorder="1"/>
    <xf numFmtId="0" fontId="12" fillId="0" borderId="0" xfId="9" applyNumberFormat="1" applyFont="1"/>
    <xf numFmtId="37" fontId="12" fillId="0" borderId="2" xfId="8" applyNumberFormat="1" applyFont="1" applyFill="1" applyBorder="1"/>
    <xf numFmtId="37" fontId="15" fillId="0" borderId="2" xfId="8" applyNumberFormat="1" applyFont="1" applyBorder="1"/>
    <xf numFmtId="37" fontId="12" fillId="0" borderId="0" xfId="8" applyNumberFormat="1" applyFont="1" applyFill="1"/>
    <xf numFmtId="0" fontId="19" fillId="0" borderId="2" xfId="8" applyFont="1" applyBorder="1"/>
    <xf numFmtId="174" fontId="12" fillId="0" borderId="0" xfId="11" applyNumberFormat="1" applyFont="1"/>
    <xf numFmtId="165" fontId="16" fillId="0" borderId="0" xfId="9" applyNumberFormat="1" applyFont="1"/>
    <xf numFmtId="165" fontId="16" fillId="0" borderId="0" xfId="9" applyNumberFormat="1" applyFont="1" applyFill="1"/>
    <xf numFmtId="165" fontId="13" fillId="0" borderId="0" xfId="9" applyNumberFormat="1" applyFont="1" applyFill="1"/>
    <xf numFmtId="0" fontId="12" fillId="0" borderId="0" xfId="8" applyFont="1" applyFill="1" applyAlignment="1">
      <alignment horizontal="left"/>
    </xf>
    <xf numFmtId="5" fontId="12" fillId="0" borderId="0" xfId="8" applyNumberFormat="1" applyFont="1" applyFill="1"/>
    <xf numFmtId="3" fontId="12" fillId="0" borderId="0" xfId="8" applyNumberFormat="1" applyFont="1" applyAlignment="1">
      <alignment horizontal="left" indent="1"/>
    </xf>
    <xf numFmtId="5" fontId="12" fillId="0" borderId="5" xfId="8" applyNumberFormat="1" applyFont="1" applyFill="1" applyBorder="1"/>
    <xf numFmtId="37" fontId="16" fillId="0" borderId="0" xfId="9" applyNumberFormat="1" applyFont="1"/>
    <xf numFmtId="37" fontId="13" fillId="0" borderId="0" xfId="9" applyNumberFormat="1" applyFont="1" applyFill="1"/>
    <xf numFmtId="171" fontId="12" fillId="0" borderId="2" xfId="10" applyNumberFormat="1" applyFont="1" applyBorder="1"/>
    <xf numFmtId="37" fontId="12" fillId="0" borderId="0" xfId="8" applyNumberFormat="1" applyFont="1" applyBorder="1"/>
    <xf numFmtId="165" fontId="12" fillId="0" borderId="2" xfId="9" applyNumberFormat="1" applyFont="1" applyBorder="1"/>
    <xf numFmtId="9" fontId="12" fillId="0" borderId="2" xfId="11" applyFont="1" applyBorder="1"/>
    <xf numFmtId="37" fontId="13" fillId="0" borderId="0" xfId="8" applyNumberFormat="1" applyFont="1" applyFill="1"/>
    <xf numFmtId="37" fontId="20" fillId="0" borderId="0" xfId="8" applyNumberFormat="1" applyFont="1" applyFill="1"/>
    <xf numFmtId="37" fontId="12" fillId="0" borderId="0" xfId="8" applyNumberFormat="1" applyFont="1" applyAlignment="1">
      <alignment horizontal="left" indent="1"/>
    </xf>
    <xf numFmtId="37" fontId="15" fillId="0" borderId="2" xfId="8" applyNumberFormat="1" applyFont="1" applyFill="1" applyBorder="1"/>
    <xf numFmtId="0" fontId="16" fillId="0" borderId="0" xfId="8" applyFont="1"/>
    <xf numFmtId="175" fontId="12" fillId="0" borderId="0" xfId="8" applyNumberFormat="1" applyFont="1"/>
    <xf numFmtId="176" fontId="12" fillId="0" borderId="0" xfId="8" applyNumberFormat="1" applyFont="1"/>
    <xf numFmtId="177" fontId="12" fillId="0" borderId="0" xfId="8" applyNumberFormat="1" applyFont="1"/>
    <xf numFmtId="10" fontId="16" fillId="0" borderId="0" xfId="8" applyNumberFormat="1" applyFont="1"/>
    <xf numFmtId="0" fontId="12" fillId="0" borderId="0" xfId="8" quotePrefix="1" applyFont="1"/>
    <xf numFmtId="178" fontId="12" fillId="0" borderId="0" xfId="8" applyNumberFormat="1" applyFont="1" applyAlignment="1">
      <alignment horizontal="center"/>
    </xf>
    <xf numFmtId="179" fontId="12" fillId="0" borderId="0" xfId="8" applyNumberFormat="1" applyFont="1"/>
    <xf numFmtId="165" fontId="12" fillId="0" borderId="0" xfId="9" applyNumberFormat="1" applyFont="1" applyAlignment="1">
      <alignment horizontal="left"/>
    </xf>
    <xf numFmtId="0" fontId="12" fillId="0" borderId="0" xfId="9" applyNumberFormat="1" applyFont="1" applyFill="1"/>
    <xf numFmtId="0" fontId="12" fillId="0" borderId="2" xfId="8" applyFont="1" applyBorder="1"/>
    <xf numFmtId="37" fontId="12" fillId="0" borderId="0" xfId="9" applyNumberFormat="1" applyFont="1" applyAlignment="1"/>
    <xf numFmtId="37" fontId="16" fillId="0" borderId="0" xfId="8" applyNumberFormat="1" applyFont="1"/>
    <xf numFmtId="37" fontId="18" fillId="0" borderId="0" xfId="8" applyNumberFormat="1" applyFont="1"/>
    <xf numFmtId="0" fontId="12" fillId="0" borderId="0" xfId="8" applyFont="1" applyAlignment="1">
      <alignment horizontal="right"/>
    </xf>
    <xf numFmtId="0" fontId="22" fillId="0" borderId="0" xfId="8" applyFont="1" applyAlignment="1">
      <alignment horizontal="left" indent="1"/>
    </xf>
    <xf numFmtId="0" fontId="12" fillId="0" borderId="0" xfId="8" applyFont="1" applyAlignment="1"/>
    <xf numFmtId="0" fontId="15" fillId="0" borderId="0" xfId="8" applyFont="1" applyAlignment="1"/>
    <xf numFmtId="0" fontId="23" fillId="0" borderId="0" xfId="8" applyFont="1"/>
    <xf numFmtId="0" fontId="26" fillId="0" borderId="0" xfId="8" applyFont="1" applyAlignment="1">
      <alignment horizontal="left"/>
    </xf>
    <xf numFmtId="0" fontId="27" fillId="0" borderId="0" xfId="8" applyFont="1"/>
    <xf numFmtId="0" fontId="27" fillId="0" borderId="0" xfId="8" applyFont="1" applyAlignment="1">
      <alignment horizontal="left"/>
    </xf>
    <xf numFmtId="0" fontId="27" fillId="0" borderId="0" xfId="8" applyFont="1" applyAlignment="1">
      <alignment horizontal="center"/>
    </xf>
    <xf numFmtId="0" fontId="27" fillId="0" borderId="0" xfId="8" applyFont="1" applyBorder="1" applyAlignment="1">
      <alignment horizontal="center"/>
    </xf>
    <xf numFmtId="0" fontId="27" fillId="0" borderId="2" xfId="8" applyFont="1" applyBorder="1" applyAlignment="1">
      <alignment horizontal="center"/>
    </xf>
    <xf numFmtId="0" fontId="27" fillId="0" borderId="2" xfId="8" applyFont="1" applyBorder="1"/>
    <xf numFmtId="180" fontId="27" fillId="0" borderId="0" xfId="8" applyNumberFormat="1" applyFont="1"/>
    <xf numFmtId="180" fontId="27" fillId="0" borderId="0" xfId="8" applyNumberFormat="1" applyFont="1" applyBorder="1"/>
    <xf numFmtId="180" fontId="27" fillId="0" borderId="5" xfId="8" applyNumberFormat="1" applyFont="1" applyBorder="1"/>
    <xf numFmtId="180" fontId="27" fillId="0" borderId="2" xfId="8" applyNumberFormat="1" applyFont="1" applyBorder="1"/>
    <xf numFmtId="180" fontId="27" fillId="0" borderId="0" xfId="8" applyNumberFormat="1" applyFont="1" applyAlignment="1">
      <alignment horizontal="center"/>
    </xf>
    <xf numFmtId="3" fontId="27" fillId="0" borderId="0" xfId="8" applyNumberFormat="1" applyFont="1"/>
    <xf numFmtId="3" fontId="27" fillId="2" borderId="0" xfId="8" applyNumberFormat="1" applyFont="1" applyFill="1"/>
    <xf numFmtId="181" fontId="27" fillId="0" borderId="0" xfId="8" applyNumberFormat="1" applyFont="1" applyAlignment="1">
      <alignment horizontal="center"/>
    </xf>
    <xf numFmtId="0" fontId="28" fillId="0" borderId="0" xfId="8" applyFont="1" applyAlignment="1">
      <alignment horizontal="left"/>
    </xf>
    <xf numFmtId="175" fontId="18" fillId="0" borderId="0" xfId="8" applyNumberFormat="1" applyFont="1"/>
    <xf numFmtId="0" fontId="29" fillId="0" borderId="0" xfId="8" applyFont="1"/>
    <xf numFmtId="182" fontId="12" fillId="0" borderId="0" xfId="8" applyNumberFormat="1" applyFont="1"/>
    <xf numFmtId="176" fontId="18" fillId="0" borderId="0" xfId="8" applyNumberFormat="1" applyFont="1" applyFill="1"/>
    <xf numFmtId="176" fontId="18" fillId="0" borderId="0" xfId="8" applyNumberFormat="1" applyFont="1"/>
    <xf numFmtId="172" fontId="27" fillId="0" borderId="0" xfId="8" applyNumberFormat="1" applyFont="1"/>
    <xf numFmtId="0" fontId="30" fillId="0" borderId="0" xfId="8" applyFont="1"/>
    <xf numFmtId="0" fontId="27" fillId="0" borderId="0" xfId="8" applyFont="1" applyFill="1"/>
    <xf numFmtId="5" fontId="27" fillId="0" borderId="0" xfId="8" applyNumberFormat="1" applyFont="1"/>
    <xf numFmtId="0" fontId="27" fillId="0" borderId="0" xfId="8" applyFont="1" applyAlignment="1">
      <alignment horizontal="left" indent="1"/>
    </xf>
    <xf numFmtId="6" fontId="27" fillId="0" borderId="0" xfId="10" applyNumberFormat="1" applyFont="1"/>
    <xf numFmtId="183" fontId="27" fillId="0" borderId="0" xfId="8" applyNumberFormat="1" applyFont="1"/>
    <xf numFmtId="180" fontId="27" fillId="0" borderId="0" xfId="10" applyNumberFormat="1" applyFont="1"/>
    <xf numFmtId="180" fontId="27" fillId="0" borderId="0" xfId="8" applyNumberFormat="1" applyFont="1" applyFill="1"/>
    <xf numFmtId="0" fontId="27" fillId="0" borderId="5" xfId="8" applyFont="1" applyBorder="1"/>
    <xf numFmtId="5" fontId="27" fillId="0" borderId="5" xfId="8" applyNumberFormat="1" applyFont="1" applyBorder="1"/>
    <xf numFmtId="6" fontId="27" fillId="0" borderId="0" xfId="10" applyNumberFormat="1" applyFont="1" applyBorder="1"/>
    <xf numFmtId="5" fontId="27" fillId="0" borderId="0" xfId="8" applyNumberFormat="1" applyFont="1" applyBorder="1"/>
    <xf numFmtId="37" fontId="27" fillId="0" borderId="2" xfId="10" applyNumberFormat="1" applyFont="1" applyBorder="1"/>
    <xf numFmtId="37" fontId="27" fillId="0" borderId="2" xfId="8" applyNumberFormat="1" applyFont="1" applyBorder="1"/>
    <xf numFmtId="37" fontId="27" fillId="0" borderId="0" xfId="10" applyNumberFormat="1" applyFont="1" applyBorder="1"/>
    <xf numFmtId="37" fontId="27" fillId="0" borderId="0" xfId="8" applyNumberFormat="1" applyFont="1"/>
    <xf numFmtId="6" fontId="27" fillId="0" borderId="5" xfId="10" applyNumberFormat="1" applyFont="1" applyBorder="1"/>
    <xf numFmtId="0" fontId="27" fillId="0" borderId="12" xfId="8" applyFont="1" applyBorder="1"/>
    <xf numFmtId="5" fontId="27" fillId="0" borderId="0" xfId="8" applyNumberFormat="1" applyFont="1" applyFill="1"/>
    <xf numFmtId="0" fontId="27" fillId="0" borderId="0" xfId="8" applyFont="1" applyFill="1" applyAlignment="1">
      <alignment horizontal="left"/>
    </xf>
    <xf numFmtId="3" fontId="27" fillId="0" borderId="0" xfId="8" applyNumberFormat="1" applyFont="1" applyAlignment="1">
      <alignment horizontal="left" indent="1"/>
    </xf>
    <xf numFmtId="37" fontId="27" fillId="0" borderId="0" xfId="10" applyNumberFormat="1" applyFont="1"/>
    <xf numFmtId="165" fontId="31" fillId="0" borderId="0" xfId="9" applyNumberFormat="1" applyFont="1" applyFill="1"/>
    <xf numFmtId="165" fontId="32" fillId="0" borderId="0" xfId="9" applyNumberFormat="1" applyFont="1" applyFill="1"/>
    <xf numFmtId="172" fontId="27" fillId="0" borderId="0" xfId="8" applyNumberFormat="1" applyFont="1" applyAlignment="1">
      <alignment horizontal="left" indent="1"/>
    </xf>
    <xf numFmtId="5" fontId="27" fillId="0" borderId="0" xfId="8" applyNumberFormat="1" applyFont="1" applyAlignment="1">
      <alignment horizontal="left" indent="1"/>
    </xf>
    <xf numFmtId="5" fontId="27" fillId="0" borderId="0" xfId="10" applyNumberFormat="1" applyFont="1"/>
    <xf numFmtId="37" fontId="32" fillId="0" borderId="0" xfId="10" applyNumberFormat="1" applyFont="1"/>
    <xf numFmtId="37" fontId="32" fillId="0" borderId="0" xfId="8" applyNumberFormat="1" applyFont="1"/>
    <xf numFmtId="172" fontId="27" fillId="0" borderId="0" xfId="8" applyNumberFormat="1" applyFont="1" applyFill="1"/>
    <xf numFmtId="37" fontId="32" fillId="0" borderId="0" xfId="8" applyNumberFormat="1" applyFont="1" applyFill="1"/>
    <xf numFmtId="37" fontId="29" fillId="0" borderId="0" xfId="8" applyNumberFormat="1" applyFont="1"/>
    <xf numFmtId="5" fontId="27" fillId="0" borderId="2" xfId="10" applyNumberFormat="1" applyFont="1" applyBorder="1"/>
    <xf numFmtId="5" fontId="27" fillId="0" borderId="2" xfId="8" applyNumberFormat="1" applyFont="1" applyBorder="1"/>
    <xf numFmtId="172" fontId="27" fillId="0" borderId="2" xfId="8" applyNumberFormat="1" applyFont="1" applyBorder="1"/>
    <xf numFmtId="184" fontId="27" fillId="0" borderId="2" xfId="8" applyNumberFormat="1" applyFont="1" applyBorder="1"/>
    <xf numFmtId="0" fontId="30" fillId="0" borderId="0" xfId="8" applyFont="1" applyAlignment="1">
      <alignment horizontal="left"/>
    </xf>
    <xf numFmtId="5" fontId="30" fillId="0" borderId="0" xfId="8" applyNumberFormat="1" applyFont="1"/>
    <xf numFmtId="10" fontId="30" fillId="0" borderId="0" xfId="8" applyNumberFormat="1" applyFont="1"/>
    <xf numFmtId="10" fontId="27" fillId="0" borderId="0" xfId="8" applyNumberFormat="1" applyFont="1"/>
    <xf numFmtId="39" fontId="27" fillId="0" borderId="0" xfId="8" applyNumberFormat="1" applyFont="1"/>
    <xf numFmtId="0" fontId="33" fillId="0" borderId="0" xfId="8" applyFont="1"/>
    <xf numFmtId="10" fontId="27" fillId="0" borderId="0" xfId="11" applyNumberFormat="1" applyFont="1"/>
    <xf numFmtId="37" fontId="29" fillId="0" borderId="0" xfId="8" applyNumberFormat="1" applyFont="1" applyFill="1"/>
    <xf numFmtId="3" fontId="27" fillId="0" borderId="0" xfId="8" applyNumberFormat="1" applyFont="1" applyBorder="1"/>
    <xf numFmtId="7" fontId="27" fillId="0" borderId="0" xfId="8" applyNumberFormat="1" applyFont="1"/>
    <xf numFmtId="44" fontId="27" fillId="0" borderId="0" xfId="10" applyFont="1"/>
    <xf numFmtId="44" fontId="27" fillId="0" borderId="0" xfId="8" applyNumberFormat="1" applyFont="1"/>
    <xf numFmtId="37" fontId="12" fillId="4" borderId="0" xfId="8" applyNumberFormat="1" applyFont="1" applyFill="1"/>
    <xf numFmtId="0" fontId="21" fillId="0" borderId="0" xfId="8" applyFont="1" applyAlignment="1">
      <alignment wrapText="1"/>
    </xf>
    <xf numFmtId="7" fontId="14" fillId="0" borderId="0" xfId="8" applyNumberFormat="1" applyFont="1" applyAlignment="1">
      <alignment wrapText="1"/>
    </xf>
    <xf numFmtId="0" fontId="11" fillId="0" borderId="0" xfId="8" applyAlignment="1"/>
    <xf numFmtId="41" fontId="2" fillId="0" borderId="0" xfId="5" applyNumberFormat="1" applyFont="1"/>
    <xf numFmtId="180" fontId="27" fillId="4" borderId="0" xfId="8" applyNumberFormat="1" applyFont="1" applyFill="1"/>
    <xf numFmtId="5" fontId="27" fillId="4" borderId="0" xfId="8" applyNumberFormat="1" applyFont="1" applyFill="1"/>
    <xf numFmtId="0" fontId="36" fillId="0" borderId="0" xfId="0" applyFont="1"/>
    <xf numFmtId="0" fontId="36" fillId="0" borderId="0" xfId="0" quotePrefix="1" applyFont="1"/>
    <xf numFmtId="0" fontId="36" fillId="0" borderId="0" xfId="5" applyFont="1"/>
    <xf numFmtId="41" fontId="36" fillId="0" borderId="0" xfId="0" applyNumberFormat="1" applyFont="1"/>
    <xf numFmtId="0" fontId="36" fillId="0" borderId="0" xfId="1" applyFont="1"/>
    <xf numFmtId="0" fontId="36" fillId="0" borderId="2" xfId="0" applyFont="1" applyBorder="1"/>
    <xf numFmtId="0" fontId="36" fillId="0" borderId="2" xfId="0" applyFont="1" applyBorder="1" applyAlignment="1">
      <alignment horizontal="center"/>
    </xf>
    <xf numFmtId="0" fontId="36" fillId="0" borderId="2" xfId="0" quotePrefix="1" applyFont="1" applyBorder="1"/>
    <xf numFmtId="0" fontId="36" fillId="0" borderId="0" xfId="0" quotePrefix="1" applyFont="1" applyBorder="1"/>
    <xf numFmtId="0" fontId="36" fillId="0" borderId="0" xfId="0" applyFont="1" applyBorder="1"/>
    <xf numFmtId="0" fontId="36" fillId="0" borderId="0" xfId="0" applyFont="1" applyAlignment="1">
      <alignment horizontal="left" indent="1"/>
    </xf>
    <xf numFmtId="0" fontId="37" fillId="0" borderId="0" xfId="0" applyFont="1" applyAlignment="1">
      <alignment horizontal="left" indent="1"/>
    </xf>
    <xf numFmtId="174" fontId="38" fillId="0" borderId="0" xfId="0" applyNumberFormat="1" applyFont="1"/>
    <xf numFmtId="0" fontId="39" fillId="0" borderId="0" xfId="0" applyFont="1"/>
    <xf numFmtId="0" fontId="39" fillId="0" borderId="0" xfId="5" applyFont="1"/>
    <xf numFmtId="41" fontId="39" fillId="0" borderId="0" xfId="0" applyNumberFormat="1" applyFont="1"/>
    <xf numFmtId="174" fontId="40" fillId="0" borderId="0" xfId="0" applyNumberFormat="1" applyFont="1"/>
    <xf numFmtId="0" fontId="21" fillId="0" borderId="0" xfId="8" applyFont="1" applyAlignment="1">
      <alignment wrapText="1"/>
    </xf>
  </cellXfs>
  <cellStyles count="12">
    <cellStyle name="Comma 2" xfId="9"/>
    <cellStyle name="Comma 3" xfId="2"/>
    <cellStyle name="Comma 4" xfId="7"/>
    <cellStyle name="Currency 2" xfId="10"/>
    <cellStyle name="Currency 3" xfId="3"/>
    <cellStyle name="Normal" xfId="0" builtinId="0"/>
    <cellStyle name="Normal 2" xfId="8"/>
    <cellStyle name="Normal 2 4" xfId="4"/>
    <cellStyle name="Normal 3" xfId="1"/>
    <cellStyle name="Normal 4" xfId="5"/>
    <cellStyle name="Percent 2" xfId="11"/>
    <cellStyle name="Percent 4" xfId="6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6</xdr:row>
      <xdr:rowOff>28575</xdr:rowOff>
    </xdr:from>
    <xdr:ext cx="200025" cy="390525"/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>
          <a:spLocks/>
        </xdr:cNvSpPr>
      </xdr:nvSpPr>
      <xdr:spPr bwMode="auto">
        <a:xfrm>
          <a:off x="8582025" y="100012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6</xdr:row>
      <xdr:rowOff>28575</xdr:rowOff>
    </xdr:from>
    <xdr:ext cx="200025" cy="38290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1140000}"/>
            </a:ext>
          </a:extLst>
        </xdr:cNvPr>
        <xdr:cNvSpPr>
          <a:spLocks/>
        </xdr:cNvSpPr>
      </xdr:nvSpPr>
      <xdr:spPr bwMode="auto">
        <a:xfrm>
          <a:off x="9296400" y="1000125"/>
          <a:ext cx="200025" cy="38290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Data%20Requests\Drafts\Karen\Staff%20DR%2012-Settlement%20Update\Do%20Not%20Send\TTP%20Model%20-%202016%20-%206.29.2016%20(Q2%20TTP%20Upd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9\2019_%20WA%20Elec%20and%20Gas%20General%20Rate%20Case\Data%20Requests\Draft\Tara\NEW-AVA-Exh-EMA-4-4-29-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rk/30_ava/3046-12-2020GRC/init/3.%20UE_AVA%20WP's%20(Apr19)/4.%20UE__Andrews%20WP%20(AVA-Apr19)/3.01%20PF%20Revenue%20Normalization/Electric%20Revenue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Actual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Growth Rate Table"/>
      <sheetName val="ADJ DETAIL-INPUT"/>
      <sheetName val="2014-2018 Data"/>
      <sheetName val="WA Electric-Revenue"/>
      <sheetName val="ADJ SUMMARY"/>
      <sheetName val="CBR Hist"/>
      <sheetName val="CBR RR SUMMARY"/>
      <sheetName val="CF "/>
      <sheetName val="Reg Amorts"/>
      <sheetName val="ROO INPUT"/>
      <sheetName val="DEBT CALC"/>
      <sheetName val="PS 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To Do"/>
      <sheetName val="Rate Design"/>
      <sheetName val="Exh 1"/>
      <sheetName val="Exh 2"/>
      <sheetName val="Exh 3"/>
      <sheetName val="Exh 4"/>
      <sheetName val="Exh 5"/>
      <sheetName val="ROR"/>
      <sheetName val="Rate Spread GRC"/>
      <sheetName val="Bill Determ"/>
      <sheetName val="Sch 93 PCRA"/>
      <sheetName val="ERM Rebate Yr 1-3"/>
      <sheetName val="Sch 25 - Billing Rate"/>
      <sheetName val="Bill Impact"/>
      <sheetName val="WA Sch 25"/>
      <sheetName val="Lighting summary"/>
      <sheetName val="St Lts"/>
      <sheetName val="Area Lts"/>
      <sheetName val="Capital Recovery Factor Calc"/>
      <sheetName val="TIB"/>
      <sheetName val="Block Data"/>
      <sheetName val="REVRUNS 12ME12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zoomScaleNormal="100" zoomScaleSheetLayoutView="100" workbookViewId="0"/>
  </sheetViews>
  <sheetFormatPr defaultRowHeight="12.75"/>
  <cols>
    <col min="1" max="2" width="1.28515625" style="284" customWidth="1"/>
    <col min="3" max="3" width="15" style="284" bestFit="1" customWidth="1"/>
    <col min="4" max="4" width="14.7109375" style="284" bestFit="1" customWidth="1"/>
    <col min="5" max="5" width="1.28515625" style="284" customWidth="1"/>
    <col min="6" max="8" width="14.140625" style="284" customWidth="1"/>
    <col min="9" max="9" width="9.140625" style="284"/>
    <col min="10" max="11" width="1.28515625" style="284" customWidth="1"/>
    <col min="12" max="12" width="15" style="284" customWidth="1"/>
    <col min="13" max="13" width="14.7109375" style="284" customWidth="1"/>
    <col min="14" max="14" width="1.28515625" style="284" customWidth="1"/>
    <col min="15" max="17" width="14.140625" style="284" customWidth="1"/>
    <col min="18" max="18" width="1.28515625" style="284" customWidth="1"/>
    <col min="19" max="19" width="14.140625" style="284" customWidth="1"/>
    <col min="20" max="20" width="6" style="284" customWidth="1"/>
    <col min="21" max="21" width="1.28515625" style="284" customWidth="1"/>
    <col min="22" max="22" width="14.140625" style="284" customWidth="1"/>
    <col min="23" max="23" width="6" style="284" customWidth="1"/>
    <col min="24" max="24" width="1.28515625" style="284" customWidth="1"/>
    <col min="25" max="25" width="14.140625" style="284" customWidth="1"/>
    <col min="26" max="26" width="6" style="284" customWidth="1"/>
    <col min="27" max="27" width="9.140625" style="284"/>
    <col min="28" max="29" width="1.28515625" style="284" customWidth="1"/>
    <col min="30" max="30" width="15" style="284" customWidth="1"/>
    <col min="31" max="31" width="14.7109375" style="284" customWidth="1"/>
    <col min="32" max="32" width="1.28515625" style="284" customWidth="1"/>
    <col min="33" max="35" width="14.140625" style="284" customWidth="1"/>
    <col min="36" max="36" width="1.28515625" style="284" customWidth="1"/>
    <col min="37" max="37" width="14.140625" style="284" customWidth="1"/>
    <col min="38" max="38" width="6" style="284" customWidth="1"/>
    <col min="39" max="39" width="1.28515625" style="284" customWidth="1"/>
    <col min="40" max="40" width="14.140625" style="284" customWidth="1"/>
    <col min="41" max="41" width="6" style="284" customWidth="1"/>
    <col min="42" max="42" width="1.28515625" style="284" customWidth="1"/>
    <col min="43" max="43" width="14.140625" style="284" customWidth="1"/>
    <col min="44" max="44" width="6" style="284" customWidth="1"/>
    <col min="45" max="45" width="1.28515625" style="284" customWidth="1"/>
    <col min="46" max="16384" width="9.140625" style="284"/>
  </cols>
  <sheetData>
    <row r="1" spans="1:44">
      <c r="A1" s="284" t="s">
        <v>269</v>
      </c>
      <c r="J1" s="284" t="s">
        <v>269</v>
      </c>
      <c r="AB1" s="284" t="s">
        <v>269</v>
      </c>
    </row>
    <row r="2" spans="1:44">
      <c r="A2" s="284" t="s">
        <v>272</v>
      </c>
      <c r="J2" s="284" t="s">
        <v>272</v>
      </c>
      <c r="AB2" s="284" t="s">
        <v>272</v>
      </c>
    </row>
    <row r="3" spans="1:44">
      <c r="A3" s="284" t="s">
        <v>273</v>
      </c>
      <c r="J3" s="284" t="s">
        <v>274</v>
      </c>
      <c r="AB3" s="284" t="s">
        <v>281</v>
      </c>
    </row>
    <row r="6" spans="1:44">
      <c r="F6" s="292"/>
      <c r="G6" s="293"/>
      <c r="H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</row>
    <row r="7" spans="1:44">
      <c r="B7" s="289" t="s">
        <v>271</v>
      </c>
      <c r="C7" s="289"/>
      <c r="D7" s="289"/>
      <c r="F7" s="289" t="s">
        <v>279</v>
      </c>
      <c r="G7" s="289"/>
      <c r="H7" s="289"/>
      <c r="K7" s="289" t="s">
        <v>271</v>
      </c>
      <c r="L7" s="289"/>
      <c r="M7" s="289"/>
      <c r="O7" s="291" t="s">
        <v>275</v>
      </c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C7" s="289" t="s">
        <v>271</v>
      </c>
      <c r="AD7" s="289"/>
      <c r="AE7" s="289"/>
      <c r="AG7" s="291" t="s">
        <v>276</v>
      </c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</row>
    <row r="8" spans="1:44" ht="5.25" customHeight="1"/>
    <row r="9" spans="1:44">
      <c r="B9" s="286"/>
      <c r="F9" s="295" t="s">
        <v>270</v>
      </c>
      <c r="G9" s="294"/>
      <c r="H9" s="294"/>
      <c r="K9" s="286"/>
      <c r="O9" s="295" t="s">
        <v>280</v>
      </c>
      <c r="S9" s="289" t="s">
        <v>253</v>
      </c>
      <c r="T9" s="289"/>
      <c r="U9" s="289"/>
      <c r="V9" s="289"/>
      <c r="W9" s="289"/>
      <c r="X9" s="289"/>
      <c r="Y9" s="289"/>
      <c r="Z9" s="289"/>
      <c r="AC9" s="286"/>
      <c r="AG9" s="295" t="s">
        <v>280</v>
      </c>
      <c r="AK9" s="284" t="s">
        <v>253</v>
      </c>
      <c r="AL9" s="289"/>
      <c r="AM9" s="289"/>
      <c r="AN9" s="289"/>
      <c r="AO9" s="289"/>
      <c r="AP9" s="289"/>
      <c r="AQ9" s="289"/>
      <c r="AR9" s="289"/>
    </row>
    <row r="10" spans="1:44" ht="5.25" customHeight="1">
      <c r="B10" s="286"/>
      <c r="K10" s="286"/>
      <c r="AC10" s="286"/>
    </row>
    <row r="11" spans="1:44">
      <c r="F11" s="290" t="s">
        <v>254</v>
      </c>
      <c r="G11" s="290" t="s">
        <v>252</v>
      </c>
      <c r="H11" s="290" t="s">
        <v>268</v>
      </c>
      <c r="O11" s="290" t="s">
        <v>254</v>
      </c>
      <c r="P11" s="290" t="s">
        <v>252</v>
      </c>
      <c r="Q11" s="290" t="s">
        <v>268</v>
      </c>
      <c r="S11" s="289" t="s">
        <v>251</v>
      </c>
      <c r="T11" s="289" t="s">
        <v>267</v>
      </c>
      <c r="V11" s="289" t="s">
        <v>252</v>
      </c>
      <c r="W11" s="289" t="s">
        <v>267</v>
      </c>
      <c r="Y11" s="289" t="s">
        <v>268</v>
      </c>
      <c r="Z11" s="289" t="s">
        <v>267</v>
      </c>
      <c r="AG11" s="290" t="s">
        <v>251</v>
      </c>
      <c r="AH11" s="290" t="s">
        <v>252</v>
      </c>
      <c r="AI11" s="290" t="s">
        <v>268</v>
      </c>
      <c r="AK11" s="289" t="s">
        <v>251</v>
      </c>
      <c r="AL11" s="289" t="s">
        <v>267</v>
      </c>
      <c r="AN11" s="289" t="s">
        <v>252</v>
      </c>
      <c r="AO11" s="289" t="s">
        <v>267</v>
      </c>
      <c r="AQ11" s="289" t="s">
        <v>268</v>
      </c>
      <c r="AR11" s="289" t="s">
        <v>267</v>
      </c>
    </row>
    <row r="12" spans="1:44">
      <c r="C12" s="284" t="s">
        <v>78</v>
      </c>
      <c r="D12" s="286" t="s">
        <v>7</v>
      </c>
      <c r="E12" s="286"/>
      <c r="F12" s="287">
        <f t="array" ref="F12:F17">+TRANSPOSE('Pres &amp; Prop Rev (e)'!D46:I46)</f>
        <v>2374703688.5802503</v>
      </c>
      <c r="G12" s="287">
        <f t="array" ref="G12:G17">+TRANSPOSE('Pres &amp; Prop Rev (e)'!D48:I48)/12</f>
        <v>215664.58333333334</v>
      </c>
      <c r="H12" s="287">
        <f t="array" ref="H12:H17">+TRANSPOSE('Pres &amp; Prop Rev (e)'!D183:I183)</f>
        <v>215079069.38000003</v>
      </c>
      <c r="I12" s="287"/>
      <c r="J12" s="287"/>
      <c r="L12" s="284" t="s">
        <v>78</v>
      </c>
      <c r="M12" s="286" t="s">
        <v>7</v>
      </c>
      <c r="N12" s="286"/>
      <c r="O12" s="287">
        <f>+'WA Electric-Revenue'!V54</f>
        <v>2399728561.9122081</v>
      </c>
      <c r="P12" s="287">
        <f>+'WA Electric-Revenue'!V66</f>
        <v>217621.66666666666</v>
      </c>
      <c r="Q12" s="287">
        <f>+'WA Electric-Revenue'!V42</f>
        <v>218381096.97992414</v>
      </c>
      <c r="R12" s="287"/>
      <c r="S12" s="287">
        <f>+O12-F12</f>
        <v>25024873.331957817</v>
      </c>
      <c r="T12" s="296">
        <f>+S12/F12</f>
        <v>1.0538103533632564E-2</v>
      </c>
      <c r="U12" s="287"/>
      <c r="V12" s="287">
        <f>+P12-G12</f>
        <v>1957.0833333333139</v>
      </c>
      <c r="W12" s="296">
        <f>+V12/G12</f>
        <v>9.0746626223204493E-3</v>
      </c>
      <c r="X12" s="287"/>
      <c r="Y12" s="287">
        <f>+Q12-H12</f>
        <v>3302027.5999241173</v>
      </c>
      <c r="Z12" s="296">
        <f>+Y12/Q12</f>
        <v>1.5120482704726381E-2</v>
      </c>
      <c r="AA12" s="287"/>
      <c r="AB12" s="287"/>
      <c r="AD12" s="284" t="s">
        <v>78</v>
      </c>
      <c r="AE12" s="286" t="s">
        <v>7</v>
      </c>
      <c r="AF12" s="286"/>
      <c r="AG12" s="287">
        <f>+'WA Electric-Revenue'!AB54</f>
        <v>2409941801.4026675</v>
      </c>
      <c r="AH12" s="287">
        <f>+'WA Electric-Revenue'!AB66</f>
        <v>218056.25</v>
      </c>
      <c r="AI12" s="287">
        <f>+'WA Electric-Revenue'!AB42</f>
        <v>219278905.4698633</v>
      </c>
      <c r="AJ12" s="287"/>
      <c r="AK12" s="287">
        <f>+AG12-F12</f>
        <v>35238112.822417259</v>
      </c>
      <c r="AL12" s="296">
        <f>+AK12/F12</f>
        <v>1.4838951483452175E-2</v>
      </c>
      <c r="AM12" s="287"/>
      <c r="AN12" s="287">
        <f>+AH12-G12</f>
        <v>2391.666666666657</v>
      </c>
      <c r="AO12" s="296">
        <f>+AN12/G12</f>
        <v>1.1089751639795548E-2</v>
      </c>
      <c r="AP12" s="287"/>
      <c r="AQ12" s="287">
        <f>+AI12-H12</f>
        <v>4199836.0898632705</v>
      </c>
      <c r="AR12" s="296">
        <f>+AQ12/H12</f>
        <v>1.9526940031728671E-2</v>
      </c>
    </row>
    <row r="13" spans="1:44">
      <c r="C13" s="284" t="s">
        <v>77</v>
      </c>
      <c r="D13" s="286" t="s">
        <v>8</v>
      </c>
      <c r="E13" s="286"/>
      <c r="F13" s="287">
        <v>619305952.10904014</v>
      </c>
      <c r="G13" s="287">
        <v>32233.333333333332</v>
      </c>
      <c r="H13" s="287">
        <v>75447731.160000011</v>
      </c>
      <c r="I13" s="287"/>
      <c r="J13" s="287"/>
      <c r="L13" s="284" t="s">
        <v>77</v>
      </c>
      <c r="M13" s="286" t="s">
        <v>8</v>
      </c>
      <c r="N13" s="286"/>
      <c r="O13" s="287">
        <f>+'WA Electric-Revenue'!V55</f>
        <v>629003799.08189642</v>
      </c>
      <c r="P13" s="287">
        <f>+'WA Electric-Revenue'!V67</f>
        <v>32735.715007996776</v>
      </c>
      <c r="Q13" s="287">
        <f>+'WA Electric-Revenue'!V43</f>
        <v>76176939.676263526</v>
      </c>
      <c r="R13" s="287"/>
      <c r="S13" s="287">
        <f t="shared" ref="S13:S17" si="0">+O13-F13</f>
        <v>9697846.9728562832</v>
      </c>
      <c r="T13" s="296">
        <f t="shared" ref="T13:T17" si="1">+S13/F13</f>
        <v>1.5659218097017095E-2</v>
      </c>
      <c r="U13" s="287"/>
      <c r="V13" s="287">
        <f t="shared" ref="V13:V17" si="2">+P13-G13</f>
        <v>502.38167466344385</v>
      </c>
      <c r="W13" s="296">
        <f t="shared" ref="W13:W17" si="3">+V13/G13</f>
        <v>1.5585781013343656E-2</v>
      </c>
      <c r="X13" s="287"/>
      <c r="Y13" s="287">
        <f t="shared" ref="Y13:Y17" si="4">+Q13-H13</f>
        <v>729208.51626351476</v>
      </c>
      <c r="Z13" s="296">
        <f t="shared" ref="Z13:Z17" si="5">+Y13/Q13</f>
        <v>9.5725625020183589E-3</v>
      </c>
      <c r="AA13" s="287"/>
      <c r="AB13" s="287"/>
      <c r="AD13" s="284" t="s">
        <v>77</v>
      </c>
      <c r="AE13" s="286" t="s">
        <v>8</v>
      </c>
      <c r="AF13" s="286"/>
      <c r="AG13" s="287">
        <f>+'WA Electric-Revenue'!AB55</f>
        <v>633064471.54237831</v>
      </c>
      <c r="AH13" s="287">
        <f>+'WA Electric-Revenue'!AB67</f>
        <v>32966.962501313414</v>
      </c>
      <c r="AI13" s="287">
        <f>+'WA Electric-Revenue'!AB43</f>
        <v>76658465.818325669</v>
      </c>
      <c r="AJ13" s="287"/>
      <c r="AK13" s="287">
        <f t="shared" ref="AK13:AK17" si="6">+AG13-F13</f>
        <v>13758519.433338165</v>
      </c>
      <c r="AL13" s="296">
        <f t="shared" ref="AL13:AL17" si="7">+AK13/F13</f>
        <v>2.2216029712751294E-2</v>
      </c>
      <c r="AM13" s="287"/>
      <c r="AN13" s="287">
        <f t="shared" ref="AN13:AN17" si="8">+AH13-G13</f>
        <v>733.62916798008155</v>
      </c>
      <c r="AO13" s="296">
        <f t="shared" ref="AO13:AO17" si="9">+AN13/G13</f>
        <v>2.2759953505069749E-2</v>
      </c>
      <c r="AP13" s="287"/>
      <c r="AQ13" s="287">
        <f t="shared" ref="AQ13:AQ17" si="10">+AI13-H13</f>
        <v>1210734.6583256572</v>
      </c>
      <c r="AR13" s="296">
        <f t="shared" ref="AR13:AR17" si="11">+AQ13/H13</f>
        <v>1.6047330247189066E-2</v>
      </c>
    </row>
    <row r="14" spans="1:44">
      <c r="C14" s="284" t="s">
        <v>76</v>
      </c>
      <c r="D14" s="286" t="s">
        <v>9</v>
      </c>
      <c r="E14" s="286"/>
      <c r="F14" s="287">
        <v>1365904624.1300001</v>
      </c>
      <c r="G14" s="287">
        <v>1898.9166666666667</v>
      </c>
      <c r="H14" s="287">
        <v>126692521.94</v>
      </c>
      <c r="I14" s="287"/>
      <c r="J14" s="287"/>
      <c r="L14" s="284" t="s">
        <v>76</v>
      </c>
      <c r="M14" s="286" t="s">
        <v>9</v>
      </c>
      <c r="N14" s="286"/>
      <c r="O14" s="287">
        <f>+'WA Electric-Revenue'!V56</f>
        <v>1403826045.6706898</v>
      </c>
      <c r="P14" s="287">
        <f>+'WA Electric-Revenue'!V68</f>
        <v>1905.9227921364709</v>
      </c>
      <c r="Q14" s="287">
        <f>+'WA Electric-Revenue'!V44</f>
        <v>128747470.84096143</v>
      </c>
      <c r="R14" s="287"/>
      <c r="S14" s="287">
        <f t="shared" si="0"/>
        <v>37921421.540689707</v>
      </c>
      <c r="T14" s="296">
        <f t="shared" si="1"/>
        <v>2.7762861967645356E-2</v>
      </c>
      <c r="U14" s="287"/>
      <c r="V14" s="287">
        <f t="shared" si="2"/>
        <v>7.0061254698041466</v>
      </c>
      <c r="W14" s="296">
        <f t="shared" si="3"/>
        <v>3.6895381418198866E-3</v>
      </c>
      <c r="X14" s="287"/>
      <c r="Y14" s="287">
        <f t="shared" si="4"/>
        <v>2054948.9009614289</v>
      </c>
      <c r="Z14" s="296">
        <f t="shared" si="5"/>
        <v>1.5961081701557123E-2</v>
      </c>
      <c r="AA14" s="287"/>
      <c r="AB14" s="287"/>
      <c r="AD14" s="284" t="s">
        <v>76</v>
      </c>
      <c r="AE14" s="286" t="s">
        <v>9</v>
      </c>
      <c r="AF14" s="286"/>
      <c r="AG14" s="287">
        <f>+'WA Electric-Revenue'!AB56</f>
        <v>1403658943.6467049</v>
      </c>
      <c r="AH14" s="287">
        <f>+'WA Electric-Revenue'!AB68</f>
        <v>1905.7506002767661</v>
      </c>
      <c r="AI14" s="287">
        <f>+'WA Electric-Revenue'!AB44</f>
        <v>128734379.86304753</v>
      </c>
      <c r="AJ14" s="287"/>
      <c r="AK14" s="287">
        <f t="shared" si="6"/>
        <v>37754319.516704798</v>
      </c>
      <c r="AL14" s="296">
        <f t="shared" si="7"/>
        <v>2.7640523979302032E-2</v>
      </c>
      <c r="AM14" s="287"/>
      <c r="AN14" s="287">
        <f t="shared" si="8"/>
        <v>6.8339336100993933</v>
      </c>
      <c r="AO14" s="296">
        <f t="shared" si="9"/>
        <v>3.5988591443012557E-3</v>
      </c>
      <c r="AP14" s="287"/>
      <c r="AQ14" s="287">
        <f t="shared" si="10"/>
        <v>2041857.9230475277</v>
      </c>
      <c r="AR14" s="296">
        <f t="shared" si="11"/>
        <v>1.6116641233288626E-2</v>
      </c>
    </row>
    <row r="15" spans="1:44">
      <c r="C15" s="284" t="s">
        <v>74</v>
      </c>
      <c r="D15" s="286" t="s">
        <v>80</v>
      </c>
      <c r="E15" s="286"/>
      <c r="F15" s="287">
        <v>1113564011.698</v>
      </c>
      <c r="G15" s="287">
        <v>23</v>
      </c>
      <c r="H15" s="287">
        <v>66743707.561632007</v>
      </c>
      <c r="I15" s="287"/>
      <c r="J15" s="287"/>
      <c r="L15" s="284" t="s">
        <v>74</v>
      </c>
      <c r="M15" s="286" t="s">
        <v>80</v>
      </c>
      <c r="N15" s="286"/>
      <c r="O15" s="287">
        <f>+'WA Electric-Revenue'!V57</f>
        <v>1151947276.1061809</v>
      </c>
      <c r="P15" s="287">
        <f>+'WA Electric-Revenue'!V69</f>
        <v>22.984538252720565</v>
      </c>
      <c r="Q15" s="287">
        <f>+'WA Electric-Revenue'!V45</f>
        <v>68142239.782696754</v>
      </c>
      <c r="R15" s="287"/>
      <c r="S15" s="287">
        <f t="shared" si="0"/>
        <v>38383264.408180952</v>
      </c>
      <c r="T15" s="296">
        <f t="shared" si="1"/>
        <v>3.4468844184047269E-2</v>
      </c>
      <c r="U15" s="287"/>
      <c r="V15" s="287">
        <f t="shared" si="2"/>
        <v>-1.5461747279434945E-2</v>
      </c>
      <c r="W15" s="296">
        <f t="shared" si="3"/>
        <v>-6.7224988171456289E-4</v>
      </c>
      <c r="X15" s="287"/>
      <c r="Y15" s="287">
        <f t="shared" si="4"/>
        <v>1398532.2210647464</v>
      </c>
      <c r="Z15" s="296">
        <f t="shared" si="5"/>
        <v>2.0523719583104654E-2</v>
      </c>
      <c r="AA15" s="287"/>
      <c r="AB15" s="287"/>
      <c r="AD15" s="284" t="s">
        <v>74</v>
      </c>
      <c r="AE15" s="286" t="s">
        <v>80</v>
      </c>
      <c r="AF15" s="286"/>
      <c r="AG15" s="287">
        <f>+'WA Electric-Revenue'!AB57</f>
        <v>1157453102.4846506</v>
      </c>
      <c r="AH15" s="287">
        <f>+'WA Electric-Revenue'!AB69</f>
        <v>22.987514366813716</v>
      </c>
      <c r="AI15" s="287">
        <f>+'WA Electric-Revenue'!AB45</f>
        <v>68415899.052979946</v>
      </c>
      <c r="AJ15" s="287"/>
      <c r="AK15" s="287">
        <f t="shared" si="6"/>
        <v>43889090.786650658</v>
      </c>
      <c r="AL15" s="296">
        <f t="shared" si="7"/>
        <v>3.9413172772822545E-2</v>
      </c>
      <c r="AM15" s="287"/>
      <c r="AN15" s="287">
        <f t="shared" si="8"/>
        <v>-1.2485633186283707E-2</v>
      </c>
      <c r="AO15" s="296">
        <f t="shared" si="9"/>
        <v>-5.4285361679494372E-4</v>
      </c>
      <c r="AP15" s="287"/>
      <c r="AQ15" s="287">
        <f t="shared" si="10"/>
        <v>1672191.4913479388</v>
      </c>
      <c r="AR15" s="296">
        <f t="shared" si="11"/>
        <v>2.505391972424989E-2</v>
      </c>
    </row>
    <row r="16" spans="1:44">
      <c r="C16" s="284" t="s">
        <v>75</v>
      </c>
      <c r="D16" s="286" t="s">
        <v>81</v>
      </c>
      <c r="E16" s="286"/>
      <c r="F16" s="287">
        <v>145822517.44201002</v>
      </c>
      <c r="G16" s="287">
        <v>2453.8333333333335</v>
      </c>
      <c r="H16" s="287">
        <v>12037591.390000001</v>
      </c>
      <c r="I16" s="287"/>
      <c r="J16" s="287"/>
      <c r="L16" s="284" t="s">
        <v>75</v>
      </c>
      <c r="M16" s="286" t="s">
        <v>81</v>
      </c>
      <c r="N16" s="286"/>
      <c r="O16" s="287">
        <f>+'WA Electric-Revenue'!V58</f>
        <v>142489265.45592916</v>
      </c>
      <c r="P16" s="287">
        <f>+'WA Electric-Revenue'!V70</f>
        <v>2474.5165950819119</v>
      </c>
      <c r="Q16" s="287">
        <f>+'WA Electric-Revenue'!V46</f>
        <v>12102661.857689351</v>
      </c>
      <c r="R16" s="287"/>
      <c r="S16" s="287">
        <f t="shared" si="0"/>
        <v>-3333251.9860808551</v>
      </c>
      <c r="T16" s="296">
        <f t="shared" si="1"/>
        <v>-2.2858280357191108E-2</v>
      </c>
      <c r="U16" s="287"/>
      <c r="V16" s="287">
        <f t="shared" si="2"/>
        <v>20.683261748578389</v>
      </c>
      <c r="W16" s="296">
        <f t="shared" si="3"/>
        <v>8.4289594845799315E-3</v>
      </c>
      <c r="X16" s="287"/>
      <c r="Y16" s="287">
        <f t="shared" si="4"/>
        <v>65070.467689350247</v>
      </c>
      <c r="Z16" s="296">
        <f t="shared" si="5"/>
        <v>5.3765418264584601E-3</v>
      </c>
      <c r="AA16" s="287"/>
      <c r="AB16" s="287"/>
      <c r="AD16" s="284" t="s">
        <v>75</v>
      </c>
      <c r="AE16" s="286" t="s">
        <v>81</v>
      </c>
      <c r="AF16" s="286"/>
      <c r="AG16" s="287">
        <f>+'WA Electric-Revenue'!AB58</f>
        <v>142063740.59840006</v>
      </c>
      <c r="AH16" s="287">
        <f>+'WA Electric-Revenue'!AB70</f>
        <v>2477.1152410804725</v>
      </c>
      <c r="AI16" s="287">
        <f>+'WA Electric-Revenue'!AB46</f>
        <v>12067431.505011896</v>
      </c>
      <c r="AJ16" s="287"/>
      <c r="AK16" s="287">
        <f t="shared" si="6"/>
        <v>-3758776.8436099589</v>
      </c>
      <c r="AL16" s="296">
        <f t="shared" si="7"/>
        <v>-2.5776381518750908E-2</v>
      </c>
      <c r="AM16" s="287"/>
      <c r="AN16" s="287">
        <f t="shared" si="8"/>
        <v>23.28190774713903</v>
      </c>
      <c r="AO16" s="296">
        <f t="shared" si="9"/>
        <v>9.4879743586792215E-3</v>
      </c>
      <c r="AP16" s="287"/>
      <c r="AQ16" s="287">
        <f t="shared" si="10"/>
        <v>29840.115011895075</v>
      </c>
      <c r="AR16" s="296">
        <f t="shared" si="11"/>
        <v>2.4789107758454222E-3</v>
      </c>
    </row>
    <row r="17" spans="2:44">
      <c r="C17" s="284" t="s">
        <v>73</v>
      </c>
      <c r="D17" s="286" t="s">
        <v>79</v>
      </c>
      <c r="E17" s="286"/>
      <c r="F17" s="287">
        <v>18542031.540509999</v>
      </c>
      <c r="G17" s="287">
        <v>434.5686</v>
      </c>
      <c r="H17" s="287">
        <v>6424023.4806000004</v>
      </c>
      <c r="I17" s="287"/>
      <c r="J17" s="287"/>
      <c r="L17" s="284" t="s">
        <v>73</v>
      </c>
      <c r="M17" s="286" t="s">
        <v>79</v>
      </c>
      <c r="N17" s="286"/>
      <c r="O17" s="287">
        <f>+'WA Electric-Revenue'!V59</f>
        <v>14249998.039868219</v>
      </c>
      <c r="P17" s="287">
        <f>+'WA Electric-Revenue'!V71</f>
        <v>435.0945916666667</v>
      </c>
      <c r="Q17" s="287">
        <f>+'WA Electric-Revenue'!V47</f>
        <v>6012130.2224856149</v>
      </c>
      <c r="R17" s="287"/>
      <c r="S17" s="287">
        <f t="shared" si="0"/>
        <v>-4292033.50064178</v>
      </c>
      <c r="T17" s="296">
        <f t="shared" si="1"/>
        <v>-0.23147590334234366</v>
      </c>
      <c r="U17" s="287"/>
      <c r="V17" s="287">
        <f t="shared" si="2"/>
        <v>0.52599166666669817</v>
      </c>
      <c r="W17" s="296">
        <f t="shared" si="3"/>
        <v>1.2103766049058726E-3</v>
      </c>
      <c r="X17" s="287"/>
      <c r="Y17" s="287">
        <f t="shared" si="4"/>
        <v>-411893.25811438542</v>
      </c>
      <c r="Z17" s="296">
        <f t="shared" si="5"/>
        <v>-6.8510368683280948E-2</v>
      </c>
      <c r="AA17" s="287"/>
      <c r="AB17" s="287"/>
      <c r="AD17" s="284" t="s">
        <v>73</v>
      </c>
      <c r="AE17" s="286" t="s">
        <v>79</v>
      </c>
      <c r="AF17" s="286"/>
      <c r="AG17" s="287">
        <f>+'WA Electric-Revenue'!AB59</f>
        <v>13107381.210637432</v>
      </c>
      <c r="AH17" s="287">
        <f>+'WA Electric-Revenue'!AB71</f>
        <v>436.54955833333338</v>
      </c>
      <c r="AI17" s="287">
        <f>+'WA Electric-Revenue'!AB47</f>
        <v>6041556.4057204332</v>
      </c>
      <c r="AJ17" s="287"/>
      <c r="AK17" s="287">
        <f t="shared" si="6"/>
        <v>-5434650.3298725672</v>
      </c>
      <c r="AL17" s="296">
        <f t="shared" si="7"/>
        <v>-0.29309896911776512</v>
      </c>
      <c r="AM17" s="287"/>
      <c r="AN17" s="287">
        <f t="shared" si="8"/>
        <v>1.9809583333333762</v>
      </c>
      <c r="AO17" s="296">
        <f t="shared" si="9"/>
        <v>4.5584479259048538E-3</v>
      </c>
      <c r="AP17" s="287"/>
      <c r="AQ17" s="287">
        <f t="shared" si="10"/>
        <v>-382467.07487956714</v>
      </c>
      <c r="AR17" s="296">
        <f t="shared" si="11"/>
        <v>-5.953699827445913E-2</v>
      </c>
    </row>
    <row r="18" spans="2:44" ht="5.25" customHeight="1">
      <c r="B18" s="286"/>
      <c r="F18" s="287"/>
      <c r="G18" s="287"/>
      <c r="H18" s="287"/>
      <c r="I18" s="287"/>
      <c r="J18" s="287"/>
      <c r="K18" s="286"/>
      <c r="O18" s="287"/>
      <c r="P18" s="287"/>
      <c r="Q18" s="287"/>
      <c r="R18" s="287"/>
      <c r="S18" s="287"/>
      <c r="T18" s="296"/>
      <c r="U18" s="287"/>
      <c r="V18" s="287"/>
      <c r="W18" s="296"/>
      <c r="X18" s="287"/>
      <c r="Y18" s="287"/>
      <c r="Z18" s="296"/>
      <c r="AA18" s="287"/>
      <c r="AB18" s="287"/>
      <c r="AC18" s="286"/>
      <c r="AG18" s="287"/>
      <c r="AH18" s="287"/>
      <c r="AI18" s="287"/>
      <c r="AJ18" s="287"/>
      <c r="AK18" s="287"/>
      <c r="AL18" s="296"/>
      <c r="AM18" s="287"/>
      <c r="AN18" s="287"/>
      <c r="AO18" s="296"/>
      <c r="AP18" s="287"/>
      <c r="AQ18" s="287"/>
      <c r="AR18" s="296"/>
    </row>
    <row r="19" spans="2:44" s="297" customFormat="1">
      <c r="B19" s="298"/>
      <c r="D19" s="297" t="s">
        <v>277</v>
      </c>
      <c r="F19" s="299">
        <f>+SUM(F12:F17)</f>
        <v>5637842825.4998102</v>
      </c>
      <c r="G19" s="299">
        <f>+SUM(G12:G17)</f>
        <v>252708.23526666668</v>
      </c>
      <c r="H19" s="299">
        <f>+SUM(H12:H17)</f>
        <v>502424644.91223204</v>
      </c>
      <c r="I19" s="299"/>
      <c r="J19" s="299"/>
      <c r="K19" s="298"/>
      <c r="M19" s="297" t="s">
        <v>277</v>
      </c>
      <c r="O19" s="299">
        <f>+SUM(O12:O17)</f>
        <v>5741244946.2667723</v>
      </c>
      <c r="P19" s="299">
        <f>+SUM(P12:P17)</f>
        <v>255195.90019180119</v>
      </c>
      <c r="Q19" s="299">
        <f>+SUM(Q12:Q17)</f>
        <v>509562539.36002082</v>
      </c>
      <c r="R19" s="299"/>
      <c r="S19" s="299">
        <f t="shared" ref="S19" si="12">+O19-F19</f>
        <v>103402120.76696205</v>
      </c>
      <c r="T19" s="300">
        <f t="shared" ref="T19" si="13">+S19/F19</f>
        <v>1.8340724274766417E-2</v>
      </c>
      <c r="U19" s="299"/>
      <c r="V19" s="299">
        <f t="shared" ref="V19" si="14">+P19-G19</f>
        <v>2487.6649251345079</v>
      </c>
      <c r="W19" s="300">
        <f t="shared" ref="W19" si="15">+V19/G19</f>
        <v>9.8440200118901384E-3</v>
      </c>
      <c r="X19" s="299"/>
      <c r="Y19" s="299">
        <f t="shared" ref="Y19" si="16">+Q19-H19</f>
        <v>7137894.447788775</v>
      </c>
      <c r="Z19" s="300">
        <f t="shared" ref="Z19" si="17">+Y19/Q19</f>
        <v>1.4007886954864325E-2</v>
      </c>
      <c r="AA19" s="299"/>
      <c r="AB19" s="299"/>
      <c r="AC19" s="298"/>
      <c r="AE19" s="297" t="s">
        <v>277</v>
      </c>
      <c r="AG19" s="299">
        <f>+SUM(AG12:AG17)</f>
        <v>5759289440.8854389</v>
      </c>
      <c r="AH19" s="299">
        <f>+SUM(AH12:AH17)</f>
        <v>255865.61541537079</v>
      </c>
      <c r="AI19" s="299">
        <f>+SUM(AI12:AI17)</f>
        <v>511196638.11494875</v>
      </c>
      <c r="AJ19" s="299"/>
      <c r="AK19" s="299">
        <f t="shared" ref="AK19" si="18">+AG19-F19</f>
        <v>121446615.3856287</v>
      </c>
      <c r="AL19" s="300">
        <f t="shared" ref="AL19" si="19">+AK19/F19</f>
        <v>2.1541326912543384E-2</v>
      </c>
      <c r="AM19" s="299"/>
      <c r="AN19" s="299">
        <f t="shared" ref="AN19" si="20">+AH19-G19</f>
        <v>3157.3801487041055</v>
      </c>
      <c r="AO19" s="300">
        <f t="shared" ref="AO19" si="21">+AN19/G19</f>
        <v>1.2494171966229459E-2</v>
      </c>
      <c r="AP19" s="299"/>
      <c r="AQ19" s="299">
        <f t="shared" ref="AQ19" si="22">+AI19-H19</f>
        <v>8771993.2027167082</v>
      </c>
      <c r="AR19" s="300">
        <f t="shared" ref="AR19" si="23">+AQ19/H19</f>
        <v>1.7459321097294256E-2</v>
      </c>
    </row>
    <row r="20" spans="2:44">
      <c r="B20" s="286"/>
      <c r="K20" s="286"/>
      <c r="AC20" s="286"/>
    </row>
    <row r="22" spans="2:44">
      <c r="F22" s="285"/>
    </row>
    <row r="23" spans="2:44">
      <c r="B23" s="289" t="s">
        <v>278</v>
      </c>
      <c r="C23" s="289"/>
      <c r="D23" s="289"/>
      <c r="F23" s="289" t="s">
        <v>279</v>
      </c>
      <c r="G23" s="289"/>
      <c r="H23" s="289"/>
      <c r="K23" s="289" t="s">
        <v>278</v>
      </c>
      <c r="L23" s="289"/>
      <c r="M23" s="289"/>
      <c r="O23" s="291" t="s">
        <v>275</v>
      </c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C23" s="289" t="s">
        <v>278</v>
      </c>
      <c r="AD23" s="289"/>
      <c r="AE23" s="289"/>
      <c r="AG23" s="291" t="s">
        <v>276</v>
      </c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</row>
    <row r="24" spans="2:44" ht="5.25" customHeight="1"/>
    <row r="25" spans="2:44">
      <c r="F25" s="295" t="s">
        <v>270</v>
      </c>
      <c r="O25" s="295" t="s">
        <v>280</v>
      </c>
      <c r="S25" s="289" t="s">
        <v>253</v>
      </c>
      <c r="T25" s="289"/>
      <c r="U25" s="289"/>
      <c r="V25" s="289"/>
      <c r="W25" s="289"/>
      <c r="X25" s="289"/>
      <c r="Y25" s="289"/>
      <c r="Z25" s="289"/>
      <c r="AG25" s="295" t="s">
        <v>280</v>
      </c>
      <c r="AK25" s="289" t="s">
        <v>253</v>
      </c>
      <c r="AL25" s="289"/>
      <c r="AM25" s="289"/>
      <c r="AN25" s="289"/>
      <c r="AO25" s="289"/>
      <c r="AP25" s="289"/>
      <c r="AQ25" s="289"/>
      <c r="AR25" s="289"/>
    </row>
    <row r="26" spans="2:44" ht="5.25" customHeight="1"/>
    <row r="27" spans="2:44">
      <c r="F27" s="290" t="s">
        <v>254</v>
      </c>
      <c r="G27" s="290" t="s">
        <v>252</v>
      </c>
      <c r="H27" s="290" t="s">
        <v>268</v>
      </c>
      <c r="O27" s="290" t="s">
        <v>254</v>
      </c>
      <c r="P27" s="290" t="s">
        <v>252</v>
      </c>
      <c r="Q27" s="290" t="s">
        <v>268</v>
      </c>
      <c r="S27" s="289" t="s">
        <v>51</v>
      </c>
      <c r="T27" s="289" t="s">
        <v>267</v>
      </c>
      <c r="V27" s="289" t="s">
        <v>252</v>
      </c>
      <c r="W27" s="289" t="s">
        <v>267</v>
      </c>
      <c r="Y27" s="289" t="s">
        <v>268</v>
      </c>
      <c r="Z27" s="289" t="s">
        <v>267</v>
      </c>
      <c r="AG27" s="290" t="s">
        <v>51</v>
      </c>
      <c r="AH27" s="290" t="s">
        <v>252</v>
      </c>
      <c r="AI27" s="290" t="s">
        <v>268</v>
      </c>
      <c r="AK27" s="289"/>
      <c r="AL27" s="289"/>
      <c r="AN27" s="289"/>
      <c r="AO27" s="289"/>
      <c r="AQ27" s="289"/>
      <c r="AR27" s="289"/>
    </row>
    <row r="28" spans="2:44">
      <c r="C28" s="284" t="s">
        <v>186</v>
      </c>
      <c r="D28" s="288" t="s">
        <v>182</v>
      </c>
      <c r="E28" s="288"/>
      <c r="F28" s="287">
        <f t="array" ref="F28:F33">+TRANSPOSE('Pres &amp; Prop Rev (G)'!D46:I46)</f>
        <v>128985980.09020999</v>
      </c>
      <c r="G28" s="287">
        <f t="array" ref="G28:G33">+TRANSPOSE('Pres &amp; Prop Rev (G)'!D48:I48)/12</f>
        <v>161791.25</v>
      </c>
      <c r="H28" s="287">
        <f t="array" ref="H28:H33">+TRANSPOSE('Pres &amp; Prop Rev (G)'!D170:I170)</f>
        <v>69014005.650000006</v>
      </c>
      <c r="I28" s="287"/>
      <c r="J28" s="287"/>
      <c r="L28" s="284" t="s">
        <v>186</v>
      </c>
      <c r="M28" s="288" t="s">
        <v>182</v>
      </c>
      <c r="N28" s="288"/>
      <c r="O28" s="287">
        <f>+'WA Natural Gas'!V55</f>
        <v>127173586.66176398</v>
      </c>
      <c r="P28" s="287">
        <f>+'WA Natural Gas'!V65</f>
        <v>164559.21738333334</v>
      </c>
      <c r="Q28" s="287">
        <f>+'WA Natural Gas'!V45</f>
        <v>70657766.02387169</v>
      </c>
      <c r="R28" s="287"/>
      <c r="S28" s="287">
        <f t="shared" ref="S28:S33" si="24">+O28-F28</f>
        <v>-1812393.4284460098</v>
      </c>
      <c r="T28" s="296">
        <f t="shared" ref="T28:T33" si="25">+S28/F28</f>
        <v>-1.4051088553798337E-2</v>
      </c>
      <c r="U28" s="287"/>
      <c r="V28" s="287">
        <f t="shared" ref="V28:V33" si="26">+P28-G28</f>
        <v>2767.9673833333363</v>
      </c>
      <c r="W28" s="296">
        <f t="shared" ref="W28:W33" si="27">+V28/G28</f>
        <v>1.7108263786412035E-2</v>
      </c>
      <c r="X28" s="287"/>
      <c r="Y28" s="287">
        <f t="shared" ref="Y28:Y33" si="28">+Q28-H28</f>
        <v>1643760.3738716841</v>
      </c>
      <c r="Z28" s="296">
        <f t="shared" ref="Z28:Z33" si="29">+Y28/Q28</f>
        <v>2.326369012737171E-2</v>
      </c>
      <c r="AA28" s="287"/>
      <c r="AB28" s="287"/>
      <c r="AD28" s="284" t="s">
        <v>186</v>
      </c>
      <c r="AE28" s="288" t="s">
        <v>182</v>
      </c>
      <c r="AF28" s="288"/>
      <c r="AG28" s="287">
        <f>+'WA Natural Gas'!AB55</f>
        <v>128944811.28790005</v>
      </c>
      <c r="AH28" s="287">
        <f>+'WA Natural Gas'!AB65</f>
        <v>165464.05854999999</v>
      </c>
      <c r="AI28" s="287">
        <f>+'WA Natural Gas'!AB45</f>
        <v>71502077.39878206</v>
      </c>
      <c r="AJ28" s="287"/>
      <c r="AK28" s="287">
        <f t="shared" ref="AK28:AK33" si="30">+AG28-F28</f>
        <v>-41168.802309945226</v>
      </c>
      <c r="AL28" s="296">
        <f t="shared" ref="AL28:AL33" si="31">+AK28/F28</f>
        <v>-3.1917269056026603E-4</v>
      </c>
      <c r="AM28" s="287"/>
      <c r="AN28" s="287">
        <f t="shared" ref="AN28:AN33" si="32">+AH28-G28</f>
        <v>3672.808549999987</v>
      </c>
      <c r="AO28" s="296">
        <f t="shared" ref="AO28:AO33" si="33">+AN28/G28</f>
        <v>2.2700909659823923E-2</v>
      </c>
      <c r="AP28" s="287"/>
      <c r="AQ28" s="287">
        <f t="shared" ref="AQ28:AQ33" si="34">+AI28-H28</f>
        <v>2488071.7487820536</v>
      </c>
      <c r="AR28" s="296">
        <f t="shared" ref="AR28:AR33" si="35">+AQ28/H28</f>
        <v>3.6051693063581122E-2</v>
      </c>
    </row>
    <row r="29" spans="2:44">
      <c r="C29" s="284" t="s">
        <v>187</v>
      </c>
      <c r="D29" s="288" t="s">
        <v>183</v>
      </c>
      <c r="E29" s="288"/>
      <c r="F29" s="287">
        <v>54329805.680180006</v>
      </c>
      <c r="G29" s="287">
        <v>3070</v>
      </c>
      <c r="H29" s="287">
        <v>16658163.5</v>
      </c>
      <c r="I29" s="287"/>
      <c r="J29" s="287"/>
      <c r="L29" s="284" t="s">
        <v>187</v>
      </c>
      <c r="M29" s="288" t="s">
        <v>183</v>
      </c>
      <c r="N29" s="288"/>
      <c r="O29" s="287">
        <f>+'WA Natural Gas'!V56</f>
        <v>55301935.125768416</v>
      </c>
      <c r="P29" s="287">
        <f>+'WA Natural Gas'!V66</f>
        <v>3063.4530416666662</v>
      </c>
      <c r="Q29" s="287">
        <f>+'WA Natural Gas'!V46</f>
        <v>17562452.256694753</v>
      </c>
      <c r="R29" s="287"/>
      <c r="S29" s="287">
        <f t="shared" si="24"/>
        <v>972129.4455884099</v>
      </c>
      <c r="T29" s="296">
        <f t="shared" si="25"/>
        <v>1.7893114717011611E-2</v>
      </c>
      <c r="U29" s="287"/>
      <c r="V29" s="287">
        <f t="shared" si="26"/>
        <v>-6.5469583333338051</v>
      </c>
      <c r="W29" s="296">
        <f t="shared" si="27"/>
        <v>-2.1325597176983079E-3</v>
      </c>
      <c r="X29" s="287"/>
      <c r="Y29" s="287">
        <f t="shared" si="28"/>
        <v>904288.75669475272</v>
      </c>
      <c r="Z29" s="296">
        <f t="shared" si="29"/>
        <v>5.1489891245115875E-2</v>
      </c>
      <c r="AA29" s="287"/>
      <c r="AB29" s="287"/>
      <c r="AD29" s="284" t="s">
        <v>187</v>
      </c>
      <c r="AE29" s="288" t="s">
        <v>183</v>
      </c>
      <c r="AF29" s="288"/>
      <c r="AG29" s="287">
        <f>+'WA Natural Gas'!AB56</f>
        <v>55849884.510649316</v>
      </c>
      <c r="AH29" s="287">
        <f>+'WA Natural Gas'!AB66</f>
        <v>3090.1110666666668</v>
      </c>
      <c r="AI29" s="287">
        <f>+'WA Natural Gas'!AB46</f>
        <v>17735899.701268788</v>
      </c>
      <c r="AJ29" s="287"/>
      <c r="AK29" s="287">
        <f t="shared" si="30"/>
        <v>1520078.8304693103</v>
      </c>
      <c r="AL29" s="296">
        <f t="shared" si="31"/>
        <v>2.7978727540780596E-2</v>
      </c>
      <c r="AM29" s="287"/>
      <c r="AN29" s="287">
        <f t="shared" si="32"/>
        <v>20.111066666666829</v>
      </c>
      <c r="AO29" s="296">
        <f t="shared" si="33"/>
        <v>6.5508360477742117E-3</v>
      </c>
      <c r="AP29" s="287"/>
      <c r="AQ29" s="287">
        <f t="shared" si="34"/>
        <v>1077736.2012687884</v>
      </c>
      <c r="AR29" s="296">
        <f t="shared" si="35"/>
        <v>6.469717993035598E-2</v>
      </c>
    </row>
    <row r="30" spans="2:44">
      <c r="C30" s="284" t="s">
        <v>188</v>
      </c>
      <c r="D30" s="288" t="s">
        <v>184</v>
      </c>
      <c r="E30" s="288"/>
      <c r="F30" s="287">
        <v>1555071.0017200378</v>
      </c>
      <c r="G30" s="287">
        <v>3</v>
      </c>
      <c r="H30" s="287">
        <v>324957.49</v>
      </c>
      <c r="I30" s="287"/>
      <c r="J30" s="287"/>
      <c r="L30" s="284" t="s">
        <v>188</v>
      </c>
      <c r="M30" s="288" t="s">
        <v>184</v>
      </c>
      <c r="N30" s="288"/>
      <c r="O30" s="287">
        <f>+'WA Natural Gas'!V57</f>
        <v>4766570.0483045736</v>
      </c>
      <c r="P30" s="287">
        <f>+'WA Natural Gas'!V67</f>
        <v>24.868075598205845</v>
      </c>
      <c r="Q30" s="287">
        <f>+'WA Natural Gas'!V47</f>
        <v>1175776.4120666254</v>
      </c>
      <c r="R30" s="287"/>
      <c r="S30" s="287">
        <f t="shared" si="24"/>
        <v>3211499.0465845359</v>
      </c>
      <c r="T30" s="296">
        <f t="shared" si="25"/>
        <v>2.0651784021644999</v>
      </c>
      <c r="U30" s="287"/>
      <c r="V30" s="287">
        <f t="shared" si="26"/>
        <v>21.868075598205845</v>
      </c>
      <c r="W30" s="296">
        <f t="shared" si="27"/>
        <v>7.2893585327352817</v>
      </c>
      <c r="X30" s="287"/>
      <c r="Y30" s="287">
        <f t="shared" si="28"/>
        <v>850818.92206662544</v>
      </c>
      <c r="Z30" s="296">
        <f t="shared" si="29"/>
        <v>0.72362305735591992</v>
      </c>
      <c r="AA30" s="287"/>
      <c r="AB30" s="287"/>
      <c r="AD30" s="284" t="s">
        <v>188</v>
      </c>
      <c r="AE30" s="288" t="s">
        <v>184</v>
      </c>
      <c r="AF30" s="288"/>
      <c r="AG30" s="287">
        <f>+'WA Natural Gas'!AB57</f>
        <v>4804807.0838652011</v>
      </c>
      <c r="AH30" s="287">
        <f>+'WA Natural Gas'!AB67</f>
        <v>24.881806061485776</v>
      </c>
      <c r="AI30" s="287">
        <f>+'WA Natural Gas'!AB47</f>
        <v>1184894.9547776706</v>
      </c>
      <c r="AJ30" s="287"/>
      <c r="AK30" s="287">
        <f t="shared" si="30"/>
        <v>3249736.0821451633</v>
      </c>
      <c r="AL30" s="296">
        <f t="shared" si="31"/>
        <v>2.0897670129213939</v>
      </c>
      <c r="AM30" s="287"/>
      <c r="AN30" s="287">
        <f t="shared" si="32"/>
        <v>21.881806061485776</v>
      </c>
      <c r="AO30" s="296">
        <f t="shared" si="33"/>
        <v>7.2939353538285916</v>
      </c>
      <c r="AP30" s="287"/>
      <c r="AQ30" s="287">
        <f t="shared" si="34"/>
        <v>859937.46477767057</v>
      </c>
      <c r="AR30" s="296">
        <f t="shared" si="35"/>
        <v>2.6463075671149188</v>
      </c>
    </row>
    <row r="31" spans="2:44">
      <c r="C31" s="284" t="s">
        <v>189</v>
      </c>
      <c r="D31" s="288" t="s">
        <v>10</v>
      </c>
      <c r="E31" s="288"/>
      <c r="F31" s="287">
        <v>985267</v>
      </c>
      <c r="G31" s="287">
        <v>2</v>
      </c>
      <c r="H31" s="287">
        <v>201031.06</v>
      </c>
      <c r="I31" s="287"/>
      <c r="J31" s="287"/>
      <c r="L31" s="284" t="s">
        <v>189</v>
      </c>
      <c r="M31" s="288" t="s">
        <v>10</v>
      </c>
      <c r="N31" s="288"/>
      <c r="O31" s="287">
        <f>+'WA Natural Gas'!V58</f>
        <v>930891.51383457612</v>
      </c>
      <c r="P31" s="287">
        <f>+'WA Natural Gas'!V68</f>
        <v>2</v>
      </c>
      <c r="Q31" s="287">
        <f>+'WA Natural Gas'!V48</f>
        <v>188425.08719019956</v>
      </c>
      <c r="R31" s="287"/>
      <c r="S31" s="287">
        <f t="shared" si="24"/>
        <v>-54375.486165423878</v>
      </c>
      <c r="T31" s="296">
        <f t="shared" si="25"/>
        <v>-5.5188579507305005E-2</v>
      </c>
      <c r="U31" s="287"/>
      <c r="V31" s="287">
        <f t="shared" si="26"/>
        <v>0</v>
      </c>
      <c r="W31" s="296">
        <f t="shared" si="27"/>
        <v>0</v>
      </c>
      <c r="X31" s="287"/>
      <c r="Y31" s="287">
        <f t="shared" si="28"/>
        <v>-12605.972809800442</v>
      </c>
      <c r="Z31" s="296">
        <f t="shared" si="29"/>
        <v>-6.6901775118064583E-2</v>
      </c>
      <c r="AA31" s="287"/>
      <c r="AB31" s="287"/>
      <c r="AD31" s="284" t="s">
        <v>189</v>
      </c>
      <c r="AE31" s="288" t="s">
        <v>10</v>
      </c>
      <c r="AF31" s="288"/>
      <c r="AG31" s="287">
        <f>+'WA Natural Gas'!AB58</f>
        <v>936548.73853625951</v>
      </c>
      <c r="AH31" s="287">
        <f>+'WA Natural Gas'!AB68</f>
        <v>2</v>
      </c>
      <c r="AI31" s="287">
        <f>+'WA Natural Gas'!AB48</f>
        <v>189592.25983956936</v>
      </c>
      <c r="AJ31" s="287"/>
      <c r="AK31" s="287">
        <f t="shared" si="30"/>
        <v>-48718.261463740491</v>
      </c>
      <c r="AL31" s="296">
        <f t="shared" si="31"/>
        <v>-4.9446760587475769E-2</v>
      </c>
      <c r="AM31" s="287"/>
      <c r="AN31" s="287">
        <f t="shared" si="32"/>
        <v>0</v>
      </c>
      <c r="AO31" s="296">
        <f t="shared" si="33"/>
        <v>0</v>
      </c>
      <c r="AP31" s="287"/>
      <c r="AQ31" s="287">
        <f t="shared" si="34"/>
        <v>-11438.800160430634</v>
      </c>
      <c r="AR31" s="296">
        <f t="shared" si="35"/>
        <v>-5.6900660825399983E-2</v>
      </c>
    </row>
    <row r="32" spans="2:44">
      <c r="C32" s="284" t="s">
        <v>190</v>
      </c>
      <c r="D32" s="288" t="s">
        <v>181</v>
      </c>
      <c r="E32" s="288"/>
      <c r="F32" s="287">
        <v>35607936</v>
      </c>
      <c r="G32" s="287">
        <v>40</v>
      </c>
      <c r="H32" s="287">
        <v>3235612.9826000002</v>
      </c>
      <c r="I32" s="287"/>
      <c r="J32" s="287"/>
      <c r="L32" s="284" t="s">
        <v>190</v>
      </c>
      <c r="M32" s="288" t="s">
        <v>181</v>
      </c>
      <c r="N32" s="288"/>
      <c r="O32" s="287">
        <f>+'WA Natural Gas'!V59</f>
        <v>36780125</v>
      </c>
      <c r="P32" s="287">
        <f>+'WA Natural Gas'!V69</f>
        <v>41</v>
      </c>
      <c r="Q32" s="287">
        <f>+'WA Natural Gas'!V49</f>
        <v>3307304.0934832357</v>
      </c>
      <c r="R32" s="287"/>
      <c r="S32" s="287">
        <f t="shared" si="24"/>
        <v>1172189</v>
      </c>
      <c r="T32" s="296">
        <f t="shared" si="25"/>
        <v>3.2919318884419471E-2</v>
      </c>
      <c r="U32" s="287"/>
      <c r="V32" s="287">
        <f t="shared" si="26"/>
        <v>1</v>
      </c>
      <c r="W32" s="296">
        <f t="shared" si="27"/>
        <v>2.5000000000000001E-2</v>
      </c>
      <c r="X32" s="287"/>
      <c r="Y32" s="287">
        <f t="shared" si="28"/>
        <v>71691.110883235466</v>
      </c>
      <c r="Z32" s="296">
        <f t="shared" si="29"/>
        <v>2.1676600898144431E-2</v>
      </c>
      <c r="AA32" s="287"/>
      <c r="AB32" s="287"/>
      <c r="AD32" s="284" t="s">
        <v>190</v>
      </c>
      <c r="AE32" s="288" t="s">
        <v>181</v>
      </c>
      <c r="AF32" s="288"/>
      <c r="AG32" s="287">
        <f>+'WA Natural Gas'!AB59</f>
        <v>37056590</v>
      </c>
      <c r="AH32" s="287">
        <f>+'WA Natural Gas'!AB69</f>
        <v>41</v>
      </c>
      <c r="AI32" s="287">
        <f>+'WA Natural Gas'!AB49</f>
        <v>3329988.0349282641</v>
      </c>
      <c r="AJ32" s="287"/>
      <c r="AK32" s="287">
        <f t="shared" si="30"/>
        <v>1448654</v>
      </c>
      <c r="AL32" s="296">
        <f t="shared" si="31"/>
        <v>4.0683458878380367E-2</v>
      </c>
      <c r="AM32" s="287"/>
      <c r="AN32" s="287">
        <f t="shared" si="32"/>
        <v>1</v>
      </c>
      <c r="AO32" s="296">
        <f t="shared" si="33"/>
        <v>2.5000000000000001E-2</v>
      </c>
      <c r="AP32" s="287"/>
      <c r="AQ32" s="287">
        <f t="shared" si="34"/>
        <v>94375.052328263875</v>
      </c>
      <c r="AR32" s="296">
        <f t="shared" si="35"/>
        <v>2.9167596012186884E-2</v>
      </c>
    </row>
    <row r="33" spans="2:44">
      <c r="C33" s="284" t="s">
        <v>191</v>
      </c>
      <c r="D33" s="288" t="s">
        <v>181</v>
      </c>
      <c r="E33" s="288"/>
      <c r="F33" s="287">
        <v>54517605</v>
      </c>
      <c r="G33" s="287">
        <v>5</v>
      </c>
      <c r="H33" s="287">
        <v>1719728.85</v>
      </c>
      <c r="I33" s="287"/>
      <c r="J33" s="287"/>
      <c r="L33" s="284" t="s">
        <v>191</v>
      </c>
      <c r="M33" s="288" t="s">
        <v>181</v>
      </c>
      <c r="N33" s="288"/>
      <c r="O33" s="287">
        <f>+'WA Natural Gas'!V60</f>
        <v>49267953</v>
      </c>
      <c r="P33" s="287">
        <f>+'WA Natural Gas'!V70</f>
        <v>5</v>
      </c>
      <c r="Q33" s="287">
        <f>+'WA Natural Gas'!V50</f>
        <v>1544045.086016431</v>
      </c>
      <c r="R33" s="287"/>
      <c r="S33" s="287">
        <f t="shared" si="24"/>
        <v>-5249652</v>
      </c>
      <c r="T33" s="296">
        <f t="shared" si="25"/>
        <v>-9.6292784688542354E-2</v>
      </c>
      <c r="U33" s="287"/>
      <c r="V33" s="287">
        <f t="shared" si="26"/>
        <v>0</v>
      </c>
      <c r="W33" s="296">
        <f t="shared" si="27"/>
        <v>0</v>
      </c>
      <c r="X33" s="287"/>
      <c r="Y33" s="287">
        <f t="shared" si="28"/>
        <v>-175683.76398356911</v>
      </c>
      <c r="Z33" s="296">
        <f t="shared" si="29"/>
        <v>-0.11378149872347676</v>
      </c>
      <c r="AA33" s="287"/>
      <c r="AB33" s="287"/>
      <c r="AD33" s="284" t="s">
        <v>191</v>
      </c>
      <c r="AE33" s="288" t="s">
        <v>181</v>
      </c>
      <c r="AF33" s="288"/>
      <c r="AG33" s="287">
        <f>+'WA Natural Gas'!AB60</f>
        <v>49528193</v>
      </c>
      <c r="AH33" s="287">
        <f>+'WA Natural Gas'!AB70</f>
        <v>5</v>
      </c>
      <c r="AI33" s="287">
        <f>+'WA Natural Gas'!AB50</f>
        <v>1550280.1394972748</v>
      </c>
      <c r="AJ33" s="287"/>
      <c r="AK33" s="287">
        <f t="shared" si="30"/>
        <v>-4989412</v>
      </c>
      <c r="AL33" s="296">
        <f t="shared" si="31"/>
        <v>-9.1519280790122753E-2</v>
      </c>
      <c r="AM33" s="287"/>
      <c r="AN33" s="287">
        <f t="shared" si="32"/>
        <v>0</v>
      </c>
      <c r="AO33" s="296">
        <f t="shared" si="33"/>
        <v>0</v>
      </c>
      <c r="AP33" s="287"/>
      <c r="AQ33" s="287">
        <f t="shared" si="34"/>
        <v>-169448.71050272533</v>
      </c>
      <c r="AR33" s="296">
        <f t="shared" si="35"/>
        <v>-9.8532225299776371E-2</v>
      </c>
    </row>
    <row r="34" spans="2:44" ht="5.25" customHeight="1">
      <c r="B34" s="288"/>
      <c r="F34" s="287"/>
      <c r="G34" s="287"/>
      <c r="H34" s="287"/>
      <c r="I34" s="287"/>
      <c r="J34" s="287"/>
      <c r="K34" s="288"/>
      <c r="O34" s="287"/>
      <c r="P34" s="287"/>
      <c r="Q34" s="287"/>
      <c r="R34" s="287"/>
      <c r="S34" s="287"/>
      <c r="T34" s="296"/>
      <c r="U34" s="287"/>
      <c r="V34" s="287"/>
      <c r="W34" s="296"/>
      <c r="X34" s="287"/>
      <c r="Y34" s="287"/>
      <c r="Z34" s="296"/>
      <c r="AA34" s="287"/>
      <c r="AB34" s="287"/>
      <c r="AC34" s="288"/>
      <c r="AG34" s="287"/>
      <c r="AH34" s="287"/>
      <c r="AI34" s="287"/>
      <c r="AJ34" s="287"/>
      <c r="AK34" s="287"/>
      <c r="AL34" s="296"/>
      <c r="AM34" s="287"/>
      <c r="AN34" s="287"/>
      <c r="AO34" s="296"/>
      <c r="AP34" s="287"/>
      <c r="AQ34" s="287"/>
      <c r="AR34" s="296"/>
    </row>
    <row r="35" spans="2:44" s="297" customFormat="1">
      <c r="D35" s="297" t="s">
        <v>277</v>
      </c>
      <c r="F35" s="299">
        <f>+SUM(F28:F33)</f>
        <v>275981664.77211004</v>
      </c>
      <c r="G35" s="299">
        <f>+SUM(G28:G33)</f>
        <v>164911.25</v>
      </c>
      <c r="H35" s="299">
        <f>+SUM(H28:H33)</f>
        <v>91153499.532600001</v>
      </c>
      <c r="I35" s="299"/>
      <c r="J35" s="299"/>
      <c r="M35" s="297" t="s">
        <v>277</v>
      </c>
      <c r="O35" s="299">
        <f>+SUM(O28:O33)</f>
        <v>274221061.34967154</v>
      </c>
      <c r="P35" s="299">
        <f>+SUM(P28:P33)</f>
        <v>167695.5385005982</v>
      </c>
      <c r="Q35" s="299">
        <f>+SUM(Q28:Q33)</f>
        <v>94435768.959322929</v>
      </c>
      <c r="R35" s="299"/>
      <c r="S35" s="299">
        <f t="shared" ref="S35" si="36">+O35-F35</f>
        <v>-1760603.4224385023</v>
      </c>
      <c r="T35" s="300">
        <f t="shared" ref="T35" si="37">+S35/F35</f>
        <v>-6.3794217050335876E-3</v>
      </c>
      <c r="U35" s="299"/>
      <c r="V35" s="299">
        <f t="shared" ref="V35" si="38">+P35-G35</f>
        <v>2784.2885005981952</v>
      </c>
      <c r="W35" s="300">
        <f t="shared" ref="W35" si="39">+V35/G35</f>
        <v>1.6883557068412224E-2</v>
      </c>
      <c r="X35" s="299"/>
      <c r="Y35" s="299">
        <f t="shared" ref="Y35" si="40">+Q35-H35</f>
        <v>3282269.4267229289</v>
      </c>
      <c r="Z35" s="300">
        <f t="shared" ref="Z35" si="41">+Y35/Q35</f>
        <v>3.4756633666388918E-2</v>
      </c>
      <c r="AA35" s="299"/>
      <c r="AB35" s="299"/>
      <c r="AE35" s="297" t="s">
        <v>277</v>
      </c>
      <c r="AG35" s="299">
        <f>+SUM(AG28:AG33)</f>
        <v>277120834.62095082</v>
      </c>
      <c r="AH35" s="299">
        <f>+SUM(AH28:AH33)</f>
        <v>168627.05142272814</v>
      </c>
      <c r="AI35" s="299">
        <f>+SUM(AI28:AI33)</f>
        <v>95492732.489093632</v>
      </c>
      <c r="AJ35" s="299"/>
      <c r="AK35" s="299">
        <f t="shared" ref="AK35" si="42">+AG35-F35</f>
        <v>1139169.8488407731</v>
      </c>
      <c r="AL35" s="300">
        <f t="shared" ref="AL35" si="43">+AK35/F35</f>
        <v>4.1277011999381729E-3</v>
      </c>
      <c r="AM35" s="299"/>
      <c r="AN35" s="299">
        <f t="shared" ref="AN35" si="44">+AH35-G35</f>
        <v>3715.8014227281383</v>
      </c>
      <c r="AO35" s="300">
        <f t="shared" ref="AO35" si="45">+AN35/G35</f>
        <v>2.2532128176386623E-2</v>
      </c>
      <c r="AP35" s="299"/>
      <c r="AQ35" s="299">
        <f t="shared" ref="AQ35" si="46">+AI35-H35</f>
        <v>4339232.956493631</v>
      </c>
      <c r="AR35" s="300">
        <f t="shared" ref="AR35" si="47">+AQ35/H35</f>
        <v>4.7603580539897473E-2</v>
      </c>
    </row>
    <row r="36" spans="2:44">
      <c r="F36" s="287"/>
      <c r="G36" s="287"/>
      <c r="H36" s="287"/>
      <c r="I36" s="287"/>
      <c r="J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G36" s="287"/>
      <c r="AH36" s="287"/>
      <c r="AI36" s="287"/>
    </row>
  </sheetData>
  <pageMargins left="0.7" right="0.7" top="0.75" bottom="0.75" header="0.3" footer="0.3"/>
  <pageSetup scale="80" orientation="landscape" horizontalDpi="0" verticalDpi="0" r:id="rId1"/>
  <colBreaks count="2" manualBreakCount="2">
    <brk id="9" max="1048575" man="1"/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BQ81"/>
  <sheetViews>
    <sheetView view="pageBreakPreview" zoomScale="60" zoomScaleNormal="100" workbookViewId="0"/>
  </sheetViews>
  <sheetFormatPr defaultColWidth="8.85546875" defaultRowHeight="15.75"/>
  <cols>
    <col min="1" max="1" width="21.5703125" style="65" customWidth="1"/>
    <col min="2" max="2" width="11" style="65" customWidth="1"/>
    <col min="3" max="3" width="11.42578125" style="65" customWidth="1"/>
    <col min="4" max="4" width="26.7109375" style="65" customWidth="1"/>
    <col min="5" max="5" width="16.42578125" style="65" customWidth="1"/>
    <col min="6" max="6" width="18.28515625" style="65" customWidth="1"/>
    <col min="7" max="7" width="19.7109375" style="65" customWidth="1"/>
    <col min="8" max="8" width="16.7109375" style="65" customWidth="1"/>
    <col min="9" max="9" width="19.28515625" style="65" customWidth="1"/>
    <col min="10" max="10" width="23.7109375" style="65" customWidth="1"/>
    <col min="11" max="11" width="11.28515625" style="65" customWidth="1"/>
    <col min="12" max="12" width="13.28515625" style="65" customWidth="1"/>
    <col min="13" max="13" width="17.140625" style="65" customWidth="1"/>
    <col min="14" max="14" width="8.85546875" style="65"/>
    <col min="15" max="15" width="25.28515625" style="65" customWidth="1"/>
    <col min="16" max="16" width="14.42578125" style="65" customWidth="1"/>
    <col min="17" max="17" width="14.7109375" style="65" customWidth="1"/>
    <col min="18" max="21" width="8.85546875" style="65"/>
    <col min="22" max="22" width="17.28515625" style="65" customWidth="1"/>
    <col min="23" max="23" width="14.42578125" style="65" customWidth="1"/>
    <col min="24" max="24" width="13.42578125" style="65" customWidth="1"/>
    <col min="25" max="69" width="11" style="65" customWidth="1"/>
    <col min="70" max="16384" width="8.85546875" style="65"/>
  </cols>
  <sheetData>
    <row r="1" spans="1:69">
      <c r="A1" s="65" t="s">
        <v>0</v>
      </c>
      <c r="V1" s="124">
        <v>43466</v>
      </c>
      <c r="W1" s="124">
        <v>43497</v>
      </c>
      <c r="X1" s="124">
        <v>43525</v>
      </c>
      <c r="Y1" s="124">
        <v>43556</v>
      </c>
      <c r="Z1" s="124">
        <v>43586</v>
      </c>
      <c r="AA1" s="124">
        <v>43617</v>
      </c>
      <c r="AB1" s="124">
        <v>43647</v>
      </c>
      <c r="AC1" s="124">
        <v>43678</v>
      </c>
      <c r="AD1" s="124">
        <v>43709</v>
      </c>
      <c r="AE1" s="124">
        <v>43739</v>
      </c>
      <c r="AF1" s="124">
        <v>43770</v>
      </c>
      <c r="AG1" s="124">
        <v>43800</v>
      </c>
      <c r="AH1" s="124">
        <v>43831</v>
      </c>
      <c r="AI1" s="124">
        <v>43862</v>
      </c>
      <c r="AJ1" s="124">
        <v>43891</v>
      </c>
      <c r="AK1" s="124">
        <v>43922</v>
      </c>
      <c r="AL1" s="124">
        <v>43952</v>
      </c>
      <c r="AM1" s="124">
        <v>43983</v>
      </c>
      <c r="AN1" s="124">
        <v>44013</v>
      </c>
      <c r="AO1" s="124">
        <v>44044</v>
      </c>
      <c r="AP1" s="124">
        <v>44075</v>
      </c>
      <c r="AQ1" s="124">
        <v>44105</v>
      </c>
      <c r="AR1" s="124">
        <v>44136</v>
      </c>
      <c r="AS1" s="124">
        <v>44166</v>
      </c>
      <c r="AT1" s="124">
        <v>44197</v>
      </c>
      <c r="AU1" s="124">
        <v>44228</v>
      </c>
      <c r="AV1" s="124">
        <v>44256</v>
      </c>
      <c r="AW1" s="124">
        <v>44287</v>
      </c>
      <c r="AX1" s="124">
        <v>44317</v>
      </c>
      <c r="AY1" s="124">
        <v>44348</v>
      </c>
      <c r="AZ1" s="124">
        <v>44378</v>
      </c>
      <c r="BA1" s="124">
        <v>44409</v>
      </c>
      <c r="BB1" s="124">
        <v>44440</v>
      </c>
      <c r="BC1" s="124">
        <v>44470</v>
      </c>
      <c r="BD1" s="124">
        <v>44501</v>
      </c>
      <c r="BE1" s="124">
        <v>44531</v>
      </c>
      <c r="BF1" s="124">
        <v>44562</v>
      </c>
      <c r="BG1" s="124">
        <v>44593</v>
      </c>
      <c r="BH1" s="124">
        <v>44621</v>
      </c>
      <c r="BI1" s="124">
        <v>44652</v>
      </c>
      <c r="BJ1" s="124">
        <v>44682</v>
      </c>
      <c r="BK1" s="124">
        <v>44713</v>
      </c>
      <c r="BL1" s="124">
        <v>44743</v>
      </c>
      <c r="BM1" s="124">
        <v>44774</v>
      </c>
      <c r="BN1" s="124">
        <v>44805</v>
      </c>
      <c r="BO1" s="124">
        <v>44835</v>
      </c>
      <c r="BP1" s="124">
        <v>44866</v>
      </c>
      <c r="BQ1" s="124">
        <v>44896</v>
      </c>
    </row>
    <row r="2" spans="1:69">
      <c r="T2" s="65" t="s">
        <v>1</v>
      </c>
    </row>
    <row r="3" spans="1:69">
      <c r="A3" s="65" t="s">
        <v>2</v>
      </c>
      <c r="D3" s="65" t="s">
        <v>88</v>
      </c>
      <c r="T3" s="65" t="s">
        <v>71</v>
      </c>
      <c r="V3" s="92">
        <v>25015471.238839373</v>
      </c>
      <c r="W3" s="92">
        <v>20250791.687508751</v>
      </c>
      <c r="X3" s="92">
        <v>19831257.956614256</v>
      </c>
      <c r="Y3" s="92">
        <v>15897768.513824211</v>
      </c>
      <c r="Z3" s="92">
        <v>14568043.751348455</v>
      </c>
      <c r="AA3" s="92">
        <v>13653395.075486258</v>
      </c>
      <c r="AB3" s="92">
        <v>16967169.902646866</v>
      </c>
      <c r="AC3" s="92">
        <v>16616326.27674854</v>
      </c>
      <c r="AD3" s="92">
        <v>14596533.56110408</v>
      </c>
      <c r="AE3" s="92">
        <v>15669664.233613798</v>
      </c>
      <c r="AF3" s="92">
        <v>19925339.900275603</v>
      </c>
      <c r="AG3" s="92">
        <v>25389334.881913975</v>
      </c>
      <c r="AH3" s="92">
        <v>25339931.688900292</v>
      </c>
      <c r="AI3" s="92">
        <v>20508405.726409033</v>
      </c>
      <c r="AJ3" s="92">
        <v>20049691.447078105</v>
      </c>
      <c r="AK3" s="92">
        <v>16079738.011987403</v>
      </c>
      <c r="AL3" s="92">
        <v>14522406.714244008</v>
      </c>
      <c r="AM3" s="92">
        <v>13614363.124941595</v>
      </c>
      <c r="AN3" s="92">
        <v>16657907.255888131</v>
      </c>
      <c r="AO3" s="92">
        <v>16630006.032941476</v>
      </c>
      <c r="AP3" s="92">
        <v>14436277.965837182</v>
      </c>
      <c r="AQ3" s="92">
        <v>15511076.923218681</v>
      </c>
      <c r="AR3" s="92">
        <v>19701732.456832584</v>
      </c>
      <c r="AS3" s="92">
        <v>25413231.086417362</v>
      </c>
      <c r="AT3" s="92">
        <v>25699704.106568627</v>
      </c>
      <c r="AU3" s="92">
        <v>20778618.803723067</v>
      </c>
      <c r="AV3" s="92">
        <v>20355976.020630278</v>
      </c>
      <c r="AW3" s="92">
        <v>16311806.224749753</v>
      </c>
      <c r="AX3" s="92">
        <v>14660088.21906426</v>
      </c>
      <c r="AY3" s="92">
        <v>13731489.511215288</v>
      </c>
      <c r="AZ3" s="92">
        <v>16614991.324354973</v>
      </c>
      <c r="BA3" s="92">
        <v>16701221.014038417</v>
      </c>
      <c r="BB3" s="92">
        <v>14363315.468886431</v>
      </c>
      <c r="BC3" s="92">
        <v>15432373.374935431</v>
      </c>
      <c r="BD3" s="92">
        <v>19613217.427568372</v>
      </c>
      <c r="BE3" s="92">
        <v>25560860.506632082</v>
      </c>
      <c r="BF3" s="92">
        <v>25932080.396696985</v>
      </c>
      <c r="BG3" s="92">
        <v>21001668.149270814</v>
      </c>
      <c r="BH3" s="92">
        <v>20599368.759477098</v>
      </c>
      <c r="BI3" s="92">
        <v>16539638.791396985</v>
      </c>
      <c r="BJ3" s="92">
        <v>14838971.194246968</v>
      </c>
      <c r="BK3" s="92">
        <v>13850728.656741323</v>
      </c>
      <c r="BL3" s="92">
        <v>16630959.771837164</v>
      </c>
      <c r="BM3" s="92">
        <v>16762356.857316388</v>
      </c>
      <c r="BN3" s="92">
        <v>14344224.607361376</v>
      </c>
      <c r="BO3" s="92">
        <v>15368841.219817515</v>
      </c>
      <c r="BP3" s="92">
        <v>19539838.687515527</v>
      </c>
      <c r="BQ3" s="92">
        <v>25650150.005590335</v>
      </c>
    </row>
    <row r="4" spans="1:69">
      <c r="A4" s="65" t="s">
        <v>82</v>
      </c>
      <c r="D4" s="113" t="s">
        <v>6</v>
      </c>
      <c r="E4" s="113" t="s">
        <v>7</v>
      </c>
      <c r="F4" s="113" t="s">
        <v>8</v>
      </c>
      <c r="G4" s="113" t="s">
        <v>9</v>
      </c>
      <c r="H4" s="113" t="s">
        <v>81</v>
      </c>
      <c r="I4" s="114" t="s">
        <v>80</v>
      </c>
      <c r="J4" s="113" t="s">
        <v>79</v>
      </c>
      <c r="T4" s="65" t="s">
        <v>69</v>
      </c>
      <c r="V4" s="92">
        <v>6142927.0570022697</v>
      </c>
      <c r="W4" s="92">
        <v>5536489.0489586173</v>
      </c>
      <c r="X4" s="92">
        <v>5659498.6455803076</v>
      </c>
      <c r="Y4" s="92">
        <v>5084413.8456600476</v>
      </c>
      <c r="Z4" s="92">
        <v>5082121.5266441917</v>
      </c>
      <c r="AA4" s="92">
        <v>5077539.3285680199</v>
      </c>
      <c r="AB4" s="92">
        <v>5986648.8302887632</v>
      </c>
      <c r="AC4" s="92">
        <v>5643735.1398730865</v>
      </c>
      <c r="AD4" s="92">
        <v>5080369.3602476418</v>
      </c>
      <c r="AE4" s="92">
        <v>5451022.3674250562</v>
      </c>
      <c r="AF4" s="92">
        <v>5838616.3735712813</v>
      </c>
      <c r="AG4" s="92">
        <v>6397484.8262058087</v>
      </c>
      <c r="AH4" s="92">
        <v>6203007.893377413</v>
      </c>
      <c r="AI4" s="92">
        <v>5576811.4890817543</v>
      </c>
      <c r="AJ4" s="92">
        <v>5730896.2424741397</v>
      </c>
      <c r="AK4" s="92">
        <v>5156375.029072782</v>
      </c>
      <c r="AL4" s="92">
        <v>5130933.220918986</v>
      </c>
      <c r="AM4" s="92">
        <v>5157606.2989434833</v>
      </c>
      <c r="AN4" s="92">
        <v>6007278.3240524046</v>
      </c>
      <c r="AO4" s="92">
        <v>5736766.3197747152</v>
      </c>
      <c r="AP4" s="92">
        <v>5120406.3300758628</v>
      </c>
      <c r="AQ4" s="92">
        <v>5537603.2005863721</v>
      </c>
      <c r="AR4" s="92">
        <v>5905319.0088800648</v>
      </c>
      <c r="AS4" s="92">
        <v>6460161.4482629234</v>
      </c>
      <c r="AT4" s="92">
        <v>6263458.2557546096</v>
      </c>
      <c r="AU4" s="92">
        <v>5628789.2447096733</v>
      </c>
      <c r="AV4" s="92">
        <v>5802477.3147176113</v>
      </c>
      <c r="AW4" s="92">
        <v>5205193.5415371554</v>
      </c>
      <c r="AX4" s="92">
        <v>5182329.1557720629</v>
      </c>
      <c r="AY4" s="92">
        <v>5224534.3430001102</v>
      </c>
      <c r="AZ4" s="92">
        <v>6067438.9921588609</v>
      </c>
      <c r="BA4" s="92">
        <v>5814007.6630583294</v>
      </c>
      <c r="BB4" s="92">
        <v>5158872.5419869628</v>
      </c>
      <c r="BC4" s="92">
        <v>5618953.3142773192</v>
      </c>
      <c r="BD4" s="92">
        <v>5978396.1551033743</v>
      </c>
      <c r="BE4" s="92">
        <v>6541458.7426383588</v>
      </c>
      <c r="BF4" s="92">
        <v>6312123.6391677652</v>
      </c>
      <c r="BG4" s="92">
        <v>5686856.0432614852</v>
      </c>
      <c r="BH4" s="92">
        <v>5858650.5817357227</v>
      </c>
      <c r="BI4" s="92">
        <v>5253541.0155583369</v>
      </c>
      <c r="BJ4" s="92">
        <v>5232278.8996490417</v>
      </c>
      <c r="BK4" s="92">
        <v>5282937.2683483558</v>
      </c>
      <c r="BL4" s="92">
        <v>6137084.2307451041</v>
      </c>
      <c r="BM4" s="92">
        <v>5874549.9832900483</v>
      </c>
      <c r="BN4" s="92">
        <v>5204946.6662758347</v>
      </c>
      <c r="BO4" s="92">
        <v>5693625.9965647478</v>
      </c>
      <c r="BP4" s="92">
        <v>6057739.5681166826</v>
      </c>
      <c r="BQ4" s="92">
        <v>6619412.3240332631</v>
      </c>
    </row>
    <row r="5" spans="1:69">
      <c r="D5" s="111" t="s">
        <v>13</v>
      </c>
      <c r="E5" s="111" t="s">
        <v>87</v>
      </c>
      <c r="F5" s="111" t="s">
        <v>77</v>
      </c>
      <c r="G5" s="111" t="s">
        <v>76</v>
      </c>
      <c r="H5" s="111" t="s">
        <v>75</v>
      </c>
      <c r="I5" s="112" t="s">
        <v>74</v>
      </c>
      <c r="J5" s="111" t="s">
        <v>73</v>
      </c>
      <c r="T5" s="65" t="s">
        <v>68</v>
      </c>
      <c r="V5" s="92">
        <v>957041.76957948681</v>
      </c>
      <c r="W5" s="92">
        <v>855088.39617998595</v>
      </c>
      <c r="X5" s="92">
        <v>831033.47564991261</v>
      </c>
      <c r="Y5" s="92">
        <v>715453.03012449562</v>
      </c>
      <c r="Z5" s="92">
        <v>680460.26107191935</v>
      </c>
      <c r="AA5" s="92">
        <v>641526.86650583707</v>
      </c>
      <c r="AB5" s="92">
        <v>702920.7303041768</v>
      </c>
      <c r="AC5" s="92">
        <v>671610.87151378696</v>
      </c>
      <c r="AD5" s="92">
        <v>636807.71448022523</v>
      </c>
      <c r="AE5" s="92">
        <v>709291.31985452375</v>
      </c>
      <c r="AF5" s="92">
        <v>821519.18094514241</v>
      </c>
      <c r="AG5" s="92">
        <v>973319.71002895292</v>
      </c>
      <c r="AH5" s="92">
        <v>978155.67938408919</v>
      </c>
      <c r="AI5" s="92">
        <v>867419.7862502021</v>
      </c>
      <c r="AJ5" s="92">
        <v>852667.03345093748</v>
      </c>
      <c r="AK5" s="92">
        <v>736157.69311450073</v>
      </c>
      <c r="AL5" s="92">
        <v>693818.25250736077</v>
      </c>
      <c r="AM5" s="92">
        <v>661270.77501158812</v>
      </c>
      <c r="AN5" s="92">
        <v>715749.2757966019</v>
      </c>
      <c r="AO5" s="92">
        <v>685179.93472642847</v>
      </c>
      <c r="AP5" s="92">
        <v>648231.41329450358</v>
      </c>
      <c r="AQ5" s="92">
        <v>722550.01788032823</v>
      </c>
      <c r="AR5" s="92">
        <v>831380.98681465932</v>
      </c>
      <c r="AS5" s="92">
        <v>989686.20861138485</v>
      </c>
      <c r="AT5" s="92">
        <v>995335.88988777937</v>
      </c>
      <c r="AU5" s="92">
        <v>885719.4183665273</v>
      </c>
      <c r="AV5" s="92">
        <v>873784.41979896952</v>
      </c>
      <c r="AW5" s="92">
        <v>751892.49391079147</v>
      </c>
      <c r="AX5" s="92">
        <v>711000.46094740194</v>
      </c>
      <c r="AY5" s="92">
        <v>678317.90173073008</v>
      </c>
      <c r="AZ5" s="92">
        <v>730322.22982483159</v>
      </c>
      <c r="BA5" s="92">
        <v>699676.95143690135</v>
      </c>
      <c r="BB5" s="92">
        <v>657086.51364489016</v>
      </c>
      <c r="BC5" s="92">
        <v>736752.95569841925</v>
      </c>
      <c r="BD5" s="92">
        <v>844431.75851160148</v>
      </c>
      <c r="BE5" s="92">
        <v>1007635.6591277565</v>
      </c>
      <c r="BF5" s="92">
        <v>1013067.0705580239</v>
      </c>
      <c r="BG5" s="92">
        <v>904666.4255120568</v>
      </c>
      <c r="BH5" s="92">
        <v>891641.37121441378</v>
      </c>
      <c r="BI5" s="92">
        <v>769164.02406519768</v>
      </c>
      <c r="BJ5" s="92">
        <v>726542.8686517434</v>
      </c>
      <c r="BK5" s="92">
        <v>693317.31650037004</v>
      </c>
      <c r="BL5" s="92">
        <v>746667.76212776243</v>
      </c>
      <c r="BM5" s="92">
        <v>711206.53748128645</v>
      </c>
      <c r="BN5" s="92">
        <v>667105.63295223482</v>
      </c>
      <c r="BO5" s="92">
        <v>750323.58951762959</v>
      </c>
      <c r="BP5" s="92">
        <v>857347.81654775399</v>
      </c>
      <c r="BQ5" s="92">
        <v>1025889.7984349824</v>
      </c>
    </row>
    <row r="6" spans="1:69">
      <c r="I6" s="123"/>
      <c r="T6" s="65" t="s">
        <v>67</v>
      </c>
      <c r="V6" s="92">
        <v>10587117.795222847</v>
      </c>
      <c r="W6" s="92">
        <v>9696748.2303522974</v>
      </c>
      <c r="X6" s="92">
        <v>10153843.404481951</v>
      </c>
      <c r="Y6" s="92">
        <v>9672464.1814418379</v>
      </c>
      <c r="Z6" s="92">
        <v>10050335.973669216</v>
      </c>
      <c r="AA6" s="92">
        <v>10295954.238212341</v>
      </c>
      <c r="AB6" s="92">
        <v>11729955.332040846</v>
      </c>
      <c r="AC6" s="92">
        <v>11000998.507696452</v>
      </c>
      <c r="AD6" s="92">
        <v>10168764.532445351</v>
      </c>
      <c r="AE6" s="92">
        <v>10740269.330148889</v>
      </c>
      <c r="AF6" s="92">
        <v>10749003.899479704</v>
      </c>
      <c r="AG6" s="92">
        <v>11036249.223967528</v>
      </c>
      <c r="AH6" s="92">
        <v>10579584.156770473</v>
      </c>
      <c r="AI6" s="92">
        <v>9656138.3617480956</v>
      </c>
      <c r="AJ6" s="92">
        <v>10157254.168579524</v>
      </c>
      <c r="AK6" s="92">
        <v>9678652.7875433583</v>
      </c>
      <c r="AL6" s="92">
        <v>10028825.850101419</v>
      </c>
      <c r="AM6" s="92">
        <v>10353485.944769377</v>
      </c>
      <c r="AN6" s="92">
        <v>11674458.6896678</v>
      </c>
      <c r="AO6" s="92">
        <v>11049129.829765758</v>
      </c>
      <c r="AP6" s="92">
        <v>10125730.49282876</v>
      </c>
      <c r="AQ6" s="92">
        <v>10812892.02513179</v>
      </c>
      <c r="AR6" s="92">
        <v>10798815.543110434</v>
      </c>
      <c r="AS6" s="92">
        <v>11043114.228073599</v>
      </c>
      <c r="AT6" s="92">
        <v>10571227.492629649</v>
      </c>
      <c r="AU6" s="92">
        <v>9634369.8995500468</v>
      </c>
      <c r="AV6" s="92">
        <v>10151185.136856219</v>
      </c>
      <c r="AW6" s="92">
        <v>9640437.6140628755</v>
      </c>
      <c r="AX6" s="92">
        <v>10010833.300464315</v>
      </c>
      <c r="AY6" s="92">
        <v>10389682.344132528</v>
      </c>
      <c r="AZ6" s="92">
        <v>11690577.710852345</v>
      </c>
      <c r="BA6" s="92">
        <v>11067293.862154484</v>
      </c>
      <c r="BB6" s="92">
        <v>10085263.227438465</v>
      </c>
      <c r="BC6" s="92">
        <v>10878164.713057715</v>
      </c>
      <c r="BD6" s="92">
        <v>10861348.823202111</v>
      </c>
      <c r="BE6" s="92">
        <v>11079906.996624472</v>
      </c>
      <c r="BF6" s="92">
        <v>10547513.126501882</v>
      </c>
      <c r="BG6" s="92">
        <v>9625663.0418118127</v>
      </c>
      <c r="BH6" s="92">
        <v>10120260.324930213</v>
      </c>
      <c r="BI6" s="92">
        <v>9604863.3998450171</v>
      </c>
      <c r="BJ6" s="92">
        <v>9992831.6811887808</v>
      </c>
      <c r="BK6" s="92">
        <v>10407873.842442097</v>
      </c>
      <c r="BL6" s="92">
        <v>11721597.759094533</v>
      </c>
      <c r="BM6" s="92">
        <v>11059666.131386204</v>
      </c>
      <c r="BN6" s="92">
        <v>10058736.867117181</v>
      </c>
      <c r="BO6" s="92">
        <v>10929498.85700869</v>
      </c>
      <c r="BP6" s="92">
        <v>10931774.565877369</v>
      </c>
      <c r="BQ6" s="92">
        <v>11110530.649907006</v>
      </c>
    </row>
    <row r="7" spans="1:69">
      <c r="A7" s="65" t="s">
        <v>21</v>
      </c>
      <c r="D7" s="67">
        <f>SUM(E7:J7)</f>
        <v>502300000</v>
      </c>
      <c r="E7" s="107">
        <v>216075000</v>
      </c>
      <c r="F7" s="107">
        <v>75061000</v>
      </c>
      <c r="G7" s="107">
        <v>125677000</v>
      </c>
      <c r="H7" s="107">
        <v>12039000</v>
      </c>
      <c r="I7" s="106">
        <v>66744000</v>
      </c>
      <c r="J7" s="105">
        <v>6704000</v>
      </c>
      <c r="T7" s="65" t="s">
        <v>66</v>
      </c>
      <c r="V7" s="92">
        <v>290454.72303155239</v>
      </c>
      <c r="W7" s="92">
        <v>257292.01955783038</v>
      </c>
      <c r="X7" s="92">
        <v>254172.16685072333</v>
      </c>
      <c r="Y7" s="92">
        <v>220961.00028000923</v>
      </c>
      <c r="Z7" s="92">
        <v>215921.86873094091</v>
      </c>
      <c r="AA7" s="92">
        <v>205682.51373270276</v>
      </c>
      <c r="AB7" s="92">
        <v>236689.09729384037</v>
      </c>
      <c r="AC7" s="92">
        <v>227423.06574770447</v>
      </c>
      <c r="AD7" s="92">
        <v>207608.45398234238</v>
      </c>
      <c r="AE7" s="92">
        <v>222598.24792527262</v>
      </c>
      <c r="AF7" s="92">
        <v>243372.46694156341</v>
      </c>
      <c r="AG7" s="92">
        <v>283590.56772767677</v>
      </c>
      <c r="AH7" s="92">
        <v>286707.60659288376</v>
      </c>
      <c r="AI7" s="92">
        <v>254832.30798301881</v>
      </c>
      <c r="AJ7" s="92">
        <v>254414.99348166338</v>
      </c>
      <c r="AK7" s="92">
        <v>219219.21514660952</v>
      </c>
      <c r="AL7" s="92">
        <v>213153.33574127339</v>
      </c>
      <c r="AM7" s="92">
        <v>205588.40919266123</v>
      </c>
      <c r="AN7" s="92">
        <v>233923.35112673725</v>
      </c>
      <c r="AO7" s="92">
        <v>227576.47937977099</v>
      </c>
      <c r="AP7" s="92">
        <v>206001.02788067545</v>
      </c>
      <c r="AQ7" s="92">
        <v>222130.72952195734</v>
      </c>
      <c r="AR7" s="92">
        <v>241686.63729004998</v>
      </c>
      <c r="AS7" s="92">
        <v>280772.45003286737</v>
      </c>
      <c r="AT7" s="92">
        <v>284609.86698852963</v>
      </c>
      <c r="AU7" s="92">
        <v>253800.79671877556</v>
      </c>
      <c r="AV7" s="92">
        <v>253973.1562967372</v>
      </c>
      <c r="AW7" s="92">
        <v>217850.81019396515</v>
      </c>
      <c r="AX7" s="92">
        <v>212039.25904752756</v>
      </c>
      <c r="AY7" s="92">
        <v>205074.31091529189</v>
      </c>
      <c r="AZ7" s="92">
        <v>232841.39494232886</v>
      </c>
      <c r="BA7" s="92">
        <v>227049.05903740495</v>
      </c>
      <c r="BB7" s="92">
        <v>204192.51836624343</v>
      </c>
      <c r="BC7" s="92">
        <v>221938.03525696383</v>
      </c>
      <c r="BD7" s="92">
        <v>240320.48987651017</v>
      </c>
      <c r="BE7" s="92">
        <v>279490.27220910718</v>
      </c>
      <c r="BF7" s="92">
        <v>282609.37609401462</v>
      </c>
      <c r="BG7" s="92">
        <v>252930.70613654362</v>
      </c>
      <c r="BH7" s="92">
        <v>252965.35266182601</v>
      </c>
      <c r="BI7" s="92">
        <v>216764.19040241209</v>
      </c>
      <c r="BJ7" s="92">
        <v>211139.09047838429</v>
      </c>
      <c r="BK7" s="92">
        <v>204571.89763560123</v>
      </c>
      <c r="BL7" s="92">
        <v>231967.88829815557</v>
      </c>
      <c r="BM7" s="92">
        <v>225923.84573031758</v>
      </c>
      <c r="BN7" s="92">
        <v>202813.45563339206</v>
      </c>
      <c r="BO7" s="92">
        <v>221411.0563715286</v>
      </c>
      <c r="BP7" s="92">
        <v>239321.32866195124</v>
      </c>
      <c r="BQ7" s="92">
        <v>278174.28279199585</v>
      </c>
    </row>
    <row r="8" spans="1:69">
      <c r="A8" s="65" t="s">
        <v>23</v>
      </c>
      <c r="D8" s="103">
        <f>SUM(E8:J8)</f>
        <v>5637842826</v>
      </c>
      <c r="E8" s="86">
        <v>2374703689</v>
      </c>
      <c r="F8" s="86">
        <v>619305952</v>
      </c>
      <c r="G8" s="86">
        <v>1365904624</v>
      </c>
      <c r="H8" s="86">
        <v>145822517</v>
      </c>
      <c r="I8" s="101">
        <v>1113564012</v>
      </c>
      <c r="J8" s="104">
        <v>18542032</v>
      </c>
      <c r="T8" s="65" t="s">
        <v>64</v>
      </c>
      <c r="V8" s="92">
        <v>5569345.7363999989</v>
      </c>
      <c r="W8" s="92">
        <v>5630512.1282608323</v>
      </c>
      <c r="X8" s="92">
        <v>5188867.7767172921</v>
      </c>
      <c r="Y8" s="92">
        <v>5636153.9266904853</v>
      </c>
      <c r="Z8" s="92">
        <v>5675360.2926459005</v>
      </c>
      <c r="AA8" s="92">
        <v>5734712.5752058122</v>
      </c>
      <c r="AB8" s="92">
        <v>5698056.0245605726</v>
      </c>
      <c r="AC8" s="92">
        <v>5879967.0997913769</v>
      </c>
      <c r="AD8" s="92">
        <v>5961304.8628394594</v>
      </c>
      <c r="AE8" s="92">
        <v>5316028.6721698344</v>
      </c>
      <c r="AF8" s="92">
        <v>6182288.068667884</v>
      </c>
      <c r="AG8" s="92">
        <v>5669642.6187473144</v>
      </c>
      <c r="AH8" s="92">
        <v>5612426.5337975649</v>
      </c>
      <c r="AI8" s="92">
        <v>5641038.964435772</v>
      </c>
      <c r="AJ8" s="92">
        <v>5262239.6382447807</v>
      </c>
      <c r="AK8" s="92">
        <v>5701455.5945180384</v>
      </c>
      <c r="AL8" s="92">
        <v>5707972.2548471494</v>
      </c>
      <c r="AM8" s="92">
        <v>5783478.7203602055</v>
      </c>
      <c r="AN8" s="92">
        <v>5729906.9612605181</v>
      </c>
      <c r="AO8" s="92">
        <v>5934998.3862848599</v>
      </c>
      <c r="AP8" s="92">
        <v>5973844.2550954688</v>
      </c>
      <c r="AQ8" s="92">
        <v>5318574.2932150345</v>
      </c>
      <c r="AR8" s="92">
        <v>6222117.4743784629</v>
      </c>
      <c r="AS8" s="92">
        <v>5707820.8363613077</v>
      </c>
      <c r="AT8" s="92">
        <v>5644155.0043291748</v>
      </c>
      <c r="AU8" s="92">
        <v>5713412.6996451383</v>
      </c>
      <c r="AV8" s="92">
        <v>5255304.9786898438</v>
      </c>
      <c r="AW8" s="92">
        <v>5720330.9982869178</v>
      </c>
      <c r="AX8" s="92">
        <v>5720575.8793444429</v>
      </c>
      <c r="AY8" s="92">
        <v>5804543.8013412356</v>
      </c>
      <c r="AZ8" s="92">
        <v>5776975.3572522998</v>
      </c>
      <c r="BA8" s="92">
        <v>5942026.9452530686</v>
      </c>
      <c r="BB8" s="92">
        <v>6022349.4310716353</v>
      </c>
      <c r="BC8" s="92">
        <v>5333670.8550411072</v>
      </c>
      <c r="BD8" s="92">
        <v>6248757.2191756964</v>
      </c>
      <c r="BE8" s="92">
        <v>5728585.6154218987</v>
      </c>
      <c r="BF8" s="92">
        <v>5661381.0018780027</v>
      </c>
      <c r="BG8" s="92">
        <v>5738795.9003874334</v>
      </c>
      <c r="BH8" s="92">
        <v>5278269.4063586835</v>
      </c>
      <c r="BI8" s="92">
        <v>5752055.3783800034</v>
      </c>
      <c r="BJ8" s="92">
        <v>5747658.4198637838</v>
      </c>
      <c r="BK8" s="92">
        <v>5831536.4755161302</v>
      </c>
      <c r="BL8" s="92">
        <v>5796647.2941096835</v>
      </c>
      <c r="BM8" s="92">
        <v>5960850.5837420095</v>
      </c>
      <c r="BN8" s="92">
        <v>6053175.7864860725</v>
      </c>
      <c r="BO8" s="92">
        <v>5365619.8495511133</v>
      </c>
      <c r="BP8" s="92">
        <v>6281204.0659827627</v>
      </c>
      <c r="BQ8" s="92">
        <v>5757026.4130623564</v>
      </c>
    </row>
    <row r="9" spans="1:69">
      <c r="A9" s="65" t="s">
        <v>25</v>
      </c>
      <c r="D9" s="103">
        <f>SUM(E9:J9)</f>
        <v>3027008</v>
      </c>
      <c r="E9" s="102">
        <v>2587975</v>
      </c>
      <c r="F9" s="102">
        <v>386800</v>
      </c>
      <c r="G9" s="102">
        <v>22787</v>
      </c>
      <c r="H9" s="102">
        <v>29446</v>
      </c>
      <c r="I9" s="101"/>
      <c r="J9" s="100"/>
      <c r="T9" s="65" t="s">
        <v>63</v>
      </c>
      <c r="V9" s="92">
        <v>333304.87342341361</v>
      </c>
      <c r="W9" s="92">
        <v>325092.52049870754</v>
      </c>
      <c r="X9" s="92">
        <v>387284.04037288495</v>
      </c>
      <c r="Y9" s="92">
        <v>549447.66284572228</v>
      </c>
      <c r="Z9" s="92">
        <v>1028550.5068203571</v>
      </c>
      <c r="AA9" s="92">
        <v>1452070.291402611</v>
      </c>
      <c r="AB9" s="92">
        <v>1948943.230217526</v>
      </c>
      <c r="AC9" s="92">
        <v>1897575.4274623594</v>
      </c>
      <c r="AD9" s="92">
        <v>1472929.1833497826</v>
      </c>
      <c r="AE9" s="92">
        <v>943324.20755262324</v>
      </c>
      <c r="AF9" s="92">
        <v>427441.32632978074</v>
      </c>
      <c r="AG9" s="92">
        <v>338627.1938685003</v>
      </c>
      <c r="AH9" s="92">
        <v>332100.87766108313</v>
      </c>
      <c r="AI9" s="92">
        <v>323773.06098369975</v>
      </c>
      <c r="AJ9" s="92">
        <v>393695.72890604031</v>
      </c>
      <c r="AK9" s="92">
        <v>533907.50089575478</v>
      </c>
      <c r="AL9" s="92">
        <v>1006828.4292978046</v>
      </c>
      <c r="AM9" s="92">
        <v>1454277.6811021571</v>
      </c>
      <c r="AN9" s="92">
        <v>1937465.3227911456</v>
      </c>
      <c r="AO9" s="92">
        <v>1928390.6890903898</v>
      </c>
      <c r="AP9" s="92">
        <v>1513218.9999858791</v>
      </c>
      <c r="AQ9" s="92">
        <v>991540.40848816931</v>
      </c>
      <c r="AR9" s="92">
        <v>444065.96874704014</v>
      </c>
      <c r="AS9" s="92">
        <v>350365.34180551948</v>
      </c>
      <c r="AT9" s="92">
        <v>336511.31259641878</v>
      </c>
      <c r="AU9" s="92">
        <v>311853.2973696423</v>
      </c>
      <c r="AV9" s="92">
        <v>362642.89964798122</v>
      </c>
      <c r="AW9" s="92">
        <v>507626.72448144085</v>
      </c>
      <c r="AX9" s="92">
        <v>976408.52067981451</v>
      </c>
      <c r="AY9" s="92">
        <v>1449546.9260612258</v>
      </c>
      <c r="AZ9" s="92">
        <v>1931526.454969048</v>
      </c>
      <c r="BA9" s="92">
        <v>1956602.4834755561</v>
      </c>
      <c r="BB9" s="92">
        <v>1567285.8275323529</v>
      </c>
      <c r="BC9" s="92">
        <v>1045993.5968170539</v>
      </c>
      <c r="BD9" s="92">
        <v>453967.14226587827</v>
      </c>
      <c r="BE9" s="92">
        <v>354792.20795753691</v>
      </c>
      <c r="BF9" s="92">
        <v>337759.88647185685</v>
      </c>
      <c r="BG9" s="92">
        <v>314346.23870804603</v>
      </c>
      <c r="BH9" s="92">
        <v>356019.1757059354</v>
      </c>
      <c r="BI9" s="92">
        <v>483042.34662920033</v>
      </c>
      <c r="BJ9" s="92">
        <v>948604.23244096059</v>
      </c>
      <c r="BK9" s="92">
        <v>1448833.5835828038</v>
      </c>
      <c r="BL9" s="92">
        <v>1929484.7411912626</v>
      </c>
      <c r="BM9" s="92">
        <v>1967979.8888766188</v>
      </c>
      <c r="BN9" s="92">
        <v>1617881.3595007609</v>
      </c>
      <c r="BO9" s="92">
        <v>1105021.3814820307</v>
      </c>
      <c r="BP9" s="92">
        <v>468167.5226016175</v>
      </c>
      <c r="BQ9" s="92">
        <v>359057.338961503</v>
      </c>
    </row>
    <row r="10" spans="1:69">
      <c r="A10" s="99" t="s">
        <v>27</v>
      </c>
      <c r="E10" s="44">
        <v>9</v>
      </c>
      <c r="F10" s="44">
        <v>20</v>
      </c>
      <c r="G10" s="44">
        <v>500</v>
      </c>
      <c r="H10" s="44">
        <v>20</v>
      </c>
      <c r="I10" s="98"/>
      <c r="J10" s="79"/>
      <c r="T10" s="65" t="s">
        <v>62</v>
      </c>
      <c r="V10" s="92">
        <v>48673.089531399339</v>
      </c>
      <c r="W10" s="92">
        <v>45500.492892014925</v>
      </c>
      <c r="X10" s="92">
        <v>46957.919873759587</v>
      </c>
      <c r="Y10" s="92">
        <v>58929.905463684554</v>
      </c>
      <c r="Z10" s="92">
        <v>85008.058680573056</v>
      </c>
      <c r="AA10" s="92">
        <v>113307.08622368523</v>
      </c>
      <c r="AB10" s="92">
        <v>163321.08810214998</v>
      </c>
      <c r="AC10" s="92">
        <v>152521.4249304563</v>
      </c>
      <c r="AD10" s="92">
        <v>112116.01330787306</v>
      </c>
      <c r="AE10" s="92">
        <v>74329.855083622315</v>
      </c>
      <c r="AF10" s="92">
        <v>49728.792504687102</v>
      </c>
      <c r="AG10" s="92">
        <v>47677.666951173633</v>
      </c>
      <c r="AH10" s="92">
        <v>48458.825725117094</v>
      </c>
      <c r="AI10" s="92">
        <v>45649.936033038699</v>
      </c>
      <c r="AJ10" s="92">
        <v>46614.665112951254</v>
      </c>
      <c r="AK10" s="92">
        <v>58103.17212130667</v>
      </c>
      <c r="AL10" s="92">
        <v>83705.547669733234</v>
      </c>
      <c r="AM10" s="92">
        <v>111780.66984267303</v>
      </c>
      <c r="AN10" s="92">
        <v>163479.03269990074</v>
      </c>
      <c r="AO10" s="92">
        <v>153708.17282058386</v>
      </c>
      <c r="AP10" s="92">
        <v>113500.50294797154</v>
      </c>
      <c r="AQ10" s="92">
        <v>76375.42785044793</v>
      </c>
      <c r="AR10" s="92">
        <v>49575.600262767068</v>
      </c>
      <c r="AS10" s="92">
        <v>47530.518886589394</v>
      </c>
      <c r="AT10" s="92">
        <v>48612.590071938714</v>
      </c>
      <c r="AU10" s="92">
        <v>45318.080290124919</v>
      </c>
      <c r="AV10" s="92">
        <v>46738.340505973138</v>
      </c>
      <c r="AW10" s="92">
        <v>57005.899374436733</v>
      </c>
      <c r="AX10" s="92">
        <v>82665.484692609636</v>
      </c>
      <c r="AY10" s="92">
        <v>110532.45200010014</v>
      </c>
      <c r="AZ10" s="92">
        <v>161958.58443423567</v>
      </c>
      <c r="BA10" s="92">
        <v>155122.03933837084</v>
      </c>
      <c r="BB10" s="92">
        <v>116203.39149633738</v>
      </c>
      <c r="BC10" s="92">
        <v>77298.962140426054</v>
      </c>
      <c r="BD10" s="92">
        <v>49905.725498136875</v>
      </c>
      <c r="BE10" s="92">
        <v>47501.869105954822</v>
      </c>
      <c r="BF10" s="92">
        <v>48400.143641710514</v>
      </c>
      <c r="BG10" s="92">
        <v>45631.383700216771</v>
      </c>
      <c r="BH10" s="92">
        <v>46470.647972008192</v>
      </c>
      <c r="BI10" s="92">
        <v>56017.675787712396</v>
      </c>
      <c r="BJ10" s="92">
        <v>81861.183881673292</v>
      </c>
      <c r="BK10" s="92">
        <v>108124.17690970168</v>
      </c>
      <c r="BL10" s="92">
        <v>162143.55393721629</v>
      </c>
      <c r="BM10" s="92">
        <v>156193.95803364381</v>
      </c>
      <c r="BN10" s="92">
        <v>117461.16158660947</v>
      </c>
      <c r="BO10" s="92">
        <v>79058.490924295125</v>
      </c>
      <c r="BP10" s="92">
        <v>50054.901278797362</v>
      </c>
      <c r="BQ10" s="92">
        <v>47339.440777124088</v>
      </c>
    </row>
    <row r="11" spans="1:69">
      <c r="A11" s="65" t="s">
        <v>65</v>
      </c>
      <c r="C11" s="78">
        <v>1.8950000000000002E-2</v>
      </c>
      <c r="D11" s="67">
        <f>SUM(E11:J11)</f>
        <v>106837121.55270001</v>
      </c>
      <c r="E11" s="96">
        <f t="shared" ref="E11:J11" si="0">E8*$C$11</f>
        <v>45000634.906550005</v>
      </c>
      <c r="F11" s="96">
        <f t="shared" si="0"/>
        <v>11735847.7904</v>
      </c>
      <c r="G11" s="96">
        <f t="shared" si="0"/>
        <v>25883892.6248</v>
      </c>
      <c r="H11" s="96">
        <f t="shared" si="0"/>
        <v>2763336.6971500004</v>
      </c>
      <c r="I11" s="97">
        <f t="shared" si="0"/>
        <v>21102038.027400002</v>
      </c>
      <c r="J11" s="96">
        <f t="shared" si="0"/>
        <v>351371.50640000001</v>
      </c>
      <c r="M11" s="79" t="s">
        <v>58</v>
      </c>
      <c r="N11" s="79"/>
      <c r="O11" s="79"/>
      <c r="P11" s="79"/>
      <c r="Q11" s="79"/>
      <c r="T11" s="65" t="s">
        <v>61</v>
      </c>
      <c r="V11" s="92">
        <v>497671.01514630386</v>
      </c>
      <c r="W11" s="92">
        <v>499445.80778560502</v>
      </c>
      <c r="X11" s="92">
        <v>499893.51179441228</v>
      </c>
      <c r="Y11" s="92">
        <v>500135.57626677281</v>
      </c>
      <c r="Z11" s="92">
        <v>500824.83678737655</v>
      </c>
      <c r="AA11" s="92">
        <v>497420.40576686047</v>
      </c>
      <c r="AB11" s="92">
        <v>501746.99738429009</v>
      </c>
      <c r="AC11" s="92">
        <v>502841.45604294119</v>
      </c>
      <c r="AD11" s="92">
        <v>502880.80922374141</v>
      </c>
      <c r="AE11" s="92">
        <v>502728.84679545823</v>
      </c>
      <c r="AF11" s="92">
        <v>503912.89920715278</v>
      </c>
      <c r="AG11" s="92">
        <v>502628.06028470059</v>
      </c>
      <c r="AH11" s="92">
        <v>502498.88610182144</v>
      </c>
      <c r="AI11" s="92">
        <v>504110.75804727175</v>
      </c>
      <c r="AJ11" s="92">
        <v>504500.90111308917</v>
      </c>
      <c r="AK11" s="92">
        <v>504722.00880250614</v>
      </c>
      <c r="AL11" s="92">
        <v>505356.23727625178</v>
      </c>
      <c r="AM11" s="92">
        <v>503628.54544120806</v>
      </c>
      <c r="AN11" s="92">
        <v>497242.31089253933</v>
      </c>
      <c r="AO11" s="92">
        <v>497492.98554845463</v>
      </c>
      <c r="AP11" s="92">
        <v>497581.88733932073</v>
      </c>
      <c r="AQ11" s="92">
        <v>497730.54958272213</v>
      </c>
      <c r="AR11" s="92">
        <v>497889.96104585234</v>
      </c>
      <c r="AS11" s="92">
        <v>497860.53318390856</v>
      </c>
      <c r="AT11" s="92">
        <v>497990.83438214939</v>
      </c>
      <c r="AU11" s="92">
        <v>498224.99528440507</v>
      </c>
      <c r="AV11" s="92">
        <v>498292.31810683396</v>
      </c>
      <c r="AW11" s="92">
        <v>498244.58062116965</v>
      </c>
      <c r="AX11" s="92">
        <v>498197.59370790934</v>
      </c>
      <c r="AY11" s="92">
        <v>498035.58931310079</v>
      </c>
      <c r="AZ11" s="92">
        <v>498095.24852037197</v>
      </c>
      <c r="BA11" s="92">
        <v>498203.63286823302</v>
      </c>
      <c r="BB11" s="92">
        <v>498234.85268967837</v>
      </c>
      <c r="BC11" s="92">
        <v>498308.57784790179</v>
      </c>
      <c r="BD11" s="92">
        <v>498378.06687380036</v>
      </c>
      <c r="BE11" s="92">
        <v>498377.76667336607</v>
      </c>
      <c r="BF11" s="92">
        <v>498397.76314509322</v>
      </c>
      <c r="BG11" s="92">
        <v>498457.70293713349</v>
      </c>
      <c r="BH11" s="92">
        <v>498506.35583248432</v>
      </c>
      <c r="BI11" s="92">
        <v>498505.00327935576</v>
      </c>
      <c r="BJ11" s="92">
        <v>498527.06900345878</v>
      </c>
      <c r="BK11" s="92">
        <v>498531.13411930093</v>
      </c>
      <c r="BL11" s="92">
        <v>498569.70796989487</v>
      </c>
      <c r="BM11" s="92">
        <v>498628.61071301147</v>
      </c>
      <c r="BN11" s="92">
        <v>498647.47275448218</v>
      </c>
      <c r="BO11" s="92">
        <v>498698.84984782198</v>
      </c>
      <c r="BP11" s="92">
        <v>498741.4265491949</v>
      </c>
      <c r="BQ11" s="92">
        <v>498743.44208665594</v>
      </c>
    </row>
    <row r="12" spans="1:69">
      <c r="A12" s="65" t="s">
        <v>31</v>
      </c>
      <c r="D12" s="67">
        <f>SUM(E12:J12)</f>
        <v>43010195</v>
      </c>
      <c r="E12" s="96">
        <f>E9*E10</f>
        <v>23291775</v>
      </c>
      <c r="F12" s="96">
        <f>F9*F10</f>
        <v>7736000</v>
      </c>
      <c r="G12" s="96">
        <f>G9*G10</f>
        <v>11393500</v>
      </c>
      <c r="H12" s="96">
        <f>H9*H10</f>
        <v>588920</v>
      </c>
      <c r="I12" s="97"/>
      <c r="J12" s="96"/>
      <c r="M12" s="79" t="str">
        <f>M26</f>
        <v>EREV December Mid-month_v4_12 13 18_GRC and decoupling update -1-18-19.xlsm</v>
      </c>
      <c r="N12" s="79"/>
      <c r="O12" s="79"/>
      <c r="P12" s="79"/>
      <c r="Q12" s="79"/>
    </row>
    <row r="13" spans="1:69">
      <c r="A13" s="65" t="s">
        <v>32</v>
      </c>
      <c r="D13" s="67">
        <f>SUM(E13:J13)</f>
        <v>51994590.466199994</v>
      </c>
      <c r="E13" s="96"/>
      <c r="F13" s="96"/>
      <c r="G13" s="96"/>
      <c r="H13" s="96"/>
      <c r="I13" s="95">
        <f>I7-I11</f>
        <v>45641961.972599998</v>
      </c>
      <c r="J13" s="94">
        <f>J7-J11</f>
        <v>6352628.4935999997</v>
      </c>
      <c r="M13" s="100" t="s">
        <v>50</v>
      </c>
      <c r="N13" s="79"/>
      <c r="O13" s="100" t="s">
        <v>72</v>
      </c>
      <c r="P13" s="100" t="s">
        <v>52</v>
      </c>
      <c r="Q13" s="100" t="s">
        <v>53</v>
      </c>
    </row>
    <row r="14" spans="1:69">
      <c r="A14" s="65" t="s">
        <v>33</v>
      </c>
      <c r="D14" s="91">
        <f>SUM(E14:J14)</f>
        <v>300458092.98110002</v>
      </c>
      <c r="E14" s="122">
        <f t="shared" ref="E14:J14" si="1">E7-SUM(E11:E13)</f>
        <v>147782590.09345001</v>
      </c>
      <c r="F14" s="89">
        <f t="shared" si="1"/>
        <v>55589152.209600002</v>
      </c>
      <c r="G14" s="89">
        <f t="shared" si="1"/>
        <v>88399607.375200003</v>
      </c>
      <c r="H14" s="89">
        <f t="shared" si="1"/>
        <v>8686743.3028500006</v>
      </c>
      <c r="I14" s="90">
        <f t="shared" si="1"/>
        <v>0</v>
      </c>
      <c r="J14" s="89">
        <f t="shared" si="1"/>
        <v>0</v>
      </c>
      <c r="M14" s="88">
        <f t="shared" ref="M14:M22" si="2">SUM(AK3:AV3)</f>
        <v>219401038.50323039</v>
      </c>
      <c r="N14" s="93" t="s">
        <v>71</v>
      </c>
      <c r="O14" s="86">
        <f t="shared" ref="O14:O22" si="3">SUM(AK15:AV15)</f>
        <v>2409716282.0225205</v>
      </c>
      <c r="P14" s="86">
        <f t="shared" ref="P14:P22" si="4">Q14/12</f>
        <v>219001</v>
      </c>
      <c r="Q14" s="85">
        <f t="shared" ref="Q14:Q22" si="5">SUM(AK27:AV27)</f>
        <v>2628012</v>
      </c>
      <c r="T14" s="65" t="s">
        <v>86</v>
      </c>
    </row>
    <row r="15" spans="1:69">
      <c r="D15" s="84"/>
      <c r="E15" s="83"/>
      <c r="F15" s="83"/>
      <c r="G15" s="83"/>
      <c r="H15" s="83"/>
      <c r="I15" s="83"/>
      <c r="J15" s="83"/>
      <c r="M15" s="88">
        <f t="shared" si="2"/>
        <v>67907173.995749488</v>
      </c>
      <c r="N15" s="93" t="s">
        <v>69</v>
      </c>
      <c r="O15" s="86">
        <f t="shared" si="3"/>
        <v>575140145.52421808</v>
      </c>
      <c r="P15" s="86">
        <f t="shared" si="4"/>
        <v>23322.962052413019</v>
      </c>
      <c r="Q15" s="85">
        <f t="shared" si="5"/>
        <v>279875.54462895624</v>
      </c>
      <c r="T15" s="65" t="s">
        <v>71</v>
      </c>
      <c r="V15" s="116">
        <v>272073133.15552306</v>
      </c>
      <c r="W15" s="116">
        <v>222372835.37494308</v>
      </c>
      <c r="X15" s="116">
        <v>216465667.22177058</v>
      </c>
      <c r="Y15" s="116">
        <v>173153239.82147482</v>
      </c>
      <c r="Z15" s="116">
        <v>159418796.09645486</v>
      </c>
      <c r="AA15" s="116">
        <v>148871613.21788156</v>
      </c>
      <c r="AB15" s="116">
        <v>188278253.38191321</v>
      </c>
      <c r="AC15" s="116">
        <v>181196017.66740555</v>
      </c>
      <c r="AD15" s="116">
        <v>157845602.85072517</v>
      </c>
      <c r="AE15" s="116">
        <v>174207043.51521021</v>
      </c>
      <c r="AF15" s="116">
        <v>223256857.07960603</v>
      </c>
      <c r="AG15" s="116">
        <v>282589502.52929997</v>
      </c>
      <c r="AH15" s="116">
        <v>275833028.80292928</v>
      </c>
      <c r="AI15" s="116">
        <v>225377929.73854721</v>
      </c>
      <c r="AJ15" s="116">
        <v>219048203.56715754</v>
      </c>
      <c r="AK15" s="116">
        <v>175284164.02302706</v>
      </c>
      <c r="AL15" s="116">
        <v>158759442.44712818</v>
      </c>
      <c r="AM15" s="116">
        <v>148265755.79971787</v>
      </c>
      <c r="AN15" s="116">
        <v>184289219.17361802</v>
      </c>
      <c r="AO15" s="116">
        <v>181282085.78520638</v>
      </c>
      <c r="AP15" s="116">
        <v>155714151.976105</v>
      </c>
      <c r="AQ15" s="116">
        <v>172113013.87566453</v>
      </c>
      <c r="AR15" s="116">
        <v>220347912.5496456</v>
      </c>
      <c r="AS15" s="116">
        <v>282791778.15422475</v>
      </c>
      <c r="AT15" s="116">
        <v>279865915.16123092</v>
      </c>
      <c r="AU15" s="116">
        <v>228443731.81756422</v>
      </c>
      <c r="AV15" s="116">
        <v>222559111.25938803</v>
      </c>
      <c r="AW15" s="116">
        <v>177924945.98117054</v>
      </c>
      <c r="AX15" s="116">
        <v>160299123.57481301</v>
      </c>
      <c r="AY15" s="116">
        <v>149507830.10946614</v>
      </c>
      <c r="AZ15" s="116">
        <v>183543585.87812898</v>
      </c>
      <c r="BA15" s="116">
        <v>181938825.82084474</v>
      </c>
      <c r="BB15" s="116">
        <v>154580609.70895508</v>
      </c>
      <c r="BC15" s="116">
        <v>170902897.11281723</v>
      </c>
      <c r="BD15" s="116">
        <v>219015018.83173823</v>
      </c>
      <c r="BE15" s="116">
        <v>284384151.76700556</v>
      </c>
      <c r="BF15" s="116">
        <v>282389271.95880204</v>
      </c>
      <c r="BG15" s="116">
        <v>230960059.97569898</v>
      </c>
      <c r="BH15" s="116">
        <v>225296689.88942158</v>
      </c>
      <c r="BI15" s="116">
        <v>180542190.53110844</v>
      </c>
      <c r="BJ15" s="116">
        <v>162357563.67074403</v>
      </c>
      <c r="BK15" s="116">
        <v>150797942.74102825</v>
      </c>
      <c r="BL15" s="116">
        <v>183551291.36819965</v>
      </c>
      <c r="BM15" s="116">
        <v>182475143.64894775</v>
      </c>
      <c r="BN15" s="116">
        <v>154146724.54679209</v>
      </c>
      <c r="BO15" s="116">
        <v>169880858.24210086</v>
      </c>
      <c r="BP15" s="116">
        <v>217897595.54390442</v>
      </c>
      <c r="BQ15" s="116">
        <v>285271304.02909124</v>
      </c>
    </row>
    <row r="16" spans="1:69">
      <c r="A16" s="65" t="s">
        <v>34</v>
      </c>
      <c r="D16" s="67"/>
      <c r="E16" s="80">
        <f>ROUND(E22,2)</f>
        <v>685.24</v>
      </c>
      <c r="F16" s="80">
        <f>ROUND(F22,2)</f>
        <v>4173.05</v>
      </c>
      <c r="G16" s="70"/>
      <c r="H16" s="121" t="s">
        <v>35</v>
      </c>
      <c r="I16" s="120" t="s">
        <v>85</v>
      </c>
      <c r="J16" s="118" t="s">
        <v>84</v>
      </c>
      <c r="M16" s="88">
        <f t="shared" si="2"/>
        <v>9438864.2858106326</v>
      </c>
      <c r="N16" s="93" t="s">
        <v>68</v>
      </c>
      <c r="O16" s="86">
        <f t="shared" si="3"/>
        <v>63724093.081721701</v>
      </c>
      <c r="P16" s="86">
        <f t="shared" si="4"/>
        <v>9989.75</v>
      </c>
      <c r="Q16" s="85">
        <f t="shared" si="5"/>
        <v>119877</v>
      </c>
      <c r="T16" s="65" t="s">
        <v>69</v>
      </c>
      <c r="V16" s="116">
        <v>53195962.378056042</v>
      </c>
      <c r="W16" s="116">
        <v>46887264.464152664</v>
      </c>
      <c r="X16" s="116">
        <v>47963317.675923154</v>
      </c>
      <c r="Y16" s="116">
        <v>42403862.864196673</v>
      </c>
      <c r="Z16" s="116">
        <v>42205583.714657478</v>
      </c>
      <c r="AA16" s="116">
        <v>42219121.841699071</v>
      </c>
      <c r="AB16" s="116">
        <v>51182510.98990459</v>
      </c>
      <c r="AC16" s="116">
        <v>48063304.105699666</v>
      </c>
      <c r="AD16" s="116">
        <v>42398239.229700223</v>
      </c>
      <c r="AE16" s="116">
        <v>45588511.48717235</v>
      </c>
      <c r="AF16" s="116">
        <v>49522258.297966167</v>
      </c>
      <c r="AG16" s="116">
        <v>55310733.116972432</v>
      </c>
      <c r="AH16" s="116">
        <v>53736440.655462205</v>
      </c>
      <c r="AI16" s="116">
        <v>47221960.156142011</v>
      </c>
      <c r="AJ16" s="116">
        <v>48606010.419728279</v>
      </c>
      <c r="AK16" s="116">
        <v>43040333.537321866</v>
      </c>
      <c r="AL16" s="116">
        <v>42623734.143936045</v>
      </c>
      <c r="AM16" s="116">
        <v>42939111.698798485</v>
      </c>
      <c r="AN16" s="116">
        <v>51331737.79499881</v>
      </c>
      <c r="AO16" s="116">
        <v>48924970.529059492</v>
      </c>
      <c r="AP16" s="116">
        <v>42735220.722538292</v>
      </c>
      <c r="AQ16" s="116">
        <v>46372651.439762466</v>
      </c>
      <c r="AR16" s="116">
        <v>50110867.131300062</v>
      </c>
      <c r="AS16" s="116">
        <v>55867301.616937242</v>
      </c>
      <c r="AT16" s="116">
        <v>54274821.240367539</v>
      </c>
      <c r="AU16" s="116">
        <v>47672760.583798215</v>
      </c>
      <c r="AV16" s="116">
        <v>49246635.085399449</v>
      </c>
      <c r="AW16" s="116">
        <v>43455875.77130641</v>
      </c>
      <c r="AX16" s="116">
        <v>43067144.200652964</v>
      </c>
      <c r="AY16" s="116">
        <v>43530718.448322676</v>
      </c>
      <c r="AZ16" s="116">
        <v>51865639.523487814</v>
      </c>
      <c r="BA16" s="116">
        <v>49628702.899110869</v>
      </c>
      <c r="BB16" s="116">
        <v>43058281.950985104</v>
      </c>
      <c r="BC16" s="116">
        <v>47104489.061620504</v>
      </c>
      <c r="BD16" s="116">
        <v>50761702.409656964</v>
      </c>
      <c r="BE16" s="116">
        <v>56604770.609108396</v>
      </c>
      <c r="BF16" s="116">
        <v>54697765.00312648</v>
      </c>
      <c r="BG16" s="116">
        <v>48184416.601891413</v>
      </c>
      <c r="BH16" s="116">
        <v>49737676.600177959</v>
      </c>
      <c r="BI16" s="116">
        <v>43869587.657792754</v>
      </c>
      <c r="BJ16" s="116">
        <v>43496356.478763036</v>
      </c>
      <c r="BK16" s="116">
        <v>44042391.382020466</v>
      </c>
      <c r="BL16" s="116">
        <v>52493254.629626915</v>
      </c>
      <c r="BM16" s="116">
        <v>50169521.428314544</v>
      </c>
      <c r="BN16" s="116">
        <v>43458278.634939171</v>
      </c>
      <c r="BO16" s="116">
        <v>47771678.665689982</v>
      </c>
      <c r="BP16" s="116">
        <v>51475454.395567857</v>
      </c>
      <c r="BQ16" s="116">
        <v>57309928.674116805</v>
      </c>
    </row>
    <row r="17" spans="1:69">
      <c r="A17" s="65" t="s">
        <v>38</v>
      </c>
      <c r="D17" s="67">
        <f>SUM(E17:F17)</f>
        <v>300457554.13750005</v>
      </c>
      <c r="E17" s="70">
        <f>E16*E9/12</f>
        <v>147781999.08333334</v>
      </c>
      <c r="F17" s="70">
        <f>F16*SUM(F9:H9)/12</f>
        <v>152675555.05416667</v>
      </c>
      <c r="H17" s="65" t="s">
        <v>39</v>
      </c>
      <c r="I17" s="33">
        <f>E16/J17</f>
        <v>6.2231884038649002E-2</v>
      </c>
      <c r="J17" s="119">
        <f>E8/ROUND(E9/12,0)</f>
        <v>11011.07592330698</v>
      </c>
      <c r="M17" s="88">
        <f t="shared" si="2"/>
        <v>125921887.92002819</v>
      </c>
      <c r="N17" s="93" t="s">
        <v>67</v>
      </c>
      <c r="O17" s="86">
        <f t="shared" si="3"/>
        <v>1372794335.2429354</v>
      </c>
      <c r="P17" s="86">
        <f t="shared" si="4"/>
        <v>1859.3001770157714</v>
      </c>
      <c r="Q17" s="85">
        <f t="shared" si="5"/>
        <v>22311.602124189256</v>
      </c>
      <c r="T17" s="65" t="s">
        <v>68</v>
      </c>
      <c r="V17" s="116">
        <v>6941085.0898610428</v>
      </c>
      <c r="W17" s="116">
        <v>5988979.2880827859</v>
      </c>
      <c r="X17" s="116">
        <v>5760689.1502691358</v>
      </c>
      <c r="Y17" s="116">
        <v>4727570.3232305739</v>
      </c>
      <c r="Z17" s="116">
        <v>4331077.3152694022</v>
      </c>
      <c r="AA17" s="116">
        <v>4027241.9780072197</v>
      </c>
      <c r="AB17" s="116">
        <v>4597786.486582567</v>
      </c>
      <c r="AC17" s="116">
        <v>4327211.8330627</v>
      </c>
      <c r="AD17" s="116">
        <v>4014102.221753424</v>
      </c>
      <c r="AE17" s="116">
        <v>4654324.6333149979</v>
      </c>
      <c r="AF17" s="116">
        <v>5644882.13959751</v>
      </c>
      <c r="AG17" s="116">
        <v>7048178.4567646049</v>
      </c>
      <c r="AH17" s="116">
        <v>7097139.1332970681</v>
      </c>
      <c r="AI17" s="116">
        <v>6063601.3562668115</v>
      </c>
      <c r="AJ17" s="116">
        <v>5920989.5797422584</v>
      </c>
      <c r="AK17" s="116">
        <v>4879479.906300501</v>
      </c>
      <c r="AL17" s="116">
        <v>4413998.2078724541</v>
      </c>
      <c r="AM17" s="116">
        <v>4169629.7490189159</v>
      </c>
      <c r="AN17" s="116">
        <v>4677581.0476319455</v>
      </c>
      <c r="AO17" s="116">
        <v>4414474.9517347785</v>
      </c>
      <c r="AP17" s="116">
        <v>4081873.2861711411</v>
      </c>
      <c r="AQ17" s="116">
        <v>4739065.9122441746</v>
      </c>
      <c r="AR17" s="116">
        <v>5697957.6802666131</v>
      </c>
      <c r="AS17" s="116">
        <v>7161108.3775496576</v>
      </c>
      <c r="AT17" s="116">
        <v>7217663.0460397312</v>
      </c>
      <c r="AU17" s="116">
        <v>6194141.4519925145</v>
      </c>
      <c r="AV17" s="116">
        <v>6077119.4648992764</v>
      </c>
      <c r="AW17" s="116">
        <v>4986729.4358636625</v>
      </c>
      <c r="AX17" s="116">
        <v>4531708.8000913812</v>
      </c>
      <c r="AY17" s="116">
        <v>4287565.7252841275</v>
      </c>
      <c r="AZ17" s="116">
        <v>4773431.8867433965</v>
      </c>
      <c r="BA17" s="116">
        <v>4510620.8214267474</v>
      </c>
      <c r="BB17" s="116">
        <v>4126372.6479153782</v>
      </c>
      <c r="BC17" s="116">
        <v>4832468.1613003854</v>
      </c>
      <c r="BD17" s="116">
        <v>5780470.6688571591</v>
      </c>
      <c r="BE17" s="116">
        <v>7289090.2963139145</v>
      </c>
      <c r="BF17" s="116">
        <v>7343790.8655859753</v>
      </c>
      <c r="BG17" s="116">
        <v>6331157.2269835034</v>
      </c>
      <c r="BH17" s="116">
        <v>6204172.245945951</v>
      </c>
      <c r="BI17" s="116">
        <v>5108805.5081024254</v>
      </c>
      <c r="BJ17" s="116">
        <v>4635627.8855536403</v>
      </c>
      <c r="BK17" s="116">
        <v>4387841.7436502697</v>
      </c>
      <c r="BL17" s="116">
        <v>4886323.3583735982</v>
      </c>
      <c r="BM17" s="116">
        <v>4580269.2118993914</v>
      </c>
      <c r="BN17" s="116">
        <v>4182321.2135169744</v>
      </c>
      <c r="BO17" s="116">
        <v>4921171.339562811</v>
      </c>
      <c r="BP17" s="116">
        <v>5862484.8505150303</v>
      </c>
      <c r="BQ17" s="116">
        <v>7420413.3322646124</v>
      </c>
    </row>
    <row r="18" spans="1:69">
      <c r="A18" s="65" t="s">
        <v>40</v>
      </c>
      <c r="D18" s="67">
        <f>SUM(E18:F18)</f>
        <v>-538.84360000491142</v>
      </c>
      <c r="E18" s="67">
        <f>E17-E14</f>
        <v>-591.0101166665554</v>
      </c>
      <c r="F18" s="67">
        <f>F17-SUM(F14:H14)</f>
        <v>52.166516661643982</v>
      </c>
      <c r="H18" s="65" t="s">
        <v>41</v>
      </c>
      <c r="I18" s="33">
        <f>F16/J18</f>
        <v>7.1643752413562356E-2</v>
      </c>
      <c r="J18" s="117">
        <f>SUM(F8:H8)/ROUND(SUM(F9:H9)/12,0)</f>
        <v>58247.228256710216</v>
      </c>
      <c r="M18" s="88">
        <f t="shared" si="2"/>
        <v>2842435.4553166446</v>
      </c>
      <c r="N18" s="93" t="s">
        <v>66</v>
      </c>
      <c r="O18" s="86">
        <f t="shared" si="3"/>
        <v>31300429.657670189</v>
      </c>
      <c r="P18" s="86">
        <f t="shared" si="4"/>
        <v>46.264325000000007</v>
      </c>
      <c r="Q18" s="85">
        <f t="shared" si="5"/>
        <v>555.17190000000005</v>
      </c>
      <c r="T18" s="65" t="s">
        <v>67</v>
      </c>
      <c r="V18" s="116">
        <v>117067366.18748957</v>
      </c>
      <c r="W18" s="116">
        <v>104581811.28619902</v>
      </c>
      <c r="X18" s="116">
        <v>111051877.4203169</v>
      </c>
      <c r="Y18" s="116">
        <v>104013009.27540292</v>
      </c>
      <c r="Z18" s="116">
        <v>108691880.63718078</v>
      </c>
      <c r="AA18" s="116">
        <v>110360408.01073736</v>
      </c>
      <c r="AB18" s="116">
        <v>129395522.15942083</v>
      </c>
      <c r="AC18" s="116">
        <v>119677586.28333981</v>
      </c>
      <c r="AD18" s="116">
        <v>108266081.9839347</v>
      </c>
      <c r="AE18" s="116">
        <v>117414833.44373415</v>
      </c>
      <c r="AF18" s="116">
        <v>118893711.92297454</v>
      </c>
      <c r="AG18" s="116">
        <v>122810906.78079951</v>
      </c>
      <c r="AH18" s="116">
        <v>116968959.48635042</v>
      </c>
      <c r="AI18" s="116">
        <v>104013600.62826186</v>
      </c>
      <c r="AJ18" s="116">
        <v>111102509.15591787</v>
      </c>
      <c r="AK18" s="116">
        <v>104096288.75647183</v>
      </c>
      <c r="AL18" s="116">
        <v>108386557.36971655</v>
      </c>
      <c r="AM18" s="116">
        <v>111168782.76207888</v>
      </c>
      <c r="AN18" s="116">
        <v>128611483.46988401</v>
      </c>
      <c r="AO18" s="116">
        <v>120356020.28779711</v>
      </c>
      <c r="AP18" s="116">
        <v>107659343.04067364</v>
      </c>
      <c r="AQ18" s="116">
        <v>118436246.51846056</v>
      </c>
      <c r="AR18" s="116">
        <v>119594908.10075682</v>
      </c>
      <c r="AS18" s="116">
        <v>122908505.08416057</v>
      </c>
      <c r="AT18" s="116">
        <v>116851837.84424427</v>
      </c>
      <c r="AU18" s="116">
        <v>103707493.16158989</v>
      </c>
      <c r="AV18" s="116">
        <v>111016868.84710155</v>
      </c>
      <c r="AW18" s="116">
        <v>103558295.74316871</v>
      </c>
      <c r="AX18" s="116">
        <v>108133137.18384753</v>
      </c>
      <c r="AY18" s="116">
        <v>111678296.74579024</v>
      </c>
      <c r="AZ18" s="116">
        <v>128838914.37750474</v>
      </c>
      <c r="BA18" s="116">
        <v>120612273.76757218</v>
      </c>
      <c r="BB18" s="116">
        <v>107088847.17251176</v>
      </c>
      <c r="BC18" s="116">
        <v>119353902.25403905</v>
      </c>
      <c r="BD18" s="116">
        <v>120474113.27081284</v>
      </c>
      <c r="BE18" s="116">
        <v>123426961.33942358</v>
      </c>
      <c r="BF18" s="116">
        <v>116518029.37072121</v>
      </c>
      <c r="BG18" s="116">
        <v>103585020.05306095</v>
      </c>
      <c r="BH18" s="116">
        <v>110582079.27860242</v>
      </c>
      <c r="BI18" s="116">
        <v>103057966.88291189</v>
      </c>
      <c r="BJ18" s="116">
        <v>107879893.62870811</v>
      </c>
      <c r="BK18" s="116">
        <v>111934439.07325432</v>
      </c>
      <c r="BL18" s="116">
        <v>129276588.30429621</v>
      </c>
      <c r="BM18" s="116">
        <v>120504734.81502128</v>
      </c>
      <c r="BN18" s="116">
        <v>106714815.43083026</v>
      </c>
      <c r="BO18" s="116">
        <v>120075497.0036881</v>
      </c>
      <c r="BP18" s="116">
        <v>121464164.84335178</v>
      </c>
      <c r="BQ18" s="116">
        <v>123858447.05785418</v>
      </c>
    </row>
    <row r="19" spans="1:69">
      <c r="E19" s="70"/>
      <c r="F19" s="70"/>
      <c r="G19" s="70"/>
      <c r="H19" s="118" t="s">
        <v>42</v>
      </c>
      <c r="M19" s="88">
        <f t="shared" si="2"/>
        <v>68693041.458985195</v>
      </c>
      <c r="N19" s="93" t="s">
        <v>64</v>
      </c>
      <c r="O19" s="86">
        <f t="shared" si="3"/>
        <v>1163049483.1587653</v>
      </c>
      <c r="P19" s="86">
        <f t="shared" si="4"/>
        <v>22.987370094318504</v>
      </c>
      <c r="Q19" s="85">
        <f t="shared" si="5"/>
        <v>275.84844113182203</v>
      </c>
      <c r="T19" s="65" t="s">
        <v>66</v>
      </c>
      <c r="V19" s="116">
        <v>3245287.982508203</v>
      </c>
      <c r="W19" s="116">
        <v>2805761.1778248423</v>
      </c>
      <c r="X19" s="116">
        <v>2769083.8686107751</v>
      </c>
      <c r="Y19" s="116">
        <v>2415503.5509807933</v>
      </c>
      <c r="Z19" s="116">
        <v>2355144.7405426009</v>
      </c>
      <c r="AA19" s="116">
        <v>2256480.2299722182</v>
      </c>
      <c r="AB19" s="116">
        <v>2639583.3536491916</v>
      </c>
      <c r="AC19" s="116">
        <v>2494784.6118751499</v>
      </c>
      <c r="AD19" s="116">
        <v>2237123.43834111</v>
      </c>
      <c r="AE19" s="116">
        <v>2455831.5193388872</v>
      </c>
      <c r="AF19" s="116">
        <v>2723971.0243644938</v>
      </c>
      <c r="AG19" s="116">
        <v>3202494.78115182</v>
      </c>
      <c r="AH19" s="116">
        <v>3194752.0057633705</v>
      </c>
      <c r="AI19" s="116">
        <v>2773137.531917654</v>
      </c>
      <c r="AJ19" s="116">
        <v>2774057.1170865544</v>
      </c>
      <c r="AK19" s="116">
        <v>2392870.5681820773</v>
      </c>
      <c r="AL19" s="116">
        <v>2318229.5508129094</v>
      </c>
      <c r="AM19" s="116">
        <v>2256767.4112207708</v>
      </c>
      <c r="AN19" s="116">
        <v>2602706.9290128984</v>
      </c>
      <c r="AO19" s="116">
        <v>2498514.1101651276</v>
      </c>
      <c r="AP19" s="116">
        <v>2216359.4085502224</v>
      </c>
      <c r="AQ19" s="116">
        <v>2450923.765780461</v>
      </c>
      <c r="AR19" s="116">
        <v>2702117.0856871614</v>
      </c>
      <c r="AS19" s="116">
        <v>3164888.7269301037</v>
      </c>
      <c r="AT19" s="116">
        <v>3167162.5967591251</v>
      </c>
      <c r="AU19" s="116">
        <v>2760382.9142562053</v>
      </c>
      <c r="AV19" s="116">
        <v>2769506.5903131301</v>
      </c>
      <c r="AW19" s="116">
        <v>2375431.3561547529</v>
      </c>
      <c r="AX19" s="116">
        <v>2304328.7761050803</v>
      </c>
      <c r="AY19" s="116">
        <v>2251211.7250701338</v>
      </c>
      <c r="AZ19" s="116">
        <v>2589252.2595956167</v>
      </c>
      <c r="BA19" s="116">
        <v>2492773.1122187367</v>
      </c>
      <c r="BB19" s="116">
        <v>2192798.2802370773</v>
      </c>
      <c r="BC19" s="116">
        <v>2449839.5501038232</v>
      </c>
      <c r="BD19" s="116">
        <v>2684709.2763459478</v>
      </c>
      <c r="BE19" s="116">
        <v>3148648.1561682085</v>
      </c>
      <c r="BF19" s="116">
        <v>3140926.1786003467</v>
      </c>
      <c r="BG19" s="116">
        <v>2749873.9704449838</v>
      </c>
      <c r="BH19" s="116">
        <v>2757084.0817661891</v>
      </c>
      <c r="BI19" s="116">
        <v>2361912.5108139114</v>
      </c>
      <c r="BJ19" s="116">
        <v>2293402.7979559181</v>
      </c>
      <c r="BK19" s="116">
        <v>2245818.5788788595</v>
      </c>
      <c r="BL19" s="116">
        <v>2578697.1525685848</v>
      </c>
      <c r="BM19" s="116">
        <v>2478716.7301476919</v>
      </c>
      <c r="BN19" s="116">
        <v>2175211.5124967596</v>
      </c>
      <c r="BO19" s="116">
        <v>2444104.6928853607</v>
      </c>
      <c r="BP19" s="116">
        <v>2672406.2965913378</v>
      </c>
      <c r="BQ19" s="116">
        <v>3131937.2385070254</v>
      </c>
    </row>
    <row r="20" spans="1:69">
      <c r="A20" s="65" t="s">
        <v>54</v>
      </c>
      <c r="D20" s="67">
        <f>D7+D18</f>
        <v>502299461.15639997</v>
      </c>
      <c r="H20" s="65" t="s">
        <v>39</v>
      </c>
      <c r="J20" s="117">
        <f>E9/12</f>
        <v>215664.58333333334</v>
      </c>
      <c r="M20" s="88">
        <f t="shared" si="2"/>
        <v>11171067.8518179</v>
      </c>
      <c r="N20" s="93" t="s">
        <v>63</v>
      </c>
      <c r="O20" s="86">
        <f t="shared" si="3"/>
        <v>134558151.68574893</v>
      </c>
      <c r="P20" s="86">
        <f t="shared" si="4"/>
        <v>1271.3858259713504</v>
      </c>
      <c r="Q20" s="85">
        <f t="shared" si="5"/>
        <v>15256.629911656206</v>
      </c>
      <c r="T20" s="65" t="s">
        <v>64</v>
      </c>
      <c r="V20" s="116">
        <v>95200800</v>
      </c>
      <c r="W20" s="116">
        <v>95322333.416666657</v>
      </c>
      <c r="X20" s="116">
        <v>92097651.340277776</v>
      </c>
      <c r="Y20" s="116">
        <v>95221310.400462955</v>
      </c>
      <c r="Z20" s="116">
        <v>95100347.010513127</v>
      </c>
      <c r="AA20" s="116">
        <v>96298346.169648603</v>
      </c>
      <c r="AB20" s="116">
        <v>95172587.893913358</v>
      </c>
      <c r="AC20" s="116">
        <v>98510934.395586789</v>
      </c>
      <c r="AD20" s="116">
        <v>99552847.607073128</v>
      </c>
      <c r="AE20" s="116">
        <v>97226892.899622038</v>
      </c>
      <c r="AF20" s="116">
        <v>97496206.209099531</v>
      </c>
      <c r="AG20" s="116">
        <v>94747018.763316929</v>
      </c>
      <c r="AH20" s="116">
        <v>96078945.644150257</v>
      </c>
      <c r="AI20" s="116">
        <v>95498894.535757512</v>
      </c>
      <c r="AJ20" s="116">
        <v>93581313.44241634</v>
      </c>
      <c r="AK20" s="116">
        <v>96541916.046344131</v>
      </c>
      <c r="AL20" s="116">
        <v>95760797.43540509</v>
      </c>
      <c r="AM20" s="116">
        <v>97284747.611965299</v>
      </c>
      <c r="AN20" s="116">
        <v>95817229.369363651</v>
      </c>
      <c r="AO20" s="116">
        <v>99623282.973023415</v>
      </c>
      <c r="AP20" s="116">
        <v>99806934.050004169</v>
      </c>
      <c r="AQ20" s="116">
        <v>97278778.415966108</v>
      </c>
      <c r="AR20" s="116">
        <v>98300336.58375074</v>
      </c>
      <c r="AS20" s="116">
        <v>95517217.454798639</v>
      </c>
      <c r="AT20" s="116">
        <v>96718231.807267666</v>
      </c>
      <c r="AU20" s="116">
        <v>96957994.940922618</v>
      </c>
      <c r="AV20" s="116">
        <v>93442016.469953761</v>
      </c>
      <c r="AW20" s="116">
        <v>96923586.363071978</v>
      </c>
      <c r="AX20" s="116">
        <v>96015708.626260877</v>
      </c>
      <c r="AY20" s="116">
        <v>97710362.513109416</v>
      </c>
      <c r="AZ20" s="116">
        <v>96767719.913078144</v>
      </c>
      <c r="BA20" s="116">
        <v>99765262.178115517</v>
      </c>
      <c r="BB20" s="116">
        <v>100786216.80279216</v>
      </c>
      <c r="BC20" s="116">
        <v>97583469.708537981</v>
      </c>
      <c r="BD20" s="116">
        <v>98838032.662932768</v>
      </c>
      <c r="BE20" s="116">
        <v>95936287.754014045</v>
      </c>
      <c r="BF20" s="116">
        <v>97065891.969770133</v>
      </c>
      <c r="BG20" s="116">
        <v>97470445.256688997</v>
      </c>
      <c r="BH20" s="116">
        <v>93905805.500737414</v>
      </c>
      <c r="BI20" s="116">
        <v>97564189.431825876</v>
      </c>
      <c r="BJ20" s="116">
        <v>96562553.514785081</v>
      </c>
      <c r="BK20" s="116">
        <v>98255360.312142625</v>
      </c>
      <c r="BL20" s="116">
        <v>97164889.113161981</v>
      </c>
      <c r="BM20" s="116">
        <v>100145288.35471708</v>
      </c>
      <c r="BN20" s="116">
        <v>101408567.47983801</v>
      </c>
      <c r="BO20" s="116">
        <v>98228486.184084833</v>
      </c>
      <c r="BP20" s="116">
        <v>99493107.186116621</v>
      </c>
      <c r="BQ20" s="116">
        <v>96510492.202364951</v>
      </c>
    </row>
    <row r="21" spans="1:69">
      <c r="A21" s="65" t="s">
        <v>60</v>
      </c>
      <c r="D21" s="67">
        <f>D20-D11</f>
        <v>395462339.60369992</v>
      </c>
      <c r="H21" s="65" t="s">
        <v>41</v>
      </c>
      <c r="J21" s="117">
        <f>SUM(F9:H9)/12</f>
        <v>36586.083333333336</v>
      </c>
      <c r="M21" s="88">
        <f t="shared" si="2"/>
        <v>998427.65597001021</v>
      </c>
      <c r="N21" s="93" t="s">
        <v>62</v>
      </c>
      <c r="O21" s="86">
        <f t="shared" si="3"/>
        <v>8765140.2788227145</v>
      </c>
      <c r="P21" s="86">
        <f t="shared" si="4"/>
        <v>1214.7518666666667</v>
      </c>
      <c r="Q21" s="85">
        <f t="shared" si="5"/>
        <v>14577.0224</v>
      </c>
      <c r="T21" s="65" t="s">
        <v>63</v>
      </c>
      <c r="V21" s="116">
        <v>3725026.0634500142</v>
      </c>
      <c r="W21" s="116">
        <v>3580325.0754326358</v>
      </c>
      <c r="X21" s="116">
        <v>4332880.3241493693</v>
      </c>
      <c r="Y21" s="116">
        <v>6290686.53216362</v>
      </c>
      <c r="Z21" s="116">
        <v>11825737.251852326</v>
      </c>
      <c r="AA21" s="116">
        <v>17342595.513540991</v>
      </c>
      <c r="AB21" s="116">
        <v>24276539.177608769</v>
      </c>
      <c r="AC21" s="116">
        <v>24244037.716513898</v>
      </c>
      <c r="AD21" s="116">
        <v>18459301.344950255</v>
      </c>
      <c r="AE21" s="116">
        <v>11163999.478982611</v>
      </c>
      <c r="AF21" s="116">
        <v>4726116.933426341</v>
      </c>
      <c r="AG21" s="116">
        <v>3762742.1626000442</v>
      </c>
      <c r="AH21" s="116">
        <v>3710877.5442678034</v>
      </c>
      <c r="AI21" s="116">
        <v>3562705.8557081744</v>
      </c>
      <c r="AJ21" s="116">
        <v>4405293.1798891965</v>
      </c>
      <c r="AK21" s="116">
        <v>6100344.2989505492</v>
      </c>
      <c r="AL21" s="116">
        <v>11568826.574151617</v>
      </c>
      <c r="AM21" s="116">
        <v>17368767.870893352</v>
      </c>
      <c r="AN21" s="116">
        <v>24127705.578521326</v>
      </c>
      <c r="AO21" s="116">
        <v>24638942.404585626</v>
      </c>
      <c r="AP21" s="116">
        <v>18971211.03959918</v>
      </c>
      <c r="AQ21" s="116">
        <v>11750442.762749726</v>
      </c>
      <c r="AR21" s="116">
        <v>4919399.5592761189</v>
      </c>
      <c r="AS21" s="116">
        <v>3899190.5581513252</v>
      </c>
      <c r="AT21" s="116">
        <v>3761602.8946643053</v>
      </c>
      <c r="AU21" s="116">
        <v>3419528.2853730689</v>
      </c>
      <c r="AV21" s="116">
        <v>4032189.8588327384</v>
      </c>
      <c r="AW21" s="116">
        <v>5781018.3098451626</v>
      </c>
      <c r="AX21" s="116">
        <v>11206571.198658183</v>
      </c>
      <c r="AY21" s="116">
        <v>17310190.459495641</v>
      </c>
      <c r="AZ21" s="116">
        <v>24051661.939863533</v>
      </c>
      <c r="BA21" s="116">
        <v>25001208.798818171</v>
      </c>
      <c r="BB21" s="116">
        <v>19656364.978827689</v>
      </c>
      <c r="BC21" s="116">
        <v>12410805.242166862</v>
      </c>
      <c r="BD21" s="116">
        <v>5035355.0179215604</v>
      </c>
      <c r="BE21" s="116">
        <v>3950098.9353031479</v>
      </c>
      <c r="BF21" s="116">
        <v>3772904.4390741619</v>
      </c>
      <c r="BG21" s="116">
        <v>3446204.7696155314</v>
      </c>
      <c r="BH21" s="116">
        <v>3951970.674372185</v>
      </c>
      <c r="BI21" s="116">
        <v>5484594.7991269678</v>
      </c>
      <c r="BJ21" s="116">
        <v>10875280.960285038</v>
      </c>
      <c r="BK21" s="116">
        <v>17298013.108420413</v>
      </c>
      <c r="BL21" s="116">
        <v>24023982.435342103</v>
      </c>
      <c r="BM21" s="116">
        <v>25147627.564240418</v>
      </c>
      <c r="BN21" s="116">
        <v>20298802.660680052</v>
      </c>
      <c r="BO21" s="116">
        <v>13125126.821043493</v>
      </c>
      <c r="BP21" s="116">
        <v>5200166.8404561756</v>
      </c>
      <c r="BQ21" s="116">
        <v>4000228.7875539092</v>
      </c>
    </row>
    <row r="22" spans="1:69">
      <c r="A22" s="65" t="s">
        <v>45</v>
      </c>
      <c r="D22" s="67"/>
      <c r="E22" s="80">
        <f>E14/(E9/12)</f>
        <v>685.24274041341209</v>
      </c>
      <c r="F22" s="80">
        <f>SUM(F14:H14)/(SUM(F9:H9)/12)</f>
        <v>4173.0485741431739</v>
      </c>
      <c r="M22" s="88">
        <f t="shared" si="2"/>
        <v>5994013.1668861527</v>
      </c>
      <c r="N22" s="87" t="s">
        <v>61</v>
      </c>
      <c r="O22" s="86">
        <f t="shared" si="3"/>
        <v>12495288.700130709</v>
      </c>
      <c r="P22" s="86">
        <f t="shared" si="4"/>
        <v>437.8748333333333</v>
      </c>
      <c r="Q22" s="85">
        <f t="shared" si="5"/>
        <v>5254.4979999999996</v>
      </c>
      <c r="T22" s="65" t="s">
        <v>62</v>
      </c>
      <c r="V22" s="116">
        <v>293861.80481412337</v>
      </c>
      <c r="W22" s="116">
        <v>254984.1190736354</v>
      </c>
      <c r="X22" s="116">
        <v>271257.02653040754</v>
      </c>
      <c r="Y22" s="116">
        <v>417303.26781298872</v>
      </c>
      <c r="Z22" s="116">
        <v>715980.08213358419</v>
      </c>
      <c r="AA22" s="116">
        <v>1082092.9451401946</v>
      </c>
      <c r="AB22" s="116">
        <v>1758266.086419218</v>
      </c>
      <c r="AC22" s="116">
        <v>1660126.3672621239</v>
      </c>
      <c r="AD22" s="116">
        <v>1117471.4369951971</v>
      </c>
      <c r="AE22" s="116">
        <v>609466.96605217305</v>
      </c>
      <c r="AF22" s="116">
        <v>297580.49387193593</v>
      </c>
      <c r="AG22" s="116">
        <v>280887.28515268117</v>
      </c>
      <c r="AH22" s="116">
        <v>293453.3243110652</v>
      </c>
      <c r="AI22" s="116">
        <v>254385.09945066256</v>
      </c>
      <c r="AJ22" s="116">
        <v>269067.16172426904</v>
      </c>
      <c r="AK22" s="116">
        <v>406664.03801909735</v>
      </c>
      <c r="AL22" s="116">
        <v>701097.70654361346</v>
      </c>
      <c r="AM22" s="116">
        <v>1065722.4946554082</v>
      </c>
      <c r="AN22" s="116">
        <v>1754707.78031098</v>
      </c>
      <c r="AO22" s="116">
        <v>1675756.939116762</v>
      </c>
      <c r="AP22" s="116">
        <v>1137681.550623999</v>
      </c>
      <c r="AQ22" s="116">
        <v>630950.49716686469</v>
      </c>
      <c r="AR22" s="116">
        <v>297896.655682999</v>
      </c>
      <c r="AS22" s="116">
        <v>279360.17145022686</v>
      </c>
      <c r="AT22" s="116">
        <v>293620.45053837413</v>
      </c>
      <c r="AU22" s="116">
        <v>252809.96074062417</v>
      </c>
      <c r="AV22" s="116">
        <v>268872.03397376527</v>
      </c>
      <c r="AW22" s="116">
        <v>393494.84920668032</v>
      </c>
      <c r="AX22" s="116">
        <v>689071.36225747585</v>
      </c>
      <c r="AY22" s="116">
        <v>1047382.5210860611</v>
      </c>
      <c r="AZ22" s="116">
        <v>1738293.5544684543</v>
      </c>
      <c r="BA22" s="116">
        <v>1694327.615449148</v>
      </c>
      <c r="BB22" s="116">
        <v>1169093.8266431657</v>
      </c>
      <c r="BC22" s="116">
        <v>644864.49914459349</v>
      </c>
      <c r="BD22" s="116">
        <v>300840.00926757994</v>
      </c>
      <c r="BE22" s="116">
        <v>278295.04712325899</v>
      </c>
      <c r="BF22" s="116">
        <v>292743.40577721508</v>
      </c>
      <c r="BG22" s="116">
        <v>254163.83050706721</v>
      </c>
      <c r="BH22" s="116">
        <v>266385.55235310196</v>
      </c>
      <c r="BI22" s="116">
        <v>381634.24853723228</v>
      </c>
      <c r="BJ22" s="116">
        <v>677938.08813971467</v>
      </c>
      <c r="BK22" s="116">
        <v>1020529.6057382801</v>
      </c>
      <c r="BL22" s="116">
        <v>1739113.6294780951</v>
      </c>
      <c r="BM22" s="116">
        <v>1707174.3729239511</v>
      </c>
      <c r="BN22" s="116">
        <v>1187941.6432595318</v>
      </c>
      <c r="BO22" s="116">
        <v>664326.7897257146</v>
      </c>
      <c r="BP22" s="116">
        <v>302830.78026403027</v>
      </c>
      <c r="BQ22" s="116">
        <v>277304.67503055889</v>
      </c>
    </row>
    <row r="23" spans="1:69">
      <c r="M23" s="82">
        <f>SUM(M14:M22)</f>
        <v>512367950.29379469</v>
      </c>
      <c r="N23" s="79"/>
      <c r="O23" s="81">
        <f>SUM(O14:O22)</f>
        <v>5771543349.3525343</v>
      </c>
      <c r="P23" s="81">
        <f>SUM(P14:P22)</f>
        <v>257166.27645049445</v>
      </c>
      <c r="Q23" s="81">
        <f>SUM(Q14:Q22)</f>
        <v>3085995.3174059335</v>
      </c>
      <c r="T23" s="65" t="s">
        <v>61</v>
      </c>
      <c r="V23" s="116">
        <v>1395698.6063391431</v>
      </c>
      <c r="W23" s="116">
        <v>1275179.3102092501</v>
      </c>
      <c r="X23" s="116">
        <v>1244744.6911135332</v>
      </c>
      <c r="Y23" s="116">
        <v>1228321.4036251963</v>
      </c>
      <c r="Z23" s="116">
        <v>1181518.1785057436</v>
      </c>
      <c r="AA23" s="116">
        <v>1071854.8331218716</v>
      </c>
      <c r="AB23" s="116">
        <v>1219306.1121361735</v>
      </c>
      <c r="AC23" s="116">
        <v>1138300.4244708719</v>
      </c>
      <c r="AD23" s="116">
        <v>1135398.8318683293</v>
      </c>
      <c r="AE23" s="116">
        <v>1146616.7827134524</v>
      </c>
      <c r="AF23" s="116">
        <v>1058997.0727759385</v>
      </c>
      <c r="AG23" s="116">
        <v>1154061.7929887162</v>
      </c>
      <c r="AH23" s="116">
        <v>1163619.7070759824</v>
      </c>
      <c r="AI23" s="116">
        <v>1044351.2933958977</v>
      </c>
      <c r="AJ23" s="116">
        <v>1015459.7086899638</v>
      </c>
      <c r="AK23" s="116">
        <v>999104.97892103519</v>
      </c>
      <c r="AL23" s="116">
        <v>952176.73300420039</v>
      </c>
      <c r="AM23" s="116">
        <v>1079987.7725968692</v>
      </c>
      <c r="AN23" s="116">
        <v>1080925.017553119</v>
      </c>
      <c r="AO23" s="116">
        <v>1067997.6763378645</v>
      </c>
      <c r="AP23" s="116">
        <v>1063418.4473267808</v>
      </c>
      <c r="AQ23" s="116">
        <v>1055744.748614985</v>
      </c>
      <c r="AR23" s="116">
        <v>1047522.745773446</v>
      </c>
      <c r="AS23" s="116">
        <v>1049044.8018565718</v>
      </c>
      <c r="AT23" s="116">
        <v>1042336.635928893</v>
      </c>
      <c r="AU23" s="116">
        <v>1030257.8799999689</v>
      </c>
      <c r="AV23" s="116">
        <v>1026771.2622169747</v>
      </c>
      <c r="AW23" s="116">
        <v>1029231.4750108924</v>
      </c>
      <c r="AX23" s="116">
        <v>1031644.516351714</v>
      </c>
      <c r="AY23" s="116">
        <v>1039991.49829734</v>
      </c>
      <c r="AZ23" s="116">
        <v>1036913.2254390458</v>
      </c>
      <c r="BA23" s="116">
        <v>1031313.9094295397</v>
      </c>
      <c r="BB23" s="116">
        <v>1029706.7621871792</v>
      </c>
      <c r="BC23" s="116">
        <v>1025897.5384255459</v>
      </c>
      <c r="BD23" s="116">
        <v>1022306.3542430927</v>
      </c>
      <c r="BE23" s="116">
        <v>1022326.6549488965</v>
      </c>
      <c r="BF23" s="116">
        <v>1021296.559373257</v>
      </c>
      <c r="BG23" s="116">
        <v>1018195.4696602873</v>
      </c>
      <c r="BH23" s="116">
        <v>1015675.1854653137</v>
      </c>
      <c r="BI23" s="116">
        <v>1015744.0957360086</v>
      </c>
      <c r="BJ23" s="116">
        <v>1014601.3141297684</v>
      </c>
      <c r="BK23" s="116">
        <v>1014392.2139446063</v>
      </c>
      <c r="BL23" s="116">
        <v>1012399.8569152115</v>
      </c>
      <c r="BM23" s="116">
        <v>1009354.4095382255</v>
      </c>
      <c r="BN23" s="116">
        <v>1008381.5345472827</v>
      </c>
      <c r="BO23" s="116">
        <v>1005724.5989106246</v>
      </c>
      <c r="BP23" s="116">
        <v>1003522.9372843811</v>
      </c>
      <c r="BQ23" s="116">
        <v>1003421.152537822</v>
      </c>
    </row>
    <row r="25" spans="1:69">
      <c r="A25" s="115" t="s">
        <v>46</v>
      </c>
      <c r="E25" s="99" t="s">
        <v>47</v>
      </c>
      <c r="F25" s="79" t="s">
        <v>83</v>
      </c>
      <c r="M25" s="79" t="s">
        <v>49</v>
      </c>
      <c r="N25" s="79"/>
      <c r="O25" s="79"/>
      <c r="P25" s="79"/>
      <c r="Q25" s="79"/>
    </row>
    <row r="26" spans="1:69">
      <c r="A26" s="65" t="s">
        <v>82</v>
      </c>
      <c r="D26" s="113" t="s">
        <v>6</v>
      </c>
      <c r="E26" s="113" t="s">
        <v>7</v>
      </c>
      <c r="F26" s="113" t="s">
        <v>8</v>
      </c>
      <c r="G26" s="113" t="s">
        <v>9</v>
      </c>
      <c r="H26" s="113" t="s">
        <v>81</v>
      </c>
      <c r="I26" s="114" t="s">
        <v>80</v>
      </c>
      <c r="J26" s="113" t="s">
        <v>79</v>
      </c>
      <c r="M26" s="79" t="str">
        <f>F25</f>
        <v>EREV December Mid-month_v4_12 13 18_GRC and decoupling update -1-18-19.xlsm</v>
      </c>
      <c r="N26" s="79"/>
      <c r="O26" s="79"/>
      <c r="P26" s="79"/>
      <c r="Q26" s="79"/>
      <c r="T26" s="65" t="s">
        <v>44</v>
      </c>
    </row>
    <row r="27" spans="1:69">
      <c r="D27" s="111" t="s">
        <v>13</v>
      </c>
      <c r="E27" s="111" t="s">
        <v>78</v>
      </c>
      <c r="F27" s="111" t="s">
        <v>77</v>
      </c>
      <c r="G27" s="111" t="s">
        <v>76</v>
      </c>
      <c r="H27" s="111" t="s">
        <v>75</v>
      </c>
      <c r="I27" s="112" t="s">
        <v>74</v>
      </c>
      <c r="J27" s="111" t="s">
        <v>73</v>
      </c>
      <c r="M27" s="100" t="s">
        <v>50</v>
      </c>
      <c r="N27" s="79"/>
      <c r="O27" s="100" t="s">
        <v>72</v>
      </c>
      <c r="P27" s="100" t="s">
        <v>52</v>
      </c>
      <c r="Q27" s="100" t="s">
        <v>53</v>
      </c>
      <c r="T27" s="65" t="s">
        <v>71</v>
      </c>
      <c r="V27" s="92">
        <v>217585</v>
      </c>
      <c r="W27" s="92">
        <v>217510</v>
      </c>
      <c r="X27" s="92">
        <v>217768</v>
      </c>
      <c r="Y27" s="92">
        <v>216936</v>
      </c>
      <c r="Z27" s="92">
        <v>217365</v>
      </c>
      <c r="AA27" s="92">
        <v>216228</v>
      </c>
      <c r="AB27" s="92">
        <v>217064</v>
      </c>
      <c r="AC27" s="92">
        <v>216842</v>
      </c>
      <c r="AD27" s="92">
        <v>217510</v>
      </c>
      <c r="AE27" s="92">
        <v>218588</v>
      </c>
      <c r="AF27" s="92">
        <v>218524</v>
      </c>
      <c r="AG27" s="92">
        <v>219540</v>
      </c>
      <c r="AH27" s="92">
        <v>218232</v>
      </c>
      <c r="AI27" s="92">
        <v>218666</v>
      </c>
      <c r="AJ27" s="92">
        <v>218348</v>
      </c>
      <c r="AK27" s="92">
        <v>218086</v>
      </c>
      <c r="AL27" s="92">
        <v>218090</v>
      </c>
      <c r="AM27" s="92">
        <v>217185</v>
      </c>
      <c r="AN27" s="92">
        <v>218045</v>
      </c>
      <c r="AO27" s="92">
        <v>217588</v>
      </c>
      <c r="AP27" s="92">
        <v>218667</v>
      </c>
      <c r="AQ27" s="92">
        <v>219268</v>
      </c>
      <c r="AR27" s="92">
        <v>219678</v>
      </c>
      <c r="AS27" s="92">
        <v>220333</v>
      </c>
      <c r="AT27" s="92">
        <v>220232</v>
      </c>
      <c r="AU27" s="92">
        <v>220667</v>
      </c>
      <c r="AV27" s="92">
        <v>220173</v>
      </c>
      <c r="AW27" s="92">
        <v>220240</v>
      </c>
      <c r="AX27" s="92">
        <v>219854</v>
      </c>
      <c r="AY27" s="92">
        <v>219346</v>
      </c>
      <c r="AZ27" s="92">
        <v>219883</v>
      </c>
      <c r="BA27" s="92">
        <v>219595</v>
      </c>
      <c r="BB27" s="92">
        <v>220645</v>
      </c>
      <c r="BC27" s="92">
        <v>221099</v>
      </c>
      <c r="BD27" s="92">
        <v>221756</v>
      </c>
      <c r="BE27" s="92">
        <v>222077</v>
      </c>
      <c r="BF27" s="92">
        <v>222291</v>
      </c>
      <c r="BG27" s="92">
        <v>222450</v>
      </c>
      <c r="BH27" s="92">
        <v>222104</v>
      </c>
      <c r="BI27" s="92">
        <v>222134</v>
      </c>
      <c r="BJ27" s="92">
        <v>221636</v>
      </c>
      <c r="BK27" s="92">
        <v>221322</v>
      </c>
      <c r="BL27" s="92">
        <v>221589</v>
      </c>
      <c r="BM27" s="92">
        <v>221565</v>
      </c>
      <c r="BN27" s="92">
        <v>222384</v>
      </c>
      <c r="BO27" s="92">
        <v>222972</v>
      </c>
      <c r="BP27" s="92">
        <v>223590</v>
      </c>
      <c r="BQ27" s="92">
        <v>223831</v>
      </c>
    </row>
    <row r="28" spans="1:69">
      <c r="E28" s="110"/>
      <c r="F28" s="110"/>
      <c r="G28" s="110"/>
      <c r="H28" s="110"/>
      <c r="I28" s="109"/>
      <c r="J28" s="108"/>
      <c r="M28" s="88">
        <f t="shared" ref="M28:M36" si="6">SUM(AW3:BH3)</f>
        <v>220522480.37688991</v>
      </c>
      <c r="N28" s="93" t="s">
        <v>71</v>
      </c>
      <c r="O28" s="86">
        <f t="shared" ref="O28:O36" si="7">SUM(AW15:BH15)</f>
        <v>2420743010.6088619</v>
      </c>
      <c r="P28" s="86">
        <f t="shared" ref="P28:P36" si="8">Q28/12</f>
        <v>220945</v>
      </c>
      <c r="Q28" s="85">
        <f t="shared" ref="Q28:Q36" si="9">SUM(AW27:BH27)</f>
        <v>2651340</v>
      </c>
      <c r="T28" s="65" t="s">
        <v>69</v>
      </c>
      <c r="V28" s="92">
        <v>22916.689692624634</v>
      </c>
      <c r="W28" s="92">
        <v>22953.330500343352</v>
      </c>
      <c r="X28" s="92">
        <v>22969.358042038632</v>
      </c>
      <c r="Y28" s="92">
        <v>22928.471212208518</v>
      </c>
      <c r="Z28" s="92">
        <v>22975.468813225893</v>
      </c>
      <c r="AA28" s="92">
        <v>22962.469686550274</v>
      </c>
      <c r="AB28" s="92">
        <v>22966.467449781314</v>
      </c>
      <c r="AC28" s="92">
        <v>23005.461578505376</v>
      </c>
      <c r="AD28" s="92">
        <v>23002.465371393297</v>
      </c>
      <c r="AE28" s="92">
        <v>23083.46659102292</v>
      </c>
      <c r="AF28" s="92">
        <v>23073.464782178358</v>
      </c>
      <c r="AG28" s="92">
        <v>23167.466376088712</v>
      </c>
      <c r="AH28" s="92">
        <v>23152.465007996772</v>
      </c>
      <c r="AI28" s="92">
        <v>23234.446284277787</v>
      </c>
      <c r="AJ28" s="92">
        <v>23203.455932938989</v>
      </c>
      <c r="AK28" s="92">
        <v>23204.464090514019</v>
      </c>
      <c r="AL28" s="92">
        <v>23227.463497039476</v>
      </c>
      <c r="AM28" s="92">
        <v>23225.463054023941</v>
      </c>
      <c r="AN28" s="92">
        <v>23228.462501313414</v>
      </c>
      <c r="AO28" s="92">
        <v>23251.462088941087</v>
      </c>
      <c r="AP28" s="92">
        <v>23272.462131477398</v>
      </c>
      <c r="AQ28" s="92">
        <v>23326.461861484408</v>
      </c>
      <c r="AR28" s="92">
        <v>23346.461467356195</v>
      </c>
      <c r="AS28" s="92">
        <v>23421.461191121016</v>
      </c>
      <c r="AT28" s="92">
        <v>23417.460759040376</v>
      </c>
      <c r="AU28" s="92">
        <v>23496.460404960675</v>
      </c>
      <c r="AV28" s="92">
        <v>23457.461581684249</v>
      </c>
      <c r="AW28" s="92">
        <v>23476.462052413022</v>
      </c>
      <c r="AX28" s="92">
        <v>23476.461882571271</v>
      </c>
      <c r="AY28" s="92">
        <v>23498.461748032256</v>
      </c>
      <c r="AZ28" s="92">
        <v>23483.461639199613</v>
      </c>
      <c r="BA28" s="92">
        <v>23515.461567356797</v>
      </c>
      <c r="BB28" s="92">
        <v>23535.461523891441</v>
      </c>
      <c r="BC28" s="92">
        <v>23580.461473259274</v>
      </c>
      <c r="BD28" s="92">
        <v>23614.461440907184</v>
      </c>
      <c r="BE28" s="92">
        <v>23670.461438703096</v>
      </c>
      <c r="BF28" s="92">
        <v>23684.461459334936</v>
      </c>
      <c r="BG28" s="92">
        <v>23747.461517692816</v>
      </c>
      <c r="BH28" s="92">
        <v>23717.461610420498</v>
      </c>
      <c r="BI28" s="92">
        <v>23734.461612815183</v>
      </c>
      <c r="BJ28" s="92">
        <v>23727.461576182031</v>
      </c>
      <c r="BK28" s="92">
        <v>23760.461550649594</v>
      </c>
      <c r="BL28" s="92">
        <v>23729.46153420104</v>
      </c>
      <c r="BM28" s="92">
        <v>23777.461525451159</v>
      </c>
      <c r="BN28" s="92">
        <v>23783.46152195902</v>
      </c>
      <c r="BO28" s="92">
        <v>23837.461521797984</v>
      </c>
      <c r="BP28" s="92">
        <v>23868.461525842878</v>
      </c>
      <c r="BQ28" s="92">
        <v>23919.461532920854</v>
      </c>
    </row>
    <row r="29" spans="1:69">
      <c r="A29" s="65" t="s">
        <v>70</v>
      </c>
      <c r="D29" s="67">
        <f>SUM(E29:J29)</f>
        <v>514830305.4630391</v>
      </c>
      <c r="E29" s="107">
        <f>M28</f>
        <v>220522480.37688991</v>
      </c>
      <c r="F29" s="107">
        <f>M29+M30</f>
        <v>78275306.505815312</v>
      </c>
      <c r="G29" s="107">
        <f>M31+M32</f>
        <v>128826246.66997094</v>
      </c>
      <c r="H29" s="107">
        <f>M34+M35</f>
        <v>12250571.76852029</v>
      </c>
      <c r="I29" s="106">
        <f>M33</f>
        <v>68976262.410812423</v>
      </c>
      <c r="J29" s="105">
        <f>M36</f>
        <v>5979437.7310302425</v>
      </c>
      <c r="M29" s="88">
        <f t="shared" si="6"/>
        <v>68648814.713697493</v>
      </c>
      <c r="N29" s="93" t="s">
        <v>69</v>
      </c>
      <c r="O29" s="86">
        <f t="shared" si="7"/>
        <v>581697183.07944751</v>
      </c>
      <c r="P29" s="86">
        <f t="shared" si="8"/>
        <v>23583.378279481851</v>
      </c>
      <c r="Q29" s="85">
        <f t="shared" si="9"/>
        <v>283000.53935378219</v>
      </c>
      <c r="T29" s="65" t="s">
        <v>68</v>
      </c>
      <c r="V29" s="92">
        <v>9655</v>
      </c>
      <c r="W29" s="92">
        <v>9668</v>
      </c>
      <c r="X29" s="92">
        <v>9678</v>
      </c>
      <c r="Y29" s="92">
        <v>9685</v>
      </c>
      <c r="Z29" s="92">
        <v>9697</v>
      </c>
      <c r="AA29" s="92">
        <v>9712</v>
      </c>
      <c r="AB29" s="92">
        <v>9726</v>
      </c>
      <c r="AC29" s="92">
        <v>9757</v>
      </c>
      <c r="AD29" s="92">
        <v>9773</v>
      </c>
      <c r="AE29" s="92">
        <v>9807</v>
      </c>
      <c r="AF29" s="92">
        <v>9816</v>
      </c>
      <c r="AG29" s="92">
        <v>9850</v>
      </c>
      <c r="AH29" s="92">
        <v>9860</v>
      </c>
      <c r="AI29" s="92">
        <v>9877</v>
      </c>
      <c r="AJ29" s="92">
        <v>9883</v>
      </c>
      <c r="AK29" s="92">
        <v>9892</v>
      </c>
      <c r="AL29" s="92">
        <v>9902</v>
      </c>
      <c r="AM29" s="92">
        <v>9914</v>
      </c>
      <c r="AN29" s="92">
        <v>9929</v>
      </c>
      <c r="AO29" s="92">
        <v>9960</v>
      </c>
      <c r="AP29" s="92">
        <v>9976</v>
      </c>
      <c r="AQ29" s="92">
        <v>10008</v>
      </c>
      <c r="AR29" s="92">
        <v>10018</v>
      </c>
      <c r="AS29" s="92">
        <v>10052</v>
      </c>
      <c r="AT29" s="92">
        <v>10062</v>
      </c>
      <c r="AU29" s="92">
        <v>10079</v>
      </c>
      <c r="AV29" s="92">
        <v>10085</v>
      </c>
      <c r="AW29" s="92">
        <v>10094</v>
      </c>
      <c r="AX29" s="92">
        <v>10104</v>
      </c>
      <c r="AY29" s="92">
        <v>10116</v>
      </c>
      <c r="AZ29" s="92">
        <v>10131</v>
      </c>
      <c r="BA29" s="92">
        <v>10161</v>
      </c>
      <c r="BB29" s="92">
        <v>10177</v>
      </c>
      <c r="BC29" s="92">
        <v>10209</v>
      </c>
      <c r="BD29" s="92">
        <v>10218</v>
      </c>
      <c r="BE29" s="92">
        <v>10251</v>
      </c>
      <c r="BF29" s="92">
        <v>10261</v>
      </c>
      <c r="BG29" s="92">
        <v>10278</v>
      </c>
      <c r="BH29" s="92">
        <v>10283</v>
      </c>
      <c r="BI29" s="92">
        <v>10292</v>
      </c>
      <c r="BJ29" s="92">
        <v>10301</v>
      </c>
      <c r="BK29" s="92">
        <v>10313</v>
      </c>
      <c r="BL29" s="92">
        <v>10328</v>
      </c>
      <c r="BM29" s="92">
        <v>10358</v>
      </c>
      <c r="BN29" s="92">
        <v>10374</v>
      </c>
      <c r="BO29" s="92">
        <v>10404</v>
      </c>
      <c r="BP29" s="92">
        <v>10414</v>
      </c>
      <c r="BQ29" s="92">
        <v>10447</v>
      </c>
    </row>
    <row r="30" spans="1:69">
      <c r="A30" s="65" t="s">
        <v>23</v>
      </c>
      <c r="D30" s="103">
        <f>SUM(E30:J30)</f>
        <v>5797861118.9856749</v>
      </c>
      <c r="E30" s="86">
        <f>O28</f>
        <v>2420743010.6088619</v>
      </c>
      <c r="F30" s="86">
        <f>O29+O30</f>
        <v>646694761.86175907</v>
      </c>
      <c r="G30" s="86">
        <f>O31+O32</f>
        <v>1404986747.279866</v>
      </c>
      <c r="H30" s="86">
        <f>O34+O35</f>
        <v>144343310.83724561</v>
      </c>
      <c r="I30" s="101">
        <f>O33</f>
        <v>1168768789.2491095</v>
      </c>
      <c r="J30" s="104">
        <f>O36</f>
        <v>12324499.148832105</v>
      </c>
      <c r="M30" s="88">
        <f t="shared" si="6"/>
        <v>9626491.7921178173</v>
      </c>
      <c r="N30" s="93" t="s">
        <v>68</v>
      </c>
      <c r="O30" s="86">
        <f t="shared" si="7"/>
        <v>64997578.782311581</v>
      </c>
      <c r="P30" s="86">
        <f t="shared" si="8"/>
        <v>10190.25</v>
      </c>
      <c r="Q30" s="85">
        <f t="shared" si="9"/>
        <v>122283</v>
      </c>
      <c r="T30" s="65" t="s">
        <v>67</v>
      </c>
      <c r="V30" s="92">
        <v>1860.4556230271519</v>
      </c>
      <c r="W30" s="92">
        <v>1859.6602582794144</v>
      </c>
      <c r="X30" s="92">
        <v>1859.6319464693654</v>
      </c>
      <c r="Y30" s="92">
        <v>1858.6846086751459</v>
      </c>
      <c r="Z30" s="92">
        <v>1858.8736038425193</v>
      </c>
      <c r="AA30" s="92">
        <v>1859.0615661997665</v>
      </c>
      <c r="AB30" s="92">
        <v>1859.1636778120926</v>
      </c>
      <c r="AC30" s="92">
        <v>1859.2823804834193</v>
      </c>
      <c r="AD30" s="92">
        <v>1859.3433413929386</v>
      </c>
      <c r="AE30" s="92">
        <v>1859.4125014784652</v>
      </c>
      <c r="AF30" s="92">
        <v>1858.4560817074616</v>
      </c>
      <c r="AG30" s="92">
        <v>1860.4346162699128</v>
      </c>
      <c r="AH30" s="92">
        <v>1859.371683803138</v>
      </c>
      <c r="AI30" s="92">
        <v>1859.2813555344703</v>
      </c>
      <c r="AJ30" s="92">
        <v>1859.2497803057247</v>
      </c>
      <c r="AK30" s="92">
        <v>1859.2179331254213</v>
      </c>
      <c r="AL30" s="92">
        <v>1859.262376829611</v>
      </c>
      <c r="AM30" s="92">
        <v>1859.294774578535</v>
      </c>
      <c r="AN30" s="92">
        <v>1859.3142086100993</v>
      </c>
      <c r="AO30" s="92">
        <v>1859.3267528432661</v>
      </c>
      <c r="AP30" s="92">
        <v>1859.3304505399199</v>
      </c>
      <c r="AQ30" s="92">
        <v>1859.3293763021686</v>
      </c>
      <c r="AR30" s="92">
        <v>1858.3224492041443</v>
      </c>
      <c r="AS30" s="92">
        <v>1860.3113131622008</v>
      </c>
      <c r="AT30" s="92">
        <v>1859.3010379032248</v>
      </c>
      <c r="AU30" s="92">
        <v>1859.2951507448988</v>
      </c>
      <c r="AV30" s="92">
        <v>1859.2963003457678</v>
      </c>
      <c r="AW30" s="92">
        <v>1859.3001770157716</v>
      </c>
      <c r="AX30" s="92">
        <v>1859.3070306733007</v>
      </c>
      <c r="AY30" s="92">
        <v>1859.3107518269412</v>
      </c>
      <c r="AZ30" s="92">
        <v>1859.3120832643087</v>
      </c>
      <c r="BA30" s="92">
        <v>1859.3119061521597</v>
      </c>
      <c r="BB30" s="92">
        <v>1859.3106689279009</v>
      </c>
      <c r="BC30" s="92">
        <v>1859.3090204602324</v>
      </c>
      <c r="BD30" s="92">
        <v>1858.3073241400712</v>
      </c>
      <c r="BE30" s="92">
        <v>1860.3060637180645</v>
      </c>
      <c r="BF30" s="92">
        <v>1859.3056262643868</v>
      </c>
      <c r="BG30" s="92">
        <v>1859.3060086278169</v>
      </c>
      <c r="BH30" s="92">
        <v>1859.3069134513937</v>
      </c>
      <c r="BI30" s="92">
        <v>1859.3077978768627</v>
      </c>
      <c r="BJ30" s="92">
        <v>1859.3084329486201</v>
      </c>
      <c r="BK30" s="92">
        <v>1859.3085498048965</v>
      </c>
      <c r="BL30" s="92">
        <v>1859.3083663030595</v>
      </c>
      <c r="BM30" s="92">
        <v>1859.3080565562886</v>
      </c>
      <c r="BN30" s="92">
        <v>1859.3077357566331</v>
      </c>
      <c r="BO30" s="92">
        <v>1859.3074913256937</v>
      </c>
      <c r="BP30" s="92">
        <v>1858.3073638978155</v>
      </c>
      <c r="BQ30" s="92">
        <v>1860.3073672109613</v>
      </c>
    </row>
    <row r="31" spans="1:69">
      <c r="A31" s="65" t="s">
        <v>25</v>
      </c>
      <c r="D31" s="103">
        <f>SUM(E31:J31)</f>
        <v>3109452.3355775769</v>
      </c>
      <c r="E31" s="102">
        <f>Q28</f>
        <v>2651340</v>
      </c>
      <c r="F31" s="102">
        <f>Q29+Q30</f>
        <v>405283.53935378219</v>
      </c>
      <c r="G31" s="102">
        <f>Q31+Q32</f>
        <v>22864.112374522349</v>
      </c>
      <c r="H31" s="102">
        <f>Q34+Q35</f>
        <v>29964.683849272122</v>
      </c>
      <c r="I31" s="101"/>
      <c r="J31" s="100"/>
      <c r="M31" s="88">
        <f t="shared" si="6"/>
        <v>125996945.08523321</v>
      </c>
      <c r="N31" s="93" t="s">
        <v>67</v>
      </c>
      <c r="O31" s="86">
        <f t="shared" si="7"/>
        <v>1373849870.557055</v>
      </c>
      <c r="P31" s="86">
        <f t="shared" si="8"/>
        <v>1859.3077978768624</v>
      </c>
      <c r="Q31" s="85">
        <f t="shared" si="9"/>
        <v>22311.693574522349</v>
      </c>
      <c r="T31" s="65" t="s">
        <v>66</v>
      </c>
      <c r="V31" s="92">
        <v>46.656300000000002</v>
      </c>
      <c r="W31" s="92">
        <v>46.637099999999997</v>
      </c>
      <c r="X31" s="92">
        <v>46.618000000000002</v>
      </c>
      <c r="Y31" s="92">
        <v>46.5989</v>
      </c>
      <c r="Z31" s="92">
        <v>46.579799999999999</v>
      </c>
      <c r="AA31" s="92">
        <v>46.560699999999997</v>
      </c>
      <c r="AB31" s="92">
        <v>46.541499999999999</v>
      </c>
      <c r="AC31" s="92">
        <v>46.522399999999998</v>
      </c>
      <c r="AD31" s="92">
        <v>46.503300000000003</v>
      </c>
      <c r="AE31" s="92">
        <v>46.484200000000001</v>
      </c>
      <c r="AF31" s="92">
        <v>46.4651</v>
      </c>
      <c r="AG31" s="92">
        <v>46.445999999999998</v>
      </c>
      <c r="AH31" s="92">
        <v>46.4268</v>
      </c>
      <c r="AI31" s="92">
        <v>46.407699999999998</v>
      </c>
      <c r="AJ31" s="92">
        <v>46.388599999999997</v>
      </c>
      <c r="AK31" s="92">
        <v>46.369500000000002</v>
      </c>
      <c r="AL31" s="92">
        <v>46.3504</v>
      </c>
      <c r="AM31" s="92">
        <v>46.331200000000003</v>
      </c>
      <c r="AN31" s="92">
        <v>46.312100000000001</v>
      </c>
      <c r="AO31" s="92">
        <v>46.292999999999999</v>
      </c>
      <c r="AP31" s="92">
        <v>46.273899999999998</v>
      </c>
      <c r="AQ31" s="92">
        <v>46.254800000000003</v>
      </c>
      <c r="AR31" s="92">
        <v>46.235599999999998</v>
      </c>
      <c r="AS31" s="92">
        <v>46.216500000000003</v>
      </c>
      <c r="AT31" s="92">
        <v>46.197400000000002</v>
      </c>
      <c r="AU31" s="92">
        <v>46.1783</v>
      </c>
      <c r="AV31" s="92">
        <v>46.159199999999998</v>
      </c>
      <c r="AW31" s="92">
        <v>46.140099999999997</v>
      </c>
      <c r="AX31" s="92">
        <v>46.120899999999999</v>
      </c>
      <c r="AY31" s="92">
        <v>46.101799999999997</v>
      </c>
      <c r="AZ31" s="92">
        <v>46.082700000000003</v>
      </c>
      <c r="BA31" s="92">
        <v>46.063600000000001</v>
      </c>
      <c r="BB31" s="92">
        <v>46.044499999999999</v>
      </c>
      <c r="BC31" s="92">
        <v>46.025300000000001</v>
      </c>
      <c r="BD31" s="92">
        <v>46.0062</v>
      </c>
      <c r="BE31" s="92">
        <v>45.987099999999998</v>
      </c>
      <c r="BF31" s="92">
        <v>45.968000000000004</v>
      </c>
      <c r="BG31" s="92">
        <v>45.948900000000002</v>
      </c>
      <c r="BH31" s="92">
        <v>45.929699999999997</v>
      </c>
      <c r="BI31" s="92">
        <v>45.910600000000002</v>
      </c>
      <c r="BJ31" s="92">
        <v>45.891500000000001</v>
      </c>
      <c r="BK31" s="92">
        <v>45.872399999999999</v>
      </c>
      <c r="BL31" s="92">
        <v>45.853299999999997</v>
      </c>
      <c r="BM31" s="92">
        <v>45.834200000000003</v>
      </c>
      <c r="BN31" s="92">
        <v>45.814999999999998</v>
      </c>
      <c r="BO31" s="92">
        <v>45.795900000000003</v>
      </c>
      <c r="BP31" s="92">
        <v>45.776800000000001</v>
      </c>
      <c r="BQ31" s="92">
        <v>45.7577</v>
      </c>
    </row>
    <row r="32" spans="1:69">
      <c r="A32" s="99" t="s">
        <v>27</v>
      </c>
      <c r="E32" s="44">
        <v>9</v>
      </c>
      <c r="F32" s="44">
        <v>20</v>
      </c>
      <c r="G32" s="44">
        <v>500</v>
      </c>
      <c r="H32" s="44">
        <v>20</v>
      </c>
      <c r="I32" s="98"/>
      <c r="J32" s="79"/>
      <c r="M32" s="88">
        <f t="shared" si="6"/>
        <v>2829301.5847377274</v>
      </c>
      <c r="N32" s="93" t="s">
        <v>66</v>
      </c>
      <c r="O32" s="86">
        <f t="shared" si="7"/>
        <v>31136876.722810894</v>
      </c>
      <c r="P32" s="86">
        <f t="shared" si="8"/>
        <v>46.034899999999993</v>
      </c>
      <c r="Q32" s="85">
        <f t="shared" si="9"/>
        <v>552.41879999999992</v>
      </c>
      <c r="T32" s="65" t="s">
        <v>64</v>
      </c>
      <c r="V32" s="92">
        <v>23</v>
      </c>
      <c r="W32" s="92">
        <v>22.916666666666664</v>
      </c>
      <c r="X32" s="92">
        <v>22.993055555555557</v>
      </c>
      <c r="Y32" s="92">
        <v>22.992476851851848</v>
      </c>
      <c r="Z32" s="92">
        <v>22.991849922839506</v>
      </c>
      <c r="AA32" s="92">
        <v>22.9911707497428</v>
      </c>
      <c r="AB32" s="92">
        <v>22.990434978888032</v>
      </c>
      <c r="AC32" s="92">
        <v>22.989637893795368</v>
      </c>
      <c r="AD32" s="92">
        <v>22.988774384944982</v>
      </c>
      <c r="AE32" s="92">
        <v>22.98783891702373</v>
      </c>
      <c r="AF32" s="92">
        <v>22.986825493442375</v>
      </c>
      <c r="AG32" s="92">
        <v>22.985727617895904</v>
      </c>
      <c r="AH32" s="92">
        <v>22.984538252720562</v>
      </c>
      <c r="AI32" s="92">
        <v>22.983249773780614</v>
      </c>
      <c r="AJ32" s="92">
        <v>22.988798366040108</v>
      </c>
      <c r="AK32" s="92">
        <v>22.988443600247152</v>
      </c>
      <c r="AL32" s="92">
        <v>22.988107495946764</v>
      </c>
      <c r="AM32" s="92">
        <v>22.987795627039034</v>
      </c>
      <c r="AN32" s="92">
        <v>22.98751436681372</v>
      </c>
      <c r="AO32" s="92">
        <v>22.987270982474193</v>
      </c>
      <c r="AP32" s="92">
        <v>22.987073739864094</v>
      </c>
      <c r="AQ32" s="92">
        <v>22.986932019440687</v>
      </c>
      <c r="AR32" s="92">
        <v>22.9868564446421</v>
      </c>
      <c r="AS32" s="92">
        <v>22.986859023908742</v>
      </c>
      <c r="AT32" s="92">
        <v>22.98695330774315</v>
      </c>
      <c r="AU32" s="92">
        <v>22.987154562328364</v>
      </c>
      <c r="AV32" s="92">
        <v>22.987479961374007</v>
      </c>
      <c r="AW32" s="92">
        <v>22.9873700943185</v>
      </c>
      <c r="AX32" s="92">
        <v>22.987280635491111</v>
      </c>
      <c r="AY32" s="92">
        <v>22.98721173045314</v>
      </c>
      <c r="AZ32" s="92">
        <v>22.987163072404314</v>
      </c>
      <c r="BA32" s="92">
        <v>22.9871337978702</v>
      </c>
      <c r="BB32" s="92">
        <v>22.987122365819864</v>
      </c>
      <c r="BC32" s="92">
        <v>22.98712641798285</v>
      </c>
      <c r="BD32" s="92">
        <v>22.987142617861359</v>
      </c>
      <c r="BE32" s="92">
        <v>22.987166465629635</v>
      </c>
      <c r="BF32" s="92">
        <v>22.987192085773039</v>
      </c>
      <c r="BG32" s="92">
        <v>22.987211983942203</v>
      </c>
      <c r="BH32" s="92">
        <v>22.987216769076689</v>
      </c>
      <c r="BI32" s="92">
        <v>22.987194836385243</v>
      </c>
      <c r="BJ32" s="92">
        <v>22.987180231557474</v>
      </c>
      <c r="BK32" s="92">
        <v>22.987171864563003</v>
      </c>
      <c r="BL32" s="92">
        <v>22.987168542405492</v>
      </c>
      <c r="BM32" s="92">
        <v>22.987168998238921</v>
      </c>
      <c r="BN32" s="92">
        <v>22.98717193160298</v>
      </c>
      <c r="BO32" s="92">
        <v>22.987176062084906</v>
      </c>
      <c r="BP32" s="92">
        <v>22.987180199093409</v>
      </c>
      <c r="BQ32" s="92">
        <v>22.987183330862749</v>
      </c>
    </row>
    <row r="33" spans="1:69">
      <c r="A33" s="65" t="s">
        <v>65</v>
      </c>
      <c r="C33" s="78">
        <f>C11</f>
        <v>1.8950000000000002E-2</v>
      </c>
      <c r="D33" s="67">
        <f>SUM(E33:J33)</f>
        <v>109869468.20477854</v>
      </c>
      <c r="E33" s="96">
        <f t="shared" ref="E33:J33" si="10">E30*$C33</f>
        <v>45873080.051037937</v>
      </c>
      <c r="F33" s="96">
        <f t="shared" si="10"/>
        <v>12254865.737280335</v>
      </c>
      <c r="G33" s="96">
        <f t="shared" si="10"/>
        <v>26624498.860953461</v>
      </c>
      <c r="H33" s="96">
        <f t="shared" si="10"/>
        <v>2735305.7403658046</v>
      </c>
      <c r="I33" s="97">
        <f t="shared" si="10"/>
        <v>22148168.556270625</v>
      </c>
      <c r="J33" s="96">
        <f t="shared" si="10"/>
        <v>233549.25887036842</v>
      </c>
      <c r="M33" s="88">
        <f t="shared" si="6"/>
        <v>68976262.410812423</v>
      </c>
      <c r="N33" s="93" t="s">
        <v>64</v>
      </c>
      <c r="O33" s="86">
        <f t="shared" si="7"/>
        <v>1168768789.2491095</v>
      </c>
      <c r="P33" s="86">
        <f t="shared" si="8"/>
        <v>22.987194836385243</v>
      </c>
      <c r="Q33" s="85">
        <f t="shared" si="9"/>
        <v>275.84633803662291</v>
      </c>
      <c r="T33" s="65" t="s">
        <v>63</v>
      </c>
      <c r="V33" s="92">
        <v>1261.6975739626507</v>
      </c>
      <c r="W33" s="92">
        <v>1252.9847717928715</v>
      </c>
      <c r="X33" s="92">
        <v>1248.8870194422775</v>
      </c>
      <c r="Y33" s="92">
        <v>1245.9801377291342</v>
      </c>
      <c r="Z33" s="92">
        <v>1256.4279436510064</v>
      </c>
      <c r="AA33" s="92">
        <v>1274.835484325627</v>
      </c>
      <c r="AB33" s="92">
        <v>1260.6512377262195</v>
      </c>
      <c r="AC33" s="92">
        <v>1263.0359216635384</v>
      </c>
      <c r="AD33" s="92">
        <v>1261.4409519673113</v>
      </c>
      <c r="AE33" s="92">
        <v>1270.4021309212721</v>
      </c>
      <c r="AF33" s="92">
        <v>1271.050778923342</v>
      </c>
      <c r="AG33" s="92">
        <v>1253.6527888776927</v>
      </c>
      <c r="AH33" s="92">
        <v>1259.9299867485786</v>
      </c>
      <c r="AI33" s="92">
        <v>1260.7407544807393</v>
      </c>
      <c r="AJ33" s="92">
        <v>1267.0468363713949</v>
      </c>
      <c r="AK33" s="92">
        <v>1261.9348461154882</v>
      </c>
      <c r="AL33" s="92">
        <v>1259.8528301476842</v>
      </c>
      <c r="AM33" s="92">
        <v>1277.5896290224073</v>
      </c>
      <c r="AN33" s="92">
        <v>1276.332582747139</v>
      </c>
      <c r="AO33" s="92">
        <v>1279.2347948322158</v>
      </c>
      <c r="AP33" s="92">
        <v>1269.105542596272</v>
      </c>
      <c r="AQ33" s="92">
        <v>1271.3363168153523</v>
      </c>
      <c r="AR33" s="92">
        <v>1281.015015639859</v>
      </c>
      <c r="AS33" s="92">
        <v>1272.7463103662353</v>
      </c>
      <c r="AT33" s="92">
        <v>1270.9602788236139</v>
      </c>
      <c r="AU33" s="92">
        <v>1263.8899531632001</v>
      </c>
      <c r="AV33" s="92">
        <v>1272.6318113867383</v>
      </c>
      <c r="AW33" s="92">
        <v>1278.203167638017</v>
      </c>
      <c r="AX33" s="92">
        <v>1275.1409610982278</v>
      </c>
      <c r="AY33" s="92">
        <v>1281.9101220107732</v>
      </c>
      <c r="AZ33" s="92">
        <v>1280.6219714264703</v>
      </c>
      <c r="BA33" s="92">
        <v>1291.2633038164145</v>
      </c>
      <c r="BB33" s="92">
        <v>1286.4557795650978</v>
      </c>
      <c r="BC33" s="92">
        <v>1280.3631576458333</v>
      </c>
      <c r="BD33" s="92">
        <v>1283.3729443817069</v>
      </c>
      <c r="BE33" s="92">
        <v>1282.2404217768608</v>
      </c>
      <c r="BF33" s="92">
        <v>1286.7145393944129</v>
      </c>
      <c r="BG33" s="92">
        <v>1276.9072527753128</v>
      </c>
      <c r="BH33" s="92">
        <v>1276.4725277429889</v>
      </c>
      <c r="BI33" s="92">
        <v>1283.8800457726763</v>
      </c>
      <c r="BJ33" s="92">
        <v>1289.8905106172313</v>
      </c>
      <c r="BK33" s="92">
        <v>1296.3137564104816</v>
      </c>
      <c r="BL33" s="92">
        <v>1288.1835092771239</v>
      </c>
      <c r="BM33" s="92">
        <v>1294.8710790980117</v>
      </c>
      <c r="BN33" s="92">
        <v>1297.7006687048115</v>
      </c>
      <c r="BO33" s="92">
        <v>1296.3852761331209</v>
      </c>
      <c r="BP33" s="92">
        <v>1293.097994340395</v>
      </c>
      <c r="BQ33" s="92">
        <v>1286.8875151702855</v>
      </c>
    </row>
    <row r="34" spans="1:69">
      <c r="A34" s="65" t="s">
        <v>31</v>
      </c>
      <c r="D34" s="67">
        <f>SUM(E34:J34)</f>
        <v>43999080.65132226</v>
      </c>
      <c r="E34" s="96">
        <f>E31*E32</f>
        <v>23862060</v>
      </c>
      <c r="F34" s="96">
        <f>F31*F32</f>
        <v>8105670.7870756444</v>
      </c>
      <c r="G34" s="96">
        <f>G31*G32</f>
        <v>11432056.187261174</v>
      </c>
      <c r="H34" s="96">
        <f>H31*H32</f>
        <v>599293.67698544241</v>
      </c>
      <c r="I34" s="97"/>
      <c r="J34" s="96"/>
      <c r="M34" s="88">
        <f t="shared" si="6"/>
        <v>11251875.185125746</v>
      </c>
      <c r="N34" s="93" t="s">
        <v>63</v>
      </c>
      <c r="O34" s="86">
        <f t="shared" si="7"/>
        <v>135574354.76396182</v>
      </c>
      <c r="P34" s="86">
        <f t="shared" si="8"/>
        <v>1281.6388457726764</v>
      </c>
      <c r="Q34" s="85">
        <f t="shared" si="9"/>
        <v>15379.666149272118</v>
      </c>
      <c r="T34" s="65" t="s">
        <v>62</v>
      </c>
      <c r="V34" s="92">
        <v>1220.0298</v>
      </c>
      <c r="W34" s="92">
        <v>1208.0243</v>
      </c>
      <c r="X34" s="92">
        <v>1215.0198</v>
      </c>
      <c r="Y34" s="92">
        <v>1208.0163</v>
      </c>
      <c r="Z34" s="92">
        <v>1214.0134</v>
      </c>
      <c r="AA34" s="92">
        <v>1216.0110999999999</v>
      </c>
      <c r="AB34" s="92">
        <v>1201.0092</v>
      </c>
      <c r="AC34" s="92">
        <v>1217.0077000000001</v>
      </c>
      <c r="AD34" s="92">
        <v>1225.0065</v>
      </c>
      <c r="AE34" s="92">
        <v>1212.0055</v>
      </c>
      <c r="AF34" s="92">
        <v>1222.0047</v>
      </c>
      <c r="AG34" s="92">
        <v>1215.0041000000001</v>
      </c>
      <c r="AH34" s="92">
        <v>1211.0036</v>
      </c>
      <c r="AI34" s="92">
        <v>1218.0030999999999</v>
      </c>
      <c r="AJ34" s="92">
        <v>1207.0028</v>
      </c>
      <c r="AK34" s="92">
        <v>1211.0025000000001</v>
      </c>
      <c r="AL34" s="92">
        <v>1212.0023000000001</v>
      </c>
      <c r="AM34" s="92">
        <v>1207.0021999999999</v>
      </c>
      <c r="AN34" s="92">
        <v>1223.002</v>
      </c>
      <c r="AO34" s="92">
        <v>1216.0019</v>
      </c>
      <c r="AP34" s="92">
        <v>1215.0018</v>
      </c>
      <c r="AQ34" s="92">
        <v>1226.0017</v>
      </c>
      <c r="AR34" s="92">
        <v>1213.0017</v>
      </c>
      <c r="AS34" s="92">
        <v>1214.0016000000001</v>
      </c>
      <c r="AT34" s="92">
        <v>1218.0016000000001</v>
      </c>
      <c r="AU34" s="92">
        <v>1208.0016000000001</v>
      </c>
      <c r="AV34" s="92">
        <v>1214.0015000000001</v>
      </c>
      <c r="AW34" s="92">
        <v>1211.0015000000001</v>
      </c>
      <c r="AX34" s="92">
        <v>1211.0015000000001</v>
      </c>
      <c r="AY34" s="92">
        <v>1220.0015000000001</v>
      </c>
      <c r="AZ34" s="92">
        <v>1212.0015000000001</v>
      </c>
      <c r="BA34" s="92">
        <v>1215.0015000000001</v>
      </c>
      <c r="BB34" s="92">
        <v>1227.0015000000001</v>
      </c>
      <c r="BC34" s="92">
        <v>1215.0015000000001</v>
      </c>
      <c r="BD34" s="92">
        <v>1217.0015000000001</v>
      </c>
      <c r="BE34" s="92">
        <v>1217.0015000000001</v>
      </c>
      <c r="BF34" s="92">
        <v>1211.0014000000001</v>
      </c>
      <c r="BG34" s="92">
        <v>1218.0014000000001</v>
      </c>
      <c r="BH34" s="92">
        <v>1211.0014000000001</v>
      </c>
      <c r="BI34" s="92">
        <v>1211.0014000000001</v>
      </c>
      <c r="BJ34" s="92">
        <v>1218.0014000000001</v>
      </c>
      <c r="BK34" s="92">
        <v>1210.0014000000001</v>
      </c>
      <c r="BL34" s="92">
        <v>1218.0014000000001</v>
      </c>
      <c r="BM34" s="92">
        <v>1219.0014000000001</v>
      </c>
      <c r="BN34" s="92">
        <v>1216.0014000000001</v>
      </c>
      <c r="BO34" s="92">
        <v>1223.0014000000001</v>
      </c>
      <c r="BP34" s="92">
        <v>1216.0014000000001</v>
      </c>
      <c r="BQ34" s="92">
        <v>1213.0014000000001</v>
      </c>
    </row>
    <row r="35" spans="1:69">
      <c r="A35" s="65" t="s">
        <v>32</v>
      </c>
      <c r="D35" s="67">
        <f>SUM(E35:J35)</f>
        <v>52573982.326701671</v>
      </c>
      <c r="E35" s="96"/>
      <c r="F35" s="96"/>
      <c r="G35" s="96"/>
      <c r="H35" s="96"/>
      <c r="I35" s="95">
        <f>I29-I33</f>
        <v>46828093.854541793</v>
      </c>
      <c r="J35" s="94">
        <f>J29-J33</f>
        <v>5745888.4721598737</v>
      </c>
      <c r="M35" s="88">
        <f t="shared" si="6"/>
        <v>998696.58339454362</v>
      </c>
      <c r="N35" s="93" t="s">
        <v>62</v>
      </c>
      <c r="O35" s="86">
        <f t="shared" si="7"/>
        <v>8768956.0732838027</v>
      </c>
      <c r="P35" s="86">
        <f t="shared" si="8"/>
        <v>1215.418141666667</v>
      </c>
      <c r="Q35" s="85">
        <f t="shared" si="9"/>
        <v>14585.017700000004</v>
      </c>
      <c r="T35" s="65" t="s">
        <v>61</v>
      </c>
      <c r="V35" s="92">
        <v>434.5686</v>
      </c>
      <c r="W35" s="92">
        <v>432.81450000000001</v>
      </c>
      <c r="X35" s="92">
        <v>433.19310000000002</v>
      </c>
      <c r="Y35" s="92">
        <v>434.83139999999997</v>
      </c>
      <c r="Z35" s="92">
        <v>435.1918</v>
      </c>
      <c r="AA35" s="92">
        <v>435.30489999999998</v>
      </c>
      <c r="AB35" s="92">
        <v>434.69720000000001</v>
      </c>
      <c r="AC35" s="92">
        <v>435.41129999999998</v>
      </c>
      <c r="AD35" s="92">
        <v>436.93970000000002</v>
      </c>
      <c r="AE35" s="92">
        <v>435.97230000000002</v>
      </c>
      <c r="AF35" s="92">
        <v>435.4674</v>
      </c>
      <c r="AG35" s="92">
        <v>436.74290000000002</v>
      </c>
      <c r="AH35" s="92">
        <v>437.09710000000001</v>
      </c>
      <c r="AI35" s="92">
        <v>436.96460000000002</v>
      </c>
      <c r="AJ35" s="92">
        <v>436.69200000000001</v>
      </c>
      <c r="AK35" s="92">
        <v>436.85879999999997</v>
      </c>
      <c r="AL35" s="92">
        <v>438.00020000000001</v>
      </c>
      <c r="AM35" s="92">
        <v>437.75119999999998</v>
      </c>
      <c r="AN35" s="92">
        <v>436.95929999999998</v>
      </c>
      <c r="AO35" s="92">
        <v>437.7432</v>
      </c>
      <c r="AP35" s="92">
        <v>438.26830000000001</v>
      </c>
      <c r="AQ35" s="92">
        <v>438.01940000000002</v>
      </c>
      <c r="AR35" s="92">
        <v>437.8492</v>
      </c>
      <c r="AS35" s="92">
        <v>437.85919999999999</v>
      </c>
      <c r="AT35" s="92">
        <v>438.53469999999999</v>
      </c>
      <c r="AU35" s="92">
        <v>438.67809999999997</v>
      </c>
      <c r="AV35" s="92">
        <v>437.97640000000001</v>
      </c>
      <c r="AW35" s="92">
        <v>438.27800000000002</v>
      </c>
      <c r="AX35" s="92">
        <v>438.88470000000001</v>
      </c>
      <c r="AY35" s="92">
        <v>438.69729999999998</v>
      </c>
      <c r="AZ35" s="92">
        <v>438.49900000000002</v>
      </c>
      <c r="BA35" s="92">
        <v>438.50990000000002</v>
      </c>
      <c r="BB35" s="92">
        <v>438.86349999999999</v>
      </c>
      <c r="BC35" s="92">
        <v>439.1207</v>
      </c>
      <c r="BD35" s="92">
        <v>438.6583</v>
      </c>
      <c r="BE35" s="92">
        <v>438.62740000000002</v>
      </c>
      <c r="BF35" s="92">
        <v>439.16079999999999</v>
      </c>
      <c r="BG35" s="92">
        <v>439.12299999999999</v>
      </c>
      <c r="BH35" s="92">
        <v>438.88060000000002</v>
      </c>
      <c r="BI35" s="92">
        <v>438.89510000000001</v>
      </c>
      <c r="BJ35" s="92">
        <v>439.09089999999998</v>
      </c>
      <c r="BK35" s="92">
        <v>439.31470000000002</v>
      </c>
      <c r="BL35" s="92">
        <v>439.07799999999997</v>
      </c>
      <c r="BM35" s="92">
        <v>438.89769999999999</v>
      </c>
      <c r="BN35" s="92">
        <v>439.26650000000001</v>
      </c>
      <c r="BO35" s="92">
        <v>439.36599999999999</v>
      </c>
      <c r="BP35" s="92">
        <v>439.13029999999998</v>
      </c>
      <c r="BQ35" s="92">
        <v>439.11020000000002</v>
      </c>
    </row>
    <row r="36" spans="1:69">
      <c r="A36" s="65" t="s">
        <v>33</v>
      </c>
      <c r="D36" s="91">
        <f>SUM(E36:J36)</f>
        <v>308387774.28023666</v>
      </c>
      <c r="E36" s="89">
        <f t="shared" ref="E36:J36" si="11">E29-SUM(E33:E35)</f>
        <v>150787340.32585198</v>
      </c>
      <c r="F36" s="89">
        <f t="shared" si="11"/>
        <v>57914769.981459334</v>
      </c>
      <c r="G36" s="89">
        <f t="shared" si="11"/>
        <v>90769691.621756315</v>
      </c>
      <c r="H36" s="89">
        <f t="shared" si="11"/>
        <v>8915972.3511690423</v>
      </c>
      <c r="I36" s="90">
        <f t="shared" si="11"/>
        <v>0</v>
      </c>
      <c r="J36" s="89">
        <f t="shared" si="11"/>
        <v>0</v>
      </c>
      <c r="M36" s="88">
        <f t="shared" si="6"/>
        <v>5979437.7310302425</v>
      </c>
      <c r="N36" s="87" t="s">
        <v>61</v>
      </c>
      <c r="O36" s="86">
        <f t="shared" si="7"/>
        <v>12324499.148832105</v>
      </c>
      <c r="P36" s="86">
        <f t="shared" si="8"/>
        <v>438.77526666666671</v>
      </c>
      <c r="Q36" s="85">
        <f t="shared" si="9"/>
        <v>5265.3032000000003</v>
      </c>
    </row>
    <row r="37" spans="1:69">
      <c r="D37" s="84"/>
      <c r="E37" s="83"/>
      <c r="F37" s="83"/>
      <c r="G37" s="83"/>
      <c r="H37" s="83"/>
      <c r="I37" s="83"/>
      <c r="J37" s="83"/>
      <c r="M37" s="82">
        <f>SUM(M28:M36)</f>
        <v>514830305.4630391</v>
      </c>
      <c r="N37" s="79"/>
      <c r="O37" s="81">
        <f>SUM(O28:O36)</f>
        <v>5797861118.9856739</v>
      </c>
      <c r="P37" s="81">
        <f>SUM(P28:P36)</f>
        <v>259582.79042630107</v>
      </c>
      <c r="Q37" s="81">
        <f>SUM(Q28:Q36)</f>
        <v>3114993.4851156133</v>
      </c>
    </row>
    <row r="38" spans="1:69">
      <c r="A38" s="65" t="s">
        <v>34</v>
      </c>
      <c r="D38" s="67"/>
      <c r="E38" s="80">
        <f>$E$16</f>
        <v>685.24</v>
      </c>
      <c r="F38" s="80">
        <f>$F$16</f>
        <v>4173.05</v>
      </c>
      <c r="G38" s="70"/>
      <c r="H38" s="66"/>
      <c r="I38" s="66"/>
      <c r="J38" s="66"/>
      <c r="K38" s="66"/>
      <c r="L38" s="66"/>
      <c r="M38" s="79"/>
      <c r="N38" s="79"/>
      <c r="O38" s="79"/>
      <c r="P38" s="79"/>
      <c r="Q38" s="79"/>
    </row>
    <row r="39" spans="1:69">
      <c r="A39" s="65" t="s">
        <v>38</v>
      </c>
      <c r="D39" s="67">
        <f>SUM(E39:H39)</f>
        <v>310710825.29850054</v>
      </c>
      <c r="E39" s="70">
        <f>E38*E31/12</f>
        <v>151400351.80000001</v>
      </c>
      <c r="F39" s="70">
        <f>F38*SUM(F31:H31)/12</f>
        <v>159310473.49850056</v>
      </c>
      <c r="H39" s="66"/>
      <c r="I39" s="66"/>
      <c r="J39" s="66"/>
      <c r="K39" s="66"/>
      <c r="L39" s="66"/>
    </row>
    <row r="40" spans="1:69">
      <c r="A40" s="65" t="s">
        <v>40</v>
      </c>
      <c r="D40" s="67">
        <f>SUM(E40:H40)</f>
        <v>2323051.0182639062</v>
      </c>
      <c r="E40" s="67">
        <f>E39-E36</f>
        <v>613011.47414803505</v>
      </c>
      <c r="F40" s="67">
        <f>F39-SUM(F36:H36)</f>
        <v>1710039.5441158712</v>
      </c>
      <c r="H40" s="66"/>
      <c r="I40" s="66"/>
      <c r="J40" s="66"/>
      <c r="K40" s="66"/>
      <c r="L40" s="66"/>
      <c r="W40" s="92"/>
    </row>
    <row r="41" spans="1:69">
      <c r="C41" s="78"/>
      <c r="E41" s="67"/>
      <c r="F41" s="67"/>
      <c r="G41" s="70"/>
      <c r="H41" s="66"/>
      <c r="I41" s="66"/>
      <c r="J41" s="66"/>
      <c r="K41" s="66"/>
      <c r="L41" s="66"/>
    </row>
    <row r="42" spans="1:69">
      <c r="A42" s="65" t="s">
        <v>54</v>
      </c>
      <c r="D42" s="67">
        <f>D29+D40</f>
        <v>517153356.48130298</v>
      </c>
      <c r="H42" s="66"/>
      <c r="I42" s="66"/>
      <c r="J42" s="66"/>
      <c r="K42" s="66"/>
      <c r="L42" s="66"/>
      <c r="T42" s="65" t="s">
        <v>7</v>
      </c>
      <c r="U42" t="s">
        <v>78</v>
      </c>
      <c r="V42" s="116">
        <f>+SUM(V3:AG3)</f>
        <v>218381096.97992414</v>
      </c>
      <c r="AB42" s="116">
        <f>+SUM(AB3:AM3)</f>
        <v>219278905.4698633</v>
      </c>
      <c r="AH42" s="116">
        <f>+SUM(AH3:AS3)</f>
        <v>218464768.43469584</v>
      </c>
      <c r="AN42" s="116">
        <f>+SUM(AN3:AY3)</f>
        <v>219887914.60708669</v>
      </c>
      <c r="AT42" s="116">
        <f>+SUM(AT3:BE3)</f>
        <v>219823662.00236699</v>
      </c>
      <c r="AZ42" s="116">
        <f>+SUM(AZ3:BK3)</f>
        <v>221048435.06424588</v>
      </c>
    </row>
    <row r="43" spans="1:69">
      <c r="A43" s="65" t="s">
        <v>60</v>
      </c>
      <c r="D43" s="67">
        <f>D42-D33</f>
        <v>407283888.27652442</v>
      </c>
      <c r="H43" s="66"/>
      <c r="I43" s="66"/>
      <c r="J43" s="66"/>
      <c r="K43" s="66"/>
      <c r="L43" s="66"/>
      <c r="T43" s="65" t="s">
        <v>8</v>
      </c>
      <c r="U43" t="s">
        <v>77</v>
      </c>
      <c r="V43" s="116">
        <f>+SUM(V4:AG5)</f>
        <v>76176939.676263526</v>
      </c>
      <c r="AB43" s="116">
        <f>+SUM(AB4:AM5)</f>
        <v>76658465.818325669</v>
      </c>
      <c r="AH43" s="116">
        <f>+SUM(AH4:AS5)</f>
        <v>77105431.86234349</v>
      </c>
      <c r="AN43" s="116">
        <f>+SUM(AN4:AY5)</f>
        <v>77563144.908889696</v>
      </c>
      <c r="AT43" s="116">
        <f>+SUM(AT4:BE5)</f>
        <v>78057865.917601049</v>
      </c>
      <c r="AZ43" s="116">
        <f>+SUM(AZ4:BK5)</f>
        <v>78479820.00169012</v>
      </c>
    </row>
    <row r="44" spans="1:69" ht="16.5" thickBot="1">
      <c r="D44" s="67"/>
      <c r="E44" s="77"/>
      <c r="F44" s="77"/>
      <c r="G44" s="77"/>
      <c r="H44" s="66"/>
      <c r="I44" s="66"/>
      <c r="J44" s="66"/>
      <c r="K44" s="66"/>
      <c r="L44" s="66"/>
      <c r="T44" s="65" t="s">
        <v>9</v>
      </c>
      <c r="U44" t="s">
        <v>76</v>
      </c>
      <c r="V44" s="116">
        <f>+SUM(V6:AG7)</f>
        <v>128747470.84096143</v>
      </c>
      <c r="AB44" s="116">
        <f>+SUM(AB6:AM7)</f>
        <v>128734379.86304753</v>
      </c>
      <c r="AH44" s="116">
        <f>+SUM(AH6:AS7)</f>
        <v>128804088.62146053</v>
      </c>
      <c r="AN44" s="116">
        <f>+SUM(AN6:AY7)</f>
        <v>128741315.47166662</v>
      </c>
      <c r="AT44" s="116">
        <f>+SUM(AT6:BE7)</f>
        <v>128893471.09087461</v>
      </c>
      <c r="AZ44" s="116">
        <f>+SUM(AZ6:BK7)</f>
        <v>128788373.13314673</v>
      </c>
    </row>
    <row r="45" spans="1:69">
      <c r="A45" s="76" t="s">
        <v>59</v>
      </c>
      <c r="B45" s="75"/>
      <c r="C45" s="75"/>
      <c r="D45" s="74">
        <f>D43-D21</f>
        <v>11821548.672824502</v>
      </c>
      <c r="E45" s="70"/>
      <c r="F45" s="70"/>
      <c r="G45" s="67"/>
      <c r="H45" s="66"/>
      <c r="I45" s="66"/>
      <c r="J45" s="66"/>
      <c r="K45" s="66"/>
      <c r="L45" s="66"/>
      <c r="T45" s="65" t="s">
        <v>80</v>
      </c>
      <c r="U45" t="s">
        <v>74</v>
      </c>
      <c r="V45" s="116">
        <f>+SUM(V8:AG8)</f>
        <v>68142239.782696754</v>
      </c>
      <c r="AB45" s="116">
        <f>+SUM(AB8:AM8)</f>
        <v>68415899.052979946</v>
      </c>
      <c r="AH45" s="116">
        <f>+SUM(AH8:AS8)</f>
        <v>68595873.912799165</v>
      </c>
      <c r="AN45" s="116">
        <f>+SUM(AN8:AY8)</f>
        <v>68745585.568232402</v>
      </c>
      <c r="AT45" s="116">
        <f>+SUM(AT8:BE8)</f>
        <v>68910688.78485246</v>
      </c>
      <c r="AZ45" s="116">
        <f>+SUM(AZ8:BK8)</f>
        <v>69062062.005599737</v>
      </c>
    </row>
    <row r="46" spans="1:69" ht="16.5" thickBot="1">
      <c r="A46" s="73" t="s">
        <v>56</v>
      </c>
      <c r="B46" s="72"/>
      <c r="C46" s="72" t="s">
        <v>57</v>
      </c>
      <c r="D46" s="71">
        <f>D45/3.25</f>
        <v>3637399.5916383085</v>
      </c>
      <c r="E46" s="70"/>
      <c r="F46" s="70"/>
      <c r="H46" s="66"/>
      <c r="I46" s="66"/>
      <c r="J46" s="66"/>
      <c r="K46" s="66"/>
      <c r="L46" s="66"/>
      <c r="T46" s="65" t="s">
        <v>81</v>
      </c>
      <c r="U46" t="s">
        <v>75</v>
      </c>
      <c r="V46" s="116">
        <f>+SUM(V9:AG10)</f>
        <v>12102661.857689351</v>
      </c>
      <c r="AB46" s="116">
        <f>+SUM(AB9:AM10)</f>
        <v>12067431.505011896</v>
      </c>
      <c r="AH46" s="116">
        <f>+SUM(AH9:AS10)</f>
        <v>12208112.081727764</v>
      </c>
      <c r="AN46" s="116">
        <f>+SUM(AN9:AY10)</f>
        <v>12104678.514148109</v>
      </c>
      <c r="AT46" s="116">
        <f>+SUM(AT9:BE10)</f>
        <v>12253620.812802596</v>
      </c>
      <c r="AZ46" s="116">
        <f>+SUM(AZ9:BK10)</f>
        <v>12193268.960462714</v>
      </c>
    </row>
    <row r="47" spans="1:69">
      <c r="D47" s="69"/>
      <c r="E47" s="67"/>
      <c r="F47" s="67"/>
      <c r="T47" s="65" t="s">
        <v>79</v>
      </c>
      <c r="U47" t="s">
        <v>73</v>
      </c>
      <c r="V47" s="116">
        <f>+SUM(V11:AG11)</f>
        <v>6012130.2224856149</v>
      </c>
      <c r="AB47" s="116">
        <f>+SUM(AB11:AM11)</f>
        <v>6041556.4057204332</v>
      </c>
      <c r="AH47" s="116">
        <f>+SUM(AH11:AS11)</f>
        <v>6010615.5643749442</v>
      </c>
      <c r="AN47" s="116">
        <f>+SUM(AN11:AY11)</f>
        <v>5974784.1390083656</v>
      </c>
      <c r="AT47" s="116">
        <f>+SUM(AT11:BE11)</f>
        <v>5978584.0568889193</v>
      </c>
      <c r="AZ47" s="116">
        <f>+SUM(AZ11:BK11)</f>
        <v>5980523.1737901783</v>
      </c>
    </row>
    <row r="48" spans="1:69">
      <c r="D48" s="67"/>
      <c r="G48" s="68"/>
      <c r="V48" s="116">
        <f>+SUM(V42:V47)</f>
        <v>509562539.36002082</v>
      </c>
      <c r="AB48" s="116">
        <f>+SUM(AB42:AB47)</f>
        <v>511196638.11494875</v>
      </c>
      <c r="AH48" s="116">
        <f>+SUM(AH42:AH47)</f>
        <v>511188890.47740167</v>
      </c>
      <c r="AN48" s="116">
        <f>+SUM(AN42:AN47)</f>
        <v>513017423.20903188</v>
      </c>
      <c r="AT48" s="116">
        <f>+SUM(AT42:AT47)</f>
        <v>513917892.66538662</v>
      </c>
      <c r="AZ48" s="116">
        <f>+SUM(AZ42:AZ47)</f>
        <v>515552482.33893532</v>
      </c>
    </row>
    <row r="49" spans="1:52">
      <c r="A49" s="66"/>
      <c r="B49" s="66"/>
      <c r="C49" s="66"/>
      <c r="D49" s="66"/>
      <c r="E49" s="66"/>
      <c r="F49" s="66"/>
      <c r="G49" s="66"/>
    </row>
    <row r="50" spans="1:52">
      <c r="D50" s="67"/>
      <c r="E50" s="67"/>
      <c r="F50" s="67"/>
      <c r="G50" s="67"/>
      <c r="H50" s="67"/>
    </row>
    <row r="51" spans="1:5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5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</row>
    <row r="53" spans="1:5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1:5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5" t="s">
        <v>7</v>
      </c>
      <c r="U54" t="s">
        <v>78</v>
      </c>
      <c r="V54" s="116">
        <f>+SUM(V15:AG15)</f>
        <v>2399728561.9122081</v>
      </c>
      <c r="AB54" s="116">
        <f>+SUM(AB15:AM15)</f>
        <v>2409941801.4026675</v>
      </c>
      <c r="AH54" s="116">
        <f>+SUM(AH15:AS15)</f>
        <v>2399106685.8929715</v>
      </c>
      <c r="AN54" s="116">
        <f>+SUM(AN15:AY15)</f>
        <v>2415138819.418097</v>
      </c>
      <c r="AT54" s="116">
        <f>+SUM(AT15:BE15)</f>
        <v>2412965747.0231228</v>
      </c>
      <c r="AZ54" s="116">
        <f>+SUM(AZ15:BK15)</f>
        <v>2426708807.8862929</v>
      </c>
    </row>
    <row r="55" spans="1:5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5" t="s">
        <v>8</v>
      </c>
      <c r="U55" t="s">
        <v>77</v>
      </c>
      <c r="V55" s="116">
        <f>+SUM(V16:AG17)</f>
        <v>629003799.08189642</v>
      </c>
      <c r="AB55" s="116">
        <f>+SUM(AB16:AM17)</f>
        <v>633064471.54237831</v>
      </c>
      <c r="AH55" s="116">
        <f>+SUM(AH16:AS17)</f>
        <v>636827239.03408194</v>
      </c>
      <c r="AN55" s="116">
        <f>+SUM(AN16:AY17)</f>
        <v>640657693.74421263</v>
      </c>
      <c r="AT55" s="116">
        <f>+SUM(AT16:BE17)</f>
        <v>644878924.19054449</v>
      </c>
      <c r="AZ55" s="116">
        <f>+SUM(AZ16:BK17)</f>
        <v>648375630.13612056</v>
      </c>
    </row>
    <row r="56" spans="1:5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5" t="s">
        <v>9</v>
      </c>
      <c r="U56" t="s">
        <v>76</v>
      </c>
      <c r="V56" s="116">
        <f>+SUM(V18:AG19)</f>
        <v>1403826045.6706898</v>
      </c>
      <c r="AB56" s="116">
        <f>+SUM(AB18:AM19)</f>
        <v>1403658943.6467049</v>
      </c>
      <c r="AH56" s="116">
        <f>+SUM(AH18:AS19)</f>
        <v>1404648528.8716395</v>
      </c>
      <c r="AN56" s="116">
        <f>+SUM(AN18:AY19)</f>
        <v>1403775970.0122592</v>
      </c>
      <c r="AT56" s="116">
        <f>+SUM(AT18:BE19)</f>
        <v>1405926986.3009341</v>
      </c>
      <c r="AZ56" s="116">
        <f>+SUM(AZ18:BK19)</f>
        <v>1404459479.2222526</v>
      </c>
    </row>
    <row r="57" spans="1:5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5" t="s">
        <v>80</v>
      </c>
      <c r="U57" t="s">
        <v>74</v>
      </c>
      <c r="V57" s="116">
        <f>+SUM(V20:AG20)</f>
        <v>1151947276.1061809</v>
      </c>
      <c r="AB57" s="116">
        <f>+SUM(AB20:AM20)</f>
        <v>1157453102.4846506</v>
      </c>
      <c r="AH57" s="116">
        <f>+SUM(AH20:AS20)</f>
        <v>1161090393.5629454</v>
      </c>
      <c r="AN57" s="116">
        <f>+SUM(AN20:AY20)</f>
        <v>1164111679.567493</v>
      </c>
      <c r="AT57" s="116">
        <f>+SUM(AT20:BE20)</f>
        <v>1167444889.740057</v>
      </c>
      <c r="AZ57" s="116">
        <f>+SUM(AZ20:BK20)</f>
        <v>1170501235.0054209</v>
      </c>
    </row>
    <row r="58" spans="1:5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5" t="s">
        <v>81</v>
      </c>
      <c r="U58" t="s">
        <v>75</v>
      </c>
      <c r="V58" s="116">
        <f>+SUM(V21:AG22)</f>
        <v>142489265.45592916</v>
      </c>
      <c r="AB58" s="116">
        <f>+SUM(AB21:AM22)</f>
        <v>142063740.59840006</v>
      </c>
      <c r="AH58" s="116">
        <f>+SUM(AH21:AS22)</f>
        <v>143790450.64579999</v>
      </c>
      <c r="AN58" s="116">
        <f>+SUM(AN21:AY22)</f>
        <v>142539597.68190727</v>
      </c>
      <c r="AT58" s="116">
        <f>+SUM(AT21:BE22)</f>
        <v>144387561.64966923</v>
      </c>
      <c r="AZ58" s="116">
        <f>+SUM(AZ21:BK22)</f>
        <v>143653572.94694409</v>
      </c>
    </row>
    <row r="59" spans="1:5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5" t="s">
        <v>79</v>
      </c>
      <c r="U59" t="s">
        <v>73</v>
      </c>
      <c r="V59" s="116">
        <f>+SUM(V23:AG23)</f>
        <v>14249998.039868219</v>
      </c>
      <c r="AB59" s="116">
        <f>+SUM(AB23:AM23)</f>
        <v>13107381.210637432</v>
      </c>
      <c r="AH59" s="116">
        <f>+SUM(AH23:AS23)</f>
        <v>12619353.631146716</v>
      </c>
      <c r="AN59" s="116">
        <f>+SUM(AN23:AY23)</f>
        <v>12564886.705268549</v>
      </c>
      <c r="AT59" s="116">
        <f>+SUM(AT23:BE23)</f>
        <v>12368697.712479083</v>
      </c>
      <c r="AZ59" s="116">
        <f>+SUM(AZ23:BK23)</f>
        <v>12268369.282982541</v>
      </c>
    </row>
    <row r="60" spans="1:5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</row>
    <row r="61" spans="1:5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</row>
    <row r="62" spans="1:5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1:5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</row>
    <row r="64" spans="1:5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</row>
    <row r="65" spans="1:28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</row>
    <row r="66" spans="1:28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5" t="s">
        <v>7</v>
      </c>
      <c r="U66" t="s">
        <v>78</v>
      </c>
      <c r="V66" s="281">
        <f>+AVERAGE(V27:AG27)</f>
        <v>217621.66666666666</v>
      </c>
      <c r="W66" s="92"/>
      <c r="AB66" s="281">
        <f>+AVERAGE(AB27:AM27)</f>
        <v>218056.25</v>
      </c>
    </row>
    <row r="67" spans="1:28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5" t="s">
        <v>8</v>
      </c>
      <c r="U67" t="s">
        <v>77</v>
      </c>
      <c r="V67" s="281">
        <f>+AVERAGE(V28:AG28)+AVERAGE(V29:AG29)</f>
        <v>32735.715007996776</v>
      </c>
      <c r="AB67" s="281">
        <f>+AVERAGE(AB28:AM28)+AVERAGE(AB29:AM29)</f>
        <v>32966.962501313414</v>
      </c>
    </row>
    <row r="68" spans="1:28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5" t="s">
        <v>9</v>
      </c>
      <c r="U68" t="s">
        <v>76</v>
      </c>
      <c r="V68" s="281">
        <f>+AVERAGE(V31:AG31)+AVERAGE(V30:AG30)</f>
        <v>1905.9227921364709</v>
      </c>
      <c r="AB68" s="281">
        <f>+AVERAGE(AB31:AM31)+AVERAGE(AB30:AM30)</f>
        <v>1905.7506002767661</v>
      </c>
    </row>
    <row r="69" spans="1:28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5" t="s">
        <v>80</v>
      </c>
      <c r="U69" t="s">
        <v>74</v>
      </c>
      <c r="V69" s="281">
        <f>+AVERAGE(V32:AG32)</f>
        <v>22.984538252720565</v>
      </c>
      <c r="AB69" s="281">
        <f>+AVERAGE(AB32:AM32)</f>
        <v>22.987514366813716</v>
      </c>
    </row>
    <row r="70" spans="1:28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5" t="s">
        <v>81</v>
      </c>
      <c r="U70" t="s">
        <v>75</v>
      </c>
      <c r="V70" s="281">
        <f>+AVERAGE(V34:AG34)+AVERAGE(V33:AG33)</f>
        <v>2474.5165950819119</v>
      </c>
      <c r="AB70" s="281">
        <f>+AVERAGE(AB34:AM34)+AVERAGE(AB33:AM33)</f>
        <v>2477.1152410804725</v>
      </c>
    </row>
    <row r="71" spans="1:28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5" t="s">
        <v>79</v>
      </c>
      <c r="U71" t="s">
        <v>73</v>
      </c>
      <c r="V71" s="281">
        <f>+AVERAGE(V35:AG35)</f>
        <v>435.0945916666667</v>
      </c>
      <c r="AB71" s="281">
        <f>+AVERAGE(AB35:AM35)</f>
        <v>436.54955833333338</v>
      </c>
    </row>
    <row r="72" spans="1:28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U72"/>
      <c r="V72" s="116"/>
    </row>
    <row r="73" spans="1:28" s="66" customFormat="1">
      <c r="T73" s="65"/>
      <c r="U73"/>
      <c r="V73" s="116"/>
    </row>
    <row r="74" spans="1:28" s="66" customFormat="1" ht="15"/>
    <row r="75" spans="1:28" s="66" customFormat="1" ht="15"/>
    <row r="76" spans="1:28" s="66" customFormat="1" ht="15"/>
    <row r="77" spans="1:28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</row>
    <row r="78" spans="1:28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</row>
    <row r="79" spans="1:28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</row>
    <row r="80" spans="1:28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</row>
    <row r="81" spans="1:19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</row>
  </sheetData>
  <printOptions horizontalCentered="1"/>
  <pageMargins left="0.7" right="0.7" top="0.75" bottom="0.75" header="0.3" footer="0.3"/>
  <pageSetup orientation="portrait" r:id="rId1"/>
  <headerFooter scaleWithDoc="0">
    <oddHeader>&amp;LElectric - Revenue Growth Rate Calculation&amp;RExh. EMA-4, Page 5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R311"/>
  <sheetViews>
    <sheetView showGridLines="0" zoomScaleNormal="100" zoomScaleSheetLayoutView="130" workbookViewId="0">
      <pane ySplit="5" topLeftCell="A6" activePane="bottomLeft" state="frozen"/>
      <selection activeCell="G120" sqref="G120"/>
      <selection pane="bottomLeft" activeCell="A6" sqref="A6"/>
    </sheetView>
  </sheetViews>
  <sheetFormatPr defaultColWidth="10.7109375" defaultRowHeight="11.25"/>
  <cols>
    <col min="1" max="1" width="9.7109375" style="126" customWidth="1"/>
    <col min="2" max="2" width="25.7109375" style="125" customWidth="1"/>
    <col min="3" max="4" width="11.85546875" style="125" customWidth="1"/>
    <col min="5" max="5" width="11.5703125" style="125" customWidth="1"/>
    <col min="6" max="6" width="11.85546875" style="125" customWidth="1"/>
    <col min="7" max="7" width="11.7109375" style="125" customWidth="1"/>
    <col min="8" max="8" width="11.28515625" style="125" customWidth="1"/>
    <col min="9" max="9" width="11.85546875" style="125" customWidth="1"/>
    <col min="10" max="10" width="10.7109375" style="125" customWidth="1"/>
    <col min="11" max="11" width="3.7109375" style="125" customWidth="1"/>
    <col min="12" max="12" width="13.28515625" style="125" customWidth="1"/>
    <col min="13" max="13" width="3.7109375" style="125" customWidth="1"/>
    <col min="14" max="15" width="10.7109375" style="125" customWidth="1"/>
    <col min="16" max="16" width="35.7109375" style="125" customWidth="1"/>
    <col min="17" max="16384" width="10.7109375" style="125"/>
  </cols>
  <sheetData>
    <row r="2" spans="1:18" ht="22.5" customHeight="1">
      <c r="B2" s="206" t="s">
        <v>255</v>
      </c>
    </row>
    <row r="4" spans="1:18" s="141" customFormat="1">
      <c r="A4" s="126" t="s">
        <v>103</v>
      </c>
      <c r="C4" s="141" t="s">
        <v>6</v>
      </c>
      <c r="D4" s="141" t="s">
        <v>7</v>
      </c>
      <c r="E4" s="141" t="s">
        <v>8</v>
      </c>
      <c r="F4" s="141" t="s">
        <v>9</v>
      </c>
      <c r="G4" s="141" t="s">
        <v>80</v>
      </c>
      <c r="H4" s="141" t="s">
        <v>81</v>
      </c>
      <c r="I4" s="141" t="s">
        <v>79</v>
      </c>
    </row>
    <row r="5" spans="1:18" s="141" customFormat="1">
      <c r="A5" s="126" t="s">
        <v>100</v>
      </c>
      <c r="C5" s="142" t="s">
        <v>13</v>
      </c>
      <c r="D5" s="142" t="s">
        <v>78</v>
      </c>
      <c r="E5" s="142" t="s">
        <v>77</v>
      </c>
      <c r="F5" s="142" t="s">
        <v>76</v>
      </c>
      <c r="G5" s="142" t="s">
        <v>74</v>
      </c>
      <c r="H5" s="142" t="s">
        <v>75</v>
      </c>
      <c r="I5" s="142" t="s">
        <v>73</v>
      </c>
      <c r="P5" s="205" t="s">
        <v>180</v>
      </c>
    </row>
    <row r="6" spans="1:18" ht="11.25" customHeight="1">
      <c r="B6" s="169" t="s">
        <v>179</v>
      </c>
      <c r="K6" s="141"/>
      <c r="L6" s="204" t="s">
        <v>178</v>
      </c>
      <c r="M6" s="141"/>
      <c r="N6" s="141"/>
      <c r="P6" s="278" t="str">
        <f>"AVISTA UTILITIES
WASHINGTON ELECTRIC
PRO FORMA REVENUE UNDER PRESENT AND PROPOSED "&amp;N9&amp;" RATES
12 MONTHS ENDED DECEMBER 31, 2018"</f>
        <v>AVISTA UTILITIES
WASHINGTON ELECTRIC
PRO FORMA REVENUE UNDER PRESENT AND PROPOSED BASE TARIFF RATES
12 MONTHS ENDED DECEMBER 31, 2018</v>
      </c>
      <c r="Q6" s="278"/>
      <c r="R6" s="278"/>
    </row>
    <row r="7" spans="1:18" ht="11.25" customHeight="1">
      <c r="B7" s="198" t="s">
        <v>168</v>
      </c>
      <c r="K7" s="202" t="s">
        <v>177</v>
      </c>
      <c r="L7" s="125" t="s">
        <v>176</v>
      </c>
      <c r="M7" s="141"/>
      <c r="N7" s="141"/>
      <c r="P7" s="278"/>
      <c r="Q7" s="278"/>
      <c r="R7" s="278"/>
    </row>
    <row r="8" spans="1:18" ht="11.25" customHeight="1">
      <c r="A8" s="126" t="s">
        <v>170</v>
      </c>
      <c r="B8" s="125" t="s">
        <v>140</v>
      </c>
      <c r="C8" s="128"/>
      <c r="D8" s="128">
        <v>1605882413.823499</v>
      </c>
      <c r="E8" s="128">
        <v>430539202.45778012</v>
      </c>
      <c r="F8" s="128">
        <v>1232886421.9486601</v>
      </c>
      <c r="G8" s="128">
        <v>138000000</v>
      </c>
      <c r="H8" s="128">
        <v>47992444.985150002</v>
      </c>
      <c r="I8" s="128"/>
      <c r="L8" s="141" t="s">
        <v>175</v>
      </c>
      <c r="N8" s="203">
        <v>1</v>
      </c>
      <c r="P8" s="278"/>
      <c r="Q8" s="278"/>
      <c r="R8" s="278"/>
    </row>
    <row r="9" spans="1:18" ht="11.25" customHeight="1">
      <c r="A9" s="126" t="s">
        <v>170</v>
      </c>
      <c r="B9" s="125" t="s">
        <v>139</v>
      </c>
      <c r="C9" s="128"/>
      <c r="D9" s="128">
        <v>487014728.23856175</v>
      </c>
      <c r="E9" s="128">
        <v>192163370.65126002</v>
      </c>
      <c r="F9" s="128">
        <v>147453504.18134001</v>
      </c>
      <c r="G9" s="128">
        <v>561355022.898</v>
      </c>
      <c r="H9" s="128">
        <v>97815247.456860006</v>
      </c>
      <c r="I9" s="128"/>
      <c r="K9" s="202" t="s">
        <v>174</v>
      </c>
      <c r="L9" s="125" t="s">
        <v>173</v>
      </c>
      <c r="N9" s="125" t="str">
        <f>CHOOSE(Base1_Billing2,L7,L9)</f>
        <v>BASE TARIFF</v>
      </c>
      <c r="P9" s="278"/>
      <c r="Q9" s="278"/>
      <c r="R9" s="278"/>
    </row>
    <row r="10" spans="1:18" ht="11.25" customHeight="1">
      <c r="A10" s="126" t="s">
        <v>170</v>
      </c>
      <c r="B10" s="125" t="s">
        <v>138</v>
      </c>
      <c r="C10" s="128"/>
      <c r="D10" s="128">
        <v>273738139.51818943</v>
      </c>
      <c r="E10" s="128"/>
      <c r="F10" s="128"/>
      <c r="G10" s="128">
        <v>414208988.79999995</v>
      </c>
      <c r="H10" s="128"/>
      <c r="I10" s="128"/>
      <c r="N10" s="125" t="str">
        <f>CHOOSE(Base1_Billing2,"Base","Billing")</f>
        <v>Base</v>
      </c>
      <c r="P10" s="278"/>
      <c r="Q10" s="278"/>
      <c r="R10" s="278"/>
    </row>
    <row r="11" spans="1:18" ht="11.25" customHeight="1">
      <c r="B11" s="125" t="s">
        <v>137</v>
      </c>
      <c r="C11" s="128"/>
      <c r="D11" s="128"/>
      <c r="E11" s="128"/>
      <c r="F11" s="128"/>
      <c r="G11" s="128"/>
      <c r="H11" s="128"/>
      <c r="I11" s="128"/>
      <c r="P11" s="278"/>
      <c r="Q11" s="278"/>
      <c r="R11" s="278"/>
    </row>
    <row r="12" spans="1:18">
      <c r="A12" s="126" t="s">
        <v>172</v>
      </c>
      <c r="B12" s="125" t="s">
        <v>167</v>
      </c>
      <c r="C12" s="164"/>
      <c r="D12" s="164"/>
      <c r="E12" s="164"/>
      <c r="F12" s="164"/>
      <c r="G12" s="164"/>
      <c r="H12" s="164"/>
      <c r="I12" s="166">
        <v>18542031.540509999</v>
      </c>
      <c r="N12" s="128"/>
    </row>
    <row r="13" spans="1:18">
      <c r="C13" s="128"/>
      <c r="D13" s="128"/>
      <c r="E13" s="128"/>
      <c r="F13" s="128"/>
      <c r="G13" s="128"/>
      <c r="H13" s="128"/>
      <c r="I13" s="201"/>
      <c r="N13" s="136"/>
    </row>
    <row r="14" spans="1:18">
      <c r="B14" s="125" t="s">
        <v>129</v>
      </c>
      <c r="C14" s="128">
        <v>5647591516.4998102</v>
      </c>
      <c r="D14" s="128">
        <v>2366635281.5802503</v>
      </c>
      <c r="E14" s="128">
        <v>622702573.10904014</v>
      </c>
      <c r="F14" s="128">
        <v>1380339926.1300001</v>
      </c>
      <c r="G14" s="128">
        <v>1113564011.698</v>
      </c>
      <c r="H14" s="128">
        <v>145807692.44201002</v>
      </c>
      <c r="I14" s="128">
        <v>18542031.540509999</v>
      </c>
    </row>
    <row r="15" spans="1:18" s="127" customFormat="1">
      <c r="A15" s="126"/>
      <c r="B15" s="165"/>
      <c r="C15" s="128"/>
      <c r="D15" s="128"/>
      <c r="E15" s="128"/>
      <c r="F15" s="128"/>
      <c r="G15" s="128"/>
      <c r="H15" s="128"/>
      <c r="I15" s="128"/>
    </row>
    <row r="16" spans="1:18">
      <c r="C16" s="135"/>
      <c r="D16" s="135"/>
      <c r="E16" s="135"/>
      <c r="F16" s="135"/>
      <c r="G16" s="135"/>
      <c r="H16" s="135"/>
      <c r="I16" s="135"/>
    </row>
    <row r="17" spans="1:12">
      <c r="B17" s="125" t="s">
        <v>129</v>
      </c>
      <c r="C17" s="128">
        <v>5647591516.4998102</v>
      </c>
      <c r="D17" s="128">
        <v>2366635281.5802503</v>
      </c>
      <c r="E17" s="128">
        <v>622702573.10904014</v>
      </c>
      <c r="F17" s="128">
        <v>1380339926.1300001</v>
      </c>
      <c r="G17" s="128">
        <v>1113564011.698</v>
      </c>
      <c r="H17" s="128">
        <v>145807692.44201002</v>
      </c>
      <c r="I17" s="128">
        <v>18542031.540509999</v>
      </c>
    </row>
    <row r="18" spans="1:12">
      <c r="A18" s="126" t="s">
        <v>170</v>
      </c>
      <c r="B18" s="125" t="s">
        <v>166</v>
      </c>
      <c r="C18" s="128">
        <v>0</v>
      </c>
      <c r="D18" s="128">
        <v>0</v>
      </c>
      <c r="E18" s="128">
        <v>0</v>
      </c>
      <c r="F18" s="128">
        <v>0</v>
      </c>
      <c r="G18" s="200">
        <v>0</v>
      </c>
      <c r="H18" s="128">
        <v>0</v>
      </c>
      <c r="I18" s="200">
        <v>0</v>
      </c>
    </row>
    <row r="19" spans="1:12">
      <c r="C19" s="135"/>
      <c r="D19" s="135"/>
      <c r="E19" s="135"/>
      <c r="F19" s="135"/>
      <c r="G19" s="135"/>
      <c r="H19" s="135"/>
      <c r="I19" s="135"/>
    </row>
    <row r="20" spans="1:12">
      <c r="B20" s="125" t="s">
        <v>165</v>
      </c>
      <c r="C20" s="128">
        <v>5647591516.4998102</v>
      </c>
      <c r="D20" s="128">
        <v>2366635281.5802503</v>
      </c>
      <c r="E20" s="128">
        <v>622702573.10904014</v>
      </c>
      <c r="F20" s="128">
        <v>1380339926.1300001</v>
      </c>
      <c r="G20" s="128">
        <v>1113564011.698</v>
      </c>
      <c r="H20" s="128">
        <v>145807692.44201002</v>
      </c>
      <c r="I20" s="128">
        <v>18542031.540509999</v>
      </c>
    </row>
    <row r="21" spans="1:12" s="127" customFormat="1">
      <c r="A21" s="126" t="s">
        <v>171</v>
      </c>
      <c r="B21" s="165" t="s">
        <v>164</v>
      </c>
      <c r="C21" s="160">
        <v>-9748691</v>
      </c>
      <c r="D21" s="160">
        <v>8068407</v>
      </c>
      <c r="E21" s="160">
        <v>-3396621</v>
      </c>
      <c r="F21" s="160">
        <v>-14435302</v>
      </c>
      <c r="G21" s="199">
        <v>0</v>
      </c>
      <c r="H21" s="160">
        <v>14825</v>
      </c>
      <c r="I21" s="160">
        <v>0</v>
      </c>
    </row>
    <row r="22" spans="1:12">
      <c r="C22" s="135"/>
      <c r="D22" s="135"/>
      <c r="E22" s="135"/>
      <c r="F22" s="135"/>
      <c r="G22" s="135"/>
      <c r="H22" s="135"/>
      <c r="I22" s="135"/>
      <c r="L22" s="125" t="s">
        <v>6</v>
      </c>
    </row>
    <row r="23" spans="1:12">
      <c r="B23" s="125" t="s">
        <v>163</v>
      </c>
      <c r="C23" s="128">
        <v>5637842825.4998102</v>
      </c>
      <c r="D23" s="128">
        <v>2374703688.5802503</v>
      </c>
      <c r="E23" s="128">
        <v>619305952.10904014</v>
      </c>
      <c r="F23" s="128">
        <v>1365904624.1300001</v>
      </c>
      <c r="G23" s="128">
        <v>1113564011.698</v>
      </c>
      <c r="H23" s="128">
        <v>145822517.44201002</v>
      </c>
      <c r="I23" s="128">
        <v>18542031.540509999</v>
      </c>
    </row>
    <row r="24" spans="1:12">
      <c r="C24" s="128"/>
      <c r="D24" s="128"/>
      <c r="E24" s="128"/>
      <c r="F24" s="128"/>
      <c r="G24" s="128"/>
      <c r="H24" s="128"/>
      <c r="I24" s="128"/>
    </row>
    <row r="25" spans="1:12">
      <c r="A25" s="126" t="s">
        <v>170</v>
      </c>
      <c r="B25" s="125" t="s">
        <v>162</v>
      </c>
      <c r="C25" s="128"/>
      <c r="D25" s="128">
        <v>2587975</v>
      </c>
      <c r="E25" s="128">
        <v>386800</v>
      </c>
      <c r="F25" s="128">
        <v>22787</v>
      </c>
      <c r="G25" s="128">
        <v>276</v>
      </c>
      <c r="H25" s="128">
        <v>29446</v>
      </c>
      <c r="I25" s="128"/>
    </row>
    <row r="26" spans="1:12">
      <c r="B26" s="125" t="s">
        <v>161</v>
      </c>
      <c r="C26" s="128"/>
      <c r="D26" s="128"/>
      <c r="E26" s="128"/>
      <c r="F26" s="128"/>
      <c r="G26" s="128"/>
      <c r="H26" s="128"/>
      <c r="I26" s="128"/>
    </row>
    <row r="27" spans="1:12">
      <c r="A27" s="126" t="s">
        <v>170</v>
      </c>
      <c r="B27" s="125" t="s">
        <v>160</v>
      </c>
      <c r="C27" s="128"/>
      <c r="D27" s="128"/>
      <c r="E27" s="128">
        <v>433206.97974358976</v>
      </c>
      <c r="F27" s="128">
        <v>2634662.4356410257</v>
      </c>
      <c r="G27" s="128">
        <v>1279394.3930000002</v>
      </c>
      <c r="H27" s="128"/>
      <c r="I27" s="128"/>
    </row>
    <row r="28" spans="1:12">
      <c r="C28" s="162"/>
      <c r="D28" s="162"/>
      <c r="E28" s="162"/>
      <c r="F28" s="162"/>
      <c r="G28" s="162"/>
      <c r="H28" s="162"/>
      <c r="I28" s="162"/>
    </row>
    <row r="29" spans="1:12" ht="12.75">
      <c r="B29" s="169" t="s">
        <v>169</v>
      </c>
    </row>
    <row r="30" spans="1:12" s="138" customFormat="1">
      <c r="A30" s="153"/>
      <c r="B30" s="198" t="s">
        <v>168</v>
      </c>
    </row>
    <row r="31" spans="1:12">
      <c r="B31" s="125" t="s">
        <v>140</v>
      </c>
      <c r="C31" s="128"/>
      <c r="D31" s="128">
        <v>1605882413.823499</v>
      </c>
      <c r="E31" s="128">
        <v>430539202.45778012</v>
      </c>
      <c r="F31" s="128">
        <v>1232886421.9486601</v>
      </c>
      <c r="G31" s="128">
        <v>138000000</v>
      </c>
      <c r="H31" s="128">
        <v>47992444.985150002</v>
      </c>
      <c r="I31" s="128">
        <v>0</v>
      </c>
    </row>
    <row r="32" spans="1:12">
      <c r="B32" s="125" t="s">
        <v>139</v>
      </c>
      <c r="C32" s="128"/>
      <c r="D32" s="128">
        <v>487014728.23856175</v>
      </c>
      <c r="E32" s="128">
        <v>192163370.65126002</v>
      </c>
      <c r="F32" s="128">
        <v>147453504.18134001</v>
      </c>
      <c r="G32" s="128">
        <v>561355022.898</v>
      </c>
      <c r="H32" s="128">
        <v>97815247.456860006</v>
      </c>
      <c r="I32" s="128">
        <v>0</v>
      </c>
    </row>
    <row r="33" spans="1:9">
      <c r="B33" s="125" t="s">
        <v>138</v>
      </c>
      <c r="C33" s="128"/>
      <c r="D33" s="128">
        <v>273738139.51818943</v>
      </c>
      <c r="E33" s="128">
        <v>0</v>
      </c>
      <c r="F33" s="128">
        <v>0</v>
      </c>
      <c r="G33" s="128">
        <v>414208988.79999995</v>
      </c>
      <c r="H33" s="128">
        <v>0</v>
      </c>
      <c r="I33" s="128">
        <v>0</v>
      </c>
    </row>
    <row r="34" spans="1:9">
      <c r="B34" s="125" t="s">
        <v>137</v>
      </c>
      <c r="C34" s="128"/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</row>
    <row r="35" spans="1:9">
      <c r="B35" s="125" t="s">
        <v>167</v>
      </c>
      <c r="C35" s="181"/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18542031.540509999</v>
      </c>
    </row>
    <row r="36" spans="1:9">
      <c r="C36" s="135"/>
      <c r="D36" s="135"/>
      <c r="E36" s="135"/>
      <c r="F36" s="135"/>
      <c r="G36" s="135"/>
      <c r="H36" s="135"/>
      <c r="I36" s="135"/>
    </row>
    <row r="37" spans="1:9">
      <c r="B37" s="125" t="s">
        <v>129</v>
      </c>
      <c r="C37" s="128">
        <v>5647591516.4998102</v>
      </c>
      <c r="D37" s="128">
        <v>2366635281.5802503</v>
      </c>
      <c r="E37" s="128">
        <v>622702573.10904014</v>
      </c>
      <c r="F37" s="128">
        <v>1380339926.1300001</v>
      </c>
      <c r="G37" s="128">
        <v>1113564011.698</v>
      </c>
      <c r="H37" s="128">
        <v>145807692.44201002</v>
      </c>
      <c r="I37" s="128">
        <v>18542031.540509999</v>
      </c>
    </row>
    <row r="38" spans="1:9" s="127" customFormat="1">
      <c r="A38" s="196"/>
      <c r="B38" s="197"/>
      <c r="C38" s="128">
        <v>0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</row>
    <row r="39" spans="1:9">
      <c r="C39" s="135"/>
      <c r="D39" s="135"/>
      <c r="E39" s="135"/>
      <c r="F39" s="135"/>
      <c r="G39" s="135"/>
      <c r="H39" s="135"/>
      <c r="I39" s="135"/>
    </row>
    <row r="40" spans="1:9">
      <c r="B40" s="125" t="s">
        <v>129</v>
      </c>
      <c r="C40" s="128">
        <v>5647591516.4998102</v>
      </c>
      <c r="D40" s="128">
        <v>2366635281.5802503</v>
      </c>
      <c r="E40" s="128">
        <v>622702573.10904014</v>
      </c>
      <c r="F40" s="128">
        <v>1380339926.1300001</v>
      </c>
      <c r="G40" s="128">
        <v>1113564011.698</v>
      </c>
      <c r="H40" s="128">
        <v>145807692.44201002</v>
      </c>
      <c r="I40" s="128">
        <v>18542031.540509999</v>
      </c>
    </row>
    <row r="41" spans="1:9">
      <c r="B41" s="125" t="s">
        <v>166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</row>
    <row r="42" spans="1:9">
      <c r="C42" s="135"/>
      <c r="D42" s="135"/>
      <c r="E42" s="135"/>
      <c r="F42" s="135"/>
      <c r="G42" s="135"/>
      <c r="H42" s="135"/>
      <c r="I42" s="135"/>
    </row>
    <row r="43" spans="1:9">
      <c r="B43" s="125" t="s">
        <v>165</v>
      </c>
      <c r="C43" s="128">
        <v>5647591516.4998102</v>
      </c>
      <c r="D43" s="128">
        <v>2366635281.5802503</v>
      </c>
      <c r="E43" s="128">
        <v>622702573.10904014</v>
      </c>
      <c r="F43" s="128">
        <v>1380339926.1300001</v>
      </c>
      <c r="G43" s="128">
        <v>1113564011.698</v>
      </c>
      <c r="H43" s="128">
        <v>145807692.44201002</v>
      </c>
      <c r="I43" s="128">
        <v>18542031.540509999</v>
      </c>
    </row>
    <row r="44" spans="1:9" s="127" customFormat="1">
      <c r="A44" s="196"/>
      <c r="B44" s="165" t="s">
        <v>164</v>
      </c>
      <c r="C44" s="160">
        <v>-9748691</v>
      </c>
      <c r="D44" s="160">
        <v>8068407</v>
      </c>
      <c r="E44" s="160">
        <v>-3396621</v>
      </c>
      <c r="F44" s="160">
        <v>-14435302</v>
      </c>
      <c r="G44" s="160">
        <v>0</v>
      </c>
      <c r="H44" s="160">
        <v>14825</v>
      </c>
      <c r="I44" s="160">
        <v>0</v>
      </c>
    </row>
    <row r="45" spans="1:9">
      <c r="C45" s="135"/>
      <c r="D45" s="135"/>
      <c r="E45" s="135"/>
      <c r="F45" s="135"/>
      <c r="G45" s="135"/>
      <c r="H45" s="135"/>
      <c r="I45" s="135"/>
    </row>
    <row r="46" spans="1:9">
      <c r="B46" s="125" t="s">
        <v>163</v>
      </c>
      <c r="C46" s="128">
        <v>5637842825.4998102</v>
      </c>
      <c r="D46" s="128">
        <v>2374703688.5802503</v>
      </c>
      <c r="E46" s="128">
        <v>619305952.10904014</v>
      </c>
      <c r="F46" s="128">
        <v>1365904624.1300001</v>
      </c>
      <c r="G46" s="128">
        <v>1113564011.698</v>
      </c>
      <c r="H46" s="128">
        <v>145822517.44201002</v>
      </c>
      <c r="I46" s="128">
        <v>18542031.540509999</v>
      </c>
    </row>
    <row r="47" spans="1:9">
      <c r="C47" s="128"/>
      <c r="D47" s="128"/>
      <c r="E47" s="128"/>
      <c r="F47" s="128"/>
      <c r="G47" s="128"/>
      <c r="H47" s="128"/>
      <c r="I47" s="128"/>
    </row>
    <row r="48" spans="1:9">
      <c r="B48" s="125" t="s">
        <v>162</v>
      </c>
      <c r="C48" s="128"/>
      <c r="D48" s="128">
        <v>2587975</v>
      </c>
      <c r="E48" s="128">
        <v>386800</v>
      </c>
      <c r="F48" s="128">
        <v>22787</v>
      </c>
      <c r="G48" s="128">
        <v>276</v>
      </c>
      <c r="H48" s="128">
        <v>29446</v>
      </c>
      <c r="I48" s="277">
        <f>+'WA Electric-Revenue'!V35*12</f>
        <v>5214.8231999999998</v>
      </c>
    </row>
    <row r="49" spans="1:14">
      <c r="B49" s="125" t="s">
        <v>161</v>
      </c>
      <c r="C49" s="128"/>
      <c r="D49" s="128"/>
      <c r="E49" s="128"/>
      <c r="F49" s="128"/>
      <c r="G49" s="128"/>
      <c r="H49" s="128"/>
      <c r="I49" s="128"/>
    </row>
    <row r="50" spans="1:14">
      <c r="B50" s="125" t="s">
        <v>160</v>
      </c>
      <c r="C50" s="128"/>
      <c r="D50" s="128"/>
      <c r="E50" s="128">
        <v>433206.97974358976</v>
      </c>
      <c r="F50" s="128">
        <v>2634662.4356410257</v>
      </c>
      <c r="G50" s="128">
        <v>1279394.3930000002</v>
      </c>
      <c r="H50" s="128"/>
      <c r="I50" s="128"/>
    </row>
    <row r="51" spans="1:14" s="141" customFormat="1">
      <c r="A51" s="126"/>
      <c r="C51" s="162"/>
      <c r="D51" s="162"/>
      <c r="E51" s="162"/>
      <c r="F51" s="162"/>
      <c r="G51" s="162"/>
      <c r="H51" s="162"/>
      <c r="I51" s="162"/>
    </row>
    <row r="52" spans="1:14" s="141" customFormat="1">
      <c r="A52" s="126"/>
      <c r="C52" s="162"/>
      <c r="D52" s="162"/>
      <c r="E52" s="162"/>
      <c r="F52" s="162"/>
      <c r="G52" s="162"/>
      <c r="H52" s="162"/>
      <c r="I52" s="162"/>
    </row>
    <row r="53" spans="1:14" s="141" customFormat="1" ht="27.75" customHeight="1">
      <c r="A53" s="126"/>
      <c r="C53" s="162"/>
      <c r="D53" s="162"/>
      <c r="E53" s="162"/>
      <c r="F53" s="162"/>
      <c r="G53" s="162"/>
      <c r="H53" s="162"/>
      <c r="I53" s="162"/>
    </row>
    <row r="54" spans="1:14" s="141" customFormat="1">
      <c r="A54" s="126"/>
      <c r="C54" s="162"/>
      <c r="D54" s="162"/>
      <c r="E54" s="162"/>
      <c r="F54" s="162"/>
      <c r="G54" s="162"/>
      <c r="H54" s="162"/>
      <c r="I54" s="162"/>
    </row>
    <row r="55" spans="1:14" s="141" customFormat="1">
      <c r="A55" s="126"/>
      <c r="C55" s="162"/>
      <c r="D55" s="195">
        <v>1</v>
      </c>
      <c r="E55" s="195">
        <v>2</v>
      </c>
      <c r="F55" s="195">
        <v>3</v>
      </c>
      <c r="G55" s="195">
        <v>4</v>
      </c>
      <c r="H55" s="195">
        <v>5</v>
      </c>
      <c r="I55" s="195">
        <v>6</v>
      </c>
      <c r="L55" s="194">
        <f>SUMPRODUCT(--(ISBLANK(D55:I55)))</f>
        <v>0</v>
      </c>
    </row>
    <row r="56" spans="1:14" s="141" customFormat="1">
      <c r="A56" s="126" t="s">
        <v>103</v>
      </c>
      <c r="C56" s="141" t="s">
        <v>6</v>
      </c>
      <c r="D56" s="141" t="s">
        <v>7</v>
      </c>
      <c r="E56" s="141" t="s">
        <v>8</v>
      </c>
      <c r="F56" s="141" t="s">
        <v>9</v>
      </c>
      <c r="G56" s="141" t="s">
        <v>80</v>
      </c>
      <c r="H56" s="141" t="s">
        <v>81</v>
      </c>
      <c r="I56" s="141" t="s">
        <v>79</v>
      </c>
      <c r="L56" s="125" t="str">
        <f ca="1">"selected in cell "&amp;CELL("address",Base1_Billing2)&amp;":"</f>
        <v>selected in cell $N$8:</v>
      </c>
    </row>
    <row r="57" spans="1:14" s="141" customFormat="1">
      <c r="A57" s="126" t="s">
        <v>100</v>
      </c>
      <c r="C57" s="142" t="s">
        <v>13</v>
      </c>
      <c r="D57" s="142" t="s">
        <v>87</v>
      </c>
      <c r="E57" s="142" t="s">
        <v>77</v>
      </c>
      <c r="F57" s="142" t="s">
        <v>76</v>
      </c>
      <c r="G57" s="142" t="s">
        <v>74</v>
      </c>
      <c r="H57" s="142" t="s">
        <v>75</v>
      </c>
      <c r="I57" s="142" t="s">
        <v>73</v>
      </c>
      <c r="L57" s="138" t="str">
        <f>N10</f>
        <v>Base</v>
      </c>
    </row>
    <row r="58" spans="1:14" ht="12.75">
      <c r="B58" s="169" t="s">
        <v>159</v>
      </c>
      <c r="L58" s="125" t="str">
        <f>"Rates_"&amp;$L$57&amp;"_Present"</f>
        <v>Rates_Base_Present</v>
      </c>
      <c r="N58" s="193" t="s">
        <v>158</v>
      </c>
    </row>
    <row r="59" spans="1:14">
      <c r="A59" s="126" t="s">
        <v>156</v>
      </c>
      <c r="B59" s="125" t="s">
        <v>142</v>
      </c>
      <c r="D59" s="189">
        <v>9</v>
      </c>
      <c r="E59" s="189">
        <v>20</v>
      </c>
      <c r="F59" s="189">
        <v>0</v>
      </c>
      <c r="G59" s="189">
        <v>0</v>
      </c>
      <c r="H59" s="189">
        <v>20</v>
      </c>
      <c r="I59" s="189">
        <v>0</v>
      </c>
      <c r="K59" s="188">
        <v>1</v>
      </c>
      <c r="L59" s="125" t="str">
        <f>"Rates_"&amp;$L$57&amp;"_Proposed"</f>
        <v>Rates_Base_Proposed</v>
      </c>
      <c r="N59" s="193" t="s">
        <v>157</v>
      </c>
    </row>
    <row r="60" spans="1:14">
      <c r="B60" s="125" t="s">
        <v>141</v>
      </c>
      <c r="D60" s="129"/>
    </row>
    <row r="62" spans="1:14">
      <c r="A62" s="126" t="s">
        <v>156</v>
      </c>
      <c r="B62" s="125" t="s">
        <v>154</v>
      </c>
      <c r="D62" s="190">
        <v>7.5330000000000004</v>
      </c>
      <c r="E62" s="190">
        <v>11.349</v>
      </c>
      <c r="F62" s="190">
        <v>7.1890000000000001</v>
      </c>
      <c r="G62" s="190">
        <v>5.5049999999999999</v>
      </c>
      <c r="H62" s="190">
        <v>9.7119999999999997</v>
      </c>
      <c r="I62" s="190">
        <v>0</v>
      </c>
      <c r="K62" s="188">
        <v>2</v>
      </c>
    </row>
    <row r="63" spans="1:14">
      <c r="A63" s="126" t="s">
        <v>156</v>
      </c>
      <c r="B63" s="125" t="s">
        <v>153</v>
      </c>
      <c r="D63" s="190">
        <v>8.7650000000000006</v>
      </c>
      <c r="E63" s="190">
        <v>8.3409999999999993</v>
      </c>
      <c r="F63" s="190">
        <v>6.43</v>
      </c>
      <c r="G63" s="190">
        <v>4.9530000000000003</v>
      </c>
      <c r="H63" s="190">
        <v>6.9359999999999999</v>
      </c>
      <c r="I63" s="190">
        <v>0</v>
      </c>
      <c r="K63" s="188">
        <v>3</v>
      </c>
    </row>
    <row r="64" spans="1:14">
      <c r="A64" s="126" t="s">
        <v>156</v>
      </c>
      <c r="B64" s="125" t="s">
        <v>152</v>
      </c>
      <c r="D64" s="190">
        <v>10.276</v>
      </c>
      <c r="E64" s="190">
        <v>0</v>
      </c>
      <c r="F64" s="190">
        <v>0</v>
      </c>
      <c r="G64" s="190">
        <v>4.2350000000000003</v>
      </c>
      <c r="H64" s="190">
        <v>0</v>
      </c>
      <c r="I64" s="190">
        <v>0</v>
      </c>
      <c r="K64" s="188">
        <v>4</v>
      </c>
    </row>
    <row r="65" spans="1:12">
      <c r="B65" s="125" t="s">
        <v>151</v>
      </c>
      <c r="D65" s="133"/>
      <c r="E65" s="133"/>
      <c r="F65" s="133"/>
      <c r="G65" s="133"/>
      <c r="H65" s="133"/>
      <c r="I65" s="133"/>
      <c r="K65" s="188">
        <v>5</v>
      </c>
    </row>
    <row r="66" spans="1:12">
      <c r="D66" s="133"/>
      <c r="E66" s="133"/>
      <c r="F66" s="133"/>
      <c r="G66" s="133"/>
      <c r="H66" s="133"/>
      <c r="I66" s="133"/>
    </row>
    <row r="67" spans="1:12">
      <c r="B67" s="125" t="s">
        <v>150</v>
      </c>
      <c r="D67" s="190">
        <v>8.1037959618323505</v>
      </c>
      <c r="E67" s="190">
        <v>10.420743970273785</v>
      </c>
      <c r="F67" s="190">
        <v>7.1079205442587252</v>
      </c>
      <c r="G67" s="190"/>
      <c r="H67" s="190">
        <v>7.8497174108643488</v>
      </c>
      <c r="I67" s="190"/>
    </row>
    <row r="68" spans="1:12">
      <c r="D68" s="133"/>
      <c r="E68" s="133"/>
      <c r="F68" s="133"/>
      <c r="G68" s="133"/>
      <c r="H68" s="133"/>
      <c r="I68" s="133"/>
    </row>
    <row r="69" spans="1:12" s="129" customFormat="1">
      <c r="A69" s="126" t="s">
        <v>156</v>
      </c>
      <c r="B69" s="129" t="s">
        <v>136</v>
      </c>
      <c r="D69" s="189">
        <v>0</v>
      </c>
      <c r="E69" s="189">
        <v>0</v>
      </c>
      <c r="F69" s="189">
        <v>500</v>
      </c>
      <c r="G69" s="189">
        <v>24000</v>
      </c>
      <c r="H69" s="189">
        <v>0</v>
      </c>
      <c r="I69" s="189">
        <v>0</v>
      </c>
      <c r="K69" s="188">
        <v>6</v>
      </c>
    </row>
    <row r="70" spans="1:12" s="129" customFormat="1">
      <c r="A70" s="126" t="s">
        <v>156</v>
      </c>
      <c r="B70" s="129" t="s">
        <v>135</v>
      </c>
      <c r="D70" s="189">
        <v>0</v>
      </c>
      <c r="E70" s="189">
        <v>6.5</v>
      </c>
      <c r="F70" s="189">
        <v>6.5</v>
      </c>
      <c r="G70" s="189">
        <v>6.5</v>
      </c>
      <c r="H70" s="189">
        <v>0</v>
      </c>
      <c r="I70" s="189">
        <v>0</v>
      </c>
      <c r="K70" s="188">
        <v>7</v>
      </c>
    </row>
    <row r="71" spans="1:12">
      <c r="D71" s="133"/>
      <c r="E71" s="133"/>
      <c r="F71" s="133"/>
      <c r="G71" s="133"/>
      <c r="H71" s="133"/>
      <c r="I71" s="133"/>
    </row>
    <row r="72" spans="1:12">
      <c r="D72" s="133"/>
      <c r="E72" s="133"/>
      <c r="F72" s="133"/>
      <c r="G72" s="133"/>
      <c r="H72" s="133"/>
      <c r="I72" s="133"/>
    </row>
    <row r="73" spans="1:12">
      <c r="D73" s="133"/>
      <c r="E73" s="133"/>
      <c r="F73" s="133"/>
      <c r="G73" s="133"/>
      <c r="H73" s="133"/>
      <c r="I73" s="133"/>
    </row>
    <row r="74" spans="1:12">
      <c r="D74" s="133"/>
      <c r="E74" s="133"/>
      <c r="F74" s="133"/>
      <c r="G74" s="133"/>
      <c r="H74" s="133"/>
      <c r="I74" s="133"/>
    </row>
    <row r="75" spans="1:12" ht="12.75">
      <c r="B75" s="169" t="s">
        <v>155</v>
      </c>
    </row>
    <row r="76" spans="1:12">
      <c r="B76" s="125" t="s">
        <v>142</v>
      </c>
      <c r="D76" s="189">
        <v>9</v>
      </c>
      <c r="E76" s="189">
        <v>20</v>
      </c>
      <c r="F76" s="189"/>
      <c r="G76" s="189"/>
      <c r="H76" s="189">
        <v>20</v>
      </c>
      <c r="I76" s="189"/>
      <c r="K76" s="188">
        <v>1</v>
      </c>
      <c r="L76" s="192"/>
    </row>
    <row r="77" spans="1:12">
      <c r="B77" s="125" t="s">
        <v>141</v>
      </c>
      <c r="D77" s="129"/>
    </row>
    <row r="79" spans="1:12">
      <c r="B79" s="125" t="s">
        <v>154</v>
      </c>
      <c r="C79" s="191"/>
      <c r="D79" s="190">
        <v>7.5330000000000004</v>
      </c>
      <c r="E79" s="190">
        <v>11.349</v>
      </c>
      <c r="F79" s="190">
        <v>7.1890000000000001</v>
      </c>
      <c r="G79" s="190">
        <v>5.5049999999999999</v>
      </c>
      <c r="H79" s="190">
        <v>9.7119999999999997</v>
      </c>
      <c r="I79" s="190"/>
      <c r="K79" s="188">
        <v>2</v>
      </c>
    </row>
    <row r="80" spans="1:12">
      <c r="B80" s="125" t="s">
        <v>153</v>
      </c>
      <c r="C80" s="191"/>
      <c r="D80" s="190">
        <v>8.7650000000000006</v>
      </c>
      <c r="E80" s="190">
        <v>8.3409999999999993</v>
      </c>
      <c r="F80" s="190">
        <v>6.43</v>
      </c>
      <c r="G80" s="190">
        <v>4.9530000000000003</v>
      </c>
      <c r="H80" s="190">
        <v>6.9359999999999999</v>
      </c>
      <c r="I80" s="190"/>
      <c r="K80" s="188">
        <v>3</v>
      </c>
    </row>
    <row r="81" spans="1:11">
      <c r="B81" s="125" t="s">
        <v>152</v>
      </c>
      <c r="C81" s="191"/>
      <c r="D81" s="190">
        <v>10.276</v>
      </c>
      <c r="E81" s="190"/>
      <c r="F81" s="190"/>
      <c r="G81" s="190">
        <v>4.2350000000000003</v>
      </c>
      <c r="H81" s="190"/>
      <c r="I81" s="190"/>
      <c r="K81" s="188">
        <v>4</v>
      </c>
    </row>
    <row r="82" spans="1:11">
      <c r="B82" s="125" t="s">
        <v>151</v>
      </c>
      <c r="D82" s="133"/>
      <c r="E82" s="133"/>
      <c r="F82" s="133"/>
      <c r="G82" s="133"/>
      <c r="H82" s="133"/>
      <c r="I82" s="133"/>
      <c r="K82" s="188">
        <v>5</v>
      </c>
    </row>
    <row r="83" spans="1:11">
      <c r="D83" s="133"/>
      <c r="E83" s="133"/>
      <c r="F83" s="133"/>
      <c r="G83" s="133"/>
      <c r="H83" s="133"/>
      <c r="I83" s="133"/>
    </row>
    <row r="84" spans="1:11">
      <c r="B84" s="125" t="s">
        <v>150</v>
      </c>
      <c r="D84" s="190">
        <v>8.1037959618323505</v>
      </c>
      <c r="E84" s="190">
        <v>10.420743970273785</v>
      </c>
      <c r="F84" s="190">
        <v>7.1079205442587252</v>
      </c>
      <c r="G84" s="190"/>
      <c r="H84" s="190">
        <v>7.8497174108643488</v>
      </c>
      <c r="I84" s="190"/>
    </row>
    <row r="85" spans="1:11">
      <c r="D85" s="133"/>
      <c r="E85" s="133"/>
      <c r="F85" s="133"/>
      <c r="G85" s="133"/>
      <c r="H85" s="133"/>
      <c r="I85" s="133"/>
    </row>
    <row r="86" spans="1:11" s="129" customFormat="1">
      <c r="A86" s="126"/>
      <c r="B86" s="129" t="s">
        <v>136</v>
      </c>
      <c r="D86" s="189"/>
      <c r="E86" s="189"/>
      <c r="F86" s="189">
        <v>500</v>
      </c>
      <c r="G86" s="189">
        <v>24000</v>
      </c>
      <c r="H86" s="189"/>
      <c r="I86" s="189"/>
      <c r="K86" s="188">
        <v>6</v>
      </c>
    </row>
    <row r="87" spans="1:11" s="129" customFormat="1">
      <c r="A87" s="126"/>
      <c r="B87" s="129" t="s">
        <v>135</v>
      </c>
      <c r="D87" s="189"/>
      <c r="E87" s="189">
        <v>6.5</v>
      </c>
      <c r="F87" s="189">
        <v>6.5</v>
      </c>
      <c r="G87" s="189">
        <v>6.5</v>
      </c>
      <c r="H87" s="189"/>
      <c r="I87" s="189"/>
      <c r="K87" s="188">
        <v>7</v>
      </c>
    </row>
    <row r="88" spans="1:11" s="129" customFormat="1">
      <c r="A88" s="126"/>
      <c r="D88" s="125"/>
    </row>
    <row r="89" spans="1:11" s="129" customFormat="1">
      <c r="A89" s="126"/>
      <c r="D89" s="125"/>
    </row>
    <row r="90" spans="1:11" s="129" customFormat="1">
      <c r="A90" s="126"/>
      <c r="D90" s="125"/>
    </row>
    <row r="91" spans="1:11" s="129" customFormat="1">
      <c r="A91" s="126"/>
      <c r="D91" s="125"/>
    </row>
    <row r="92" spans="1:11" s="129" customFormat="1">
      <c r="A92" s="126"/>
      <c r="D92" s="125"/>
    </row>
    <row r="93" spans="1:11" s="129" customFormat="1">
      <c r="A93" s="126"/>
      <c r="D93" s="125"/>
    </row>
    <row r="94" spans="1:11" s="129" customFormat="1">
      <c r="A94" s="126"/>
      <c r="D94" s="125"/>
    </row>
    <row r="95" spans="1:11" s="129" customFormat="1" ht="11.25" customHeight="1">
      <c r="A95" s="126"/>
      <c r="B95" s="279" t="s">
        <v>256</v>
      </c>
      <c r="C95" s="280"/>
      <c r="D95" s="280"/>
      <c r="E95" s="280"/>
      <c r="F95" s="280"/>
      <c r="G95" s="280"/>
      <c r="H95" s="280"/>
    </row>
    <row r="96" spans="1:11" s="129" customFormat="1" ht="11.25" customHeight="1">
      <c r="A96" s="126"/>
      <c r="B96" s="280"/>
      <c r="C96" s="280"/>
      <c r="D96" s="280"/>
      <c r="E96" s="280"/>
      <c r="F96" s="280"/>
      <c r="G96" s="280"/>
      <c r="H96" s="280"/>
    </row>
    <row r="97" spans="1:9" s="129" customFormat="1">
      <c r="A97" s="126"/>
      <c r="D97" s="125"/>
    </row>
    <row r="98" spans="1:9" s="129" customFormat="1">
      <c r="A98" s="126"/>
      <c r="D98" s="125"/>
    </row>
    <row r="99" spans="1:9" s="129" customFormat="1">
      <c r="A99" s="126"/>
      <c r="D99" s="125"/>
    </row>
    <row r="100" spans="1:9" s="129" customFormat="1">
      <c r="A100" s="126"/>
      <c r="D100" s="125"/>
    </row>
    <row r="101" spans="1:9" s="129" customFormat="1">
      <c r="A101" s="126"/>
      <c r="D101" s="125"/>
    </row>
    <row r="102" spans="1:9" s="129" customFormat="1">
      <c r="A102" s="126"/>
      <c r="D102" s="125"/>
    </row>
    <row r="103" spans="1:9" s="129" customFormat="1">
      <c r="A103" s="126"/>
      <c r="D103" s="125"/>
    </row>
    <row r="104" spans="1:9" s="129" customFormat="1">
      <c r="A104" s="126"/>
      <c r="D104" s="125"/>
    </row>
    <row r="105" spans="1:9" s="129" customFormat="1">
      <c r="A105" s="126"/>
      <c r="D105" s="125"/>
    </row>
    <row r="106" spans="1:9" s="129" customFormat="1">
      <c r="A106" s="126"/>
      <c r="D106" s="125"/>
    </row>
    <row r="107" spans="1:9" s="141" customFormat="1">
      <c r="A107" s="126" t="s">
        <v>103</v>
      </c>
      <c r="C107" s="141" t="s">
        <v>6</v>
      </c>
      <c r="D107" s="141" t="s">
        <v>7</v>
      </c>
      <c r="E107" s="141" t="s">
        <v>8</v>
      </c>
      <c r="F107" s="141" t="s">
        <v>9</v>
      </c>
      <c r="G107" s="141" t="s">
        <v>80</v>
      </c>
      <c r="H107" s="141" t="s">
        <v>81</v>
      </c>
      <c r="I107" s="141" t="s">
        <v>79</v>
      </c>
    </row>
    <row r="108" spans="1:9" s="141" customFormat="1">
      <c r="A108" s="126" t="s">
        <v>100</v>
      </c>
      <c r="C108" s="142" t="s">
        <v>13</v>
      </c>
      <c r="D108" s="142" t="s">
        <v>87</v>
      </c>
      <c r="E108" s="142" t="s">
        <v>77</v>
      </c>
      <c r="F108" s="142" t="s">
        <v>76</v>
      </c>
      <c r="G108" s="142" t="s">
        <v>74</v>
      </c>
      <c r="H108" s="142" t="s">
        <v>75</v>
      </c>
      <c r="I108" s="142" t="s">
        <v>73</v>
      </c>
    </row>
    <row r="109" spans="1:9" ht="12.75">
      <c r="B109" s="169" t="s">
        <v>149</v>
      </c>
      <c r="C109" s="136"/>
      <c r="D109" s="136"/>
      <c r="E109" s="136"/>
      <c r="F109" s="136"/>
      <c r="G109" s="136"/>
      <c r="H109" s="136"/>
      <c r="I109" s="136"/>
    </row>
    <row r="110" spans="1:9">
      <c r="B110" s="125" t="s">
        <v>257</v>
      </c>
      <c r="C110" s="136"/>
      <c r="D110" s="136"/>
      <c r="E110" s="136"/>
      <c r="F110" s="136"/>
      <c r="G110" s="136"/>
      <c r="H110" s="136"/>
      <c r="I110" s="136"/>
    </row>
    <row r="111" spans="1:9">
      <c r="B111" s="137" t="s">
        <v>142</v>
      </c>
      <c r="C111" s="136">
        <v>31616695</v>
      </c>
      <c r="D111" s="136">
        <v>23291775</v>
      </c>
      <c r="E111" s="136">
        <v>7736000</v>
      </c>
      <c r="F111" s="136"/>
      <c r="G111" s="136"/>
      <c r="H111" s="136">
        <v>588920</v>
      </c>
      <c r="I111" s="136"/>
    </row>
    <row r="112" spans="1:9">
      <c r="B112" s="137" t="s">
        <v>141</v>
      </c>
      <c r="C112" s="128">
        <v>0</v>
      </c>
      <c r="D112" s="128"/>
      <c r="E112" s="128"/>
      <c r="F112" s="128"/>
      <c r="G112" s="128"/>
      <c r="H112" s="128"/>
      <c r="I112" s="128"/>
    </row>
    <row r="113" spans="1:9">
      <c r="B113" s="137" t="s">
        <v>140</v>
      </c>
      <c r="C113" s="128">
        <v>270723147.44999999</v>
      </c>
      <c r="D113" s="128">
        <v>120971122.23</v>
      </c>
      <c r="E113" s="128">
        <v>48861894.090000004</v>
      </c>
      <c r="F113" s="128">
        <v>88632204.870000005</v>
      </c>
      <c r="G113" s="128">
        <v>7596900</v>
      </c>
      <c r="H113" s="128">
        <v>4661026.26</v>
      </c>
      <c r="I113" s="128"/>
    </row>
    <row r="114" spans="1:9">
      <c r="B114" s="137" t="s">
        <v>139</v>
      </c>
      <c r="C114" s="128">
        <v>102784827.84</v>
      </c>
      <c r="D114" s="128">
        <v>42686840.93</v>
      </c>
      <c r="E114" s="128">
        <v>16028346.75</v>
      </c>
      <c r="F114" s="128">
        <v>9481260.3200000003</v>
      </c>
      <c r="G114" s="128">
        <v>27803914.280000001</v>
      </c>
      <c r="H114" s="128">
        <v>6784465.5599999996</v>
      </c>
      <c r="I114" s="128"/>
    </row>
    <row r="115" spans="1:9">
      <c r="B115" s="137" t="s">
        <v>138</v>
      </c>
      <c r="C115" s="128">
        <v>45671081.899999999</v>
      </c>
      <c r="D115" s="128">
        <v>28129331.219999999</v>
      </c>
      <c r="E115" s="128"/>
      <c r="F115" s="128"/>
      <c r="G115" s="128">
        <v>17541750.68</v>
      </c>
      <c r="H115" s="128"/>
      <c r="I115" s="128"/>
    </row>
    <row r="116" spans="1:9">
      <c r="B116" s="137" t="s">
        <v>137</v>
      </c>
      <c r="C116" s="128">
        <v>0</v>
      </c>
      <c r="D116" s="128"/>
      <c r="E116" s="128"/>
      <c r="F116" s="128"/>
      <c r="G116" s="128"/>
      <c r="H116" s="128"/>
      <c r="I116" s="128"/>
    </row>
    <row r="117" spans="1:9">
      <c r="B117" s="137" t="s">
        <v>136</v>
      </c>
      <c r="C117" s="128">
        <v>18017500</v>
      </c>
      <c r="D117" s="128"/>
      <c r="E117" s="128"/>
      <c r="F117" s="128">
        <v>11393500</v>
      </c>
      <c r="G117" s="128">
        <v>6624000</v>
      </c>
      <c r="H117" s="128"/>
      <c r="I117" s="128"/>
    </row>
    <row r="118" spans="1:9">
      <c r="B118" s="137" t="s">
        <v>135</v>
      </c>
      <c r="C118" s="128">
        <v>28257214.754500002</v>
      </c>
      <c r="D118" s="128"/>
      <c r="E118" s="128">
        <v>2815845.3683333336</v>
      </c>
      <c r="F118" s="128">
        <v>17125305.831666667</v>
      </c>
      <c r="G118" s="128">
        <v>8316063.5545000006</v>
      </c>
      <c r="H118" s="128"/>
      <c r="I118" s="128"/>
    </row>
    <row r="119" spans="1:9">
      <c r="A119" s="126" t="s">
        <v>148</v>
      </c>
      <c r="B119" s="137" t="s">
        <v>134</v>
      </c>
      <c r="C119" s="128">
        <v>124563.14</v>
      </c>
      <c r="D119" s="128"/>
      <c r="E119" s="185">
        <v>5644.9500000000007</v>
      </c>
      <c r="F119" s="185">
        <v>115738.62</v>
      </c>
      <c r="G119" s="185"/>
      <c r="H119" s="185">
        <v>3179.57</v>
      </c>
      <c r="I119" s="168"/>
    </row>
    <row r="120" spans="1:9">
      <c r="A120" s="126" t="s">
        <v>147</v>
      </c>
      <c r="B120" s="137" t="s">
        <v>133</v>
      </c>
      <c r="C120" s="128">
        <v>-1296718.9147999997</v>
      </c>
      <c r="D120" s="128"/>
      <c r="E120" s="168"/>
      <c r="F120" s="185">
        <v>-55487.7</v>
      </c>
      <c r="G120" s="168">
        <v>-1241231.2147999997</v>
      </c>
      <c r="H120" s="168"/>
      <c r="I120" s="168"/>
    </row>
    <row r="121" spans="1:9" ht="12.75">
      <c r="A121" s="145"/>
      <c r="B121" s="137" t="s">
        <v>132</v>
      </c>
      <c r="C121" s="128">
        <v>102310.26643199997</v>
      </c>
      <c r="D121" s="128"/>
      <c r="E121" s="168"/>
      <c r="F121" s="168"/>
      <c r="G121" s="168">
        <v>102310.26643199997</v>
      </c>
      <c r="H121" s="168"/>
      <c r="I121" s="168"/>
    </row>
    <row r="122" spans="1:9">
      <c r="A122" s="126" t="s">
        <v>131</v>
      </c>
      <c r="B122" s="137" t="s">
        <v>130</v>
      </c>
      <c r="C122" s="164">
        <v>6424023.4802760007</v>
      </c>
      <c r="D122" s="167"/>
      <c r="E122" s="187"/>
      <c r="F122" s="187"/>
      <c r="G122" s="187"/>
      <c r="H122" s="187"/>
      <c r="I122" s="166">
        <v>6424023.4802760007</v>
      </c>
    </row>
    <row r="123" spans="1:9">
      <c r="C123" s="136"/>
      <c r="D123" s="136"/>
      <c r="E123" s="136"/>
      <c r="F123" s="136"/>
      <c r="G123" s="136"/>
      <c r="H123" s="136"/>
      <c r="I123" s="136"/>
    </row>
    <row r="124" spans="1:9">
      <c r="B124" s="125" t="s">
        <v>129</v>
      </c>
      <c r="C124" s="136">
        <v>502424644.916408</v>
      </c>
      <c r="D124" s="136">
        <v>215079069.38000003</v>
      </c>
      <c r="E124" s="136">
        <v>75447731.158333346</v>
      </c>
      <c r="F124" s="136">
        <v>126692521.94166666</v>
      </c>
      <c r="G124" s="136">
        <v>66743707.566132009</v>
      </c>
      <c r="H124" s="136">
        <v>12037591.390000001</v>
      </c>
      <c r="I124" s="136">
        <v>6424023.4802760007</v>
      </c>
    </row>
    <row r="125" spans="1:9">
      <c r="B125" s="165"/>
      <c r="C125" s="164">
        <v>0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/>
    </row>
    <row r="126" spans="1:9">
      <c r="C126" s="136"/>
      <c r="D126" s="136"/>
      <c r="E126" s="136"/>
      <c r="F126" s="136"/>
      <c r="G126" s="136"/>
      <c r="H126" s="136"/>
      <c r="I126" s="136"/>
    </row>
    <row r="127" spans="1:9">
      <c r="B127" s="125" t="s">
        <v>129</v>
      </c>
      <c r="C127" s="136">
        <v>502424644.916408</v>
      </c>
      <c r="D127" s="136">
        <v>215079069.38000003</v>
      </c>
      <c r="E127" s="136">
        <v>75447731.158333346</v>
      </c>
      <c r="F127" s="136">
        <v>126692521.94166666</v>
      </c>
      <c r="G127" s="136">
        <v>66743707.566132009</v>
      </c>
      <c r="H127" s="136">
        <v>12037591.390000001</v>
      </c>
      <c r="I127" s="136">
        <v>6424023.4802760007</v>
      </c>
    </row>
    <row r="128" spans="1:9">
      <c r="B128" s="125" t="s">
        <v>128</v>
      </c>
      <c r="C128" s="164">
        <v>0</v>
      </c>
      <c r="D128" s="164">
        <v>0</v>
      </c>
      <c r="E128" s="164">
        <v>0</v>
      </c>
      <c r="F128" s="164">
        <v>0</v>
      </c>
      <c r="G128" s="164">
        <v>0</v>
      </c>
      <c r="H128" s="164">
        <v>0</v>
      </c>
      <c r="I128" s="164">
        <v>0</v>
      </c>
    </row>
    <row r="129" spans="1:16">
      <c r="C129" s="136"/>
      <c r="D129" s="136"/>
      <c r="E129" s="136"/>
      <c r="F129" s="136"/>
      <c r="G129" s="136"/>
      <c r="H129" s="136"/>
      <c r="I129" s="136"/>
    </row>
    <row r="130" spans="1:16">
      <c r="B130" s="125" t="s">
        <v>258</v>
      </c>
      <c r="C130" s="136">
        <v>502424644.916408</v>
      </c>
      <c r="D130" s="136">
        <v>215079069.38000003</v>
      </c>
      <c r="E130" s="136">
        <v>75447731.158333346</v>
      </c>
      <c r="F130" s="136">
        <v>126692521.94166666</v>
      </c>
      <c r="G130" s="136">
        <v>66743707.566132009</v>
      </c>
      <c r="H130" s="136">
        <v>12037591.390000001</v>
      </c>
      <c r="I130" s="136">
        <v>6424023.4802760007</v>
      </c>
    </row>
    <row r="131" spans="1:16">
      <c r="C131" s="136"/>
      <c r="D131" s="136"/>
      <c r="E131" s="136"/>
      <c r="F131" s="136"/>
      <c r="G131" s="136"/>
      <c r="H131" s="136"/>
      <c r="I131" s="136"/>
    </row>
    <row r="132" spans="1:16">
      <c r="B132" s="125" t="s">
        <v>127</v>
      </c>
      <c r="C132" s="136"/>
      <c r="D132" s="136"/>
      <c r="E132" s="136"/>
      <c r="F132" s="136"/>
      <c r="G132" s="136"/>
      <c r="H132" s="136"/>
      <c r="I132" s="136"/>
    </row>
    <row r="133" spans="1:16">
      <c r="B133" s="161" t="s">
        <v>126</v>
      </c>
      <c r="C133" s="136"/>
      <c r="D133" s="136"/>
      <c r="E133" s="136"/>
      <c r="F133" s="136"/>
      <c r="G133" s="136"/>
      <c r="H133" s="136"/>
      <c r="I133" s="136"/>
      <c r="L133" s="149">
        <f>D8/$D$14</f>
        <v>0.67855086346520566</v>
      </c>
      <c r="N133" s="127">
        <f>$D$134*L133</f>
        <v>-14600309.716992756</v>
      </c>
      <c r="P133" s="147">
        <f>N133*(D62/100)</f>
        <v>-1099841.3309810644</v>
      </c>
    </row>
    <row r="134" spans="1:16" s="128" customFormat="1">
      <c r="A134" s="174" t="s">
        <v>146</v>
      </c>
      <c r="B134" s="186" t="s">
        <v>125</v>
      </c>
      <c r="C134" s="128">
        <v>-39319785</v>
      </c>
      <c r="D134" s="185">
        <v>-21516898</v>
      </c>
      <c r="E134" s="185">
        <v>-4974918</v>
      </c>
      <c r="F134" s="185">
        <v>-12842794</v>
      </c>
      <c r="G134" s="185"/>
      <c r="H134" s="185">
        <v>14825</v>
      </c>
      <c r="I134" s="184"/>
      <c r="L134" s="149">
        <f>D9/$D$14</f>
        <v>0.20578360004561927</v>
      </c>
      <c r="M134" s="125"/>
      <c r="N134" s="127">
        <f>$D$134*L134</f>
        <v>-4427824.732254385</v>
      </c>
      <c r="O134" s="125"/>
      <c r="P134" s="147">
        <f>N134*(D63/100)</f>
        <v>-388098.83778209687</v>
      </c>
    </row>
    <row r="135" spans="1:16" s="133" customFormat="1">
      <c r="A135" s="126" t="s">
        <v>144</v>
      </c>
      <c r="B135" s="159" t="s">
        <v>124</v>
      </c>
      <c r="D135" s="133">
        <v>8.1037959618323505</v>
      </c>
      <c r="E135" s="133">
        <v>10.420743970273785</v>
      </c>
      <c r="F135" s="133">
        <v>7.1079205442587252</v>
      </c>
      <c r="H135" s="163">
        <v>7.8497174108643488</v>
      </c>
      <c r="L135" s="183">
        <f>D10/$D$14</f>
        <v>0.11566553648917502</v>
      </c>
      <c r="M135" s="128"/>
      <c r="N135" s="182">
        <f>$D$134*L135</f>
        <v>-2488763.5507528568</v>
      </c>
      <c r="O135" s="181"/>
      <c r="P135" s="180">
        <f>N135*(D64/100)</f>
        <v>-255745.34247536358</v>
      </c>
    </row>
    <row r="136" spans="1:16" s="136" customFormat="1">
      <c r="A136" s="126"/>
      <c r="B136" s="157" t="s">
        <v>123</v>
      </c>
      <c r="C136" s="136">
        <v>-3173800.8499999996</v>
      </c>
      <c r="D136" s="155">
        <v>-1743685.51</v>
      </c>
      <c r="E136" s="155">
        <v>-518423.47</v>
      </c>
      <c r="F136" s="155">
        <v>-912855.59</v>
      </c>
      <c r="G136" s="155"/>
      <c r="H136" s="155">
        <v>1163.72</v>
      </c>
      <c r="I136" s="155"/>
      <c r="L136" s="149">
        <f>SUM(L133:L135)</f>
        <v>0.99999999999999989</v>
      </c>
      <c r="M136" s="133"/>
      <c r="N136" s="127">
        <f>SUM(N133:N135)</f>
        <v>-21516897.999999996</v>
      </c>
      <c r="O136" s="133"/>
      <c r="P136" s="147">
        <f>SUM(P133:P135)</f>
        <v>-1743685.5112385247</v>
      </c>
    </row>
    <row r="137" spans="1:16" s="136" customFormat="1">
      <c r="A137" s="126"/>
      <c r="B137" s="157"/>
    </row>
    <row r="138" spans="1:16" s="127" customFormat="1" ht="11.25" customHeight="1">
      <c r="A138" s="126" t="s">
        <v>145</v>
      </c>
      <c r="B138" s="157" t="s">
        <v>119</v>
      </c>
      <c r="C138" s="160">
        <v>0</v>
      </c>
      <c r="D138" s="179">
        <v>0</v>
      </c>
      <c r="E138" s="179">
        <v>0</v>
      </c>
      <c r="F138" s="179">
        <v>0</v>
      </c>
      <c r="G138" s="178"/>
      <c r="H138" s="178"/>
      <c r="I138" s="178"/>
    </row>
    <row r="139" spans="1:16" s="133" customFormat="1" ht="11.25" customHeight="1">
      <c r="A139" s="126" t="s">
        <v>144</v>
      </c>
      <c r="B139" s="159" t="s">
        <v>118</v>
      </c>
      <c r="D139" s="163">
        <v>9.2586964900820732</v>
      </c>
      <c r="E139" s="163">
        <v>8.3409999999999975</v>
      </c>
      <c r="F139" s="133">
        <v>6.43</v>
      </c>
    </row>
    <row r="140" spans="1:16" s="136" customFormat="1" ht="11.25" customHeight="1">
      <c r="A140" s="126"/>
      <c r="B140" s="157" t="s">
        <v>117</v>
      </c>
      <c r="C140" s="136">
        <v>0</v>
      </c>
      <c r="D140" s="177">
        <v>0</v>
      </c>
      <c r="E140" s="177">
        <v>0</v>
      </c>
      <c r="F140" s="177">
        <v>0</v>
      </c>
      <c r="G140" s="155"/>
      <c r="H140" s="155"/>
      <c r="I140" s="155"/>
    </row>
    <row r="141" spans="1:16" s="136" customFormat="1" ht="11.25" customHeight="1">
      <c r="A141" s="126"/>
      <c r="B141" s="157"/>
      <c r="D141" s="175"/>
      <c r="E141" s="175"/>
    </row>
    <row r="142" spans="1:16" s="162" customFormat="1">
      <c r="A142" s="174" t="s">
        <v>146</v>
      </c>
      <c r="B142" s="176" t="s">
        <v>122</v>
      </c>
      <c r="C142" s="128">
        <v>-39319785</v>
      </c>
      <c r="D142" s="168">
        <v>-21516898</v>
      </c>
      <c r="E142" s="168">
        <v>-4974918</v>
      </c>
      <c r="F142" s="128">
        <v>-12842794</v>
      </c>
      <c r="G142" s="128"/>
      <c r="H142" s="128">
        <v>14825</v>
      </c>
      <c r="I142" s="128">
        <v>0</v>
      </c>
    </row>
    <row r="143" spans="1:16" s="136" customFormat="1">
      <c r="A143" s="126"/>
      <c r="B143" s="157" t="s">
        <v>121</v>
      </c>
      <c r="C143" s="136">
        <v>-3173800.8499999996</v>
      </c>
      <c r="D143" s="175">
        <v>-1743685.51</v>
      </c>
      <c r="E143" s="175">
        <v>-518423.47</v>
      </c>
      <c r="F143" s="136">
        <v>-912855.59</v>
      </c>
      <c r="H143" s="136">
        <v>1163.72</v>
      </c>
    </row>
    <row r="144" spans="1:16" ht="12.75">
      <c r="A144" s="145"/>
      <c r="B144" s="161" t="s">
        <v>120</v>
      </c>
      <c r="C144" s="136"/>
      <c r="D144" s="175"/>
      <c r="E144" s="175"/>
      <c r="F144" s="136"/>
      <c r="G144" s="136"/>
      <c r="H144" s="136"/>
      <c r="I144" s="136"/>
    </row>
    <row r="145" spans="1:9" s="127" customFormat="1">
      <c r="A145" s="174" t="s">
        <v>145</v>
      </c>
      <c r="B145" s="159" t="s">
        <v>119</v>
      </c>
      <c r="C145" s="127">
        <v>29571094</v>
      </c>
      <c r="D145" s="173">
        <v>29585305</v>
      </c>
      <c r="E145" s="173">
        <v>1578297</v>
      </c>
      <c r="F145" s="173">
        <v>-1592508</v>
      </c>
      <c r="G145" s="172"/>
      <c r="H145" s="172"/>
      <c r="I145" s="171"/>
    </row>
    <row r="146" spans="1:9" s="133" customFormat="1">
      <c r="A146" s="126" t="s">
        <v>144</v>
      </c>
      <c r="B146" s="159" t="s">
        <v>118</v>
      </c>
      <c r="C146" s="158"/>
      <c r="D146" s="133">
        <v>9.2586964900820732</v>
      </c>
      <c r="E146" s="133">
        <v>8.3409999999999975</v>
      </c>
      <c r="F146" s="133">
        <v>6.43</v>
      </c>
    </row>
    <row r="147" spans="1:9" s="136" customFormat="1">
      <c r="A147" s="126"/>
      <c r="B147" s="157" t="s">
        <v>117</v>
      </c>
      <c r="C147" s="136">
        <v>2768461.0900000003</v>
      </c>
      <c r="D147" s="155">
        <v>2739213.6</v>
      </c>
      <c r="E147" s="155">
        <v>131645.75</v>
      </c>
      <c r="F147" s="155">
        <v>-102398.26</v>
      </c>
      <c r="G147" s="155"/>
      <c r="H147" s="155"/>
      <c r="I147" s="155"/>
    </row>
    <row r="148" spans="1:9">
      <c r="C148" s="136"/>
      <c r="D148" s="136"/>
      <c r="E148" s="136"/>
      <c r="F148" s="136"/>
      <c r="G148" s="136"/>
      <c r="H148" s="136"/>
      <c r="I148" s="136"/>
    </row>
    <row r="149" spans="1:9">
      <c r="B149" s="125" t="s">
        <v>116</v>
      </c>
      <c r="C149" s="136">
        <v>-405339.75999999931</v>
      </c>
      <c r="D149" s="136">
        <v>995528.09000000008</v>
      </c>
      <c r="E149" s="136">
        <v>-386777.72</v>
      </c>
      <c r="F149" s="136">
        <v>-1015253.85</v>
      </c>
      <c r="G149" s="136"/>
      <c r="H149" s="136">
        <v>1163.72</v>
      </c>
      <c r="I149" s="136"/>
    </row>
    <row r="150" spans="1:9">
      <c r="B150" s="125" t="s">
        <v>258</v>
      </c>
      <c r="C150" s="128">
        <v>502424644.916408</v>
      </c>
      <c r="D150" s="128">
        <v>215079069.38000003</v>
      </c>
      <c r="E150" s="128">
        <v>75447731.158333346</v>
      </c>
      <c r="F150" s="128">
        <v>126692521.94166666</v>
      </c>
      <c r="G150" s="128">
        <v>66743707.566132009</v>
      </c>
      <c r="H150" s="128">
        <v>12037591.390000001</v>
      </c>
      <c r="I150" s="128">
        <v>6424023.4802760007</v>
      </c>
    </row>
    <row r="151" spans="1:9">
      <c r="C151" s="155"/>
      <c r="D151" s="155"/>
      <c r="E151" s="155"/>
      <c r="F151" s="155"/>
      <c r="G151" s="155"/>
      <c r="H151" s="155"/>
      <c r="I151" s="155"/>
    </row>
    <row r="152" spans="1:9">
      <c r="B152" s="125" t="s">
        <v>114</v>
      </c>
      <c r="C152" s="136">
        <v>502019305.15640801</v>
      </c>
      <c r="D152" s="136">
        <v>216074597.47000003</v>
      </c>
      <c r="E152" s="136">
        <v>75060953.438333347</v>
      </c>
      <c r="F152" s="136">
        <v>125677268.09166667</v>
      </c>
      <c r="G152" s="136">
        <v>66743707.566132009</v>
      </c>
      <c r="H152" s="136">
        <v>12038755.110000001</v>
      </c>
      <c r="I152" s="136">
        <v>6424023.4802760007</v>
      </c>
    </row>
    <row r="153" spans="1:9">
      <c r="C153" s="136"/>
      <c r="D153" s="136"/>
      <c r="E153" s="144"/>
      <c r="F153" s="136"/>
      <c r="G153" s="136"/>
      <c r="H153" s="136"/>
      <c r="I153" s="136"/>
    </row>
    <row r="154" spans="1:9">
      <c r="C154" s="136"/>
      <c r="D154" s="136"/>
      <c r="E154" s="136"/>
      <c r="F154" s="136"/>
      <c r="G154" s="136"/>
      <c r="H154" s="136"/>
      <c r="I154" s="136"/>
    </row>
    <row r="155" spans="1:9">
      <c r="C155" s="170"/>
      <c r="D155" s="136"/>
      <c r="E155" s="136"/>
      <c r="F155" s="136"/>
      <c r="G155" s="136"/>
      <c r="H155" s="136"/>
      <c r="I155" s="136"/>
    </row>
    <row r="156" spans="1:9">
      <c r="C156" s="136"/>
      <c r="D156" s="136"/>
      <c r="E156" s="136"/>
      <c r="F156" s="136"/>
      <c r="G156" s="136"/>
      <c r="H156" s="136"/>
      <c r="I156" s="136"/>
    </row>
    <row r="157" spans="1:9">
      <c r="C157" s="136"/>
      <c r="D157" s="136"/>
      <c r="E157" s="136"/>
      <c r="F157" s="136"/>
      <c r="G157" s="136"/>
      <c r="H157" s="136"/>
      <c r="I157" s="136"/>
    </row>
    <row r="158" spans="1:9">
      <c r="C158" s="136"/>
      <c r="D158" s="136"/>
      <c r="E158" s="136"/>
      <c r="F158" s="136"/>
      <c r="G158" s="136"/>
      <c r="H158" s="136"/>
      <c r="I158" s="136"/>
    </row>
    <row r="159" spans="1:9">
      <c r="C159" s="136"/>
      <c r="D159" s="136"/>
      <c r="E159" s="136"/>
      <c r="F159" s="136"/>
      <c r="G159" s="136"/>
      <c r="H159" s="136"/>
      <c r="I159" s="136"/>
    </row>
    <row r="160" spans="1:9" s="141" customFormat="1">
      <c r="A160" s="126" t="s">
        <v>103</v>
      </c>
      <c r="C160" s="141" t="s">
        <v>6</v>
      </c>
      <c r="D160" s="141" t="s">
        <v>7</v>
      </c>
      <c r="E160" s="141" t="s">
        <v>8</v>
      </c>
      <c r="F160" s="141" t="s">
        <v>9</v>
      </c>
      <c r="G160" s="141" t="s">
        <v>80</v>
      </c>
      <c r="H160" s="141" t="s">
        <v>81</v>
      </c>
      <c r="I160" s="141" t="s">
        <v>79</v>
      </c>
    </row>
    <row r="161" spans="1:9" s="141" customFormat="1">
      <c r="A161" s="126" t="s">
        <v>100</v>
      </c>
      <c r="C161" s="142" t="s">
        <v>13</v>
      </c>
      <c r="D161" s="142" t="s">
        <v>87</v>
      </c>
      <c r="E161" s="142" t="s">
        <v>77</v>
      </c>
      <c r="F161" s="142" t="s">
        <v>76</v>
      </c>
      <c r="G161" s="142" t="s">
        <v>74</v>
      </c>
      <c r="H161" s="142" t="s">
        <v>75</v>
      </c>
      <c r="I161" s="142" t="s">
        <v>73</v>
      </c>
    </row>
    <row r="162" spans="1:9" ht="12.75">
      <c r="B162" s="169" t="s">
        <v>143</v>
      </c>
      <c r="C162" s="136"/>
      <c r="D162" s="136"/>
      <c r="E162" s="136"/>
      <c r="F162" s="136"/>
      <c r="G162" s="136"/>
      <c r="H162" s="136"/>
      <c r="I162" s="136"/>
    </row>
    <row r="163" spans="1:9">
      <c r="B163" s="125" t="s">
        <v>257</v>
      </c>
      <c r="C163" s="136"/>
      <c r="D163" s="136"/>
      <c r="E163" s="136"/>
      <c r="F163" s="136"/>
      <c r="G163" s="136"/>
      <c r="H163" s="136"/>
      <c r="I163" s="136"/>
    </row>
    <row r="164" spans="1:9">
      <c r="B164" s="137" t="s">
        <v>142</v>
      </c>
      <c r="C164" s="136">
        <v>31616695</v>
      </c>
      <c r="D164" s="136">
        <v>23291775</v>
      </c>
      <c r="E164" s="136">
        <v>7736000</v>
      </c>
      <c r="F164" s="136"/>
      <c r="G164" s="136"/>
      <c r="H164" s="136">
        <v>588920</v>
      </c>
      <c r="I164" s="136"/>
    </row>
    <row r="165" spans="1:9">
      <c r="B165" s="137" t="s">
        <v>141</v>
      </c>
      <c r="C165" s="128">
        <v>0</v>
      </c>
      <c r="D165" s="128">
        <v>0</v>
      </c>
      <c r="E165" s="128"/>
      <c r="F165" s="128"/>
      <c r="G165" s="128"/>
      <c r="H165" s="128"/>
      <c r="I165" s="128"/>
    </row>
    <row r="166" spans="1:9">
      <c r="B166" s="137" t="s">
        <v>140</v>
      </c>
      <c r="C166" s="128">
        <v>270723147.44999999</v>
      </c>
      <c r="D166" s="128">
        <v>120971122.23</v>
      </c>
      <c r="E166" s="128">
        <v>48861894.090000004</v>
      </c>
      <c r="F166" s="128">
        <v>88632204.870000005</v>
      </c>
      <c r="G166" s="128">
        <v>7596900</v>
      </c>
      <c r="H166" s="128">
        <v>4661026.26</v>
      </c>
      <c r="I166" s="128"/>
    </row>
    <row r="167" spans="1:9">
      <c r="B167" s="137" t="s">
        <v>139</v>
      </c>
      <c r="C167" s="128">
        <v>102784827.84</v>
      </c>
      <c r="D167" s="128">
        <v>42686840.93</v>
      </c>
      <c r="E167" s="128">
        <v>16028346.75</v>
      </c>
      <c r="F167" s="128">
        <v>9481260.3200000003</v>
      </c>
      <c r="G167" s="128">
        <v>27803914.280000001</v>
      </c>
      <c r="H167" s="128">
        <v>6784465.5599999996</v>
      </c>
      <c r="I167" s="128"/>
    </row>
    <row r="168" spans="1:9">
      <c r="B168" s="137" t="s">
        <v>138</v>
      </c>
      <c r="C168" s="128">
        <v>45671081.899999999</v>
      </c>
      <c r="D168" s="128">
        <v>28129331.219999999</v>
      </c>
      <c r="E168" s="128"/>
      <c r="F168" s="128"/>
      <c r="G168" s="128">
        <v>17541750.68</v>
      </c>
      <c r="H168" s="128"/>
      <c r="I168" s="128"/>
    </row>
    <row r="169" spans="1:9">
      <c r="B169" s="137" t="s">
        <v>137</v>
      </c>
      <c r="C169" s="128">
        <v>0</v>
      </c>
      <c r="D169" s="128">
        <v>0</v>
      </c>
      <c r="E169" s="128"/>
      <c r="F169" s="128"/>
      <c r="G169" s="128"/>
      <c r="H169" s="128"/>
      <c r="I169" s="128"/>
    </row>
    <row r="170" spans="1:9">
      <c r="B170" s="137" t="s">
        <v>136</v>
      </c>
      <c r="C170" s="128">
        <v>18017500</v>
      </c>
      <c r="D170" s="128"/>
      <c r="E170" s="128"/>
      <c r="F170" s="128">
        <v>11393500</v>
      </c>
      <c r="G170" s="128">
        <v>6624000</v>
      </c>
      <c r="H170" s="128"/>
      <c r="I170" s="128"/>
    </row>
    <row r="171" spans="1:9">
      <c r="B171" s="137" t="s">
        <v>135</v>
      </c>
      <c r="C171" s="128">
        <v>28257214.75</v>
      </c>
      <c r="D171" s="128"/>
      <c r="E171" s="128">
        <v>2815845.37</v>
      </c>
      <c r="F171" s="128">
        <v>17125305.829999998</v>
      </c>
      <c r="G171" s="128">
        <v>8316063.5499999998</v>
      </c>
      <c r="H171" s="128"/>
      <c r="I171" s="128"/>
    </row>
    <row r="172" spans="1:9">
      <c r="B172" s="137" t="s">
        <v>134</v>
      </c>
      <c r="C172" s="128">
        <v>124563.14</v>
      </c>
      <c r="D172" s="128"/>
      <c r="E172" s="128">
        <v>5644.9500000000007</v>
      </c>
      <c r="F172" s="128">
        <v>115738.62</v>
      </c>
      <c r="G172" s="128"/>
      <c r="H172" s="128">
        <v>3179.57</v>
      </c>
      <c r="I172" s="128"/>
    </row>
    <row r="173" spans="1:9">
      <c r="B173" s="137" t="s">
        <v>133</v>
      </c>
      <c r="C173" s="128">
        <v>-1296718.9147999997</v>
      </c>
      <c r="D173" s="128"/>
      <c r="E173" s="128"/>
      <c r="F173" s="128">
        <v>-55487.7</v>
      </c>
      <c r="G173" s="168">
        <v>-1241231.2147999997</v>
      </c>
      <c r="H173" s="128"/>
      <c r="I173" s="128"/>
    </row>
    <row r="174" spans="1:9">
      <c r="B174" s="137" t="s">
        <v>132</v>
      </c>
      <c r="C174" s="128">
        <v>102310.26643199997</v>
      </c>
      <c r="D174" s="128"/>
      <c r="E174" s="128"/>
      <c r="F174" s="128"/>
      <c r="G174" s="128">
        <v>102310.26643199997</v>
      </c>
      <c r="H174" s="128"/>
      <c r="I174" s="128"/>
    </row>
    <row r="175" spans="1:9">
      <c r="A175" s="126" t="s">
        <v>131</v>
      </c>
      <c r="B175" s="137" t="s">
        <v>130</v>
      </c>
      <c r="C175" s="164">
        <v>6424023.4806000004</v>
      </c>
      <c r="D175" s="164"/>
      <c r="E175" s="167"/>
      <c r="F175" s="167"/>
      <c r="G175" s="167"/>
      <c r="H175" s="167"/>
      <c r="I175" s="166">
        <v>6424023.4806000004</v>
      </c>
    </row>
    <row r="176" spans="1:9">
      <c r="C176" s="136"/>
      <c r="D176" s="136"/>
      <c r="E176" s="136"/>
      <c r="F176" s="136"/>
      <c r="G176" s="136"/>
      <c r="H176" s="136"/>
      <c r="I176" s="136"/>
    </row>
    <row r="177" spans="1:9">
      <c r="B177" s="125" t="s">
        <v>129</v>
      </c>
      <c r="C177" s="136">
        <v>502424644.91223204</v>
      </c>
      <c r="D177" s="136">
        <v>215079069.38000003</v>
      </c>
      <c r="E177" s="136">
        <v>75447731.160000011</v>
      </c>
      <c r="F177" s="136">
        <v>126692521.94</v>
      </c>
      <c r="G177" s="136">
        <v>66743707.561632007</v>
      </c>
      <c r="H177" s="136">
        <v>12037591.390000001</v>
      </c>
      <c r="I177" s="136">
        <v>6424023.4806000004</v>
      </c>
    </row>
    <row r="178" spans="1:9">
      <c r="B178" s="165"/>
      <c r="C178" s="164">
        <v>0</v>
      </c>
      <c r="D178" s="164">
        <v>0</v>
      </c>
      <c r="E178" s="164">
        <v>0</v>
      </c>
      <c r="F178" s="164">
        <v>0</v>
      </c>
      <c r="G178" s="164">
        <v>0</v>
      </c>
      <c r="H178" s="164">
        <v>0</v>
      </c>
      <c r="I178" s="164">
        <v>0</v>
      </c>
    </row>
    <row r="179" spans="1:9">
      <c r="C179" s="136"/>
      <c r="D179" s="136"/>
      <c r="E179" s="156"/>
      <c r="F179" s="156"/>
      <c r="G179" s="136"/>
      <c r="H179" s="136"/>
      <c r="I179" s="136"/>
    </row>
    <row r="180" spans="1:9">
      <c r="B180" s="125" t="s">
        <v>129</v>
      </c>
      <c r="C180" s="136">
        <v>502424644.91223204</v>
      </c>
      <c r="D180" s="136">
        <v>215079069.38000003</v>
      </c>
      <c r="E180" s="136">
        <v>75447731.160000011</v>
      </c>
      <c r="F180" s="136">
        <v>126692521.94</v>
      </c>
      <c r="G180" s="136">
        <v>66743707.561632007</v>
      </c>
      <c r="H180" s="136">
        <v>12037591.390000001</v>
      </c>
      <c r="I180" s="136">
        <v>6424023.4806000004</v>
      </c>
    </row>
    <row r="181" spans="1:9">
      <c r="B181" s="125" t="s">
        <v>128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8">
        <v>0</v>
      </c>
      <c r="I181" s="128">
        <v>0</v>
      </c>
    </row>
    <row r="182" spans="1:9">
      <c r="C182" s="155"/>
      <c r="D182" s="155"/>
      <c r="E182" s="155"/>
      <c r="F182" s="155"/>
      <c r="G182" s="155"/>
      <c r="H182" s="155"/>
      <c r="I182" s="155"/>
    </row>
    <row r="183" spans="1:9">
      <c r="B183" s="125" t="s">
        <v>259</v>
      </c>
      <c r="C183" s="136">
        <v>502424644.91223204</v>
      </c>
      <c r="D183" s="136">
        <v>215079069.38000003</v>
      </c>
      <c r="E183" s="136">
        <v>75447731.160000011</v>
      </c>
      <c r="F183" s="136">
        <v>126692521.94</v>
      </c>
      <c r="G183" s="136">
        <v>66743707.561632007</v>
      </c>
      <c r="H183" s="136">
        <v>12037591.390000001</v>
      </c>
      <c r="I183" s="136">
        <v>6424023.4806000004</v>
      </c>
    </row>
    <row r="184" spans="1:9">
      <c r="C184" s="136"/>
      <c r="D184" s="136"/>
      <c r="E184" s="136"/>
      <c r="F184" s="136"/>
      <c r="G184" s="136"/>
      <c r="H184" s="136"/>
      <c r="I184" s="136"/>
    </row>
    <row r="185" spans="1:9">
      <c r="B185" s="125" t="s">
        <v>127</v>
      </c>
      <c r="C185" s="136"/>
      <c r="D185" s="136"/>
      <c r="E185" s="136"/>
      <c r="F185" s="136"/>
      <c r="G185" s="136"/>
      <c r="H185" s="136"/>
      <c r="I185" s="136"/>
    </row>
    <row r="186" spans="1:9">
      <c r="B186" s="161" t="s">
        <v>126</v>
      </c>
      <c r="C186" s="136"/>
      <c r="D186" s="136"/>
      <c r="E186" s="136"/>
      <c r="F186" s="136"/>
      <c r="G186" s="136"/>
      <c r="H186" s="136"/>
      <c r="I186" s="136"/>
    </row>
    <row r="187" spans="1:9" s="127" customFormat="1">
      <c r="A187" s="126"/>
      <c r="B187" s="159" t="s">
        <v>125</v>
      </c>
      <c r="C187" s="160">
        <v>-39319785</v>
      </c>
      <c r="D187" s="128">
        <v>-21516898</v>
      </c>
      <c r="E187" s="128">
        <v>-4974918</v>
      </c>
      <c r="F187" s="128">
        <v>-12842794</v>
      </c>
      <c r="G187" s="128"/>
      <c r="H187" s="128">
        <v>14825</v>
      </c>
      <c r="I187" s="160"/>
    </row>
    <row r="188" spans="1:9" s="133" customFormat="1">
      <c r="A188" s="126"/>
      <c r="B188" s="159" t="s">
        <v>124</v>
      </c>
      <c r="D188" s="133">
        <v>8.1037959618323505</v>
      </c>
      <c r="E188" s="133">
        <v>10.420743970273785</v>
      </c>
      <c r="F188" s="133">
        <v>7.1079205442587252</v>
      </c>
      <c r="H188" s="163">
        <v>7.8497174108643488</v>
      </c>
    </row>
    <row r="189" spans="1:9" s="136" customFormat="1">
      <c r="A189" s="126"/>
      <c r="B189" s="159" t="s">
        <v>123</v>
      </c>
      <c r="C189" s="136">
        <v>-3173800.8499999996</v>
      </c>
      <c r="D189" s="155">
        <v>-1743685.51</v>
      </c>
      <c r="E189" s="155">
        <v>-518423.47</v>
      </c>
      <c r="F189" s="155">
        <v>-912855.59</v>
      </c>
      <c r="G189" s="155"/>
      <c r="H189" s="155">
        <v>1163.72</v>
      </c>
      <c r="I189" s="155"/>
    </row>
    <row r="190" spans="1:9" s="136" customFormat="1">
      <c r="A190" s="126"/>
      <c r="B190" s="159"/>
    </row>
    <row r="191" spans="1:9" s="127" customFormat="1">
      <c r="A191" s="126"/>
      <c r="B191" s="159" t="s">
        <v>119</v>
      </c>
      <c r="C191" s="160">
        <v>0</v>
      </c>
      <c r="D191" s="160">
        <v>0</v>
      </c>
      <c r="E191" s="160">
        <v>0</v>
      </c>
      <c r="F191" s="160">
        <v>0</v>
      </c>
      <c r="G191" s="160"/>
      <c r="H191" s="160"/>
      <c r="I191" s="160"/>
    </row>
    <row r="192" spans="1:9" s="133" customFormat="1">
      <c r="A192" s="126"/>
      <c r="B192" s="159" t="s">
        <v>118</v>
      </c>
      <c r="D192" s="133">
        <v>9.2586964900820732</v>
      </c>
      <c r="E192" s="133">
        <v>8.3409999999999975</v>
      </c>
      <c r="F192" s="133">
        <v>6.43</v>
      </c>
    </row>
    <row r="193" spans="1:15" s="136" customFormat="1">
      <c r="A193" s="126"/>
      <c r="B193" s="159" t="s">
        <v>117</v>
      </c>
      <c r="C193" s="136">
        <v>0</v>
      </c>
      <c r="D193" s="155">
        <v>0</v>
      </c>
      <c r="E193" s="155">
        <v>0</v>
      </c>
      <c r="F193" s="155">
        <v>0</v>
      </c>
      <c r="G193" s="155"/>
      <c r="H193" s="155"/>
      <c r="I193" s="155"/>
    </row>
    <row r="194" spans="1:15" s="136" customFormat="1">
      <c r="A194" s="126"/>
      <c r="B194" s="159"/>
    </row>
    <row r="195" spans="1:15" s="162" customFormat="1">
      <c r="A195" s="126"/>
      <c r="B195" s="159" t="s">
        <v>122</v>
      </c>
      <c r="C195" s="128">
        <v>-39319785</v>
      </c>
      <c r="D195" s="128">
        <v>-21516898</v>
      </c>
      <c r="E195" s="128">
        <v>-4974918</v>
      </c>
      <c r="F195" s="128">
        <v>-12842794</v>
      </c>
      <c r="G195" s="128"/>
      <c r="H195" s="128">
        <v>14825</v>
      </c>
      <c r="I195" s="128"/>
    </row>
    <row r="196" spans="1:15" s="136" customFormat="1">
      <c r="A196" s="126"/>
      <c r="B196" s="159" t="s">
        <v>121</v>
      </c>
      <c r="C196" s="136">
        <v>-3173800.8499999996</v>
      </c>
      <c r="D196" s="136">
        <v>-1743685.51</v>
      </c>
      <c r="E196" s="136">
        <v>-518423.47</v>
      </c>
      <c r="F196" s="136">
        <v>-912855.59</v>
      </c>
      <c r="H196" s="136">
        <v>1163.72</v>
      </c>
    </row>
    <row r="197" spans="1:15">
      <c r="B197" s="161" t="s">
        <v>120</v>
      </c>
      <c r="C197" s="136"/>
      <c r="D197" s="136"/>
      <c r="E197" s="136"/>
      <c r="F197" s="136"/>
      <c r="G197" s="136"/>
      <c r="H197" s="136"/>
      <c r="I197" s="136"/>
    </row>
    <row r="198" spans="1:15" s="127" customFormat="1">
      <c r="A198" s="126"/>
      <c r="B198" s="159" t="s">
        <v>119</v>
      </c>
      <c r="C198" s="160">
        <v>29571094</v>
      </c>
      <c r="D198" s="160">
        <v>29585305</v>
      </c>
      <c r="E198" s="160">
        <v>1578297</v>
      </c>
      <c r="F198" s="160">
        <v>-1592508</v>
      </c>
      <c r="G198" s="160"/>
      <c r="H198" s="160"/>
      <c r="I198" s="160"/>
    </row>
    <row r="199" spans="1:15" s="133" customFormat="1">
      <c r="A199" s="126"/>
      <c r="B199" s="159" t="s">
        <v>118</v>
      </c>
      <c r="C199" s="158" t="s">
        <v>6</v>
      </c>
      <c r="D199" s="133">
        <v>9.2586964900820732</v>
      </c>
      <c r="E199" s="133">
        <v>8.3409999999999975</v>
      </c>
      <c r="F199" s="133">
        <v>6.43</v>
      </c>
    </row>
    <row r="200" spans="1:15" s="136" customFormat="1">
      <c r="A200" s="126"/>
      <c r="B200" s="157" t="s">
        <v>117</v>
      </c>
      <c r="C200" s="136">
        <v>2768461.0900000003</v>
      </c>
      <c r="D200" s="155">
        <v>2739213.6</v>
      </c>
      <c r="E200" s="155">
        <v>131645.75</v>
      </c>
      <c r="F200" s="155">
        <v>-102398.26</v>
      </c>
      <c r="G200" s="155"/>
      <c r="H200" s="155"/>
      <c r="I200" s="155"/>
    </row>
    <row r="201" spans="1:15" s="136" customFormat="1">
      <c r="A201" s="126"/>
      <c r="C201" s="156"/>
      <c r="D201" s="156"/>
      <c r="E201" s="156"/>
      <c r="F201" s="156"/>
      <c r="G201" s="156"/>
      <c r="H201" s="156"/>
      <c r="I201" s="156"/>
    </row>
    <row r="202" spans="1:15">
      <c r="B202" s="125" t="s">
        <v>116</v>
      </c>
      <c r="C202" s="155">
        <v>-405339.75999999989</v>
      </c>
      <c r="D202" s="155">
        <v>995528.09000000008</v>
      </c>
      <c r="E202" s="155">
        <v>-386777.72</v>
      </c>
      <c r="F202" s="155">
        <v>-1015253.85</v>
      </c>
      <c r="G202" s="155"/>
      <c r="H202" s="155">
        <v>1163.72</v>
      </c>
      <c r="I202" s="155"/>
    </row>
    <row r="203" spans="1:15">
      <c r="B203" s="125" t="s">
        <v>258</v>
      </c>
      <c r="C203" s="128">
        <v>502424644.91223204</v>
      </c>
      <c r="D203" s="128">
        <v>215079069.38000003</v>
      </c>
      <c r="E203" s="128">
        <v>75447731.160000011</v>
      </c>
      <c r="F203" s="128">
        <v>126692521.94</v>
      </c>
      <c r="G203" s="128">
        <v>66743707.561632007</v>
      </c>
      <c r="H203" s="128">
        <v>12037591.390000001</v>
      </c>
      <c r="I203" s="128">
        <v>6424023.4806000004</v>
      </c>
    </row>
    <row r="204" spans="1:15">
      <c r="B204" s="125" t="s">
        <v>115</v>
      </c>
      <c r="C204" s="155">
        <v>502019305.15223205</v>
      </c>
      <c r="D204" s="155">
        <v>216074597.47000003</v>
      </c>
      <c r="E204" s="155">
        <v>75060953.440000013</v>
      </c>
      <c r="F204" s="155">
        <v>125677268.09</v>
      </c>
      <c r="G204" s="155">
        <v>66743707.561632007</v>
      </c>
      <c r="H204" s="155">
        <v>12038755.110000001</v>
      </c>
      <c r="I204" s="155">
        <v>6424023.4806000004</v>
      </c>
      <c r="L204" s="136"/>
      <c r="O204" s="136"/>
    </row>
    <row r="205" spans="1:15">
      <c r="B205" s="125" t="s">
        <v>114</v>
      </c>
      <c r="C205" s="136">
        <v>502019305.15640801</v>
      </c>
      <c r="D205" s="136">
        <v>216074597.47000003</v>
      </c>
      <c r="E205" s="136">
        <v>75060953.438333347</v>
      </c>
      <c r="F205" s="136">
        <v>125677268.09166667</v>
      </c>
      <c r="G205" s="136">
        <v>66743707.566132009</v>
      </c>
      <c r="H205" s="136">
        <v>12038755.110000001</v>
      </c>
      <c r="I205" s="136">
        <v>6424023.4802760007</v>
      </c>
      <c r="L205" s="136"/>
      <c r="O205" s="136"/>
    </row>
    <row r="206" spans="1:15">
      <c r="C206" s="154"/>
      <c r="D206" s="154"/>
      <c r="E206" s="154"/>
      <c r="F206" s="154"/>
      <c r="G206" s="154"/>
      <c r="H206" s="154"/>
      <c r="I206" s="154"/>
    </row>
    <row r="207" spans="1:15" s="138" customFormat="1">
      <c r="A207" s="153"/>
      <c r="B207" s="138" t="s">
        <v>113</v>
      </c>
      <c r="C207" s="151">
        <v>-4.1760019958019257E-3</v>
      </c>
      <c r="D207" s="151">
        <v>0</v>
      </c>
      <c r="E207" s="151">
        <v>1.6666650772094727E-3</v>
      </c>
      <c r="F207" s="151">
        <v>-1.6666650772094727E-3</v>
      </c>
      <c r="G207" s="151">
        <v>-4.5000016689300537E-3</v>
      </c>
      <c r="H207" s="151">
        <v>0</v>
      </c>
      <c r="I207" s="151">
        <v>3.2399967312812805E-4</v>
      </c>
      <c r="L207" s="151"/>
      <c r="O207" s="151"/>
    </row>
    <row r="208" spans="1:15" s="138" customFormat="1">
      <c r="A208" s="153"/>
      <c r="B208" s="138" t="s">
        <v>112</v>
      </c>
      <c r="C208" s="152">
        <v>-8.3184091785092994E-12</v>
      </c>
      <c r="D208" s="152">
        <v>0</v>
      </c>
      <c r="E208" s="152">
        <v>2.2204155434539327E-11</v>
      </c>
      <c r="F208" s="152">
        <v>-1.326146806432678E-11</v>
      </c>
      <c r="G208" s="152">
        <v>-6.7422111132668108E-11</v>
      </c>
      <c r="H208" s="152">
        <v>0</v>
      </c>
      <c r="I208" s="152">
        <v>5.0435630274845725E-11</v>
      </c>
      <c r="J208" s="152"/>
      <c r="L208" s="152"/>
      <c r="O208" s="151"/>
    </row>
    <row r="209" spans="1:15" s="141" customFormat="1" ht="12.75">
      <c r="A209" s="126"/>
      <c r="B209" s="146" t="s">
        <v>255</v>
      </c>
      <c r="C209" s="143"/>
      <c r="D209" s="150"/>
      <c r="E209" s="150"/>
      <c r="F209" s="150"/>
      <c r="G209" s="150"/>
      <c r="H209" s="150"/>
      <c r="I209" s="150"/>
    </row>
    <row r="210" spans="1:15" s="141" customFormat="1" ht="12.75">
      <c r="A210" s="126"/>
      <c r="C210" s="145" t="s">
        <v>6</v>
      </c>
      <c r="D210" s="145"/>
      <c r="E210" s="144"/>
      <c r="F210" s="143"/>
      <c r="G210" s="143"/>
      <c r="H210" s="143"/>
      <c r="I210" s="143"/>
    </row>
    <row r="211" spans="1:15" s="141" customFormat="1" ht="12.75">
      <c r="A211" s="126"/>
      <c r="C211" s="145"/>
      <c r="D211" s="145"/>
      <c r="E211" s="144"/>
      <c r="F211" s="143"/>
      <c r="G211" s="143"/>
      <c r="H211" s="143"/>
      <c r="I211" s="143"/>
    </row>
    <row r="212" spans="1:15" s="141" customFormat="1" ht="12.75">
      <c r="A212" s="126"/>
      <c r="C212" s="145"/>
      <c r="D212" s="145"/>
      <c r="E212" s="144"/>
      <c r="F212" s="143"/>
      <c r="G212" s="143"/>
      <c r="H212" s="143"/>
      <c r="I212" s="143"/>
    </row>
    <row r="213" spans="1:15" s="141" customFormat="1" ht="12.75">
      <c r="A213" s="126"/>
      <c r="C213" s="145"/>
      <c r="D213" s="145"/>
      <c r="E213" s="144"/>
      <c r="F213" s="143"/>
      <c r="G213" s="143"/>
      <c r="H213" s="143"/>
      <c r="I213" s="143"/>
    </row>
    <row r="214" spans="1:15" s="141" customFormat="1" ht="12.75">
      <c r="A214" s="126"/>
      <c r="C214" s="145"/>
      <c r="D214" s="145"/>
      <c r="E214" s="144"/>
      <c r="F214" s="143"/>
      <c r="G214" s="143"/>
      <c r="H214" s="143"/>
      <c r="I214" s="143"/>
    </row>
    <row r="215" spans="1:15" s="141" customFormat="1">
      <c r="A215" s="126"/>
      <c r="C215" s="143"/>
      <c r="D215" s="143"/>
      <c r="E215" s="143"/>
      <c r="F215" s="143"/>
      <c r="G215" s="143"/>
      <c r="H215" s="143"/>
      <c r="I215" s="143"/>
    </row>
    <row r="216" spans="1:15" s="141" customFormat="1">
      <c r="A216" s="126" t="s">
        <v>103</v>
      </c>
      <c r="C216" s="141" t="s">
        <v>6</v>
      </c>
      <c r="D216" s="141" t="s">
        <v>13</v>
      </c>
      <c r="E216" s="141" t="s">
        <v>13</v>
      </c>
      <c r="F216" s="141" t="s">
        <v>102</v>
      </c>
      <c r="G216" s="141" t="s">
        <v>102</v>
      </c>
      <c r="H216" s="141" t="s">
        <v>101</v>
      </c>
      <c r="I216" s="141" t="s">
        <v>101</v>
      </c>
    </row>
    <row r="217" spans="1:15" s="141" customFormat="1">
      <c r="A217" s="126" t="s">
        <v>100</v>
      </c>
      <c r="C217" s="142" t="s">
        <v>99</v>
      </c>
      <c r="D217" s="142" t="s">
        <v>98</v>
      </c>
      <c r="E217" s="142" t="s">
        <v>97</v>
      </c>
      <c r="F217" s="142" t="s">
        <v>98</v>
      </c>
      <c r="G217" s="142" t="s">
        <v>97</v>
      </c>
      <c r="H217" s="142" t="s">
        <v>98</v>
      </c>
      <c r="I217" s="142" t="s">
        <v>97</v>
      </c>
    </row>
    <row r="219" spans="1:15">
      <c r="B219" s="139" t="s">
        <v>96</v>
      </c>
    </row>
    <row r="220" spans="1:15">
      <c r="B220" s="138" t="s">
        <v>87</v>
      </c>
    </row>
    <row r="221" spans="1:15">
      <c r="B221" s="137" t="s">
        <v>110</v>
      </c>
      <c r="C221" s="133">
        <v>7.5330000000000004</v>
      </c>
      <c r="D221" s="128">
        <v>1605882413.823499</v>
      </c>
      <c r="E221" s="136">
        <v>120971122.23332419</v>
      </c>
      <c r="F221" s="128">
        <v>1583840700</v>
      </c>
      <c r="G221" s="136">
        <v>119310719.93100001</v>
      </c>
      <c r="H221" s="128">
        <v>22041713.823498964</v>
      </c>
      <c r="I221" s="136">
        <v>1660402.302324177</v>
      </c>
      <c r="L221" s="149">
        <f>H221/$H$225</f>
        <v>2.8157724059615637E-2</v>
      </c>
      <c r="N221" s="148">
        <f>L221*$D$145</f>
        <v>833054.85440956685</v>
      </c>
      <c r="O221" s="147">
        <f>N221*(C221/100)</f>
        <v>62754.022182672677</v>
      </c>
    </row>
    <row r="222" spans="1:15">
      <c r="B222" s="137" t="s">
        <v>109</v>
      </c>
      <c r="C222" s="133">
        <v>8.7650000000000006</v>
      </c>
      <c r="D222" s="128">
        <v>487014728.23856175</v>
      </c>
      <c r="E222" s="136">
        <v>42686840.93010994</v>
      </c>
      <c r="F222" s="128">
        <v>0</v>
      </c>
      <c r="G222" s="136">
        <v>0</v>
      </c>
      <c r="H222" s="128">
        <v>487014728.23856175</v>
      </c>
      <c r="I222" s="136">
        <v>42686840.93010994</v>
      </c>
      <c r="L222" s="149">
        <f>H222/$H$225</f>
        <v>0.6221488238401075</v>
      </c>
      <c r="N222" s="148">
        <f>L222*$D$145</f>
        <v>18406462.708700851</v>
      </c>
      <c r="O222" s="147">
        <f>N222*(C222/100)</f>
        <v>1613326.4564176297</v>
      </c>
    </row>
    <row r="223" spans="1:15">
      <c r="B223" s="137" t="s">
        <v>111</v>
      </c>
      <c r="C223" s="133">
        <v>10.276</v>
      </c>
      <c r="D223" s="128">
        <v>273738139.51818943</v>
      </c>
      <c r="E223" s="136">
        <v>28129331.216889143</v>
      </c>
      <c r="F223" s="128">
        <v>0</v>
      </c>
      <c r="G223" s="136">
        <v>0</v>
      </c>
      <c r="H223" s="128">
        <v>273738139.51818943</v>
      </c>
      <c r="I223" s="136">
        <v>28129331.216889143</v>
      </c>
      <c r="L223" s="149">
        <f>H223/$H$225</f>
        <v>0.3496934521002768</v>
      </c>
      <c r="N223" s="148">
        <f>L223*$D$145</f>
        <v>10345787.43688958</v>
      </c>
      <c r="O223" s="147">
        <f>N223*(C223/100)</f>
        <v>1063133.1170147732</v>
      </c>
    </row>
    <row r="224" spans="1:15">
      <c r="D224" s="135"/>
      <c r="E224" s="134"/>
      <c r="F224" s="135"/>
      <c r="G224" s="134"/>
      <c r="H224" s="135"/>
      <c r="I224" s="134"/>
      <c r="N224" s="148">
        <f>SUM(N221:N223)</f>
        <v>29585305</v>
      </c>
      <c r="O224" s="147">
        <f>SUM(O221:O223)</f>
        <v>2739213.5956150759</v>
      </c>
    </row>
    <row r="225" spans="2:9">
      <c r="B225" s="125" t="s">
        <v>13</v>
      </c>
      <c r="D225" s="128">
        <v>2366635281.5802503</v>
      </c>
      <c r="E225" s="136">
        <v>191787294.38032326</v>
      </c>
      <c r="F225" s="140">
        <v>1583840700</v>
      </c>
      <c r="G225" s="136">
        <v>119310719.93100001</v>
      </c>
      <c r="H225" s="128">
        <v>782794581.58025014</v>
      </c>
      <c r="I225" s="136">
        <v>72476574.449323267</v>
      </c>
    </row>
    <row r="226" spans="2:9">
      <c r="B226" s="125" t="s">
        <v>91</v>
      </c>
      <c r="D226" s="128"/>
      <c r="E226" s="133">
        <v>8.1037959618460089</v>
      </c>
      <c r="F226" s="133"/>
      <c r="G226" s="133">
        <v>7.5330000000000013</v>
      </c>
      <c r="H226" s="128"/>
      <c r="I226" s="133">
        <v>9.2586964900820732</v>
      </c>
    </row>
    <row r="227" spans="2:9">
      <c r="D227" s="128"/>
      <c r="F227" s="128"/>
      <c r="H227" s="128"/>
    </row>
    <row r="228" spans="2:9" ht="11.25" hidden="1" customHeight="1">
      <c r="B228" s="139" t="s">
        <v>95</v>
      </c>
      <c r="D228" s="128"/>
      <c r="F228" s="128"/>
      <c r="H228" s="128"/>
    </row>
    <row r="229" spans="2:9" ht="11.25" hidden="1" customHeight="1">
      <c r="B229" s="138" t="s">
        <v>87</v>
      </c>
      <c r="D229" s="128"/>
      <c r="F229" s="128"/>
      <c r="H229" s="128"/>
    </row>
    <row r="230" spans="2:9" ht="11.25" hidden="1" customHeight="1">
      <c r="B230" s="137" t="s">
        <v>110</v>
      </c>
      <c r="C230" s="133">
        <v>7.5330000000000004</v>
      </c>
      <c r="D230" s="128">
        <v>1605882413.823499</v>
      </c>
      <c r="E230" s="136">
        <v>120971122.23332419</v>
      </c>
      <c r="F230" s="128">
        <v>1583840700</v>
      </c>
      <c r="G230" s="136">
        <v>119310719.93100001</v>
      </c>
      <c r="H230" s="128">
        <v>22041713.823498964</v>
      </c>
      <c r="I230" s="136">
        <v>1660402.302324177</v>
      </c>
    </row>
    <row r="231" spans="2:9" ht="11.25" hidden="1" customHeight="1">
      <c r="B231" s="137" t="s">
        <v>109</v>
      </c>
      <c r="C231" s="133">
        <v>8.7650000000000006</v>
      </c>
      <c r="D231" s="128">
        <v>487014728.23856175</v>
      </c>
      <c r="E231" s="136">
        <v>42686840.93010994</v>
      </c>
      <c r="F231" s="128">
        <v>0</v>
      </c>
      <c r="G231" s="136">
        <v>0</v>
      </c>
      <c r="H231" s="128">
        <v>487014728.23856175</v>
      </c>
      <c r="I231" s="136">
        <v>42686840.93010994</v>
      </c>
    </row>
    <row r="232" spans="2:9" ht="11.25" hidden="1" customHeight="1">
      <c r="B232" s="137" t="s">
        <v>108</v>
      </c>
      <c r="C232" s="133">
        <v>10.276</v>
      </c>
      <c r="D232" s="128">
        <v>273738139.51818943</v>
      </c>
      <c r="E232" s="136">
        <v>28129331.216889143</v>
      </c>
      <c r="F232" s="128">
        <v>0</v>
      </c>
      <c r="G232" s="136">
        <v>0</v>
      </c>
      <c r="H232" s="128">
        <v>273738139.51818943</v>
      </c>
      <c r="I232" s="136">
        <v>28129331.216889143</v>
      </c>
    </row>
    <row r="233" spans="2:9" ht="11.25" hidden="1" customHeight="1">
      <c r="D233" s="135"/>
      <c r="E233" s="134"/>
      <c r="F233" s="135"/>
      <c r="G233" s="134"/>
      <c r="H233" s="135"/>
      <c r="I233" s="134"/>
    </row>
    <row r="234" spans="2:9" ht="11.25" hidden="1" customHeight="1">
      <c r="B234" s="125" t="s">
        <v>13</v>
      </c>
      <c r="D234" s="128">
        <v>2366635281.5802503</v>
      </c>
      <c r="E234" s="136">
        <v>191787294.38032326</v>
      </c>
      <c r="F234" s="128">
        <v>1583840700</v>
      </c>
      <c r="G234" s="136">
        <v>119310719.93100001</v>
      </c>
      <c r="H234" s="128">
        <v>782794581.58025014</v>
      </c>
      <c r="I234" s="136">
        <v>72476574.449323267</v>
      </c>
    </row>
    <row r="235" spans="2:9" ht="11.25" hidden="1" customHeight="1">
      <c r="B235" s="125" t="s">
        <v>91</v>
      </c>
      <c r="D235" s="128"/>
      <c r="E235" s="133">
        <v>8.1037959618460089</v>
      </c>
      <c r="F235" s="133"/>
      <c r="G235" s="133">
        <v>7.5330000000000013</v>
      </c>
      <c r="H235" s="128"/>
      <c r="I235" s="133">
        <v>9.2586964900820732</v>
      </c>
    </row>
    <row r="236" spans="2:9">
      <c r="D236" s="128"/>
      <c r="F236" s="128"/>
      <c r="G236" s="133"/>
      <c r="H236" s="128"/>
      <c r="I236" s="133"/>
    </row>
    <row r="237" spans="2:9" ht="11.25" hidden="1" customHeight="1">
      <c r="D237" s="128"/>
      <c r="F237" s="128"/>
      <c r="H237" s="128"/>
    </row>
    <row r="238" spans="2:9">
      <c r="D238" s="128"/>
      <c r="F238" s="128"/>
      <c r="H238" s="128"/>
    </row>
    <row r="239" spans="2:9">
      <c r="B239" s="139" t="s">
        <v>96</v>
      </c>
      <c r="D239" s="128"/>
      <c r="F239" s="128"/>
      <c r="H239" s="128"/>
    </row>
    <row r="240" spans="2:9">
      <c r="B240" s="138" t="s">
        <v>107</v>
      </c>
      <c r="D240" s="128"/>
      <c r="F240" s="128"/>
      <c r="H240" s="128"/>
    </row>
    <row r="241" spans="2:9">
      <c r="B241" s="137" t="s">
        <v>106</v>
      </c>
      <c r="C241" s="133">
        <v>11.349</v>
      </c>
      <c r="D241" s="128">
        <v>430539202.45778012</v>
      </c>
      <c r="E241" s="136">
        <v>48861894.086933471</v>
      </c>
      <c r="F241" s="128">
        <v>430539202.45778012</v>
      </c>
      <c r="G241" s="136">
        <v>48861894.086933471</v>
      </c>
      <c r="H241" s="128">
        <v>0</v>
      </c>
      <c r="I241" s="136">
        <v>0</v>
      </c>
    </row>
    <row r="242" spans="2:9">
      <c r="B242" s="137" t="s">
        <v>105</v>
      </c>
      <c r="C242" s="133">
        <v>8.3409999999999993</v>
      </c>
      <c r="D242" s="128">
        <v>192163370.65126002</v>
      </c>
      <c r="E242" s="136">
        <v>16028346.746021597</v>
      </c>
      <c r="F242" s="128">
        <v>100537197.54221988</v>
      </c>
      <c r="G242" s="136">
        <v>8385807.6469965586</v>
      </c>
      <c r="H242" s="128">
        <v>91626173.109040141</v>
      </c>
      <c r="I242" s="136">
        <v>7642539.0990250371</v>
      </c>
    </row>
    <row r="243" spans="2:9">
      <c r="D243" s="135"/>
      <c r="E243" s="134"/>
      <c r="F243" s="135"/>
      <c r="G243" s="134"/>
      <c r="H243" s="135"/>
      <c r="I243" s="134"/>
    </row>
    <row r="244" spans="2:9">
      <c r="B244" s="125" t="s">
        <v>13</v>
      </c>
      <c r="D244" s="128">
        <v>622702573.10904014</v>
      </c>
      <c r="E244" s="136">
        <v>64890240.83295507</v>
      </c>
      <c r="F244" s="140">
        <v>531076400</v>
      </c>
      <c r="G244" s="136">
        <v>57247701.733930029</v>
      </c>
      <c r="H244" s="128">
        <v>91626173.109040141</v>
      </c>
      <c r="I244" s="136">
        <v>7642539.0990250371</v>
      </c>
    </row>
    <row r="245" spans="2:9">
      <c r="B245" s="125" t="s">
        <v>91</v>
      </c>
      <c r="D245" s="128"/>
      <c r="E245" s="133">
        <v>10.420743969142436</v>
      </c>
      <c r="F245" s="133"/>
      <c r="G245" s="133">
        <v>10.779560480173856</v>
      </c>
      <c r="H245" s="128"/>
      <c r="I245" s="133">
        <v>8.3409999999999975</v>
      </c>
    </row>
    <row r="246" spans="2:9">
      <c r="D246" s="128"/>
      <c r="F246" s="128"/>
      <c r="G246" s="133"/>
      <c r="H246" s="128"/>
      <c r="I246" s="133"/>
    </row>
    <row r="247" spans="2:9" ht="11.25" hidden="1" customHeight="1">
      <c r="B247" s="139" t="s">
        <v>95</v>
      </c>
      <c r="D247" s="128"/>
      <c r="F247" s="128"/>
      <c r="H247" s="128"/>
    </row>
    <row r="248" spans="2:9" ht="11.25" hidden="1" customHeight="1">
      <c r="B248" s="138" t="s">
        <v>107</v>
      </c>
      <c r="D248" s="128"/>
      <c r="F248" s="128"/>
      <c r="H248" s="128"/>
    </row>
    <row r="249" spans="2:9" ht="11.25" hidden="1" customHeight="1">
      <c r="B249" s="137" t="s">
        <v>106</v>
      </c>
      <c r="C249" s="133">
        <v>11.349</v>
      </c>
      <c r="D249" s="128">
        <v>430539202.45778012</v>
      </c>
      <c r="E249" s="136">
        <v>48861894.086933471</v>
      </c>
      <c r="F249" s="128">
        <v>430539202.45778012</v>
      </c>
      <c r="G249" s="136">
        <v>48861894.086933471</v>
      </c>
      <c r="H249" s="128">
        <v>0</v>
      </c>
      <c r="I249" s="136">
        <v>0</v>
      </c>
    </row>
    <row r="250" spans="2:9" ht="11.25" hidden="1" customHeight="1">
      <c r="B250" s="137" t="s">
        <v>105</v>
      </c>
      <c r="C250" s="133">
        <v>8.3409999999999993</v>
      </c>
      <c r="D250" s="128">
        <v>192163370.65126002</v>
      </c>
      <c r="E250" s="136">
        <v>16028346.746021597</v>
      </c>
      <c r="F250" s="128">
        <v>100537197.54221988</v>
      </c>
      <c r="G250" s="136">
        <v>8385807.6469965586</v>
      </c>
      <c r="H250" s="128">
        <v>91626173.109040141</v>
      </c>
      <c r="I250" s="136">
        <v>7642539.0990250371</v>
      </c>
    </row>
    <row r="251" spans="2:9" ht="11.25" hidden="1" customHeight="1">
      <c r="D251" s="135"/>
      <c r="E251" s="134"/>
      <c r="F251" s="135"/>
      <c r="G251" s="134"/>
      <c r="H251" s="135"/>
      <c r="I251" s="134"/>
    </row>
    <row r="252" spans="2:9" ht="11.25" hidden="1" customHeight="1">
      <c r="B252" s="125" t="s">
        <v>13</v>
      </c>
      <c r="D252" s="128">
        <v>622702573.10904014</v>
      </c>
      <c r="E252" s="136">
        <v>64890240.83295507</v>
      </c>
      <c r="F252" s="128">
        <v>531076400</v>
      </c>
      <c r="G252" s="136">
        <v>57247701.733930029</v>
      </c>
      <c r="H252" s="128">
        <v>91626173.109040141</v>
      </c>
      <c r="I252" s="136">
        <v>7642539.0990250371</v>
      </c>
    </row>
    <row r="253" spans="2:9" ht="11.25" hidden="1" customHeight="1">
      <c r="B253" s="125" t="s">
        <v>91</v>
      </c>
      <c r="E253" s="133">
        <v>10.420743969142436</v>
      </c>
      <c r="F253" s="133"/>
      <c r="G253" s="133">
        <v>10.779560480173856</v>
      </c>
      <c r="I253" s="133">
        <v>8.3409999999999975</v>
      </c>
    </row>
    <row r="254" spans="2:9" ht="11.25" hidden="1" customHeight="1"/>
    <row r="255" spans="2:9" ht="11.25" hidden="1" customHeight="1"/>
    <row r="256" spans="2:9" ht="11.25" hidden="1" customHeight="1"/>
    <row r="257" spans="1:9" ht="11.25" hidden="1" customHeight="1"/>
    <row r="261" spans="1:9">
      <c r="B261" s="132" t="s">
        <v>104</v>
      </c>
      <c r="C261" s="132"/>
      <c r="D261" s="132"/>
      <c r="E261" s="132"/>
      <c r="F261" s="132"/>
    </row>
    <row r="262" spans="1:9">
      <c r="B262" s="132" t="s">
        <v>260</v>
      </c>
    </row>
    <row r="263" spans="1:9">
      <c r="B263" s="132" t="s">
        <v>261</v>
      </c>
    </row>
    <row r="264" spans="1:9" s="141" customFormat="1" ht="12.75">
      <c r="A264" s="126"/>
      <c r="B264" s="146" t="s">
        <v>255</v>
      </c>
      <c r="C264" s="143"/>
      <c r="D264" s="145"/>
      <c r="E264" s="145"/>
      <c r="F264" s="145"/>
      <c r="G264" s="145"/>
      <c r="H264" s="145"/>
      <c r="I264" s="145"/>
    </row>
    <row r="265" spans="1:9" s="141" customFormat="1" ht="12.75" hidden="1" customHeight="1">
      <c r="A265" s="126"/>
      <c r="C265" s="145"/>
      <c r="D265" s="145"/>
      <c r="E265" s="144"/>
      <c r="F265" s="143"/>
      <c r="G265" s="143"/>
      <c r="H265" s="143"/>
      <c r="I265" s="143"/>
    </row>
    <row r="266" spans="1:9" s="141" customFormat="1" ht="12.75" hidden="1" customHeight="1">
      <c r="A266" s="126"/>
      <c r="C266" s="145"/>
      <c r="D266" s="145"/>
      <c r="E266" s="144"/>
      <c r="F266" s="143"/>
      <c r="G266" s="143"/>
      <c r="H266" s="143"/>
      <c r="I266" s="143"/>
    </row>
    <row r="267" spans="1:9" s="141" customFormat="1" ht="12.75" hidden="1" customHeight="1">
      <c r="A267" s="126"/>
      <c r="C267" s="145"/>
      <c r="D267" s="145"/>
      <c r="E267" s="144"/>
      <c r="F267" s="143"/>
      <c r="G267" s="143"/>
      <c r="H267" s="143"/>
      <c r="I267" s="143"/>
    </row>
    <row r="268" spans="1:9" s="141" customFormat="1">
      <c r="A268" s="126"/>
      <c r="C268" s="143"/>
      <c r="D268" s="143"/>
      <c r="E268" s="143"/>
      <c r="F268" s="143"/>
      <c r="G268" s="143"/>
      <c r="H268" s="143"/>
      <c r="I268" s="143"/>
    </row>
    <row r="269" spans="1:9" s="141" customFormat="1">
      <c r="A269" s="126" t="s">
        <v>103</v>
      </c>
      <c r="C269" s="141" t="s">
        <v>6</v>
      </c>
      <c r="D269" s="141" t="s">
        <v>13</v>
      </c>
      <c r="E269" s="141" t="s">
        <v>13</v>
      </c>
      <c r="F269" s="141" t="s">
        <v>102</v>
      </c>
      <c r="G269" s="141" t="s">
        <v>102</v>
      </c>
      <c r="H269" s="141" t="s">
        <v>101</v>
      </c>
      <c r="I269" s="141" t="s">
        <v>101</v>
      </c>
    </row>
    <row r="270" spans="1:9" s="141" customFormat="1">
      <c r="A270" s="126" t="s">
        <v>100</v>
      </c>
      <c r="C270" s="142" t="s">
        <v>99</v>
      </c>
      <c r="D270" s="142" t="s">
        <v>98</v>
      </c>
      <c r="E270" s="142" t="s">
        <v>97</v>
      </c>
      <c r="F270" s="142" t="s">
        <v>98</v>
      </c>
      <c r="G270" s="142" t="s">
        <v>97</v>
      </c>
      <c r="H270" s="142" t="s">
        <v>98</v>
      </c>
      <c r="I270" s="142" t="s">
        <v>97</v>
      </c>
    </row>
    <row r="272" spans="1:9">
      <c r="B272" s="139" t="s">
        <v>96</v>
      </c>
    </row>
    <row r="273" spans="2:9">
      <c r="B273" s="138" t="s">
        <v>94</v>
      </c>
    </row>
    <row r="274" spans="2:9">
      <c r="B274" s="137" t="s">
        <v>93</v>
      </c>
      <c r="C274" s="133">
        <v>7.1890000000000001</v>
      </c>
      <c r="D274" s="128">
        <v>1232886421.9486601</v>
      </c>
      <c r="E274" s="136">
        <v>88632204.873889178</v>
      </c>
      <c r="F274" s="128">
        <v>1232886421.9486601</v>
      </c>
      <c r="G274" s="136">
        <v>88632204.873889178</v>
      </c>
      <c r="H274" s="128">
        <v>0</v>
      </c>
      <c r="I274" s="136">
        <v>0</v>
      </c>
    </row>
    <row r="275" spans="2:9">
      <c r="B275" s="137" t="s">
        <v>92</v>
      </c>
      <c r="C275" s="133">
        <v>6.43</v>
      </c>
      <c r="D275" s="128">
        <v>147453504.18134001</v>
      </c>
      <c r="E275" s="136">
        <v>9481260.318860162</v>
      </c>
      <c r="F275" s="128">
        <v>88850726.051339865</v>
      </c>
      <c r="G275" s="136">
        <v>5713101.6851011524</v>
      </c>
      <c r="H275" s="128">
        <v>58602778.130000144</v>
      </c>
      <c r="I275" s="136">
        <v>3768158.6337590092</v>
      </c>
    </row>
    <row r="276" spans="2:9">
      <c r="D276" s="135"/>
      <c r="E276" s="134"/>
      <c r="F276" s="135"/>
      <c r="G276" s="134"/>
      <c r="H276" s="135"/>
      <c r="I276" s="134"/>
    </row>
    <row r="277" spans="2:9">
      <c r="B277" s="125" t="s">
        <v>13</v>
      </c>
      <c r="D277" s="128">
        <v>1380339926.1300001</v>
      </c>
      <c r="E277" s="128">
        <v>98113465.192749336</v>
      </c>
      <c r="F277" s="140">
        <v>1321737148</v>
      </c>
      <c r="G277" s="128">
        <v>94345306.55899033</v>
      </c>
      <c r="H277" s="128">
        <v>58602778.130000144</v>
      </c>
      <c r="I277" s="128">
        <v>3768158.6337590092</v>
      </c>
    </row>
    <row r="278" spans="2:9">
      <c r="B278" s="125" t="s">
        <v>91</v>
      </c>
      <c r="D278" s="128"/>
      <c r="E278" s="133">
        <v>7.1079205444579046</v>
      </c>
      <c r="F278" s="128"/>
      <c r="G278" s="133">
        <v>7.13797797858295</v>
      </c>
      <c r="H278" s="128"/>
      <c r="I278" s="133">
        <v>6.43</v>
      </c>
    </row>
    <row r="279" spans="2:9">
      <c r="D279" s="128"/>
      <c r="F279" s="128"/>
      <c r="H279" s="128"/>
    </row>
    <row r="280" spans="2:9" ht="11.25" hidden="1" customHeight="1">
      <c r="B280" s="139" t="s">
        <v>95</v>
      </c>
      <c r="D280" s="128"/>
      <c r="F280" s="128"/>
      <c r="H280" s="128"/>
    </row>
    <row r="281" spans="2:9" ht="11.25" hidden="1" customHeight="1">
      <c r="B281" s="138" t="s">
        <v>94</v>
      </c>
      <c r="D281" s="128"/>
      <c r="F281" s="128"/>
      <c r="H281" s="128"/>
    </row>
    <row r="282" spans="2:9" ht="11.25" hidden="1" customHeight="1">
      <c r="B282" s="137" t="s">
        <v>93</v>
      </c>
      <c r="C282" s="133">
        <v>7.1890000000000001</v>
      </c>
      <c r="D282" s="128">
        <v>1232886421.9486601</v>
      </c>
      <c r="E282" s="136">
        <v>88632204.873889178</v>
      </c>
      <c r="F282" s="128">
        <v>1232886421.9486601</v>
      </c>
      <c r="G282" s="136">
        <v>88632204.873889178</v>
      </c>
      <c r="H282" s="128">
        <v>0</v>
      </c>
      <c r="I282" s="136">
        <v>0</v>
      </c>
    </row>
    <row r="283" spans="2:9" ht="11.25" hidden="1" customHeight="1">
      <c r="B283" s="137" t="s">
        <v>92</v>
      </c>
      <c r="C283" s="133">
        <v>6.43</v>
      </c>
      <c r="D283" s="128">
        <v>147453504.18134001</v>
      </c>
      <c r="E283" s="136">
        <v>9481260.318860162</v>
      </c>
      <c r="F283" s="128">
        <v>88850726.051339865</v>
      </c>
      <c r="G283" s="136">
        <v>5713101.6851011524</v>
      </c>
      <c r="H283" s="128">
        <v>58602778.130000144</v>
      </c>
      <c r="I283" s="136">
        <v>3768158.6337590092</v>
      </c>
    </row>
    <row r="284" spans="2:9" ht="11.25" hidden="1" customHeight="1">
      <c r="D284" s="135"/>
      <c r="E284" s="134"/>
      <c r="F284" s="135"/>
      <c r="G284" s="134"/>
      <c r="H284" s="135"/>
      <c r="I284" s="134"/>
    </row>
    <row r="285" spans="2:9" ht="11.25" hidden="1" customHeight="1">
      <c r="B285" s="125" t="s">
        <v>13</v>
      </c>
      <c r="D285" s="128">
        <v>1380339926.1300001</v>
      </c>
      <c r="E285" s="128">
        <v>98113465.192749336</v>
      </c>
      <c r="F285" s="128">
        <v>1321737148</v>
      </c>
      <c r="G285" s="128">
        <v>94345306.55899033</v>
      </c>
      <c r="H285" s="128">
        <v>58602778.130000144</v>
      </c>
      <c r="I285" s="128">
        <v>3768158.6337590092</v>
      </c>
    </row>
    <row r="286" spans="2:9" ht="11.25" hidden="1" customHeight="1">
      <c r="B286" s="125" t="s">
        <v>91</v>
      </c>
      <c r="D286" s="128"/>
      <c r="F286" s="128"/>
      <c r="G286" s="133">
        <v>7.13797797858295</v>
      </c>
      <c r="H286" s="128"/>
      <c r="I286" s="133">
        <v>6.43</v>
      </c>
    </row>
    <row r="287" spans="2:9" ht="11.25" hidden="1" customHeight="1"/>
    <row r="288" spans="2:9" ht="11.25" hidden="1" customHeight="1"/>
    <row r="289" spans="2:9" ht="11.25" hidden="1" customHeight="1"/>
    <row r="290" spans="2:9" ht="11.25" hidden="1" customHeight="1"/>
    <row r="291" spans="2:9" ht="11.25" hidden="1" customHeight="1"/>
    <row r="292" spans="2:9" ht="11.25" hidden="1" customHeight="1"/>
    <row r="294" spans="2:9">
      <c r="B294" s="132" t="s">
        <v>90</v>
      </c>
      <c r="C294" s="132"/>
      <c r="D294" s="132"/>
      <c r="E294" s="132"/>
      <c r="F294" s="132"/>
    </row>
    <row r="295" spans="2:9">
      <c r="B295" s="132" t="s">
        <v>262</v>
      </c>
    </row>
    <row r="299" spans="2:9">
      <c r="D299" s="129">
        <v>0</v>
      </c>
      <c r="E299" s="129">
        <v>4.3088549048848828E-9</v>
      </c>
      <c r="F299" s="129">
        <v>-7.3141048721177544E-8</v>
      </c>
      <c r="G299" s="129">
        <v>-1.6304353872934978E-5</v>
      </c>
      <c r="H299" s="129">
        <v>0</v>
      </c>
      <c r="I299" s="129"/>
    </row>
    <row r="300" spans="2:9">
      <c r="D300" s="127">
        <v>917.59143290806526</v>
      </c>
      <c r="E300" s="127">
        <v>1601.1012205507759</v>
      </c>
      <c r="F300" s="127">
        <v>59942.275162592712</v>
      </c>
      <c r="G300" s="127">
        <v>4034652.2162971012</v>
      </c>
      <c r="H300" s="127">
        <v>4952.2012307956948</v>
      </c>
    </row>
    <row r="301" spans="2:9">
      <c r="C301" s="125" t="s">
        <v>89</v>
      </c>
      <c r="D301" s="131">
        <v>0</v>
      </c>
      <c r="E301" s="131">
        <v>0</v>
      </c>
      <c r="F301" s="131">
        <v>0</v>
      </c>
      <c r="G301" s="131">
        <v>0</v>
      </c>
      <c r="H301" s="131">
        <v>0</v>
      </c>
    </row>
    <row r="302" spans="2:9">
      <c r="D302" s="130">
        <v>0</v>
      </c>
    </row>
    <row r="305" spans="4:8">
      <c r="D305" s="129">
        <v>0</v>
      </c>
      <c r="E305" s="129">
        <v>4.3088549048848828E-9</v>
      </c>
      <c r="F305" s="129">
        <v>-7.3141048721177544E-8</v>
      </c>
      <c r="G305" s="129">
        <v>-1.6304353872934978E-5</v>
      </c>
      <c r="H305" s="129">
        <v>0</v>
      </c>
    </row>
    <row r="309" spans="4:8">
      <c r="D309" s="128"/>
    </row>
    <row r="310" spans="4:8">
      <c r="D310" s="128"/>
    </row>
    <row r="311" spans="4:8">
      <c r="D311" s="127"/>
    </row>
  </sheetData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88" orientation="landscape" r:id="rId1"/>
  <headerFooter alignWithMargins="0">
    <oddHeader>&amp;C&amp;"Arial,Bold"&amp;9AVISTA UTILITIES
WASHINGTON ELECTRIC
PRO FORMA REVENUE UNDER PRESENT AND PROPOSED BASE TARIFF RATES
12 MONTHS ENDED DECEMBER 31, 2016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BQ272"/>
  <sheetViews>
    <sheetView view="pageBreakPreview" topLeftCell="R13" zoomScale="70" zoomScaleNormal="100" zoomScaleSheetLayoutView="70" workbookViewId="0">
      <selection activeCell="V67" sqref="V67"/>
    </sheetView>
  </sheetViews>
  <sheetFormatPr defaultColWidth="8.85546875" defaultRowHeight="15.75"/>
  <cols>
    <col min="1" max="1" width="21.5703125" style="1" customWidth="1"/>
    <col min="2" max="2" width="8.85546875" style="1"/>
    <col min="3" max="3" width="10.7109375" style="1" customWidth="1"/>
    <col min="4" max="4" width="16.28515625" style="1" customWidth="1"/>
    <col min="5" max="5" width="18.28515625" style="1" customWidth="1"/>
    <col min="6" max="6" width="16.42578125" style="1" customWidth="1"/>
    <col min="7" max="7" width="18.85546875" style="1" customWidth="1"/>
    <col min="8" max="8" width="16.85546875" style="1" customWidth="1"/>
    <col min="9" max="9" width="18.140625" style="1" customWidth="1"/>
    <col min="10" max="10" width="19.140625" style="1" customWidth="1"/>
    <col min="11" max="11" width="11.85546875" style="1" customWidth="1"/>
    <col min="12" max="12" width="13.85546875" style="1" customWidth="1"/>
    <col min="13" max="13" width="17" style="1" customWidth="1"/>
    <col min="14" max="14" width="18.5703125" style="1" customWidth="1"/>
    <col min="15" max="15" width="8.85546875" style="1"/>
    <col min="16" max="16" width="15.7109375" style="1" customWidth="1"/>
    <col min="17" max="17" width="14.7109375" style="1" customWidth="1"/>
    <col min="18" max="18" width="14.28515625" style="1" bestFit="1" customWidth="1"/>
    <col min="19" max="21" width="8.85546875" style="1"/>
    <col min="22" max="22" width="16.28515625" style="1" customWidth="1"/>
    <col min="23" max="27" width="9.85546875" style="1" bestFit="1" customWidth="1"/>
    <col min="28" max="28" width="19.85546875" style="1" customWidth="1"/>
    <col min="29" max="32" width="9.85546875" style="1" bestFit="1" customWidth="1"/>
    <col min="33" max="34" width="11" style="1" bestFit="1" customWidth="1"/>
    <col min="35" max="44" width="9.85546875" style="1" bestFit="1" customWidth="1"/>
    <col min="45" max="46" width="11" style="1" bestFit="1" customWidth="1"/>
    <col min="47" max="56" width="9.85546875" style="1" bestFit="1" customWidth="1"/>
    <col min="57" max="58" width="11" style="1" bestFit="1" customWidth="1"/>
    <col min="59" max="68" width="9.85546875" style="1" bestFit="1" customWidth="1"/>
    <col min="69" max="69" width="11" style="1" bestFit="1" customWidth="1"/>
    <col min="70" max="16384" width="8.85546875" style="1"/>
  </cols>
  <sheetData>
    <row r="1" spans="1:69">
      <c r="A1" s="1" t="s">
        <v>0</v>
      </c>
      <c r="V1" s="2">
        <v>43466</v>
      </c>
      <c r="W1" s="2">
        <v>43497</v>
      </c>
      <c r="X1" s="2">
        <v>43525</v>
      </c>
      <c r="Y1" s="2">
        <v>43556</v>
      </c>
      <c r="Z1" s="2">
        <v>43586</v>
      </c>
      <c r="AA1" s="2">
        <v>43617</v>
      </c>
      <c r="AB1" s="2">
        <v>43647</v>
      </c>
      <c r="AC1" s="2">
        <v>43678</v>
      </c>
      <c r="AD1" s="2">
        <v>43709</v>
      </c>
      <c r="AE1" s="2">
        <v>43739</v>
      </c>
      <c r="AF1" s="2">
        <v>43770</v>
      </c>
      <c r="AG1" s="2">
        <v>43800</v>
      </c>
      <c r="AH1" s="2">
        <v>43831</v>
      </c>
      <c r="AI1" s="2">
        <v>43862</v>
      </c>
      <c r="AJ1" s="2">
        <v>43891</v>
      </c>
      <c r="AK1" s="2">
        <v>43922</v>
      </c>
      <c r="AL1" s="2">
        <v>43952</v>
      </c>
      <c r="AM1" s="2">
        <v>43983</v>
      </c>
      <c r="AN1" s="2">
        <v>44013</v>
      </c>
      <c r="AO1" s="2">
        <v>44044</v>
      </c>
      <c r="AP1" s="2">
        <v>44075</v>
      </c>
      <c r="AQ1" s="2">
        <v>44105</v>
      </c>
      <c r="AR1" s="2">
        <v>44136</v>
      </c>
      <c r="AS1" s="2">
        <v>44166</v>
      </c>
      <c r="AT1" s="2">
        <v>44197</v>
      </c>
      <c r="AU1" s="2">
        <v>44228</v>
      </c>
      <c r="AV1" s="2">
        <v>44256</v>
      </c>
      <c r="AW1" s="2">
        <v>44287</v>
      </c>
      <c r="AX1" s="2">
        <v>44317</v>
      </c>
      <c r="AY1" s="2">
        <v>44348</v>
      </c>
      <c r="AZ1" s="2">
        <v>44378</v>
      </c>
      <c r="BA1" s="2">
        <v>44409</v>
      </c>
      <c r="BB1" s="2">
        <v>44440</v>
      </c>
      <c r="BC1" s="2">
        <v>44470</v>
      </c>
      <c r="BD1" s="2">
        <v>44501</v>
      </c>
      <c r="BE1" s="2">
        <v>44531</v>
      </c>
      <c r="BF1" s="2">
        <v>44562</v>
      </c>
      <c r="BG1" s="2">
        <v>44593</v>
      </c>
      <c r="BH1" s="2">
        <v>44621</v>
      </c>
      <c r="BI1" s="2">
        <v>44652</v>
      </c>
      <c r="BJ1" s="2">
        <v>44682</v>
      </c>
      <c r="BK1" s="2">
        <v>44713</v>
      </c>
      <c r="BL1" s="2">
        <v>44743</v>
      </c>
      <c r="BM1" s="2">
        <v>44774</v>
      </c>
      <c r="BN1" s="2">
        <v>44805</v>
      </c>
      <c r="BO1" s="2">
        <v>44835</v>
      </c>
      <c r="BP1" s="2">
        <v>44866</v>
      </c>
      <c r="BQ1" s="2">
        <v>44896</v>
      </c>
    </row>
    <row r="2" spans="1:69">
      <c r="T2" s="1" t="s">
        <v>1</v>
      </c>
    </row>
    <row r="3" spans="1:69">
      <c r="A3" s="1" t="s">
        <v>2</v>
      </c>
      <c r="D3" s="1" t="s">
        <v>3</v>
      </c>
      <c r="T3" s="1" t="s">
        <v>4</v>
      </c>
      <c r="V3" s="3">
        <v>11275916.525761975</v>
      </c>
      <c r="W3" s="3">
        <v>9056725.0596032161</v>
      </c>
      <c r="X3" s="3">
        <v>7830920.0368241621</v>
      </c>
      <c r="Y3" s="3">
        <v>5314686.4461775031</v>
      </c>
      <c r="Z3" s="3">
        <v>3492372.0534781795</v>
      </c>
      <c r="AA3" s="3">
        <v>2626543.9349085307</v>
      </c>
      <c r="AB3" s="3">
        <v>2380922.2518180436</v>
      </c>
      <c r="AC3" s="3">
        <v>2491466.498434043</v>
      </c>
      <c r="AD3" s="3">
        <v>2516238.2448811997</v>
      </c>
      <c r="AE3" s="3">
        <v>4619024.1151964292</v>
      </c>
      <c r="AF3" s="3">
        <v>7825112.2105655381</v>
      </c>
      <c r="AG3" s="3">
        <v>11227838.646222863</v>
      </c>
      <c r="AH3" s="3">
        <v>11604212.007518034</v>
      </c>
      <c r="AI3" s="3">
        <v>9274374.3102180008</v>
      </c>
      <c r="AJ3" s="3">
        <v>8017585.5890790056</v>
      </c>
      <c r="AK3" s="3">
        <v>5361597.6393943336</v>
      </c>
      <c r="AL3" s="3">
        <v>3536147.7743526595</v>
      </c>
      <c r="AM3" s="3">
        <v>2647558.1111019119</v>
      </c>
      <c r="AN3" s="3">
        <v>2513084.6214772421</v>
      </c>
      <c r="AO3" s="3">
        <v>2356396.8413674464</v>
      </c>
      <c r="AP3" s="3">
        <v>2701132.2807467021</v>
      </c>
      <c r="AQ3" s="3">
        <v>4530989.5503787016</v>
      </c>
      <c r="AR3" s="3">
        <v>7906891.8854718544</v>
      </c>
      <c r="AS3" s="3">
        <v>11435228.773859739</v>
      </c>
      <c r="AT3" s="3">
        <v>11707257.023864664</v>
      </c>
      <c r="AU3" s="3">
        <v>9232154.9526306745</v>
      </c>
      <c r="AV3" s="3">
        <v>8119600.5442731166</v>
      </c>
      <c r="AW3" s="3">
        <v>5441928.1730965739</v>
      </c>
      <c r="AX3" s="3">
        <v>3599054.1471822411</v>
      </c>
      <c r="AY3" s="3">
        <v>2702871.6221117578</v>
      </c>
      <c r="AZ3" s="3">
        <v>2505056.4351138799</v>
      </c>
      <c r="BA3" s="3">
        <v>2502623.1177382683</v>
      </c>
      <c r="BB3" s="3">
        <v>2638592.7384673283</v>
      </c>
      <c r="BC3" s="3">
        <v>4689517.4517098349</v>
      </c>
      <c r="BD3" s="3">
        <v>8002757.1104649203</v>
      </c>
      <c r="BE3" s="3">
        <v>11580890.607089201</v>
      </c>
      <c r="BF3" s="3">
        <v>11896430.345349601</v>
      </c>
      <c r="BG3" s="3">
        <v>9331492.2285026759</v>
      </c>
      <c r="BH3" s="3">
        <v>8226589.5377790984</v>
      </c>
      <c r="BI3" s="3">
        <v>5523304.3597430382</v>
      </c>
      <c r="BJ3" s="3">
        <v>3637115.7430505687</v>
      </c>
      <c r="BK3" s="3">
        <v>2741336.3123814953</v>
      </c>
      <c r="BL3" s="3">
        <v>2569443.6144314655</v>
      </c>
      <c r="BM3" s="3">
        <v>2485332.9468423077</v>
      </c>
      <c r="BN3" s="3">
        <v>2741574.6013459074</v>
      </c>
      <c r="BO3" s="3">
        <v>4688986.677763965</v>
      </c>
      <c r="BP3" s="3">
        <v>8125873.7859105263</v>
      </c>
      <c r="BQ3" s="3">
        <v>11742735.213545518</v>
      </c>
    </row>
    <row r="4" spans="1:69">
      <c r="A4" s="1" t="s">
        <v>5</v>
      </c>
      <c r="D4" s="4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5" t="s">
        <v>11</v>
      </c>
      <c r="K4" s="7"/>
      <c r="T4" s="1" t="s">
        <v>12</v>
      </c>
      <c r="V4" s="3">
        <v>2597905.2015113262</v>
      </c>
      <c r="W4" s="3">
        <v>1992863.4504914416</v>
      </c>
      <c r="X4" s="3">
        <v>1836256.273410613</v>
      </c>
      <c r="Y4" s="3">
        <v>1252855.8080387234</v>
      </c>
      <c r="Z4" s="3">
        <v>857990.13740815152</v>
      </c>
      <c r="AA4" s="3">
        <v>654383.02652685961</v>
      </c>
      <c r="AB4" s="3">
        <v>659371.36032009788</v>
      </c>
      <c r="AC4" s="3">
        <v>601506.55742551805</v>
      </c>
      <c r="AD4" s="3">
        <v>785945.23422158207</v>
      </c>
      <c r="AE4" s="3">
        <v>1423589.6522522743</v>
      </c>
      <c r="AF4" s="3">
        <v>2157858.3292171173</v>
      </c>
      <c r="AG4" s="3">
        <v>2728430.0615591779</v>
      </c>
      <c r="AH4" s="3">
        <v>2545913.1092671389</v>
      </c>
      <c r="AI4" s="3">
        <v>2180053.7149508335</v>
      </c>
      <c r="AJ4" s="3">
        <v>1823247.0388029786</v>
      </c>
      <c r="AK4" s="3">
        <v>1284716.9819487727</v>
      </c>
      <c r="AL4" s="3">
        <v>867729.84133791632</v>
      </c>
      <c r="AM4" s="3">
        <v>664060.52390142565</v>
      </c>
      <c r="AN4" s="3">
        <v>615617.64001039101</v>
      </c>
      <c r="AO4" s="3">
        <v>685634.73034255765</v>
      </c>
      <c r="AP4" s="3">
        <v>715392.71220978594</v>
      </c>
      <c r="AQ4" s="3">
        <v>1550370.7857219714</v>
      </c>
      <c r="AR4" s="3">
        <v>2216402.2439813348</v>
      </c>
      <c r="AS4" s="3">
        <v>2754278.1370203467</v>
      </c>
      <c r="AT4" s="3">
        <v>2653889.7839237535</v>
      </c>
      <c r="AU4" s="3">
        <v>2128017.8217433617</v>
      </c>
      <c r="AV4" s="3">
        <v>1874463.7753304609</v>
      </c>
      <c r="AW4" s="3">
        <v>1309548.3326763096</v>
      </c>
      <c r="AX4" s="3">
        <v>874417.5333827635</v>
      </c>
      <c r="AY4" s="3">
        <v>663039.25360698649</v>
      </c>
      <c r="AZ4" s="3">
        <v>643232.19833859871</v>
      </c>
      <c r="BA4" s="3">
        <v>637634.00761034223</v>
      </c>
      <c r="BB4" s="3">
        <v>775123.21882772981</v>
      </c>
      <c r="BC4" s="3">
        <v>1511911.167025768</v>
      </c>
      <c r="BD4" s="3">
        <v>2279751.0328574469</v>
      </c>
      <c r="BE4" s="3">
        <v>2830847.0501459553</v>
      </c>
      <c r="BF4" s="3">
        <v>2690453.5067580338</v>
      </c>
      <c r="BG4" s="3">
        <v>2186065.5457947785</v>
      </c>
      <c r="BH4" s="3">
        <v>1911486.4069196885</v>
      </c>
      <c r="BI4" s="3">
        <v>1326568.0314841738</v>
      </c>
      <c r="BJ4" s="3">
        <v>892236.71771690063</v>
      </c>
      <c r="BK4" s="3">
        <v>669239.28731491999</v>
      </c>
      <c r="BL4" s="3">
        <v>634510.04053913895</v>
      </c>
      <c r="BM4" s="3">
        <v>668048.21123032738</v>
      </c>
      <c r="BN4" s="3">
        <v>749100.6489547987</v>
      </c>
      <c r="BO4" s="3">
        <v>1579427.8532019972</v>
      </c>
      <c r="BP4" s="3">
        <v>2309389.5399427493</v>
      </c>
      <c r="BQ4" s="3">
        <v>2879804.1012336337</v>
      </c>
    </row>
    <row r="5" spans="1:69">
      <c r="D5" s="8" t="s">
        <v>13</v>
      </c>
      <c r="E5" s="9" t="s">
        <v>14</v>
      </c>
      <c r="F5" s="9" t="s">
        <v>15</v>
      </c>
      <c r="G5" s="9" t="s">
        <v>16</v>
      </c>
      <c r="H5" s="9" t="s">
        <v>17</v>
      </c>
      <c r="I5" s="10">
        <v>132</v>
      </c>
      <c r="J5" s="9" t="s">
        <v>18</v>
      </c>
      <c r="K5" s="7"/>
      <c r="T5" s="1" t="s">
        <v>19</v>
      </c>
      <c r="V5" s="3">
        <v>1963.9922427395315</v>
      </c>
      <c r="W5" s="3">
        <v>1256.1207122534613</v>
      </c>
      <c r="X5" s="3">
        <v>1113.2538373528196</v>
      </c>
      <c r="Y5" s="3">
        <v>741.67264159351669</v>
      </c>
      <c r="Z5" s="3">
        <v>450.63645381623195</v>
      </c>
      <c r="AA5" s="3">
        <v>349.64377881815312</v>
      </c>
      <c r="AB5" s="3">
        <v>452.12792198786786</v>
      </c>
      <c r="AC5" s="3">
        <v>434.17549652549144</v>
      </c>
      <c r="AD5" s="3">
        <v>759.43117429582628</v>
      </c>
      <c r="AE5" s="3">
        <v>1480.7178938703744</v>
      </c>
      <c r="AF5" s="3">
        <v>2136.7289071150371</v>
      </c>
      <c r="AG5" s="3">
        <v>2358.6632515005367</v>
      </c>
      <c r="AH5" s="3">
        <v>1868.6356892027704</v>
      </c>
      <c r="AI5" s="3">
        <v>1342.8309395045444</v>
      </c>
      <c r="AJ5" s="3">
        <v>1081.4099158273709</v>
      </c>
      <c r="AK5" s="3">
        <v>752.22054678507016</v>
      </c>
      <c r="AL5" s="3">
        <v>452.29372248037231</v>
      </c>
      <c r="AM5" s="3">
        <v>358.06060485886252</v>
      </c>
      <c r="AN5" s="3">
        <v>389.97411294816271</v>
      </c>
      <c r="AO5" s="3">
        <v>552.77438211309607</v>
      </c>
      <c r="AP5" s="3">
        <v>650.84662179383372</v>
      </c>
      <c r="AQ5" s="3">
        <v>1603.6118241189838</v>
      </c>
      <c r="AR5" s="3">
        <v>2159.0933376302892</v>
      </c>
      <c r="AS5" s="3">
        <v>2324.8493015330441</v>
      </c>
      <c r="AT5" s="3">
        <v>1905.7292418131251</v>
      </c>
      <c r="AU5" s="3">
        <v>1281.6211472855791</v>
      </c>
      <c r="AV5" s="3">
        <v>1092.41501327423</v>
      </c>
      <c r="AW5" s="3">
        <v>754.83163693798838</v>
      </c>
      <c r="AX5" s="3">
        <v>448.44733006454567</v>
      </c>
      <c r="AY5" s="3">
        <v>349.92204870164261</v>
      </c>
      <c r="AZ5" s="3">
        <v>423.31957680889383</v>
      </c>
      <c r="BA5" s="3">
        <v>485.74902080933845</v>
      </c>
      <c r="BB5" s="3">
        <v>739.45440747276928</v>
      </c>
      <c r="BC5" s="3">
        <v>1543.2549333464385</v>
      </c>
      <c r="BD5" s="3">
        <v>2179.1006016135243</v>
      </c>
      <c r="BE5" s="3">
        <v>2343.4679961697884</v>
      </c>
      <c r="BF5" s="3">
        <v>1892.4388799231072</v>
      </c>
      <c r="BG5" s="3">
        <v>1289.6987935856998</v>
      </c>
      <c r="BH5" s="3">
        <v>1092.1856880995363</v>
      </c>
      <c r="BI5" s="3">
        <v>749.83552698539665</v>
      </c>
      <c r="BJ5" s="3">
        <v>451.18671801783938</v>
      </c>
      <c r="BK5" s="3">
        <v>349.50018134320959</v>
      </c>
      <c r="BL5" s="3">
        <v>409.24885040124337</v>
      </c>
      <c r="BM5" s="3">
        <v>529.78024392450595</v>
      </c>
      <c r="BN5" s="3">
        <v>693.01636047439968</v>
      </c>
      <c r="BO5" s="3">
        <v>1601.9634791710382</v>
      </c>
      <c r="BP5" s="3">
        <v>2172.2883175749462</v>
      </c>
      <c r="BQ5" s="3">
        <v>2341.7873887269971</v>
      </c>
    </row>
    <row r="6" spans="1:69">
      <c r="I6" s="11"/>
      <c r="K6" s="7"/>
      <c r="T6" s="1" t="s">
        <v>20</v>
      </c>
      <c r="V6" s="3">
        <v>133288.97334984332</v>
      </c>
      <c r="W6" s="3">
        <v>112862.57455236236</v>
      </c>
      <c r="X6" s="3">
        <v>104601.94870984083</v>
      </c>
      <c r="Y6" s="3">
        <v>79308.249355867883</v>
      </c>
      <c r="Z6" s="3">
        <v>66070.962853138582</v>
      </c>
      <c r="AA6" s="3">
        <v>55213.497338827809</v>
      </c>
      <c r="AB6" s="3">
        <v>74354.447708278298</v>
      </c>
      <c r="AC6" s="3">
        <v>63271.454118276641</v>
      </c>
      <c r="AD6" s="3">
        <v>84473.851046014941</v>
      </c>
      <c r="AE6" s="3">
        <v>129734.46990780276</v>
      </c>
      <c r="AF6" s="3">
        <v>141358.3285268269</v>
      </c>
      <c r="AG6" s="3">
        <v>131237.65459954515</v>
      </c>
      <c r="AH6" s="3">
        <v>129448.70583809045</v>
      </c>
      <c r="AI6" s="3">
        <v>123657.98504577682</v>
      </c>
      <c r="AJ6" s="3">
        <v>102389.92290273159</v>
      </c>
      <c r="AK6" s="3">
        <v>81571.517568131589</v>
      </c>
      <c r="AL6" s="3">
        <v>65620.804818776698</v>
      </c>
      <c r="AM6" s="3">
        <v>57775.812697418747</v>
      </c>
      <c r="AN6" s="3">
        <v>63755.58809009695</v>
      </c>
      <c r="AO6" s="3">
        <v>80940.035234694544</v>
      </c>
      <c r="AP6" s="3">
        <v>73014.586177287143</v>
      </c>
      <c r="AQ6" s="3">
        <v>140193.62859357099</v>
      </c>
      <c r="AR6" s="3">
        <v>143463.18585437993</v>
      </c>
      <c r="AS6" s="3">
        <v>130733.9719864623</v>
      </c>
      <c r="AT6" s="3">
        <v>132349.71289647877</v>
      </c>
      <c r="AU6" s="3">
        <v>119139.61977277987</v>
      </c>
      <c r="AV6" s="3">
        <v>103441.94055875062</v>
      </c>
      <c r="AW6" s="3">
        <v>82410.620017496563</v>
      </c>
      <c r="AX6" s="3">
        <v>65260.240975019988</v>
      </c>
      <c r="AY6" s="3">
        <v>56896.784988471118</v>
      </c>
      <c r="AZ6" s="3">
        <v>68994.739647109629</v>
      </c>
      <c r="BA6" s="3">
        <v>71719.091773704044</v>
      </c>
      <c r="BB6" s="3">
        <v>82718.424720831594</v>
      </c>
      <c r="BC6" s="3">
        <v>136632.15990346362</v>
      </c>
      <c r="BD6" s="3">
        <v>144882.93630903389</v>
      </c>
      <c r="BE6" s="3">
        <v>132211.12818954492</v>
      </c>
      <c r="BF6" s="3">
        <v>131720.87228848756</v>
      </c>
      <c r="BG6" s="3">
        <v>120177.9312896608</v>
      </c>
      <c r="BH6" s="3">
        <v>103635.135425139</v>
      </c>
      <c r="BI6" s="3">
        <v>82104.327079167095</v>
      </c>
      <c r="BJ6" s="3">
        <v>65752.527551514606</v>
      </c>
      <c r="BK6" s="3">
        <v>57009.569712907592</v>
      </c>
      <c r="BL6" s="3">
        <v>66970.157805697905</v>
      </c>
      <c r="BM6" s="3">
        <v>78364.756850685953</v>
      </c>
      <c r="BN6" s="3">
        <v>77779.330328082622</v>
      </c>
      <c r="BO6" s="3">
        <v>141221.51224830037</v>
      </c>
      <c r="BP6" s="3">
        <v>144698.83595288964</v>
      </c>
      <c r="BQ6" s="3">
        <v>132300.50289507332</v>
      </c>
    </row>
    <row r="7" spans="1:69">
      <c r="A7" s="1" t="s">
        <v>21</v>
      </c>
      <c r="D7" s="12">
        <f>SUM(E7:K7)</f>
        <v>93707000</v>
      </c>
      <c r="E7" s="13">
        <v>71132000</v>
      </c>
      <c r="F7" s="13">
        <v>17111000</v>
      </c>
      <c r="G7" s="13">
        <v>307000</v>
      </c>
      <c r="H7" s="13">
        <v>0</v>
      </c>
      <c r="I7" s="14">
        <v>201000</v>
      </c>
      <c r="J7" s="13">
        <v>4956000</v>
      </c>
      <c r="K7" s="7"/>
      <c r="T7" s="1" t="s">
        <v>22</v>
      </c>
      <c r="V7" s="3">
        <v>27148.116706792731</v>
      </c>
      <c r="W7" s="3">
        <v>21943.702197908224</v>
      </c>
      <c r="X7" s="3">
        <v>20054.102120030522</v>
      </c>
      <c r="Y7" s="3">
        <v>14241.421125603898</v>
      </c>
      <c r="Z7" s="3">
        <v>10634.805409536833</v>
      </c>
      <c r="AA7" s="3">
        <v>8192.9519520073864</v>
      </c>
      <c r="AB7" s="3">
        <v>9257.1391005935384</v>
      </c>
      <c r="AC7" s="3">
        <v>5418.9268189521054</v>
      </c>
      <c r="AD7" s="3">
        <v>7487.3241381143416</v>
      </c>
      <c r="AE7" s="3">
        <v>14662.654974876437</v>
      </c>
      <c r="AF7" s="3">
        <v>22845.264942040772</v>
      </c>
      <c r="AG7" s="3">
        <v>26538.677703742764</v>
      </c>
      <c r="AH7" s="3">
        <v>25864.893398536118</v>
      </c>
      <c r="AI7" s="3">
        <v>23657.756211026335</v>
      </c>
      <c r="AJ7" s="3">
        <v>19812.159392695048</v>
      </c>
      <c r="AK7" s="3">
        <v>14708.210729744471</v>
      </c>
      <c r="AL7" s="3">
        <v>10840.036755450094</v>
      </c>
      <c r="AM7" s="3">
        <v>8499.2156737973146</v>
      </c>
      <c r="AN7" s="3">
        <v>7997.3375395462499</v>
      </c>
      <c r="AO7" s="3">
        <v>6774.3237273623954</v>
      </c>
      <c r="AP7" s="3">
        <v>6204.7224391872296</v>
      </c>
      <c r="AQ7" s="3">
        <v>15394.906647811033</v>
      </c>
      <c r="AR7" s="3">
        <v>22812.152735874512</v>
      </c>
      <c r="AS7" s="3">
        <v>26065.548147181325</v>
      </c>
      <c r="AT7" s="3">
        <v>26329.355836688519</v>
      </c>
      <c r="AU7" s="3">
        <v>22626.338240028173</v>
      </c>
      <c r="AV7" s="3">
        <v>20098.980203079511</v>
      </c>
      <c r="AW7" s="3">
        <v>14855.295049213619</v>
      </c>
      <c r="AX7" s="3">
        <v>10824.637537098202</v>
      </c>
      <c r="AY7" s="3">
        <v>8364.507092619715</v>
      </c>
      <c r="AZ7" s="3">
        <v>8718.1783092820478</v>
      </c>
      <c r="BA7" s="3">
        <v>5936.9388908406854</v>
      </c>
      <c r="BB7" s="3">
        <v>6991.4752271276066</v>
      </c>
      <c r="BC7" s="3">
        <v>14758.968537676728</v>
      </c>
      <c r="BD7" s="3">
        <v>22900.238226657904</v>
      </c>
      <c r="BE7" s="3">
        <v>26201.082010039845</v>
      </c>
      <c r="BF7" s="3">
        <v>26122.996732048778</v>
      </c>
      <c r="BG7" s="3">
        <v>22767.79375018823</v>
      </c>
      <c r="BH7" s="3">
        <v>20114.575837280649</v>
      </c>
      <c r="BI7" s="3">
        <v>14786.434117729983</v>
      </c>
      <c r="BJ7" s="3">
        <v>10919.792567682434</v>
      </c>
      <c r="BK7" s="3">
        <v>8381.2476869951479</v>
      </c>
      <c r="BL7" s="3">
        <v>8449.269538553408</v>
      </c>
      <c r="BM7" s="3">
        <v>6485.0981148989249</v>
      </c>
      <c r="BN7" s="3">
        <v>6540.7036390559715</v>
      </c>
      <c r="BO7" s="3">
        <v>15228.228732964175</v>
      </c>
      <c r="BP7" s="3">
        <v>22800.41759456211</v>
      </c>
      <c r="BQ7" s="3">
        <v>26158.473806565256</v>
      </c>
    </row>
    <row r="8" spans="1:69">
      <c r="A8" s="1" t="s">
        <v>23</v>
      </c>
      <c r="D8" s="15">
        <f>SUM(E8:K8)</f>
        <v>275981665</v>
      </c>
      <c r="E8" s="16">
        <v>128985980</v>
      </c>
      <c r="F8" s="16">
        <v>54329806</v>
      </c>
      <c r="G8" s="16">
        <v>1555071</v>
      </c>
      <c r="H8" s="16">
        <v>0</v>
      </c>
      <c r="I8" s="17">
        <v>985267</v>
      </c>
      <c r="J8" s="16">
        <v>90125541</v>
      </c>
      <c r="K8" s="7"/>
      <c r="T8" s="1" t="s">
        <v>24</v>
      </c>
      <c r="V8" s="3">
        <v>346544.17819434428</v>
      </c>
      <c r="W8" s="3">
        <v>366134.37095374218</v>
      </c>
      <c r="X8" s="3">
        <v>319241.97087615012</v>
      </c>
      <c r="Y8" s="3">
        <v>315779.11300190695</v>
      </c>
      <c r="Z8" s="3">
        <v>275095.3975727089</v>
      </c>
      <c r="AA8" s="3">
        <v>240156.99184642592</v>
      </c>
      <c r="AB8" s="3">
        <v>218775.29340842733</v>
      </c>
      <c r="AC8" s="3">
        <v>204495.98480212927</v>
      </c>
      <c r="AD8" s="3">
        <v>208110.10518310178</v>
      </c>
      <c r="AE8" s="3">
        <v>226079.27584800235</v>
      </c>
      <c r="AF8" s="3">
        <v>279948.40629145154</v>
      </c>
      <c r="AG8" s="3">
        <v>306943.00550484553</v>
      </c>
      <c r="AH8" s="3">
        <v>347496.2016325646</v>
      </c>
      <c r="AI8" s="3">
        <v>372934.47798685031</v>
      </c>
      <c r="AJ8" s="3">
        <v>321156.78727847029</v>
      </c>
      <c r="AK8" s="3">
        <v>318516.13371809054</v>
      </c>
      <c r="AL8" s="3">
        <v>279277.79178475082</v>
      </c>
      <c r="AM8" s="3">
        <v>246254.57148957945</v>
      </c>
      <c r="AN8" s="3">
        <v>223960.68794666251</v>
      </c>
      <c r="AO8" s="3">
        <v>207986.00430102204</v>
      </c>
      <c r="AP8" s="3">
        <v>211490.90167510652</v>
      </c>
      <c r="AQ8" s="3">
        <v>227941.4788356869</v>
      </c>
      <c r="AR8" s="3">
        <v>282292.95685736585</v>
      </c>
      <c r="AS8" s="3">
        <v>309859.79148120608</v>
      </c>
      <c r="AT8" s="3">
        <v>352024.24193570175</v>
      </c>
      <c r="AU8" s="3">
        <v>374565.36389841407</v>
      </c>
      <c r="AV8" s="3">
        <v>322712.79123783333</v>
      </c>
      <c r="AW8" s="3">
        <v>321035.57423853967</v>
      </c>
      <c r="AX8" s="3">
        <v>281068.48913856206</v>
      </c>
      <c r="AY8" s="3">
        <v>248808.84426432601</v>
      </c>
      <c r="AZ8" s="3">
        <v>225790.62018954157</v>
      </c>
      <c r="BA8" s="3">
        <v>209149.92493270471</v>
      </c>
      <c r="BB8" s="3">
        <v>213842.45671701687</v>
      </c>
      <c r="BC8" s="3">
        <v>227387.08252637624</v>
      </c>
      <c r="BD8" s="3">
        <v>285266.99844060768</v>
      </c>
      <c r="BE8" s="3">
        <v>312589.56000378815</v>
      </c>
      <c r="BF8" s="3">
        <v>354607.57955720724</v>
      </c>
      <c r="BG8" s="3">
        <v>374290.47665329947</v>
      </c>
      <c r="BH8" s="3">
        <v>323978.98514711537</v>
      </c>
      <c r="BI8" s="3">
        <v>322353.14320159837</v>
      </c>
      <c r="BJ8" s="3">
        <v>281704.6348128306</v>
      </c>
      <c r="BK8" s="3">
        <v>249118.02721367634</v>
      </c>
      <c r="BL8" s="3">
        <v>226110.85833204541</v>
      </c>
      <c r="BM8" s="3">
        <v>209758.02119087425</v>
      </c>
      <c r="BN8" s="3">
        <v>214887.39846041775</v>
      </c>
      <c r="BO8" s="3">
        <v>227921.93281196119</v>
      </c>
      <c r="BP8" s="3">
        <v>286846.79545654549</v>
      </c>
      <c r="BQ8" s="3">
        <v>313867.7985640167</v>
      </c>
    </row>
    <row r="9" spans="1:69">
      <c r="A9" s="1" t="s">
        <v>25</v>
      </c>
      <c r="D9" s="15">
        <f>SUM(E9:K9)</f>
        <v>1978935</v>
      </c>
      <c r="E9" s="16">
        <v>1941495</v>
      </c>
      <c r="F9" s="16">
        <v>36840</v>
      </c>
      <c r="G9" s="16">
        <v>36</v>
      </c>
      <c r="H9" s="16">
        <v>0</v>
      </c>
      <c r="I9" s="17">
        <v>24</v>
      </c>
      <c r="J9" s="16">
        <v>540</v>
      </c>
      <c r="K9" s="7"/>
      <c r="T9" s="1" t="s">
        <v>26</v>
      </c>
      <c r="V9" s="3">
        <v>139001.65735415916</v>
      </c>
      <c r="W9" s="3">
        <v>145764.23425559278</v>
      </c>
      <c r="X9" s="3">
        <v>130774.61820408163</v>
      </c>
      <c r="Y9" s="3">
        <v>131266.18844033172</v>
      </c>
      <c r="Z9" s="3">
        <v>126341.51429718397</v>
      </c>
      <c r="AA9" s="3">
        <v>121921.2766266634</v>
      </c>
      <c r="AB9" s="3">
        <v>121807.76559287625</v>
      </c>
      <c r="AC9" s="3">
        <v>118080.21253699782</v>
      </c>
      <c r="AD9" s="3">
        <v>122200.9451016269</v>
      </c>
      <c r="AE9" s="3">
        <v>120515.25914378473</v>
      </c>
      <c r="AF9" s="3">
        <v>129747.42298919809</v>
      </c>
      <c r="AG9" s="3">
        <v>136623.9914739347</v>
      </c>
      <c r="AH9" s="3">
        <v>140145.30671459049</v>
      </c>
      <c r="AI9" s="3">
        <v>146875.6252214282</v>
      </c>
      <c r="AJ9" s="3">
        <v>131795.48864321178</v>
      </c>
      <c r="AK9" s="3">
        <v>132287.07303298218</v>
      </c>
      <c r="AL9" s="3">
        <v>127299.61004556649</v>
      </c>
      <c r="AM9" s="3">
        <v>122901.439001077</v>
      </c>
      <c r="AN9" s="3">
        <v>122776.47925189984</v>
      </c>
      <c r="AO9" s="3">
        <v>119048.59306030898</v>
      </c>
      <c r="AP9" s="3">
        <v>123144.41180079851</v>
      </c>
      <c r="AQ9" s="3">
        <v>121408.32395713139</v>
      </c>
      <c r="AR9" s="3">
        <v>130580.88447596203</v>
      </c>
      <c r="AS9" s="3">
        <v>137403.77787242457</v>
      </c>
      <c r="AT9" s="3">
        <v>140878.58736809954</v>
      </c>
      <c r="AU9" s="3">
        <v>147626.27063421893</v>
      </c>
      <c r="AV9" s="3">
        <v>132515.26940975487</v>
      </c>
      <c r="AW9" s="3">
        <v>132998.71655411075</v>
      </c>
      <c r="AX9" s="3">
        <v>128028.70113654173</v>
      </c>
      <c r="AY9" s="3">
        <v>123645.20433489434</v>
      </c>
      <c r="AZ9" s="3">
        <v>123543.3434572073</v>
      </c>
      <c r="BA9" s="3">
        <v>119811.09825050177</v>
      </c>
      <c r="BB9" s="3">
        <v>123909.48741366349</v>
      </c>
      <c r="BC9" s="3">
        <v>122134.99702165159</v>
      </c>
      <c r="BD9" s="3">
        <v>131267.75339440568</v>
      </c>
      <c r="BE9" s="3">
        <v>138069.84390470138</v>
      </c>
      <c r="BF9" s="3">
        <v>141513.91737257253</v>
      </c>
      <c r="BG9" s="3">
        <v>148284.87002190127</v>
      </c>
      <c r="BH9" s="3">
        <v>133165.71414274944</v>
      </c>
      <c r="BI9" s="3">
        <v>133650.42177529205</v>
      </c>
      <c r="BJ9" s="3">
        <v>128710.72873683884</v>
      </c>
      <c r="BK9" s="3">
        <v>124359.94157752352</v>
      </c>
      <c r="BL9" s="3">
        <v>124284.46155872443</v>
      </c>
      <c r="BM9" s="3">
        <v>120564.89733632351</v>
      </c>
      <c r="BN9" s="3">
        <v>124673.72829087931</v>
      </c>
      <c r="BO9" s="3">
        <v>122873.42025788857</v>
      </c>
      <c r="BP9" s="3">
        <v>131983.59847121759</v>
      </c>
      <c r="BQ9" s="3">
        <v>138768.6648963099</v>
      </c>
    </row>
    <row r="10" spans="1:69">
      <c r="A10" s="18" t="s">
        <v>27</v>
      </c>
      <c r="E10" s="19">
        <v>9.5</v>
      </c>
      <c r="F10" s="19">
        <v>97.25</v>
      </c>
      <c r="G10" s="19">
        <v>240.44</v>
      </c>
      <c r="H10" s="19"/>
      <c r="I10" s="20"/>
      <c r="K10" s="7"/>
    </row>
    <row r="11" spans="1:69">
      <c r="A11" s="18" t="s">
        <v>28</v>
      </c>
      <c r="E11" s="21">
        <v>0</v>
      </c>
      <c r="F11" s="21">
        <v>0</v>
      </c>
      <c r="G11" s="21">
        <v>0</v>
      </c>
      <c r="H11" s="19"/>
      <c r="I11" s="20"/>
      <c r="K11" s="7"/>
      <c r="O11" s="1" t="s">
        <v>58</v>
      </c>
    </row>
    <row r="12" spans="1:69">
      <c r="A12" s="1" t="s">
        <v>29</v>
      </c>
      <c r="C12" s="22"/>
      <c r="D12" s="12">
        <f>SUM(E12:K12)</f>
        <v>0</v>
      </c>
      <c r="E12" s="13">
        <f>E8*E11</f>
        <v>0</v>
      </c>
      <c r="F12" s="13">
        <f t="shared" ref="F12:G12" si="0">F8*F11</f>
        <v>0</v>
      </c>
      <c r="G12" s="13">
        <f t="shared" si="0"/>
        <v>0</v>
      </c>
      <c r="H12" s="13"/>
      <c r="I12" s="14"/>
      <c r="J12" s="13"/>
      <c r="K12" s="7"/>
      <c r="N12" s="1" t="str">
        <f>N27</f>
        <v>GSFM December MidMonth_(12 13 18 pricing) - v4 GRC update 1-18-19.xlsm</v>
      </c>
      <c r="T12" s="1" t="s">
        <v>30</v>
      </c>
    </row>
    <row r="13" spans="1:69">
      <c r="A13" s="1" t="s">
        <v>31</v>
      </c>
      <c r="D13" s="12">
        <f>SUM(E13:K13)</f>
        <v>22035548.34</v>
      </c>
      <c r="E13" s="13">
        <f>E9*E10</f>
        <v>18444202.5</v>
      </c>
      <c r="F13" s="13">
        <f t="shared" ref="F13:G13" si="1">F9*F10</f>
        <v>3582690</v>
      </c>
      <c r="G13" s="13">
        <f t="shared" si="1"/>
        <v>8655.84</v>
      </c>
      <c r="H13" s="13"/>
      <c r="I13" s="14"/>
      <c r="J13" s="13"/>
      <c r="K13" s="7"/>
      <c r="N13" s="37" t="s">
        <v>50</v>
      </c>
      <c r="P13" s="37" t="s">
        <v>51</v>
      </c>
      <c r="Q13" s="37" t="s">
        <v>52</v>
      </c>
      <c r="R13" s="37" t="s">
        <v>53</v>
      </c>
      <c r="T13" s="1" t="s">
        <v>4</v>
      </c>
      <c r="V13" s="23">
        <v>22659659.372479931</v>
      </c>
      <c r="W13" s="23">
        <v>18125715.98864127</v>
      </c>
      <c r="X13" s="23">
        <v>15033044.820133487</v>
      </c>
      <c r="Y13" s="23">
        <v>9497249.38565493</v>
      </c>
      <c r="Z13" s="23">
        <v>5057421.2988135302</v>
      </c>
      <c r="AA13" s="23">
        <v>2861262.5041613695</v>
      </c>
      <c r="AB13" s="23">
        <v>2193485.5075411289</v>
      </c>
      <c r="AC13" s="23">
        <v>2490800.6721167457</v>
      </c>
      <c r="AD13" s="23">
        <v>2537629.1803711448</v>
      </c>
      <c r="AE13" s="23">
        <v>8083359.7827961203</v>
      </c>
      <c r="AF13" s="23">
        <v>15735548.779149588</v>
      </c>
      <c r="AG13" s="23">
        <v>22898409.369904723</v>
      </c>
      <c r="AH13" s="23">
        <v>23385530.387359805</v>
      </c>
      <c r="AI13" s="23">
        <v>18608677.815918069</v>
      </c>
      <c r="AJ13" s="23">
        <v>15440273.500018638</v>
      </c>
      <c r="AK13" s="23">
        <v>9571568.850759903</v>
      </c>
      <c r="AL13" s="23">
        <v>5127349.9933950882</v>
      </c>
      <c r="AM13" s="23">
        <v>2872177.448569085</v>
      </c>
      <c r="AN13" s="23">
        <v>2503023.9299923512</v>
      </c>
      <c r="AO13" s="23">
        <v>2084881.7652356273</v>
      </c>
      <c r="AP13" s="23">
        <v>2984815.0020103883</v>
      </c>
      <c r="AQ13" s="23">
        <v>7807394.3990552668</v>
      </c>
      <c r="AR13" s="23">
        <v>15900610.890801232</v>
      </c>
      <c r="AS13" s="23">
        <v>23326612.342601817</v>
      </c>
      <c r="AT13" s="23">
        <v>23572499.046756923</v>
      </c>
      <c r="AU13" s="23">
        <v>18452080.826143943</v>
      </c>
      <c r="AV13" s="23">
        <v>15630325.724624043</v>
      </c>
      <c r="AW13" s="23">
        <v>9717079.0659439471</v>
      </c>
      <c r="AX13" s="23">
        <v>5233677.7966828514</v>
      </c>
      <c r="AY13" s="23">
        <v>2960083.572531437</v>
      </c>
      <c r="AZ13" s="23">
        <v>2421980.0239204071</v>
      </c>
      <c r="BA13" s="23">
        <v>2416293.6923664436</v>
      </c>
      <c r="BB13" s="23">
        <v>2759902.1597907413</v>
      </c>
      <c r="BC13" s="23">
        <v>8169709.5408357019</v>
      </c>
      <c r="BD13" s="23">
        <v>16087214.69347487</v>
      </c>
      <c r="BE13" s="23">
        <v>23623290.998555772</v>
      </c>
      <c r="BF13" s="23">
        <v>23963386.538099002</v>
      </c>
      <c r="BG13" s="23">
        <v>18640659.866863754</v>
      </c>
      <c r="BH13" s="23">
        <v>15835740.069522627</v>
      </c>
      <c r="BI13" s="23">
        <v>9869892.8878403809</v>
      </c>
      <c r="BJ13" s="23">
        <v>5278372.6062804312</v>
      </c>
      <c r="BK13" s="23">
        <v>3007005.5001486028</v>
      </c>
      <c r="BL13" s="23">
        <v>2538491.4571108888</v>
      </c>
      <c r="BM13" s="23">
        <v>2314617.8496527025</v>
      </c>
      <c r="BN13" s="23">
        <v>2979508.8560296367</v>
      </c>
      <c r="BO13" s="23">
        <v>8113846.4858739143</v>
      </c>
      <c r="BP13" s="23">
        <v>16345869.649844769</v>
      </c>
      <c r="BQ13" s="23">
        <v>23954292.828941945</v>
      </c>
    </row>
    <row r="14" spans="1:69">
      <c r="A14" s="1" t="s">
        <v>32</v>
      </c>
      <c r="D14" s="12">
        <f>SUM(E14:K14)</f>
        <v>5157000</v>
      </c>
      <c r="E14" s="13"/>
      <c r="F14" s="13"/>
      <c r="G14" s="13"/>
      <c r="H14" s="13">
        <f>H7</f>
        <v>0</v>
      </c>
      <c r="I14" s="14">
        <f>I7</f>
        <v>201000</v>
      </c>
      <c r="J14" s="13">
        <f>J7</f>
        <v>4956000</v>
      </c>
      <c r="K14" s="7"/>
      <c r="N14" s="13">
        <f t="shared" ref="N14:N20" si="2">SUM(AK3:AV3)</f>
        <v>72048039.998919055</v>
      </c>
      <c r="O14" s="40" t="s">
        <v>4</v>
      </c>
      <c r="P14" s="16">
        <f t="shared" ref="P14:P20" si="3">SUM(AK13:AV13)</f>
        <v>129833340.21994567</v>
      </c>
      <c r="Q14" s="16">
        <f>R14/12</f>
        <v>166922.88053333334</v>
      </c>
      <c r="R14" s="15">
        <f t="shared" ref="R14:R20" si="4">SUM(AK23:AV23)</f>
        <v>2003074.5664000001</v>
      </c>
      <c r="T14" s="1" t="s">
        <v>12</v>
      </c>
      <c r="V14" s="23">
        <v>8922144.3588616326</v>
      </c>
      <c r="W14" s="23">
        <v>6636867.8508475069</v>
      </c>
      <c r="X14" s="23">
        <v>6019013.4279683298</v>
      </c>
      <c r="Y14" s="23">
        <v>3792538.8373198803</v>
      </c>
      <c r="Z14" s="23">
        <v>2299837.7613783632</v>
      </c>
      <c r="AA14" s="23">
        <v>1560189.0343624263</v>
      </c>
      <c r="AB14" s="23">
        <v>1648238.006907054</v>
      </c>
      <c r="AC14" s="23">
        <v>1400437.3130040073</v>
      </c>
      <c r="AD14" s="23">
        <v>2188764.0970326914</v>
      </c>
      <c r="AE14" s="23">
        <v>4393536.2310198462</v>
      </c>
      <c r="AF14" s="23">
        <v>7065733.130457405</v>
      </c>
      <c r="AG14" s="23">
        <v>9235840.4505345654</v>
      </c>
      <c r="AH14" s="23">
        <v>8731137.2825534791</v>
      </c>
      <c r="AI14" s="23">
        <v>7302695.2045650715</v>
      </c>
      <c r="AJ14" s="23">
        <v>5947731.4907014035</v>
      </c>
      <c r="AK14" s="23">
        <v>3898502.9170361264</v>
      </c>
      <c r="AL14" s="23">
        <v>2318877.0663845045</v>
      </c>
      <c r="AM14" s="23">
        <v>1579764.8840469313</v>
      </c>
      <c r="AN14" s="23">
        <v>1425392.9029550967</v>
      </c>
      <c r="AO14" s="23">
        <v>1763397.722040836</v>
      </c>
      <c r="AP14" s="23">
        <v>1850269.1084488421</v>
      </c>
      <c r="AQ14" s="23">
        <v>4806967.9600809384</v>
      </c>
      <c r="AR14" s="23">
        <v>7260636.5321553657</v>
      </c>
      <c r="AS14" s="23">
        <v>9320731.4678638577</v>
      </c>
      <c r="AT14" s="23">
        <v>9110016.9444728848</v>
      </c>
      <c r="AU14" s="23">
        <v>7114799.8743097242</v>
      </c>
      <c r="AV14" s="23">
        <v>6128213.8909187457</v>
      </c>
      <c r="AW14" s="23">
        <v>3976865.8972975626</v>
      </c>
      <c r="AX14" s="23">
        <v>2324928.3229435817</v>
      </c>
      <c r="AY14" s="23">
        <v>1552906.8334235682</v>
      </c>
      <c r="AZ14" s="23">
        <v>1527789.3709478253</v>
      </c>
      <c r="BA14" s="23">
        <v>1519100.7358623038</v>
      </c>
      <c r="BB14" s="23">
        <v>2094148.5174459061</v>
      </c>
      <c r="BC14" s="23">
        <v>4674530.0619717902</v>
      </c>
      <c r="BD14" s="23">
        <v>7471869.0934920376</v>
      </c>
      <c r="BE14" s="23">
        <v>9583550.0987616107</v>
      </c>
      <c r="BF14" s="23">
        <v>9234410.6092040576</v>
      </c>
      <c r="BG14" s="23">
        <v>7312381.9838244822</v>
      </c>
      <c r="BH14" s="23">
        <v>6252701.8756943475</v>
      </c>
      <c r="BI14" s="23">
        <v>4024134.2966656284</v>
      </c>
      <c r="BJ14" s="23">
        <v>2377051.1333735427</v>
      </c>
      <c r="BK14" s="23">
        <v>1557591.6385736363</v>
      </c>
      <c r="BL14" s="23">
        <v>1464736.2563856051</v>
      </c>
      <c r="BM14" s="23">
        <v>1635376.540568996</v>
      </c>
      <c r="BN14" s="23">
        <v>1954769.5872890507</v>
      </c>
      <c r="BO14" s="23">
        <v>4892200.0374163231</v>
      </c>
      <c r="BP14" s="23">
        <v>7567804.2860044874</v>
      </c>
      <c r="BQ14" s="23">
        <v>9749547.0195769146</v>
      </c>
    </row>
    <row r="15" spans="1:69">
      <c r="A15" s="1" t="s">
        <v>33</v>
      </c>
      <c r="D15" s="24">
        <f>SUM(E15:K15)</f>
        <v>66514451.659999996</v>
      </c>
      <c r="E15" s="25">
        <f>E7-SUM(E12:E14)</f>
        <v>52687797.5</v>
      </c>
      <c r="F15" s="25">
        <f t="shared" ref="F15:J15" si="5">F7-SUM(F12:F14)</f>
        <v>13528310</v>
      </c>
      <c r="G15" s="25">
        <f t="shared" si="5"/>
        <v>298344.15999999997</v>
      </c>
      <c r="H15" s="25">
        <f t="shared" si="5"/>
        <v>0</v>
      </c>
      <c r="I15" s="26">
        <f t="shared" si="5"/>
        <v>0</v>
      </c>
      <c r="J15" s="25">
        <f t="shared" si="5"/>
        <v>0</v>
      </c>
      <c r="K15" s="7"/>
      <c r="N15" s="13">
        <f t="shared" si="2"/>
        <v>18010574.977472078</v>
      </c>
      <c r="O15" s="40" t="s">
        <v>12</v>
      </c>
      <c r="P15" s="16">
        <f t="shared" si="3"/>
        <v>56577571.270713858</v>
      </c>
      <c r="Q15" s="16">
        <f t="shared" ref="Q15:Q20" si="6">R15/12</f>
        <v>3128.77385</v>
      </c>
      <c r="R15" s="15">
        <f t="shared" si="4"/>
        <v>37545.286200000002</v>
      </c>
      <c r="T15" s="1" t="s">
        <v>19</v>
      </c>
      <c r="V15" s="23">
        <v>20250.577434154729</v>
      </c>
      <c r="W15" s="23">
        <v>13010.31202546327</v>
      </c>
      <c r="X15" s="23">
        <v>11499.712882920985</v>
      </c>
      <c r="Y15" s="23">
        <v>7665.597121790709</v>
      </c>
      <c r="Z15" s="23">
        <v>4650.3698735219668</v>
      </c>
      <c r="AA15" s="23">
        <v>3604.0537165676715</v>
      </c>
      <c r="AB15" s="23">
        <v>4665.8219570081774</v>
      </c>
      <c r="AC15" s="23">
        <v>4479.8291330914062</v>
      </c>
      <c r="AD15" s="23">
        <v>7849.5811551929464</v>
      </c>
      <c r="AE15" s="23">
        <v>15322.340427108202</v>
      </c>
      <c r="AF15" s="23">
        <v>21500.829780125423</v>
      </c>
      <c r="AG15" s="23">
        <v>24295.600567761445</v>
      </c>
      <c r="AH15" s="23">
        <v>19298.830599559758</v>
      </c>
      <c r="AI15" s="23">
        <v>13909.685398125686</v>
      </c>
      <c r="AJ15" s="23">
        <v>11170.246214302784</v>
      </c>
      <c r="AK15" s="23">
        <v>7774.8767663209073</v>
      </c>
      <c r="AL15" s="23">
        <v>4667.5397027173767</v>
      </c>
      <c r="AM15" s="23">
        <v>3691.2547049248524</v>
      </c>
      <c r="AN15" s="23">
        <v>4021.8887745696206</v>
      </c>
      <c r="AO15" s="23">
        <v>5708.5512180291962</v>
      </c>
      <c r="AP15" s="23">
        <v>6724.6107384706684</v>
      </c>
      <c r="AQ15" s="23">
        <v>16549.011168655023</v>
      </c>
      <c r="AR15" s="23">
        <v>21719.234491399715</v>
      </c>
      <c r="AS15" s="23">
        <v>23956.629307270832</v>
      </c>
      <c r="AT15" s="23">
        <v>19669.058653860986</v>
      </c>
      <c r="AU15" s="23">
        <v>13274.806918237406</v>
      </c>
      <c r="AV15" s="23">
        <v>11284.108220611834</v>
      </c>
      <c r="AW15" s="23">
        <v>7801.9284887781268</v>
      </c>
      <c r="AX15" s="23">
        <v>4627.689856867245</v>
      </c>
      <c r="AY15" s="23">
        <v>3606.9366808529085</v>
      </c>
      <c r="AZ15" s="23">
        <v>4367.3583603517854</v>
      </c>
      <c r="BA15" s="23">
        <v>5014.147208439832</v>
      </c>
      <c r="BB15" s="23">
        <v>7642.6155124760744</v>
      </c>
      <c r="BC15" s="23">
        <v>15950.378439063436</v>
      </c>
      <c r="BD15" s="23">
        <v>21914.619780136356</v>
      </c>
      <c r="BE15" s="23">
        <v>24143.274239193066</v>
      </c>
      <c r="BF15" s="23">
        <v>19536.408517186646</v>
      </c>
      <c r="BG15" s="23">
        <v>13358.589653289844</v>
      </c>
      <c r="BH15" s="23">
        <v>11281.735554253004</v>
      </c>
      <c r="BI15" s="23">
        <v>7750.1672044531524</v>
      </c>
      <c r="BJ15" s="23">
        <v>4656.0707852439982</v>
      </c>
      <c r="BK15" s="23">
        <v>3602.5660011652103</v>
      </c>
      <c r="BL15" s="23">
        <v>4221.5811702665815</v>
      </c>
      <c r="BM15" s="23">
        <v>5470.3246505833858</v>
      </c>
      <c r="BN15" s="23">
        <v>7161.5026112411997</v>
      </c>
      <c r="BO15" s="23">
        <v>16532.662526058371</v>
      </c>
      <c r="BP15" s="23">
        <v>21848.0929384378</v>
      </c>
      <c r="BQ15" s="23">
        <v>24126.426824921291</v>
      </c>
    </row>
    <row r="16" spans="1:69">
      <c r="D16" s="27"/>
      <c r="E16" s="28"/>
      <c r="F16" s="28"/>
      <c r="G16" s="28"/>
      <c r="H16" s="28"/>
      <c r="I16" s="28"/>
      <c r="J16" s="28"/>
      <c r="K16" s="7"/>
      <c r="N16" s="13">
        <f t="shared" si="2"/>
        <v>13523.489856634649</v>
      </c>
      <c r="O16" s="40" t="s">
        <v>19</v>
      </c>
      <c r="P16" s="16">
        <f t="shared" si="3"/>
        <v>139041.5706650684</v>
      </c>
      <c r="Q16" s="16">
        <f t="shared" si="6"/>
        <v>1</v>
      </c>
      <c r="R16" s="15">
        <f t="shared" si="4"/>
        <v>12</v>
      </c>
      <c r="T16" s="1" t="s">
        <v>20</v>
      </c>
      <c r="V16" s="23">
        <v>575525.41371634277</v>
      </c>
      <c r="W16" s="23">
        <v>472333.13873360242</v>
      </c>
      <c r="X16" s="23">
        <v>434669.27177471819</v>
      </c>
      <c r="Y16" s="23">
        <v>313430.15285417554</v>
      </c>
      <c r="Z16" s="23">
        <v>252835.90419457926</v>
      </c>
      <c r="AA16" s="23">
        <v>211227.15637691299</v>
      </c>
      <c r="AB16" s="23">
        <v>281350.79628296639</v>
      </c>
      <c r="AC16" s="23">
        <v>238625.7694304933</v>
      </c>
      <c r="AD16" s="23">
        <v>327760.47391709295</v>
      </c>
      <c r="AE16" s="23">
        <v>494685.72381366143</v>
      </c>
      <c r="AF16" s="23">
        <v>596974.56379795086</v>
      </c>
      <c r="AG16" s="23">
        <v>567151.68341207656</v>
      </c>
      <c r="AH16" s="23">
        <v>558660.28597495391</v>
      </c>
      <c r="AI16" s="23">
        <v>518132.19174880744</v>
      </c>
      <c r="AJ16" s="23">
        <v>424889.04190052097</v>
      </c>
      <c r="AK16" s="23">
        <v>323237.50948291621</v>
      </c>
      <c r="AL16" s="23">
        <v>251045.15866068864</v>
      </c>
      <c r="AM16" s="23">
        <v>222293.8854430732</v>
      </c>
      <c r="AN16" s="23">
        <v>239086.61576355246</v>
      </c>
      <c r="AO16" s="23">
        <v>309846.81353137415</v>
      </c>
      <c r="AP16" s="23">
        <v>281423.51841503108</v>
      </c>
      <c r="AQ16" s="23">
        <v>541395.77772003156</v>
      </c>
      <c r="AR16" s="23">
        <v>606780.33889551065</v>
      </c>
      <c r="AS16" s="23">
        <v>564840.17374783487</v>
      </c>
      <c r="AT16" s="23">
        <v>571336.08152191958</v>
      </c>
      <c r="AU16" s="23">
        <v>498945.17327462236</v>
      </c>
      <c r="AV16" s="23">
        <v>429543.02602678823</v>
      </c>
      <c r="AW16" s="23">
        <v>326846.62489302777</v>
      </c>
      <c r="AX16" s="23">
        <v>249538.75512639218</v>
      </c>
      <c r="AY16" s="23">
        <v>218524.84855672822</v>
      </c>
      <c r="AZ16" s="23">
        <v>260618.48662193544</v>
      </c>
      <c r="BA16" s="23">
        <v>273813.83123366104</v>
      </c>
      <c r="BB16" s="23">
        <v>320809.0618463502</v>
      </c>
      <c r="BC16" s="23">
        <v>525445.02053751296</v>
      </c>
      <c r="BD16" s="23">
        <v>613439.90205150156</v>
      </c>
      <c r="BE16" s="23">
        <v>571527.22350869421</v>
      </c>
      <c r="BF16" s="23">
        <v>568587.60645547009</v>
      </c>
      <c r="BG16" s="23">
        <v>503355.29389906378</v>
      </c>
      <c r="BH16" s="23">
        <v>430397.57681416755</v>
      </c>
      <c r="BI16" s="23">
        <v>325538.54763857869</v>
      </c>
      <c r="BJ16" s="23">
        <v>251611.37822622032</v>
      </c>
      <c r="BK16" s="23">
        <v>219008.21878870271</v>
      </c>
      <c r="BL16" s="23">
        <v>252387.09729555127</v>
      </c>
      <c r="BM16" s="23">
        <v>299782.19888435456</v>
      </c>
      <c r="BN16" s="23">
        <v>301264.28931579669</v>
      </c>
      <c r="BO16" s="23">
        <v>545976.61107674823</v>
      </c>
      <c r="BP16" s="23">
        <v>612575.41768591909</v>
      </c>
      <c r="BQ16" s="23">
        <v>571932.27564602124</v>
      </c>
    </row>
    <row r="17" spans="1:69">
      <c r="A17" s="1" t="s">
        <v>34</v>
      </c>
      <c r="D17" s="12"/>
      <c r="E17" s="29">
        <f>ROUND(E23,2)</f>
        <v>325.64999999999998</v>
      </c>
      <c r="F17" s="29">
        <f>ROUND(F23,2)</f>
        <v>4499.3999999999996</v>
      </c>
      <c r="G17" s="13"/>
      <c r="H17" s="30" t="s">
        <v>35</v>
      </c>
      <c r="I17" s="31" t="s">
        <v>36</v>
      </c>
      <c r="J17" s="32" t="s">
        <v>37</v>
      </c>
      <c r="K17" s="7"/>
      <c r="N17" s="13">
        <f t="shared" si="2"/>
        <v>1192000.4042488281</v>
      </c>
      <c r="O17" s="40" t="s">
        <v>20</v>
      </c>
      <c r="P17" s="16">
        <f t="shared" si="3"/>
        <v>4839774.0724833431</v>
      </c>
      <c r="Q17" s="16">
        <f t="shared" si="6"/>
        <v>24.886317647511486</v>
      </c>
      <c r="R17" s="15">
        <f t="shared" si="4"/>
        <v>298.63581177013782</v>
      </c>
      <c r="T17" s="1" t="s">
        <v>22</v>
      </c>
      <c r="V17" s="23">
        <v>138402.46382919731</v>
      </c>
      <c r="W17" s="23">
        <v>110424.38526851442</v>
      </c>
      <c r="X17" s="23">
        <v>100573.31351941936</v>
      </c>
      <c r="Y17" s="23">
        <v>69932.360650378381</v>
      </c>
      <c r="Z17" s="23">
        <v>51173.851866115787</v>
      </c>
      <c r="AA17" s="23">
        <v>38319.32726484086</v>
      </c>
      <c r="AB17" s="23">
        <v>44255.702001881873</v>
      </c>
      <c r="AC17" s="23">
        <v>24592.75146685561</v>
      </c>
      <c r="AD17" s="23">
        <v>35201.434761008131</v>
      </c>
      <c r="AE17" s="23">
        <v>70611.147898500683</v>
      </c>
      <c r="AF17" s="23">
        <v>113373.124671743</v>
      </c>
      <c r="AG17" s="23">
        <v>134031.65063612064</v>
      </c>
      <c r="AH17" s="23">
        <v>131860.52689029608</v>
      </c>
      <c r="AI17" s="23">
        <v>119124.76195874538</v>
      </c>
      <c r="AJ17" s="23">
        <v>99359.946716736653</v>
      </c>
      <c r="AK17" s="23">
        <v>72224.526485283539</v>
      </c>
      <c r="AL17" s="23">
        <v>52161.409051189483</v>
      </c>
      <c r="AM17" s="23">
        <v>39751.755997898545</v>
      </c>
      <c r="AN17" s="23">
        <v>38232.955464170278</v>
      </c>
      <c r="AO17" s="23">
        <v>30743.958231800363</v>
      </c>
      <c r="AP17" s="23">
        <v>29171.320504393123</v>
      </c>
      <c r="AQ17" s="23">
        <v>74387.986725765935</v>
      </c>
      <c r="AR17" s="23">
        <v>113194.67439941452</v>
      </c>
      <c r="AS17" s="23">
        <v>131551.24139362737</v>
      </c>
      <c r="AT17" s="23">
        <v>134228.37975061344</v>
      </c>
      <c r="AU17" s="23">
        <v>113859.52418141914</v>
      </c>
      <c r="AV17" s="23">
        <v>100798.38156233754</v>
      </c>
      <c r="AW17" s="23">
        <v>72946.782612984127</v>
      </c>
      <c r="AX17" s="23">
        <v>52087.309216876864</v>
      </c>
      <c r="AY17" s="23">
        <v>39121.709314143482</v>
      </c>
      <c r="AZ17" s="23">
        <v>41679.086493376613</v>
      </c>
      <c r="BA17" s="23">
        <v>26943.649083009484</v>
      </c>
      <c r="BB17" s="23">
        <v>32870.215653962448</v>
      </c>
      <c r="BC17" s="23">
        <v>71107.918089709099</v>
      </c>
      <c r="BD17" s="23">
        <v>113669.38996924262</v>
      </c>
      <c r="BE17" s="23">
        <v>132261.7855594756</v>
      </c>
      <c r="BF17" s="23">
        <v>133176.35066055943</v>
      </c>
      <c r="BG17" s="23">
        <v>114571.35200388008</v>
      </c>
      <c r="BH17" s="23">
        <v>100876.59521651451</v>
      </c>
      <c r="BI17" s="23">
        <v>72608.641675168794</v>
      </c>
      <c r="BJ17" s="23">
        <v>52545.187781826105</v>
      </c>
      <c r="BK17" s="23">
        <v>39200.006894580649</v>
      </c>
      <c r="BL17" s="23">
        <v>40393.51151240911</v>
      </c>
      <c r="BM17" s="23">
        <v>29431.363719490881</v>
      </c>
      <c r="BN17" s="23">
        <v>30750.926258056057</v>
      </c>
      <c r="BO17" s="23">
        <v>73528.288286405121</v>
      </c>
      <c r="BP17" s="23">
        <v>113131.43067737151</v>
      </c>
      <c r="BQ17" s="23">
        <v>132038.40957241511</v>
      </c>
    </row>
    <row r="18" spans="1:69">
      <c r="A18" s="1" t="s">
        <v>38</v>
      </c>
      <c r="D18" s="12">
        <f>SUM(E18:F18)</f>
        <v>66513976.762499996</v>
      </c>
      <c r="E18" s="13">
        <f>E17*E9/12</f>
        <v>52687320.5625</v>
      </c>
      <c r="F18" s="13">
        <f>F17*SUM(F9:H9)/12</f>
        <v>13826656.199999997</v>
      </c>
      <c r="H18" s="1" t="s">
        <v>39</v>
      </c>
      <c r="I18" s="33">
        <f>E17/J18</f>
        <v>0.40847260415434294</v>
      </c>
      <c r="J18" s="16">
        <f>E8/ROUND(E9/12,0)</f>
        <v>797.2382889035855</v>
      </c>
      <c r="K18" s="7"/>
      <c r="N18" s="13">
        <f t="shared" si="2"/>
        <v>188351.12867575081</v>
      </c>
      <c r="O18" s="40" t="s">
        <v>22</v>
      </c>
      <c r="P18" s="16">
        <f t="shared" si="3"/>
        <v>930306.11374791327</v>
      </c>
      <c r="Q18" s="16">
        <f t="shared" si="6"/>
        <v>2</v>
      </c>
      <c r="R18" s="15">
        <f t="shared" si="4"/>
        <v>24</v>
      </c>
      <c r="T18" s="1" t="s">
        <v>24</v>
      </c>
      <c r="V18" s="23">
        <v>4016476</v>
      </c>
      <c r="W18" s="23">
        <v>4194866</v>
      </c>
      <c r="X18" s="23">
        <v>3611777</v>
      </c>
      <c r="Y18" s="23">
        <v>3565969</v>
      </c>
      <c r="Z18" s="23">
        <v>3017941</v>
      </c>
      <c r="AA18" s="23">
        <v>2601293</v>
      </c>
      <c r="AB18" s="23">
        <v>2341923</v>
      </c>
      <c r="AC18" s="23">
        <v>2192880</v>
      </c>
      <c r="AD18" s="23">
        <v>2233771</v>
      </c>
      <c r="AE18" s="23">
        <v>2405362</v>
      </c>
      <c r="AF18" s="23">
        <v>3117039</v>
      </c>
      <c r="AG18" s="23">
        <v>3480828</v>
      </c>
      <c r="AH18" s="23">
        <v>4028278</v>
      </c>
      <c r="AI18" s="23">
        <v>4280063</v>
      </c>
      <c r="AJ18" s="23">
        <v>3635087</v>
      </c>
      <c r="AK18" s="23">
        <v>3599254</v>
      </c>
      <c r="AL18" s="23">
        <v>3067921</v>
      </c>
      <c r="AM18" s="23">
        <v>2674184</v>
      </c>
      <c r="AN18" s="23">
        <v>2403810</v>
      </c>
      <c r="AO18" s="23">
        <v>2234943</v>
      </c>
      <c r="AP18" s="23">
        <v>2274469</v>
      </c>
      <c r="AQ18" s="23">
        <v>2427370</v>
      </c>
      <c r="AR18" s="23">
        <v>3145431</v>
      </c>
      <c r="AS18" s="23">
        <v>3516528</v>
      </c>
      <c r="AT18" s="23">
        <v>4084411</v>
      </c>
      <c r="AU18" s="23">
        <v>4300496</v>
      </c>
      <c r="AV18" s="23">
        <v>3654029</v>
      </c>
      <c r="AW18" s="23">
        <v>3629893</v>
      </c>
      <c r="AX18" s="23">
        <v>3089320</v>
      </c>
      <c r="AY18" s="23">
        <v>2704718</v>
      </c>
      <c r="AZ18" s="23">
        <v>2425650</v>
      </c>
      <c r="BA18" s="23">
        <v>2248971</v>
      </c>
      <c r="BB18" s="23">
        <v>2302777</v>
      </c>
      <c r="BC18" s="23">
        <v>2420818</v>
      </c>
      <c r="BD18" s="23">
        <v>3181446</v>
      </c>
      <c r="BE18" s="23">
        <v>3549939</v>
      </c>
      <c r="BF18" s="23">
        <v>4116436</v>
      </c>
      <c r="BG18" s="23">
        <v>4297052</v>
      </c>
      <c r="BH18" s="23">
        <v>3669443</v>
      </c>
      <c r="BI18" s="23">
        <v>3645916</v>
      </c>
      <c r="BJ18" s="23">
        <v>3096922</v>
      </c>
      <c r="BK18" s="23">
        <v>2708414</v>
      </c>
      <c r="BL18" s="23">
        <v>2429472</v>
      </c>
      <c r="BM18" s="23">
        <v>2256300</v>
      </c>
      <c r="BN18" s="23">
        <v>2315356</v>
      </c>
      <c r="BO18" s="23">
        <v>2427139</v>
      </c>
      <c r="BP18" s="23">
        <v>3200577</v>
      </c>
      <c r="BQ18" s="23">
        <v>3565584</v>
      </c>
    </row>
    <row r="19" spans="1:69">
      <c r="A19" s="1" t="s">
        <v>40</v>
      </c>
      <c r="D19" s="12">
        <f>SUM(E19:F19)</f>
        <v>-474.89750000275671</v>
      </c>
      <c r="E19" s="12">
        <f>E18-E15</f>
        <v>-476.9375</v>
      </c>
      <c r="F19" s="12">
        <f>F18-SUM(F15:H15)</f>
        <v>2.0399999972432852</v>
      </c>
      <c r="H19" s="1" t="s">
        <v>41</v>
      </c>
      <c r="I19" s="33">
        <f>F17/J19</f>
        <v>0.24741319910214704</v>
      </c>
      <c r="J19" s="16">
        <f>SUM(F8:H8)/ROUND(SUM(F9:H9)/12,0)</f>
        <v>18185.771884152295</v>
      </c>
      <c r="K19" s="7"/>
      <c r="N19" s="13">
        <f t="shared" si="2"/>
        <v>3356882.7151614199</v>
      </c>
      <c r="O19" s="40" t="s">
        <v>24</v>
      </c>
      <c r="P19" s="16">
        <f t="shared" si="3"/>
        <v>37382846</v>
      </c>
      <c r="Q19" s="16">
        <f t="shared" si="6"/>
        <v>41</v>
      </c>
      <c r="R19" s="15">
        <f t="shared" si="4"/>
        <v>492</v>
      </c>
      <c r="T19" s="1" t="s">
        <v>26</v>
      </c>
      <c r="V19" s="23">
        <v>4859180</v>
      </c>
      <c r="W19" s="23">
        <v>4952310</v>
      </c>
      <c r="X19" s="23">
        <v>4425620</v>
      </c>
      <c r="Y19" s="23">
        <v>4424842</v>
      </c>
      <c r="Z19" s="23">
        <v>4047057</v>
      </c>
      <c r="AA19" s="23">
        <v>3733720</v>
      </c>
      <c r="AB19" s="23">
        <v>3592927</v>
      </c>
      <c r="AC19" s="23">
        <v>3413044</v>
      </c>
      <c r="AD19" s="23">
        <v>3538051</v>
      </c>
      <c r="AE19" s="23">
        <v>3615845</v>
      </c>
      <c r="AF19" s="23">
        <v>4144387</v>
      </c>
      <c r="AG19" s="23">
        <v>4520970</v>
      </c>
      <c r="AH19" s="23">
        <v>4908767</v>
      </c>
      <c r="AI19" s="23">
        <v>4998627</v>
      </c>
      <c r="AJ19" s="23">
        <v>4469128</v>
      </c>
      <c r="AK19" s="23">
        <v>4468138</v>
      </c>
      <c r="AL19" s="23">
        <v>4086062</v>
      </c>
      <c r="AM19" s="23">
        <v>3772247</v>
      </c>
      <c r="AN19" s="23">
        <v>3629612</v>
      </c>
      <c r="AO19" s="23">
        <v>3449305</v>
      </c>
      <c r="AP19" s="23">
        <v>3573089</v>
      </c>
      <c r="AQ19" s="23">
        <v>3650351</v>
      </c>
      <c r="AR19" s="23">
        <v>4177983</v>
      </c>
      <c r="AS19" s="23">
        <v>4553109</v>
      </c>
      <c r="AT19" s="23">
        <v>4940561</v>
      </c>
      <c r="AU19" s="23">
        <v>5029910</v>
      </c>
      <c r="AV19" s="23">
        <v>4499804</v>
      </c>
      <c r="AW19" s="23">
        <v>4498319</v>
      </c>
      <c r="AX19" s="23">
        <v>4115744</v>
      </c>
      <c r="AY19" s="23">
        <v>3801482</v>
      </c>
      <c r="AZ19" s="23">
        <v>3658653</v>
      </c>
      <c r="BA19" s="23">
        <v>3477857</v>
      </c>
      <c r="BB19" s="23">
        <v>3601502</v>
      </c>
      <c r="BC19" s="23">
        <v>3678428</v>
      </c>
      <c r="BD19" s="23">
        <v>4205670</v>
      </c>
      <c r="BE19" s="23">
        <v>4580561</v>
      </c>
      <c r="BF19" s="23">
        <v>4968108</v>
      </c>
      <c r="BG19" s="23">
        <v>5057357</v>
      </c>
      <c r="BH19" s="23">
        <v>4527525</v>
      </c>
      <c r="BI19" s="23">
        <v>4525958</v>
      </c>
      <c r="BJ19" s="23">
        <v>4143510</v>
      </c>
      <c r="BK19" s="23">
        <v>3829576</v>
      </c>
      <c r="BL19" s="23">
        <v>3686719</v>
      </c>
      <c r="BM19" s="23">
        <v>3506083</v>
      </c>
      <c r="BN19" s="23">
        <v>3629884</v>
      </c>
      <c r="BO19" s="23">
        <v>3706959</v>
      </c>
      <c r="BP19" s="23">
        <v>4234525</v>
      </c>
      <c r="BQ19" s="23">
        <v>4609363</v>
      </c>
    </row>
    <row r="20" spans="1:69">
      <c r="E20" s="13"/>
      <c r="F20" s="13"/>
      <c r="G20" s="13"/>
      <c r="H20" s="32" t="s">
        <v>42</v>
      </c>
      <c r="N20" s="13">
        <f t="shared" si="2"/>
        <v>1557870.719910224</v>
      </c>
      <c r="O20" s="49" t="s">
        <v>26</v>
      </c>
      <c r="P20" s="16">
        <f t="shared" si="3"/>
        <v>49830171</v>
      </c>
      <c r="Q20" s="16">
        <f t="shared" si="6"/>
        <v>5</v>
      </c>
      <c r="R20" s="15">
        <f t="shared" si="4"/>
        <v>60</v>
      </c>
    </row>
    <row r="21" spans="1:69">
      <c r="A21" s="1" t="s">
        <v>43</v>
      </c>
      <c r="D21" s="12">
        <f>D7+D19-D12</f>
        <v>93706525.102499992</v>
      </c>
      <c r="H21" s="1" t="s">
        <v>39</v>
      </c>
      <c r="J21" s="16">
        <f>E9/12</f>
        <v>161791.25</v>
      </c>
      <c r="N21" s="25">
        <f>SUM(N14:N20)</f>
        <v>96367243.434243977</v>
      </c>
      <c r="O21" s="49"/>
      <c r="P21" s="50">
        <f>SUM(P14:P20)</f>
        <v>279533050.24755585</v>
      </c>
      <c r="Q21" s="50">
        <f t="shared" ref="Q21:R21" si="7">SUM(Q14:Q20)</f>
        <v>170125.54070098084</v>
      </c>
      <c r="R21" s="50">
        <f t="shared" si="7"/>
        <v>2041506.4884117702</v>
      </c>
    </row>
    <row r="22" spans="1:69">
      <c r="D22" s="12"/>
      <c r="H22" s="1" t="s">
        <v>41</v>
      </c>
      <c r="J22" s="16">
        <f>SUM(F9:H9)/12</f>
        <v>3073</v>
      </c>
      <c r="T22" s="1" t="s">
        <v>44</v>
      </c>
      <c r="AG22" s="1">
        <f>+AG23*12</f>
        <v>1995702.2256</v>
      </c>
    </row>
    <row r="23" spans="1:69">
      <c r="A23" s="1" t="s">
        <v>45</v>
      </c>
      <c r="D23" s="12"/>
      <c r="E23" s="29">
        <f>E15/(E9/12)</f>
        <v>325.65294785719254</v>
      </c>
      <c r="F23" s="29">
        <f>SUM(F15:G15)/(SUM(F9:G9)/12)</f>
        <v>4499.3993361535959</v>
      </c>
      <c r="T23" s="1" t="s">
        <v>4</v>
      </c>
      <c r="V23" s="3">
        <v>164055.6654</v>
      </c>
      <c r="W23" s="3">
        <v>164054.473</v>
      </c>
      <c r="X23" s="3">
        <v>164178.40830000001</v>
      </c>
      <c r="Y23" s="3">
        <v>164045.24129999999</v>
      </c>
      <c r="Z23" s="3">
        <v>164097.1539</v>
      </c>
      <c r="AA23" s="3">
        <v>163969.13339999999</v>
      </c>
      <c r="AB23" s="3">
        <v>164177.96840000001</v>
      </c>
      <c r="AC23" s="3">
        <v>164296.91880000001</v>
      </c>
      <c r="AD23" s="3">
        <v>164597.80600000001</v>
      </c>
      <c r="AE23" s="3">
        <v>165161.70800000001</v>
      </c>
      <c r="AF23" s="3">
        <v>165767.6133</v>
      </c>
      <c r="AG23" s="3">
        <v>166308.51879999999</v>
      </c>
      <c r="AH23" s="3">
        <v>165846.4375</v>
      </c>
      <c r="AI23" s="3">
        <v>165934.32889999999</v>
      </c>
      <c r="AJ23" s="3">
        <v>165945.24489999999</v>
      </c>
      <c r="AK23" s="3">
        <v>165889.1471</v>
      </c>
      <c r="AL23" s="3">
        <v>165891.05110000001</v>
      </c>
      <c r="AM23" s="3">
        <v>165751.95980000001</v>
      </c>
      <c r="AN23" s="3">
        <v>165890.8646</v>
      </c>
      <c r="AO23" s="3">
        <v>166043.77290000001</v>
      </c>
      <c r="AP23" s="3">
        <v>166390.6764</v>
      </c>
      <c r="AQ23" s="3">
        <v>166855.58439999999</v>
      </c>
      <c r="AR23" s="3">
        <v>167474.48980000001</v>
      </c>
      <c r="AS23" s="3">
        <v>167986.39540000001</v>
      </c>
      <c r="AT23" s="3">
        <v>168253.30239999999</v>
      </c>
      <c r="AU23" s="3">
        <v>168309.20800000001</v>
      </c>
      <c r="AV23" s="3">
        <v>168338.1145</v>
      </c>
      <c r="AW23" s="3">
        <v>168287.0203</v>
      </c>
      <c r="AX23" s="3">
        <v>168233.92670000001</v>
      </c>
      <c r="AY23" s="3">
        <v>168117.8327</v>
      </c>
      <c r="AZ23" s="3">
        <v>168239.73869999999</v>
      </c>
      <c r="BA23" s="3">
        <v>168401.64499999999</v>
      </c>
      <c r="BB23" s="3">
        <v>168694.55100000001</v>
      </c>
      <c r="BC23" s="3">
        <v>169152.4572</v>
      </c>
      <c r="BD23" s="3">
        <v>169763.3633</v>
      </c>
      <c r="BE23" s="3">
        <v>170247.26939999999</v>
      </c>
      <c r="BF23" s="3">
        <v>170521.17559999999</v>
      </c>
      <c r="BG23" s="3">
        <v>170554.08170000001</v>
      </c>
      <c r="BH23" s="3">
        <v>170579.9878</v>
      </c>
      <c r="BI23" s="3">
        <v>170490.8939</v>
      </c>
      <c r="BJ23" s="3">
        <v>170441.80009999999</v>
      </c>
      <c r="BK23" s="3">
        <v>170321.70619999999</v>
      </c>
      <c r="BL23" s="3">
        <v>170425.61230000001</v>
      </c>
      <c r="BM23" s="3">
        <v>170580.5184</v>
      </c>
      <c r="BN23" s="3">
        <v>170857.4246</v>
      </c>
      <c r="BO23" s="3">
        <v>171315.33069999999</v>
      </c>
      <c r="BP23" s="3">
        <v>171908.23680000001</v>
      </c>
      <c r="BQ23" s="3">
        <v>172397.14290000001</v>
      </c>
    </row>
    <row r="24" spans="1:69" s="34" customFormat="1">
      <c r="T24" s="34" t="s">
        <v>12</v>
      </c>
      <c r="V24" s="35">
        <v>3045.0207999999998</v>
      </c>
      <c r="W24" s="35">
        <v>3064.1387</v>
      </c>
      <c r="X24" s="35">
        <v>3072.2961</v>
      </c>
      <c r="Y24" s="35">
        <v>3071.3930999999998</v>
      </c>
      <c r="Z24" s="35">
        <v>3064.5268999999998</v>
      </c>
      <c r="AA24" s="35">
        <v>3061.6414999999997</v>
      </c>
      <c r="AB24" s="35">
        <v>3056.7694999999999</v>
      </c>
      <c r="AC24" s="35">
        <v>3053.8836999999999</v>
      </c>
      <c r="AD24" s="35">
        <v>3051.0086000000001</v>
      </c>
      <c r="AE24" s="35">
        <v>3056.1286</v>
      </c>
      <c r="AF24" s="35">
        <v>3067.2534000000001</v>
      </c>
      <c r="AG24" s="35">
        <v>3085.3756000000003</v>
      </c>
      <c r="AH24" s="35">
        <v>3098.5014000000001</v>
      </c>
      <c r="AI24" s="35">
        <v>3117.6266000000001</v>
      </c>
      <c r="AJ24" s="35">
        <v>3125.7539000000002</v>
      </c>
      <c r="AK24" s="35">
        <v>3124.8813</v>
      </c>
      <c r="AL24" s="35">
        <v>3117.0102999999999</v>
      </c>
      <c r="AM24" s="35">
        <v>3115.1399000000001</v>
      </c>
      <c r="AN24" s="35">
        <v>3110.2708000000002</v>
      </c>
      <c r="AO24" s="35">
        <v>3107.4023999999999</v>
      </c>
      <c r="AP24" s="35">
        <v>3103.5351000000001</v>
      </c>
      <c r="AQ24" s="35">
        <v>3108.6686</v>
      </c>
      <c r="AR24" s="35">
        <v>3119.8030999999996</v>
      </c>
      <c r="AS24" s="35">
        <v>3138.9384999999997</v>
      </c>
      <c r="AT24" s="35">
        <v>3151.0747000000001</v>
      </c>
      <c r="AU24" s="35">
        <v>3170.2116999999998</v>
      </c>
      <c r="AV24" s="35">
        <v>3178.3498</v>
      </c>
      <c r="AW24" s="35">
        <v>3177.4884999999999</v>
      </c>
      <c r="AX24" s="35">
        <v>3170.6281000000004</v>
      </c>
      <c r="AY24" s="35">
        <v>3167.7683999999999</v>
      </c>
      <c r="AZ24" s="35">
        <v>3162.9096999999997</v>
      </c>
      <c r="BA24" s="35">
        <v>3160.0516000000002</v>
      </c>
      <c r="BB24" s="35">
        <v>3157.1941999999999</v>
      </c>
      <c r="BC24" s="35">
        <v>3162.3375999999998</v>
      </c>
      <c r="BD24" s="35">
        <v>3173.4818999999998</v>
      </c>
      <c r="BE24" s="35">
        <v>3191.6267000000003</v>
      </c>
      <c r="BF24" s="35">
        <v>3204.7723000000001</v>
      </c>
      <c r="BG24" s="35">
        <v>3223.9185000000002</v>
      </c>
      <c r="BH24" s="35">
        <v>3232.0655999999999</v>
      </c>
      <c r="BI24" s="35">
        <v>3230.2131000000004</v>
      </c>
      <c r="BJ24" s="35">
        <v>3223.3613999999998</v>
      </c>
      <c r="BK24" s="35">
        <v>3220.5103000000004</v>
      </c>
      <c r="BL24" s="35">
        <v>3215.6597999999999</v>
      </c>
      <c r="BM24" s="35">
        <v>3212.81</v>
      </c>
      <c r="BN24" s="35">
        <v>3209.9607000000001</v>
      </c>
      <c r="BO24" s="35">
        <v>3215.1119999999996</v>
      </c>
      <c r="BP24" s="35">
        <v>3226.2638999999999</v>
      </c>
      <c r="BQ24" s="35">
        <v>3244.4164999999998</v>
      </c>
    </row>
    <row r="25" spans="1:69">
      <c r="A25" s="36" t="s">
        <v>46</v>
      </c>
      <c r="E25" s="18" t="s">
        <v>47</v>
      </c>
      <c r="F25" s="1" t="s">
        <v>48</v>
      </c>
      <c r="T25" s="1" t="s">
        <v>19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1</v>
      </c>
      <c r="AG25" s="3">
        <v>1</v>
      </c>
      <c r="AH25" s="3">
        <v>1</v>
      </c>
      <c r="AI25" s="3">
        <v>1</v>
      </c>
      <c r="AJ25" s="3">
        <v>1</v>
      </c>
      <c r="AK25" s="3">
        <v>1</v>
      </c>
      <c r="AL25" s="3">
        <v>1</v>
      </c>
      <c r="AM25" s="3">
        <v>1</v>
      </c>
      <c r="AN25" s="3">
        <v>1</v>
      </c>
      <c r="AO25" s="3">
        <v>1</v>
      </c>
      <c r="AP25" s="3">
        <v>1</v>
      </c>
      <c r="AQ25" s="3">
        <v>1</v>
      </c>
      <c r="AR25" s="3">
        <v>1</v>
      </c>
      <c r="AS25" s="3">
        <v>1</v>
      </c>
      <c r="AT25" s="3">
        <v>1</v>
      </c>
      <c r="AU25" s="3">
        <v>1</v>
      </c>
      <c r="AV25" s="3">
        <v>1</v>
      </c>
      <c r="AW25" s="3">
        <v>1</v>
      </c>
      <c r="AX25" s="3">
        <v>1</v>
      </c>
      <c r="AY25" s="3">
        <v>1</v>
      </c>
      <c r="AZ25" s="3">
        <v>1</v>
      </c>
      <c r="BA25" s="3">
        <v>1</v>
      </c>
      <c r="BB25" s="3">
        <v>1</v>
      </c>
      <c r="BC25" s="3">
        <v>1</v>
      </c>
      <c r="BD25" s="3">
        <v>1</v>
      </c>
      <c r="BE25" s="3">
        <v>1</v>
      </c>
      <c r="BF25" s="3">
        <v>1</v>
      </c>
      <c r="BG25" s="3">
        <v>1</v>
      </c>
      <c r="BH25" s="3">
        <v>1</v>
      </c>
      <c r="BI25" s="3">
        <v>1</v>
      </c>
      <c r="BJ25" s="3">
        <v>1</v>
      </c>
      <c r="BK25" s="3">
        <v>1</v>
      </c>
      <c r="BL25" s="3">
        <v>1</v>
      </c>
      <c r="BM25" s="3">
        <v>1</v>
      </c>
      <c r="BN25" s="3">
        <v>1</v>
      </c>
      <c r="BO25" s="3">
        <v>1</v>
      </c>
      <c r="BP25" s="3">
        <v>1</v>
      </c>
      <c r="BQ25" s="3">
        <v>1</v>
      </c>
    </row>
    <row r="26" spans="1:69">
      <c r="A26" s="1" t="s">
        <v>5</v>
      </c>
      <c r="D26" s="4" t="s">
        <v>6</v>
      </c>
      <c r="E26" s="5" t="s">
        <v>7</v>
      </c>
      <c r="F26" s="5" t="s">
        <v>8</v>
      </c>
      <c r="G26" s="5" t="s">
        <v>9</v>
      </c>
      <c r="H26" s="5" t="s">
        <v>10</v>
      </c>
      <c r="I26" s="6" t="s">
        <v>11</v>
      </c>
      <c r="J26" s="5" t="s">
        <v>11</v>
      </c>
      <c r="K26" s="7"/>
      <c r="O26" s="1" t="s">
        <v>49</v>
      </c>
      <c r="T26" s="1" t="s">
        <v>20</v>
      </c>
      <c r="V26" s="3">
        <v>24.597542156464389</v>
      </c>
      <c r="W26" s="3">
        <v>24.730670669503084</v>
      </c>
      <c r="X26" s="3">
        <v>24.874893225295008</v>
      </c>
      <c r="Y26" s="3">
        <v>25.031134327402931</v>
      </c>
      <c r="Z26" s="3">
        <v>24.999006632464283</v>
      </c>
      <c r="AA26" s="3">
        <v>24.954363666651119</v>
      </c>
      <c r="AB26" s="3">
        <v>24.91617599381032</v>
      </c>
      <c r="AC26" s="3">
        <v>24.885829516699857</v>
      </c>
      <c r="AD26" s="3">
        <v>24.864896293447313</v>
      </c>
      <c r="AE26" s="3">
        <v>24.855155939120042</v>
      </c>
      <c r="AF26" s="3">
        <v>24.851674857033721</v>
      </c>
      <c r="AG26" s="3">
        <v>24.855563900578009</v>
      </c>
      <c r="AH26" s="3">
        <v>24.868075598205838</v>
      </c>
      <c r="AI26" s="3">
        <v>24.890620051684298</v>
      </c>
      <c r="AJ26" s="3">
        <v>24.903949166866063</v>
      </c>
      <c r="AK26" s="3">
        <v>24.906370495330314</v>
      </c>
      <c r="AL26" s="3">
        <v>24.895973509324264</v>
      </c>
      <c r="AM26" s="3">
        <v>24.887387415729268</v>
      </c>
      <c r="AN26" s="3">
        <v>24.881806061485776</v>
      </c>
      <c r="AO26" s="3">
        <v>24.878941900458727</v>
      </c>
      <c r="AP26" s="3">
        <v>24.878367932438636</v>
      </c>
      <c r="AQ26" s="3">
        <v>24.879490569021243</v>
      </c>
      <c r="AR26" s="3">
        <v>24.881518454846344</v>
      </c>
      <c r="AS26" s="3">
        <v>24.884005421330727</v>
      </c>
      <c r="AT26" s="3">
        <v>24.886375548060126</v>
      </c>
      <c r="AU26" s="3">
        <v>24.887900543881319</v>
      </c>
      <c r="AV26" s="3">
        <v>24.887673918231069</v>
      </c>
      <c r="AW26" s="3">
        <v>24.886317647511486</v>
      </c>
      <c r="AX26" s="3">
        <v>24.884646576859915</v>
      </c>
      <c r="AY26" s="3">
        <v>24.883702665821218</v>
      </c>
      <c r="AZ26" s="3">
        <v>24.883395603328879</v>
      </c>
      <c r="BA26" s="3">
        <v>24.88352806514914</v>
      </c>
      <c r="BB26" s="3">
        <v>24.883910245540001</v>
      </c>
      <c r="BC26" s="3">
        <v>24.88437210496512</v>
      </c>
      <c r="BD26" s="3">
        <v>24.884778899627111</v>
      </c>
      <c r="BE26" s="3">
        <v>24.885050603358842</v>
      </c>
      <c r="BF26" s="3">
        <v>24.88513770186119</v>
      </c>
      <c r="BG26" s="3">
        <v>24.885034548011276</v>
      </c>
      <c r="BH26" s="3">
        <v>24.884795715022101</v>
      </c>
      <c r="BI26" s="3">
        <v>24.884555864754692</v>
      </c>
      <c r="BJ26" s="3">
        <v>24.884409049524958</v>
      </c>
      <c r="BK26" s="3">
        <v>24.884389255580377</v>
      </c>
      <c r="BL26" s="3">
        <v>24.884446471393638</v>
      </c>
      <c r="BM26" s="3">
        <v>24.884534043732369</v>
      </c>
      <c r="BN26" s="3">
        <v>24.884617875280973</v>
      </c>
      <c r="BO26" s="3">
        <v>24.884676844426053</v>
      </c>
      <c r="BP26" s="3">
        <v>24.884702239381134</v>
      </c>
      <c r="BQ26" s="3">
        <v>24.884695851027299</v>
      </c>
    </row>
    <row r="27" spans="1:69">
      <c r="D27" s="8" t="s">
        <v>13</v>
      </c>
      <c r="E27" s="9" t="s">
        <v>14</v>
      </c>
      <c r="F27" s="9" t="s">
        <v>15</v>
      </c>
      <c r="G27" s="9" t="s">
        <v>16</v>
      </c>
      <c r="H27" s="9" t="s">
        <v>17</v>
      </c>
      <c r="I27" s="10">
        <v>132</v>
      </c>
      <c r="J27" s="9" t="s">
        <v>18</v>
      </c>
      <c r="K27" s="7"/>
      <c r="N27" s="1" t="str">
        <f>F25</f>
        <v>GSFM December MidMonth_(12 13 18 pricing) - v4 GRC update 1-18-19.xlsm</v>
      </c>
      <c r="T27" s="1" t="s">
        <v>22</v>
      </c>
      <c r="V27" s="3">
        <v>2</v>
      </c>
      <c r="W27" s="3">
        <v>2</v>
      </c>
      <c r="X27" s="3">
        <v>2</v>
      </c>
      <c r="Y27" s="3">
        <v>2</v>
      </c>
      <c r="Z27" s="3">
        <v>2</v>
      </c>
      <c r="AA27" s="3">
        <v>2</v>
      </c>
      <c r="AB27" s="3">
        <v>2</v>
      </c>
      <c r="AC27" s="3">
        <v>2</v>
      </c>
      <c r="AD27" s="3">
        <v>2</v>
      </c>
      <c r="AE27" s="3">
        <v>2</v>
      </c>
      <c r="AF27" s="3">
        <v>2</v>
      </c>
      <c r="AG27" s="3">
        <v>2</v>
      </c>
      <c r="AH27" s="3">
        <v>2</v>
      </c>
      <c r="AI27" s="3">
        <v>2</v>
      </c>
      <c r="AJ27" s="3">
        <v>2</v>
      </c>
      <c r="AK27" s="3">
        <v>2</v>
      </c>
      <c r="AL27" s="3">
        <v>2</v>
      </c>
      <c r="AM27" s="3">
        <v>2</v>
      </c>
      <c r="AN27" s="3">
        <v>2</v>
      </c>
      <c r="AO27" s="3">
        <v>2</v>
      </c>
      <c r="AP27" s="3">
        <v>2</v>
      </c>
      <c r="AQ27" s="3">
        <v>2</v>
      </c>
      <c r="AR27" s="3">
        <v>2</v>
      </c>
      <c r="AS27" s="3">
        <v>2</v>
      </c>
      <c r="AT27" s="3">
        <v>2</v>
      </c>
      <c r="AU27" s="3">
        <v>2</v>
      </c>
      <c r="AV27" s="3">
        <v>2</v>
      </c>
      <c r="AW27" s="3">
        <v>2</v>
      </c>
      <c r="AX27" s="3">
        <v>2</v>
      </c>
      <c r="AY27" s="3">
        <v>2</v>
      </c>
      <c r="AZ27" s="3">
        <v>2</v>
      </c>
      <c r="BA27" s="3">
        <v>2</v>
      </c>
      <c r="BB27" s="3">
        <v>2</v>
      </c>
      <c r="BC27" s="3">
        <v>2</v>
      </c>
      <c r="BD27" s="3">
        <v>2</v>
      </c>
      <c r="BE27" s="3">
        <v>2</v>
      </c>
      <c r="BF27" s="3">
        <v>2</v>
      </c>
      <c r="BG27" s="3">
        <v>2</v>
      </c>
      <c r="BH27" s="3">
        <v>2</v>
      </c>
      <c r="BI27" s="3">
        <v>2</v>
      </c>
      <c r="BJ27" s="3">
        <v>2</v>
      </c>
      <c r="BK27" s="3">
        <v>2</v>
      </c>
      <c r="BL27" s="3">
        <v>2</v>
      </c>
      <c r="BM27" s="3">
        <v>2</v>
      </c>
      <c r="BN27" s="3">
        <v>2</v>
      </c>
      <c r="BO27" s="3">
        <v>2</v>
      </c>
      <c r="BP27" s="3">
        <v>2</v>
      </c>
      <c r="BQ27" s="3">
        <v>2</v>
      </c>
    </row>
    <row r="28" spans="1:69">
      <c r="I28" s="11"/>
      <c r="K28" s="7"/>
      <c r="N28" s="37" t="s">
        <v>50</v>
      </c>
      <c r="P28" s="37" t="s">
        <v>51</v>
      </c>
      <c r="Q28" s="37" t="s">
        <v>52</v>
      </c>
      <c r="R28" s="37" t="s">
        <v>53</v>
      </c>
      <c r="T28" s="1" t="s">
        <v>24</v>
      </c>
      <c r="V28" s="3">
        <v>41</v>
      </c>
      <c r="W28" s="3">
        <v>41</v>
      </c>
      <c r="X28" s="3">
        <v>41</v>
      </c>
      <c r="Y28" s="3">
        <v>41</v>
      </c>
      <c r="Z28" s="3">
        <v>41</v>
      </c>
      <c r="AA28" s="3">
        <v>41</v>
      </c>
      <c r="AB28" s="3">
        <v>41</v>
      </c>
      <c r="AC28" s="3">
        <v>41</v>
      </c>
      <c r="AD28" s="3">
        <v>41</v>
      </c>
      <c r="AE28" s="3">
        <v>41</v>
      </c>
      <c r="AF28" s="3">
        <v>41</v>
      </c>
      <c r="AG28" s="3">
        <v>41</v>
      </c>
      <c r="AH28" s="3">
        <v>41</v>
      </c>
      <c r="AI28" s="3">
        <v>41</v>
      </c>
      <c r="AJ28" s="3">
        <v>41</v>
      </c>
      <c r="AK28" s="3">
        <v>41</v>
      </c>
      <c r="AL28" s="3">
        <v>41</v>
      </c>
      <c r="AM28" s="3">
        <v>41</v>
      </c>
      <c r="AN28" s="3">
        <v>41</v>
      </c>
      <c r="AO28" s="3">
        <v>41</v>
      </c>
      <c r="AP28" s="3">
        <v>41</v>
      </c>
      <c r="AQ28" s="3">
        <v>41</v>
      </c>
      <c r="AR28" s="3">
        <v>41</v>
      </c>
      <c r="AS28" s="3">
        <v>41</v>
      </c>
      <c r="AT28" s="3">
        <v>41</v>
      </c>
      <c r="AU28" s="3">
        <v>41</v>
      </c>
      <c r="AV28" s="3">
        <v>41</v>
      </c>
      <c r="AW28" s="3">
        <v>41</v>
      </c>
      <c r="AX28" s="3">
        <v>41</v>
      </c>
      <c r="AY28" s="3">
        <v>41</v>
      </c>
      <c r="AZ28" s="3">
        <v>41</v>
      </c>
      <c r="BA28" s="3">
        <v>41</v>
      </c>
      <c r="BB28" s="3">
        <v>41</v>
      </c>
      <c r="BC28" s="3">
        <v>41</v>
      </c>
      <c r="BD28" s="3">
        <v>41</v>
      </c>
      <c r="BE28" s="3">
        <v>41</v>
      </c>
      <c r="BF28" s="3">
        <v>41</v>
      </c>
      <c r="BG28" s="3">
        <v>41</v>
      </c>
      <c r="BH28" s="3">
        <v>41</v>
      </c>
      <c r="BI28" s="3">
        <v>41</v>
      </c>
      <c r="BJ28" s="3">
        <v>41</v>
      </c>
      <c r="BK28" s="3">
        <v>41</v>
      </c>
      <c r="BL28" s="3">
        <v>41</v>
      </c>
      <c r="BM28" s="3">
        <v>41</v>
      </c>
      <c r="BN28" s="3">
        <v>41</v>
      </c>
      <c r="BO28" s="3">
        <v>41</v>
      </c>
      <c r="BP28" s="3">
        <v>41</v>
      </c>
      <c r="BQ28" s="3">
        <v>41</v>
      </c>
    </row>
    <row r="29" spans="1:69">
      <c r="A29" s="1" t="s">
        <v>21</v>
      </c>
      <c r="D29" s="12">
        <f>SUM(E29:K29)</f>
        <v>97774861.631005332</v>
      </c>
      <c r="E29" s="38">
        <f>N29</f>
        <v>73117803.514605388</v>
      </c>
      <c r="F29" s="38">
        <f>N30+N31</f>
        <v>18327051.124857936</v>
      </c>
      <c r="G29" s="38">
        <f>N32</f>
        <v>1197260.0655279625</v>
      </c>
      <c r="H29" s="38">
        <v>0</v>
      </c>
      <c r="I29" s="39">
        <f>N33</f>
        <v>188556.687200074</v>
      </c>
      <c r="J29" s="38">
        <f>N34+N35</f>
        <v>4944190.238813987</v>
      </c>
      <c r="K29" s="7"/>
      <c r="N29" s="13">
        <f>SUM(AW3:BH3)</f>
        <v>73117803.514605388</v>
      </c>
      <c r="O29" s="40" t="s">
        <v>4</v>
      </c>
      <c r="P29" s="16">
        <f>SUM(AW13:BH13)</f>
        <v>131829018.01858756</v>
      </c>
      <c r="Q29" s="16">
        <f>R29/12</f>
        <v>169232.75411666665</v>
      </c>
      <c r="R29" s="15">
        <f>SUM(AW23:BH23)</f>
        <v>2030793.0493999999</v>
      </c>
      <c r="T29" s="1" t="s">
        <v>26</v>
      </c>
      <c r="V29" s="3">
        <v>5</v>
      </c>
      <c r="W29" s="3">
        <v>5</v>
      </c>
      <c r="X29" s="3">
        <v>5</v>
      </c>
      <c r="Y29" s="3">
        <v>5</v>
      </c>
      <c r="Z29" s="3">
        <v>5</v>
      </c>
      <c r="AA29" s="3">
        <v>5</v>
      </c>
      <c r="AB29" s="3">
        <v>5</v>
      </c>
      <c r="AC29" s="3">
        <v>5</v>
      </c>
      <c r="AD29" s="3">
        <v>5</v>
      </c>
      <c r="AE29" s="3">
        <v>5</v>
      </c>
      <c r="AF29" s="3">
        <v>5</v>
      </c>
      <c r="AG29" s="3">
        <v>5</v>
      </c>
      <c r="AH29" s="3">
        <v>5</v>
      </c>
      <c r="AI29" s="3">
        <v>5</v>
      </c>
      <c r="AJ29" s="3">
        <v>5</v>
      </c>
      <c r="AK29" s="3">
        <v>5</v>
      </c>
      <c r="AL29" s="3">
        <v>5</v>
      </c>
      <c r="AM29" s="3">
        <v>5</v>
      </c>
      <c r="AN29" s="3">
        <v>5</v>
      </c>
      <c r="AO29" s="3">
        <v>5</v>
      </c>
      <c r="AP29" s="3">
        <v>5</v>
      </c>
      <c r="AQ29" s="3">
        <v>5</v>
      </c>
      <c r="AR29" s="3">
        <v>5</v>
      </c>
      <c r="AS29" s="3">
        <v>5</v>
      </c>
      <c r="AT29" s="3">
        <v>5</v>
      </c>
      <c r="AU29" s="3">
        <v>5</v>
      </c>
      <c r="AV29" s="3">
        <v>5</v>
      </c>
      <c r="AW29" s="3">
        <v>5</v>
      </c>
      <c r="AX29" s="3">
        <v>5</v>
      </c>
      <c r="AY29" s="3">
        <v>5</v>
      </c>
      <c r="AZ29" s="3">
        <v>5</v>
      </c>
      <c r="BA29" s="3">
        <v>5</v>
      </c>
      <c r="BB29" s="3">
        <v>5</v>
      </c>
      <c r="BC29" s="3">
        <v>5</v>
      </c>
      <c r="BD29" s="3">
        <v>5</v>
      </c>
      <c r="BE29" s="3">
        <v>5</v>
      </c>
      <c r="BF29" s="3">
        <v>5</v>
      </c>
      <c r="BG29" s="3">
        <v>5</v>
      </c>
      <c r="BH29" s="3">
        <v>5</v>
      </c>
      <c r="BI29" s="3">
        <v>5</v>
      </c>
      <c r="BJ29" s="3">
        <v>5</v>
      </c>
      <c r="BK29" s="3">
        <v>5</v>
      </c>
      <c r="BL29" s="3">
        <v>5</v>
      </c>
      <c r="BM29" s="3">
        <v>5</v>
      </c>
      <c r="BN29" s="3">
        <v>5</v>
      </c>
      <c r="BO29" s="3">
        <v>5</v>
      </c>
      <c r="BP29" s="3">
        <v>5</v>
      </c>
      <c r="BQ29" s="3">
        <v>5</v>
      </c>
    </row>
    <row r="30" spans="1:69">
      <c r="A30" s="1" t="s">
        <v>23</v>
      </c>
      <c r="D30" s="15">
        <f>SUM(E30:K30)</f>
        <v>232924161.47716573</v>
      </c>
      <c r="E30" s="41">
        <f>P29</f>
        <v>131829018.01858756</v>
      </c>
      <c r="F30" s="41">
        <f>P30+P31</f>
        <v>57664429.083159968</v>
      </c>
      <c r="G30" s="41">
        <f>P32</f>
        <v>4862904.2315445039</v>
      </c>
      <c r="H30" s="41">
        <v>0</v>
      </c>
      <c r="I30" s="42">
        <f>P33</f>
        <v>931312.1438737344</v>
      </c>
      <c r="J30" s="41">
        <f>P34+35</f>
        <v>37636498</v>
      </c>
      <c r="K30" s="7"/>
      <c r="N30" s="13">
        <f t="shared" ref="N30:N35" si="8">SUM(AW4:BH4)</f>
        <v>18313509.253944404</v>
      </c>
      <c r="O30" s="40" t="s">
        <v>12</v>
      </c>
      <c r="P30" s="16">
        <f t="shared" ref="P30:P35" si="9">SUM(AW14:BH14)</f>
        <v>57525183.400869079</v>
      </c>
      <c r="Q30" s="16">
        <f t="shared" ref="Q30:Q35" si="10">R30/12</f>
        <v>3182.0202583333339</v>
      </c>
      <c r="R30" s="15">
        <f t="shared" ref="R30:R35" si="11">SUM(AW24:BH24)</f>
        <v>38184.243100000007</v>
      </c>
    </row>
    <row r="31" spans="1:69">
      <c r="A31" s="1" t="s">
        <v>25</v>
      </c>
      <c r="D31" s="15">
        <f>SUM(E31:K31)</f>
        <v>2069838.907170377</v>
      </c>
      <c r="E31" s="43">
        <f>R29</f>
        <v>2030793.0493999999</v>
      </c>
      <c r="F31" s="43">
        <f>R30+R31</f>
        <v>38196.243100000007</v>
      </c>
      <c r="G31" s="43">
        <f>R32</f>
        <v>298.61467037705626</v>
      </c>
      <c r="H31" s="43">
        <v>0</v>
      </c>
      <c r="I31" s="42">
        <f>R33</f>
        <v>24</v>
      </c>
      <c r="J31" s="41">
        <f>R34+35</f>
        <v>527</v>
      </c>
      <c r="K31" s="7"/>
      <c r="N31" s="13">
        <f t="shared" si="8"/>
        <v>13541.870913533274</v>
      </c>
      <c r="O31" s="40" t="s">
        <v>19</v>
      </c>
      <c r="P31" s="16">
        <f t="shared" si="9"/>
        <v>139245.68229088833</v>
      </c>
      <c r="Q31" s="16">
        <f t="shared" si="10"/>
        <v>1</v>
      </c>
      <c r="R31" s="15">
        <f t="shared" si="11"/>
        <v>12</v>
      </c>
    </row>
    <row r="32" spans="1:69">
      <c r="A32" s="18" t="s">
        <v>27</v>
      </c>
      <c r="E32" s="44">
        <v>9.5</v>
      </c>
      <c r="F32" s="44">
        <v>97.25</v>
      </c>
      <c r="G32" s="44">
        <v>240.44</v>
      </c>
      <c r="H32" s="44"/>
      <c r="I32" s="45"/>
      <c r="J32" s="34"/>
      <c r="K32" s="7"/>
      <c r="N32" s="13">
        <f t="shared" si="8"/>
        <v>1197260.0655279625</v>
      </c>
      <c r="O32" s="40" t="s">
        <v>20</v>
      </c>
      <c r="P32" s="16">
        <f t="shared" si="9"/>
        <v>4862904.2315445039</v>
      </c>
      <c r="Q32" s="16">
        <f t="shared" si="10"/>
        <v>24.884555864754688</v>
      </c>
      <c r="R32" s="15">
        <f t="shared" si="11"/>
        <v>298.61467037705626</v>
      </c>
    </row>
    <row r="33" spans="1:28">
      <c r="A33" s="18" t="s">
        <v>28</v>
      </c>
      <c r="E33" s="46">
        <v>0</v>
      </c>
      <c r="F33" s="46">
        <v>0</v>
      </c>
      <c r="G33" s="46">
        <v>0</v>
      </c>
      <c r="H33" s="44"/>
      <c r="I33" s="45"/>
      <c r="J33" s="34"/>
      <c r="K33" s="7"/>
      <c r="N33" s="13">
        <f t="shared" si="8"/>
        <v>188556.687200074</v>
      </c>
      <c r="O33" s="40" t="s">
        <v>22</v>
      </c>
      <c r="P33" s="16">
        <f t="shared" si="9"/>
        <v>931312.1438737344</v>
      </c>
      <c r="Q33" s="16">
        <f t="shared" si="10"/>
        <v>2</v>
      </c>
      <c r="R33" s="15">
        <f t="shared" si="11"/>
        <v>24</v>
      </c>
    </row>
    <row r="34" spans="1:28">
      <c r="A34" s="1" t="s">
        <v>29</v>
      </c>
      <c r="C34" s="22"/>
      <c r="D34" s="12">
        <f>SUM(E34:K34)</f>
        <v>0</v>
      </c>
      <c r="E34" s="47">
        <f>E30*E33</f>
        <v>0</v>
      </c>
      <c r="F34" s="47">
        <f t="shared" ref="F34:G34" si="12">F30*F33</f>
        <v>0</v>
      </c>
      <c r="G34" s="47">
        <f t="shared" si="12"/>
        <v>0</v>
      </c>
      <c r="H34" s="47"/>
      <c r="I34" s="48"/>
      <c r="J34" s="47"/>
      <c r="K34" s="7"/>
      <c r="N34" s="13">
        <f t="shared" si="8"/>
        <v>3377816.5918090851</v>
      </c>
      <c r="O34" s="40" t="s">
        <v>24</v>
      </c>
      <c r="P34" s="16">
        <f t="shared" si="9"/>
        <v>37636463</v>
      </c>
      <c r="Q34" s="16">
        <f t="shared" si="10"/>
        <v>41</v>
      </c>
      <c r="R34" s="15">
        <f t="shared" si="11"/>
        <v>492</v>
      </c>
    </row>
    <row r="35" spans="1:28">
      <c r="A35" s="1" t="s">
        <v>31</v>
      </c>
      <c r="D35" s="12">
        <f>SUM(E35:K35)</f>
        <v>23078917.522120457</v>
      </c>
      <c r="E35" s="47">
        <f>E31*E32</f>
        <v>19292533.969299998</v>
      </c>
      <c r="F35" s="47">
        <f t="shared" ref="F35:G35" si="13">F31*F32</f>
        <v>3714584.6414750009</v>
      </c>
      <c r="G35" s="47">
        <f t="shared" si="13"/>
        <v>71798.911345459404</v>
      </c>
      <c r="H35" s="47"/>
      <c r="I35" s="48"/>
      <c r="J35" s="47"/>
      <c r="K35" s="7"/>
      <c r="N35" s="13">
        <f t="shared" si="8"/>
        <v>1566373.6470049014</v>
      </c>
      <c r="O35" s="49" t="s">
        <v>26</v>
      </c>
      <c r="P35" s="16">
        <f t="shared" si="9"/>
        <v>50171206</v>
      </c>
      <c r="Q35" s="16">
        <f t="shared" si="10"/>
        <v>5</v>
      </c>
      <c r="R35" s="15">
        <f t="shared" si="11"/>
        <v>60</v>
      </c>
    </row>
    <row r="36" spans="1:28">
      <c r="A36" s="1" t="s">
        <v>32</v>
      </c>
      <c r="D36" s="12">
        <f>SUM(E36:K36)</f>
        <v>5132746.9260140611</v>
      </c>
      <c r="E36" s="47"/>
      <c r="F36" s="47"/>
      <c r="G36" s="47"/>
      <c r="H36" s="47">
        <f>H29</f>
        <v>0</v>
      </c>
      <c r="I36" s="48">
        <f>I29</f>
        <v>188556.687200074</v>
      </c>
      <c r="J36" s="47">
        <f>J29</f>
        <v>4944190.238813987</v>
      </c>
      <c r="K36" s="7"/>
      <c r="N36" s="25">
        <f>SUM(N29:N35)</f>
        <v>97774861.631005347</v>
      </c>
      <c r="O36" s="49"/>
      <c r="P36" s="50">
        <f>SUM(P29:P35)</f>
        <v>283095332.4771657</v>
      </c>
      <c r="Q36" s="50">
        <f t="shared" ref="Q36:R36" si="14">SUM(Q29:Q35)</f>
        <v>172488.65893086474</v>
      </c>
      <c r="R36" s="50">
        <f t="shared" si="14"/>
        <v>2069863.907170377</v>
      </c>
    </row>
    <row r="37" spans="1:28">
      <c r="A37" s="1" t="s">
        <v>33</v>
      </c>
      <c r="D37" s="24">
        <f>SUM(E37:K37)</f>
        <v>69563197.182870835</v>
      </c>
      <c r="E37" s="51">
        <f>E29-SUM(E34:E36)</f>
        <v>53825269.545305386</v>
      </c>
      <c r="F37" s="51">
        <f t="shared" ref="F37:J37" si="15">F29-SUM(F34:F36)</f>
        <v>14612466.483382935</v>
      </c>
      <c r="G37" s="51">
        <f t="shared" si="15"/>
        <v>1125461.154182503</v>
      </c>
      <c r="H37" s="51">
        <f t="shared" si="15"/>
        <v>0</v>
      </c>
      <c r="I37" s="52">
        <f t="shared" si="15"/>
        <v>0</v>
      </c>
      <c r="J37" s="51">
        <f t="shared" si="15"/>
        <v>0</v>
      </c>
      <c r="K37" s="7"/>
    </row>
    <row r="38" spans="1:28">
      <c r="D38" s="27"/>
      <c r="E38" s="28"/>
      <c r="F38" s="28"/>
      <c r="G38" s="28"/>
      <c r="H38" s="28"/>
      <c r="I38" s="28"/>
      <c r="J38" s="28"/>
      <c r="K38" s="7"/>
    </row>
    <row r="39" spans="1:28">
      <c r="A39" s="1" t="s">
        <v>34</v>
      </c>
      <c r="D39" s="12"/>
      <c r="E39" s="29">
        <f>$E$23</f>
        <v>325.65294785719254</v>
      </c>
      <c r="F39" s="29">
        <f>$F$23</f>
        <v>4499.3993361535959</v>
      </c>
      <c r="G39" s="13"/>
      <c r="H39" s="30"/>
      <c r="I39" s="15"/>
      <c r="J39" s="31"/>
    </row>
    <row r="40" spans="1:28">
      <c r="A40" s="1" t="s">
        <v>38</v>
      </c>
      <c r="D40" s="12">
        <f>SUM(E40:F40)</f>
        <v>69544790.043530732</v>
      </c>
      <c r="E40" s="13">
        <f>E39*E31/12</f>
        <v>55111145.252083935</v>
      </c>
      <c r="F40" s="13">
        <f>F39*SUM(F31:H31)/12</f>
        <v>14433644.791446805</v>
      </c>
      <c r="I40" s="15"/>
      <c r="J40" s="16"/>
      <c r="K40" s="15"/>
      <c r="L40" s="53"/>
    </row>
    <row r="41" spans="1:28">
      <c r="A41" s="1" t="s">
        <v>40</v>
      </c>
      <c r="D41" s="12">
        <f>SUM(E41:F41)</f>
        <v>-18407.139340084046</v>
      </c>
      <c r="E41" s="12">
        <f>E40-E37</f>
        <v>1285875.7067785487</v>
      </c>
      <c r="F41" s="12">
        <f>F40-SUM(F37:I37)</f>
        <v>-1304282.8461186327</v>
      </c>
      <c r="I41" s="15"/>
      <c r="J41" s="16"/>
      <c r="K41" s="15"/>
      <c r="L41" s="53"/>
      <c r="N41" s="54"/>
    </row>
    <row r="42" spans="1:28">
      <c r="D42" s="13"/>
      <c r="E42" s="13"/>
      <c r="F42" s="13"/>
      <c r="G42" s="13"/>
      <c r="H42" s="32"/>
      <c r="L42" s="18"/>
      <c r="N42" s="40"/>
    </row>
    <row r="43" spans="1:28">
      <c r="A43" s="1" t="s">
        <v>54</v>
      </c>
      <c r="D43" s="12">
        <f>D29+D41</f>
        <v>97756454.491665244</v>
      </c>
      <c r="I43" s="15"/>
      <c r="J43" s="16"/>
      <c r="L43" s="55"/>
      <c r="N43" s="40"/>
    </row>
    <row r="44" spans="1:28" ht="16.5" thickBot="1">
      <c r="A44" s="7"/>
      <c r="B44" s="7"/>
      <c r="C44" s="7"/>
      <c r="D44" s="7"/>
      <c r="E44" s="7"/>
      <c r="F44" s="7"/>
      <c r="G44" s="7"/>
      <c r="H44" s="7"/>
      <c r="I44" s="15"/>
      <c r="J44" s="16"/>
      <c r="L44" s="55"/>
      <c r="N44" s="40"/>
    </row>
    <row r="45" spans="1:28">
      <c r="A45" s="56" t="s">
        <v>55</v>
      </c>
      <c r="B45" s="57"/>
      <c r="C45" s="57"/>
      <c r="D45" s="58">
        <f>D43-D21</f>
        <v>4049929.3891652524</v>
      </c>
      <c r="E45" s="7"/>
      <c r="F45" s="7"/>
      <c r="G45" s="7"/>
      <c r="H45" s="7"/>
      <c r="K45" s="7"/>
      <c r="N45" s="40"/>
      <c r="T45" t="s">
        <v>186</v>
      </c>
      <c r="V45" s="3">
        <f>+SUM(V3:AG3)</f>
        <v>70657766.02387169</v>
      </c>
      <c r="AB45" s="3">
        <f>+SUM(AB3:AM3)</f>
        <v>71502077.39878206</v>
      </c>
    </row>
    <row r="46" spans="1:28" ht="16.5" thickBot="1">
      <c r="A46" s="59" t="s">
        <v>56</v>
      </c>
      <c r="B46" s="60"/>
      <c r="C46" s="61" t="s">
        <v>57</v>
      </c>
      <c r="D46" s="62">
        <f>D45/3.25</f>
        <v>1246132.1197431546</v>
      </c>
      <c r="E46" s="7"/>
      <c r="F46" s="7"/>
      <c r="G46" s="7"/>
      <c r="H46" s="7"/>
      <c r="I46" s="63"/>
      <c r="J46" s="63"/>
      <c r="K46" s="64"/>
      <c r="L46" s="55"/>
      <c r="N46" s="40"/>
      <c r="T46" t="s">
        <v>187</v>
      </c>
      <c r="V46" s="3">
        <f>+SUM(V4:AG5)</f>
        <v>17562452.256694753</v>
      </c>
      <c r="AB46" s="3">
        <f>+SUM(AB4:AM5)</f>
        <v>17735899.701268788</v>
      </c>
    </row>
    <row r="47" spans="1:28">
      <c r="A47" s="7"/>
      <c r="B47" s="7"/>
      <c r="C47" s="7"/>
      <c r="D47" s="7"/>
      <c r="E47" s="7"/>
      <c r="F47" s="7"/>
      <c r="G47" s="7"/>
      <c r="H47" s="7"/>
      <c r="I47" s="63"/>
      <c r="J47" s="63"/>
      <c r="K47" s="64"/>
      <c r="L47" s="55"/>
      <c r="N47" s="40"/>
      <c r="T47" t="s">
        <v>188</v>
      </c>
      <c r="V47" s="3">
        <f>+SUM(V6:AG6)</f>
        <v>1175776.4120666254</v>
      </c>
      <c r="AB47" s="3">
        <f>+SUM(AB6:AM6)</f>
        <v>1184894.9547776706</v>
      </c>
    </row>
    <row r="48" spans="1:28">
      <c r="A48" s="7"/>
      <c r="B48" s="7"/>
      <c r="C48" s="7"/>
      <c r="D48" s="7"/>
      <c r="E48" s="7"/>
      <c r="F48" s="7"/>
      <c r="G48" s="7"/>
      <c r="H48" s="7"/>
      <c r="K48" s="7"/>
      <c r="N48" s="40"/>
      <c r="T48" t="s">
        <v>189</v>
      </c>
      <c r="V48" s="3">
        <f>+SUM(V7:AG7)</f>
        <v>188425.08719019956</v>
      </c>
      <c r="AB48" s="3">
        <f>+SUM(AB7:AM7)</f>
        <v>189592.25983956936</v>
      </c>
    </row>
    <row r="49" spans="1:28">
      <c r="A49" s="7"/>
      <c r="B49" s="7"/>
      <c r="C49" s="7"/>
      <c r="D49" s="7"/>
      <c r="E49" s="7"/>
      <c r="F49" s="7"/>
      <c r="G49" s="7"/>
      <c r="H49" s="7"/>
      <c r="K49" s="7"/>
      <c r="N49" s="40"/>
      <c r="T49" t="s">
        <v>190</v>
      </c>
      <c r="V49" s="3">
        <f>+SUM(V8:AG8)</f>
        <v>3307304.0934832357</v>
      </c>
      <c r="AB49" s="3">
        <f>+SUM(AB8:AM8)</f>
        <v>3329988.0349282641</v>
      </c>
    </row>
    <row r="50" spans="1:28" ht="19.149999999999999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T50" t="s">
        <v>191</v>
      </c>
      <c r="V50" s="3">
        <f>+SUM(V9:AG9)</f>
        <v>1544045.086016431</v>
      </c>
      <c r="AB50" s="3">
        <f>+SUM(AB9:AM9)</f>
        <v>1550280.1394972748</v>
      </c>
    </row>
    <row r="51" spans="1:2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V51" s="3"/>
      <c r="AB51" s="3"/>
    </row>
    <row r="52" spans="1:2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28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2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/>
      <c r="V54" s="3"/>
      <c r="AB54" s="3"/>
    </row>
    <row r="55" spans="1:2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t="s">
        <v>186</v>
      </c>
      <c r="V55" s="3">
        <f>+SUM(V13:AG13)</f>
        <v>127173586.66176398</v>
      </c>
      <c r="AB55" s="3">
        <f>+SUM(AB13:AM13)</f>
        <v>128944811.28790005</v>
      </c>
    </row>
    <row r="56" spans="1:28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t="s">
        <v>187</v>
      </c>
      <c r="V56" s="3">
        <f>+SUM(V14:AG15)</f>
        <v>55301935.125768416</v>
      </c>
      <c r="AB56" s="3">
        <f>+SUM(AB14:AM15)</f>
        <v>55849884.510649316</v>
      </c>
    </row>
    <row r="57" spans="1:2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t="s">
        <v>188</v>
      </c>
      <c r="V57" s="3">
        <f>+SUM(V16:AG16)</f>
        <v>4766570.0483045736</v>
      </c>
      <c r="AB57" s="3">
        <f>+SUM(AB16:AM16)</f>
        <v>4804807.0838652011</v>
      </c>
    </row>
    <row r="58" spans="1:2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t="s">
        <v>189</v>
      </c>
      <c r="V58" s="3">
        <f>+SUM(V17:AG17)</f>
        <v>930891.51383457612</v>
      </c>
      <c r="AB58" s="3">
        <f>+SUM(AB17:AM17)</f>
        <v>936548.73853625951</v>
      </c>
    </row>
    <row r="59" spans="1:2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t="s">
        <v>190</v>
      </c>
      <c r="V59" s="3">
        <f>+SUM(V18:AG18)</f>
        <v>36780125</v>
      </c>
      <c r="AB59" s="3">
        <f>+SUM(AB18:AM18)</f>
        <v>37056590</v>
      </c>
    </row>
    <row r="60" spans="1:2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T60" t="s">
        <v>191</v>
      </c>
      <c r="V60" s="3">
        <f>+SUM(V19:AG19)</f>
        <v>49267953</v>
      </c>
      <c r="AB60" s="3">
        <f>+SUM(AB19:AM19)</f>
        <v>49528193</v>
      </c>
    </row>
    <row r="61" spans="1:2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28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28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2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2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T65" t="s">
        <v>186</v>
      </c>
      <c r="V65" s="3">
        <f>+AVERAGE(V23:AG23)</f>
        <v>164559.21738333334</v>
      </c>
      <c r="AB65" s="3">
        <f>+AVERAGE(AB23:AM23)</f>
        <v>165464.05854999999</v>
      </c>
    </row>
    <row r="66" spans="1:2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T66" t="s">
        <v>187</v>
      </c>
      <c r="V66" s="3">
        <f>+AVERAGE(V24:AG24)+AVERAGE(V25:AG25)</f>
        <v>3063.4530416666662</v>
      </c>
      <c r="AB66" s="3">
        <f>+AVERAGE(AB24:AM24)+AVERAGE(AB25:AM25)</f>
        <v>3090.1110666666668</v>
      </c>
    </row>
    <row r="67" spans="1:28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T67" t="s">
        <v>188</v>
      </c>
      <c r="V67" s="3">
        <f>+AVERAGE(V26:AG26)</f>
        <v>24.868075598205845</v>
      </c>
      <c r="AB67" s="3">
        <f>+AVERAGE(AB26:AM26)</f>
        <v>24.881806061485776</v>
      </c>
    </row>
    <row r="68" spans="1:2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T68" t="s">
        <v>189</v>
      </c>
      <c r="V68" s="3">
        <f>+AVERAGE(V27:AG27)</f>
        <v>2</v>
      </c>
      <c r="AB68" s="3">
        <f>+AVERAGE(AB27:AM27)</f>
        <v>2</v>
      </c>
    </row>
    <row r="69" spans="1:2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T69" t="s">
        <v>190</v>
      </c>
      <c r="V69" s="3">
        <f>+AVERAGE(V28:AG28)</f>
        <v>41</v>
      </c>
      <c r="AB69" s="3">
        <f>+AVERAGE(AB28:AM28)</f>
        <v>41</v>
      </c>
    </row>
    <row r="70" spans="1:2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T70" t="s">
        <v>191</v>
      </c>
      <c r="V70" s="3">
        <f>+AVERAGE(V29:AG29)</f>
        <v>5</v>
      </c>
      <c r="AB70" s="3">
        <f>+AVERAGE(AB29:AM29)</f>
        <v>5</v>
      </c>
    </row>
    <row r="71" spans="1:2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28" s="34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2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2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2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2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28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2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28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28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</sheetData>
  <printOptions horizontalCentered="1"/>
  <pageMargins left="0.7" right="0.7" top="0.75" bottom="0.75" header="0.3" footer="0.3"/>
  <pageSetup orientation="portrait" r:id="rId1"/>
  <headerFooter scaleWithDoc="0">
    <oddHeader>&amp;LNatural Gas - Revenue Growth Rate Calculation&amp;RExh. EMA-5, Page 5</oddHeader>
    <oddFooter>&amp;C&amp;F</oddFooter>
  </headerFooter>
  <rowBreaks count="1" manualBreakCount="1">
    <brk id="4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S284"/>
  <sheetViews>
    <sheetView showGridLines="0" zoomScaleNormal="100" workbookViewId="0">
      <pane ySplit="5" topLeftCell="A127" activePane="bottomLeft" state="frozen"/>
      <selection pane="bottomLeft" activeCell="D170" sqref="D170:I170"/>
    </sheetView>
  </sheetViews>
  <sheetFormatPr defaultColWidth="10.7109375" defaultRowHeight="11.25"/>
  <cols>
    <col min="1" max="1" width="9.140625" style="209" customWidth="1"/>
    <col min="2" max="2" width="26" style="208" customWidth="1"/>
    <col min="3" max="3" width="11" style="208" customWidth="1"/>
    <col min="4" max="4" width="11.85546875" style="208" customWidth="1"/>
    <col min="5" max="6" width="14.140625" style="208" customWidth="1"/>
    <col min="7" max="8" width="11.42578125" style="208" customWidth="1"/>
    <col min="9" max="9" width="12" style="208" customWidth="1"/>
    <col min="10" max="10" width="12.5703125" style="208" customWidth="1"/>
    <col min="11" max="11" width="10.7109375" style="208" customWidth="1"/>
    <col min="12" max="12" width="3.7109375" style="208" customWidth="1"/>
    <col min="13" max="13" width="13.28515625" style="208" customWidth="1"/>
    <col min="14" max="14" width="3.7109375" style="208" customWidth="1"/>
    <col min="15" max="16" width="10.7109375" style="208" customWidth="1"/>
    <col min="17" max="17" width="35.7109375" style="208" customWidth="1"/>
    <col min="18" max="16384" width="10.7109375" style="208"/>
  </cols>
  <sheetData>
    <row r="2" spans="1:19" ht="18">
      <c r="A2" s="207"/>
    </row>
    <row r="3" spans="1:19">
      <c r="J3" s="210" t="s">
        <v>181</v>
      </c>
    </row>
    <row r="4" spans="1:19" s="210" customFormat="1">
      <c r="A4" s="126" t="s">
        <v>103</v>
      </c>
      <c r="C4" s="210" t="s">
        <v>6</v>
      </c>
      <c r="D4" s="210" t="s">
        <v>182</v>
      </c>
      <c r="E4" s="210" t="s">
        <v>183</v>
      </c>
      <c r="F4" s="210" t="s">
        <v>184</v>
      </c>
      <c r="G4" s="210" t="s">
        <v>10</v>
      </c>
      <c r="H4" s="210" t="s">
        <v>181</v>
      </c>
      <c r="I4" s="210" t="s">
        <v>181</v>
      </c>
      <c r="J4" s="211" t="s">
        <v>185</v>
      </c>
    </row>
    <row r="5" spans="1:19" s="210" customFormat="1">
      <c r="A5" s="126" t="s">
        <v>100</v>
      </c>
      <c r="B5" s="212"/>
      <c r="C5" s="212" t="s">
        <v>13</v>
      </c>
      <c r="D5" s="212" t="s">
        <v>186</v>
      </c>
      <c r="E5" s="212" t="s">
        <v>187</v>
      </c>
      <c r="F5" s="212" t="s">
        <v>188</v>
      </c>
      <c r="G5" s="212" t="s">
        <v>189</v>
      </c>
      <c r="H5" s="212" t="s">
        <v>190</v>
      </c>
      <c r="I5" s="212" t="s">
        <v>191</v>
      </c>
      <c r="J5" s="212" t="s">
        <v>192</v>
      </c>
      <c r="L5" s="141"/>
      <c r="M5" s="141"/>
      <c r="N5" s="141"/>
      <c r="O5" s="141"/>
      <c r="P5" s="141"/>
      <c r="Q5" s="205" t="s">
        <v>180</v>
      </c>
      <c r="R5" s="141"/>
      <c r="S5" s="141"/>
    </row>
    <row r="6" spans="1:19" ht="12.75" customHeight="1">
      <c r="B6" s="169" t="s">
        <v>179</v>
      </c>
      <c r="L6" s="141"/>
      <c r="M6" s="204" t="s">
        <v>178</v>
      </c>
      <c r="N6" s="141"/>
      <c r="O6" s="141"/>
      <c r="P6" s="125"/>
      <c r="Q6" s="301" t="str">
        <f>"AVISTA UTILITIES
WASHINGTON NATURAL GAS
PRO FORMA REVENUE UNDER PRESENT AND PROPOSED "&amp;O9&amp;" RATES
12 MONTHS ENDED DECEMBER 31, 2018"</f>
        <v>AVISTA UTILITIES
WASHINGTON NATURAL GAS
PRO FORMA REVENUE UNDER PRESENT AND PROPOSED BASE TARIFF RATES
12 MONTHS ENDED DECEMBER 31, 2018</v>
      </c>
      <c r="R6" s="301"/>
      <c r="S6" s="301"/>
    </row>
    <row r="7" spans="1:19">
      <c r="B7" s="213" t="s">
        <v>193</v>
      </c>
      <c r="L7" s="202" t="s">
        <v>177</v>
      </c>
      <c r="M7" s="125" t="s">
        <v>176</v>
      </c>
      <c r="N7" s="141"/>
      <c r="O7" s="141"/>
      <c r="P7" s="125"/>
      <c r="Q7" s="301"/>
      <c r="R7" s="301"/>
      <c r="S7" s="301"/>
    </row>
    <row r="8" spans="1:19">
      <c r="A8" s="209" t="s">
        <v>194</v>
      </c>
      <c r="B8" s="208" t="s">
        <v>140</v>
      </c>
      <c r="C8" s="214"/>
      <c r="D8" s="214">
        <v>78130536.427342966</v>
      </c>
      <c r="E8" s="214">
        <v>6375094.2101864293</v>
      </c>
      <c r="F8" s="214">
        <v>17999.891669999983</v>
      </c>
      <c r="G8" s="214">
        <v>240000</v>
      </c>
      <c r="H8" s="214">
        <v>8493795</v>
      </c>
      <c r="I8" s="214">
        <v>24532118</v>
      </c>
      <c r="J8" s="214">
        <v>10599458</v>
      </c>
      <c r="L8" s="125"/>
      <c r="M8" s="141" t="s">
        <v>175</v>
      </c>
      <c r="N8" s="125"/>
      <c r="O8" s="203">
        <v>1</v>
      </c>
      <c r="P8" s="125"/>
      <c r="Q8" s="301"/>
      <c r="R8" s="301"/>
      <c r="S8" s="301"/>
    </row>
    <row r="9" spans="1:19">
      <c r="A9" s="209" t="s">
        <v>194</v>
      </c>
      <c r="B9" s="208" t="s">
        <v>139</v>
      </c>
      <c r="C9" s="214"/>
      <c r="D9" s="214">
        <v>45837805.662867025</v>
      </c>
      <c r="E9" s="214">
        <v>16565126.557450794</v>
      </c>
      <c r="F9" s="214">
        <v>17999.666660000003</v>
      </c>
      <c r="G9" s="214">
        <v>304980</v>
      </c>
      <c r="H9" s="214">
        <v>8514233</v>
      </c>
      <c r="I9" s="214">
        <v>6237208</v>
      </c>
      <c r="J9" s="214"/>
      <c r="L9" s="202" t="s">
        <v>174</v>
      </c>
      <c r="M9" s="125" t="s">
        <v>173</v>
      </c>
      <c r="N9" s="125"/>
      <c r="O9" s="125" t="str">
        <f>CHOOSE(Base1_Billing2,M7,M9)</f>
        <v>BASE TARIFF</v>
      </c>
      <c r="P9" s="125"/>
      <c r="Q9" s="301"/>
      <c r="R9" s="301"/>
      <c r="S9" s="301"/>
    </row>
    <row r="10" spans="1:19">
      <c r="A10" s="209" t="s">
        <v>194</v>
      </c>
      <c r="B10" s="208" t="s">
        <v>138</v>
      </c>
      <c r="C10" s="214"/>
      <c r="D10" s="214"/>
      <c r="E10" s="214">
        <v>29697691.912542783</v>
      </c>
      <c r="F10" s="214">
        <v>324000.22331999964</v>
      </c>
      <c r="G10" s="214">
        <v>342272</v>
      </c>
      <c r="H10" s="214">
        <v>13953929</v>
      </c>
      <c r="I10" s="214">
        <v>2090525</v>
      </c>
      <c r="J10" s="214"/>
      <c r="L10" s="125"/>
      <c r="M10" s="125"/>
      <c r="N10" s="125"/>
      <c r="O10" s="125" t="str">
        <f>CHOOSE(Base1_Billing2,"Base","Billing")</f>
        <v>Base</v>
      </c>
      <c r="P10" s="125"/>
      <c r="Q10" s="301"/>
      <c r="R10" s="301"/>
      <c r="S10" s="301"/>
    </row>
    <row r="11" spans="1:19">
      <c r="A11" s="209" t="s">
        <v>194</v>
      </c>
      <c r="B11" s="208" t="s">
        <v>137</v>
      </c>
      <c r="C11" s="214"/>
      <c r="D11" s="214"/>
      <c r="E11" s="214"/>
      <c r="F11" s="214">
        <v>536304.60407</v>
      </c>
      <c r="G11" s="214">
        <v>98015</v>
      </c>
      <c r="H11" s="214">
        <v>2746588</v>
      </c>
      <c r="I11" s="214">
        <v>5652763</v>
      </c>
      <c r="J11" s="214"/>
      <c r="L11" s="125"/>
      <c r="M11" s="125"/>
      <c r="N11" s="125"/>
      <c r="O11" s="125"/>
      <c r="P11" s="125"/>
      <c r="Q11" s="301"/>
      <c r="R11" s="301"/>
      <c r="S11" s="301"/>
    </row>
    <row r="12" spans="1:19">
      <c r="A12" s="209" t="s">
        <v>194</v>
      </c>
      <c r="B12" s="208" t="s">
        <v>195</v>
      </c>
      <c r="C12" s="215"/>
      <c r="D12" s="215"/>
      <c r="E12" s="215"/>
      <c r="F12" s="215">
        <v>743507.61600003822</v>
      </c>
      <c r="G12" s="215"/>
      <c r="H12" s="215">
        <v>1899391</v>
      </c>
      <c r="I12" s="215">
        <v>5405533</v>
      </c>
      <c r="J12" s="215"/>
      <c r="L12" s="125"/>
      <c r="M12" s="125"/>
      <c r="N12" s="125"/>
      <c r="O12" s="125"/>
      <c r="P12" s="125"/>
      <c r="Q12" s="125"/>
      <c r="R12" s="125"/>
      <c r="S12" s="125"/>
    </row>
    <row r="13" spans="1:19">
      <c r="C13" s="216"/>
      <c r="D13" s="216"/>
      <c r="E13" s="216"/>
      <c r="F13" s="216"/>
      <c r="G13" s="216"/>
      <c r="H13" s="216"/>
      <c r="I13" s="216"/>
      <c r="J13" s="216"/>
    </row>
    <row r="14" spans="1:19">
      <c r="B14" s="208" t="s">
        <v>129</v>
      </c>
      <c r="C14" s="214">
        <v>269356874.77211004</v>
      </c>
      <c r="D14" s="214">
        <v>123968342.09020999</v>
      </c>
      <c r="E14" s="214">
        <v>52637912.680180006</v>
      </c>
      <c r="F14" s="214">
        <v>1639812.0017200378</v>
      </c>
      <c r="G14" s="214">
        <v>985267</v>
      </c>
      <c r="H14" s="214">
        <v>35607936</v>
      </c>
      <c r="I14" s="214">
        <v>43918147</v>
      </c>
      <c r="J14" s="214">
        <v>10599458</v>
      </c>
    </row>
    <row r="15" spans="1:19">
      <c r="B15" s="208" t="s">
        <v>196</v>
      </c>
      <c r="C15" s="217"/>
      <c r="D15" s="217"/>
      <c r="E15" s="217"/>
      <c r="F15" s="217"/>
      <c r="G15" s="217"/>
      <c r="H15" s="217"/>
      <c r="I15" s="217"/>
      <c r="J15" s="217"/>
    </row>
    <row r="16" spans="1:19">
      <c r="C16" s="214"/>
      <c r="D16" s="214"/>
      <c r="E16" s="214"/>
      <c r="F16" s="214"/>
      <c r="G16" s="214"/>
      <c r="H16" s="214"/>
      <c r="I16" s="214"/>
      <c r="J16" s="214"/>
    </row>
    <row r="17" spans="1:10">
      <c r="B17" s="208" t="s">
        <v>129</v>
      </c>
      <c r="C17" s="214">
        <v>269356874.77211004</v>
      </c>
      <c r="D17" s="214">
        <v>123968342.09020999</v>
      </c>
      <c r="E17" s="214">
        <v>52637912.680180006</v>
      </c>
      <c r="F17" s="214">
        <v>1639812.0017200378</v>
      </c>
      <c r="G17" s="214">
        <v>985267</v>
      </c>
      <c r="H17" s="214">
        <v>35607936</v>
      </c>
      <c r="I17" s="214">
        <v>43918147</v>
      </c>
      <c r="J17" s="214">
        <v>10599458</v>
      </c>
    </row>
    <row r="18" spans="1:10">
      <c r="B18" s="208" t="s">
        <v>166</v>
      </c>
      <c r="C18" s="217">
        <v>0</v>
      </c>
      <c r="D18" s="217">
        <v>0</v>
      </c>
      <c r="E18" s="217">
        <v>0</v>
      </c>
      <c r="F18" s="217"/>
      <c r="G18" s="217"/>
      <c r="H18" s="217"/>
      <c r="I18" s="217"/>
      <c r="J18" s="217"/>
    </row>
    <row r="19" spans="1:10">
      <c r="C19" s="214"/>
      <c r="D19" s="214"/>
      <c r="E19" s="214"/>
      <c r="F19" s="214"/>
      <c r="G19" s="214"/>
      <c r="H19" s="214"/>
      <c r="I19" s="214"/>
      <c r="J19" s="214"/>
    </row>
    <row r="20" spans="1:10">
      <c r="B20" s="208" t="s">
        <v>165</v>
      </c>
      <c r="C20" s="214">
        <v>269356874.77211004</v>
      </c>
      <c r="D20" s="214">
        <v>123968342.09020999</v>
      </c>
      <c r="E20" s="214">
        <v>52637912.680180006</v>
      </c>
      <c r="F20" s="214">
        <v>1639812.0017200378</v>
      </c>
      <c r="G20" s="214">
        <v>985267</v>
      </c>
      <c r="H20" s="214">
        <v>35607936</v>
      </c>
      <c r="I20" s="214">
        <v>43918147</v>
      </c>
      <c r="J20" s="214">
        <v>10599458</v>
      </c>
    </row>
    <row r="21" spans="1:10">
      <c r="A21" s="209" t="s">
        <v>197</v>
      </c>
      <c r="B21" s="208" t="s">
        <v>198</v>
      </c>
      <c r="C21" s="217">
        <v>6624790</v>
      </c>
      <c r="D21" s="217">
        <v>5017638</v>
      </c>
      <c r="E21" s="217">
        <v>1691893</v>
      </c>
      <c r="F21" s="217">
        <v>-84741</v>
      </c>
      <c r="G21" s="217">
        <v>0</v>
      </c>
      <c r="H21" s="217">
        <v>0</v>
      </c>
      <c r="I21" s="217">
        <v>0</v>
      </c>
      <c r="J21" s="217">
        <v>0</v>
      </c>
    </row>
    <row r="22" spans="1:10">
      <c r="C22" s="214"/>
      <c r="D22" s="214"/>
      <c r="E22" s="214"/>
      <c r="F22" s="214"/>
      <c r="G22" s="214"/>
      <c r="H22" s="214"/>
      <c r="I22" s="214"/>
      <c r="J22" s="214"/>
    </row>
    <row r="23" spans="1:10">
      <c r="B23" s="208" t="s">
        <v>199</v>
      </c>
      <c r="C23" s="214">
        <v>275981664.77211004</v>
      </c>
      <c r="D23" s="214">
        <v>128985980.09020999</v>
      </c>
      <c r="E23" s="214">
        <v>54329805.680180006</v>
      </c>
      <c r="F23" s="214">
        <v>1555071.0017200378</v>
      </c>
      <c r="G23" s="214">
        <v>985267</v>
      </c>
      <c r="H23" s="214">
        <v>35607936</v>
      </c>
      <c r="I23" s="214">
        <v>43918147</v>
      </c>
      <c r="J23" s="214">
        <v>10599458</v>
      </c>
    </row>
    <row r="24" spans="1:10">
      <c r="C24" s="214"/>
      <c r="D24" s="214"/>
      <c r="E24" s="214"/>
      <c r="F24" s="214"/>
      <c r="G24" s="214"/>
      <c r="H24" s="214"/>
      <c r="I24" s="214"/>
      <c r="J24" s="214"/>
    </row>
    <row r="25" spans="1:10">
      <c r="A25" s="209" t="s">
        <v>194</v>
      </c>
      <c r="B25" s="208" t="s">
        <v>162</v>
      </c>
      <c r="C25" s="214"/>
      <c r="D25" s="214">
        <v>1941495</v>
      </c>
      <c r="E25" s="214">
        <f>+E26</f>
        <v>36840</v>
      </c>
      <c r="F25" s="214">
        <f>+F26</f>
        <v>36</v>
      </c>
      <c r="G25" s="214">
        <v>24</v>
      </c>
      <c r="H25" s="214">
        <v>480</v>
      </c>
      <c r="I25" s="282">
        <f>48+J25</f>
        <v>60</v>
      </c>
      <c r="J25" s="214">
        <v>12</v>
      </c>
    </row>
    <row r="26" spans="1:10">
      <c r="A26" s="209" t="s">
        <v>194</v>
      </c>
      <c r="B26" s="208" t="s">
        <v>200</v>
      </c>
      <c r="C26" s="214"/>
      <c r="D26" s="214"/>
      <c r="E26" s="214">
        <v>36840</v>
      </c>
      <c r="F26" s="214">
        <v>36</v>
      </c>
      <c r="G26" s="214"/>
      <c r="H26" s="214"/>
      <c r="I26" s="214"/>
      <c r="J26" s="214"/>
    </row>
    <row r="27" spans="1:10">
      <c r="C27" s="214"/>
      <c r="D27" s="214"/>
      <c r="E27" s="214"/>
      <c r="F27" s="214"/>
      <c r="G27" s="214"/>
      <c r="H27" s="214"/>
      <c r="I27" s="214"/>
      <c r="J27" s="214"/>
    </row>
    <row r="28" spans="1:10" s="210" customFormat="1">
      <c r="A28" s="209" t="s">
        <v>6</v>
      </c>
      <c r="C28" s="218"/>
      <c r="D28" s="218"/>
      <c r="E28" s="218"/>
      <c r="F28" s="218"/>
      <c r="G28" s="218"/>
      <c r="H28" s="218"/>
      <c r="I28" s="218"/>
      <c r="J28" s="218"/>
    </row>
    <row r="29" spans="1:10" ht="12.75">
      <c r="B29" s="169" t="s">
        <v>169</v>
      </c>
      <c r="C29" s="214"/>
      <c r="D29" s="214"/>
      <c r="E29" s="214"/>
      <c r="F29" s="214"/>
      <c r="G29" s="214"/>
      <c r="H29" s="214"/>
      <c r="I29" s="214"/>
      <c r="J29" s="214"/>
    </row>
    <row r="30" spans="1:10">
      <c r="B30" s="213" t="s">
        <v>193</v>
      </c>
      <c r="C30" s="214"/>
      <c r="D30" s="214"/>
      <c r="E30" s="214"/>
      <c r="F30" s="214"/>
      <c r="G30" s="214"/>
      <c r="H30" s="214"/>
      <c r="I30" s="214"/>
      <c r="J30" s="214"/>
    </row>
    <row r="31" spans="1:10">
      <c r="B31" s="208" t="s">
        <v>140</v>
      </c>
      <c r="C31" s="214"/>
      <c r="D31" s="214">
        <v>78130536.427342966</v>
      </c>
      <c r="E31" s="214">
        <v>6375094.2101864293</v>
      </c>
      <c r="F31" s="214">
        <v>17999.891669999983</v>
      </c>
      <c r="G31" s="214">
        <v>240000</v>
      </c>
      <c r="H31" s="214">
        <v>8493795</v>
      </c>
      <c r="I31" s="214">
        <v>24532118</v>
      </c>
      <c r="J31" s="214">
        <v>10599458</v>
      </c>
    </row>
    <row r="32" spans="1:10">
      <c r="B32" s="208" t="s">
        <v>139</v>
      </c>
      <c r="C32" s="214"/>
      <c r="D32" s="214">
        <v>45837805.662867025</v>
      </c>
      <c r="E32" s="214">
        <v>16565126.557450794</v>
      </c>
      <c r="F32" s="214">
        <v>17999.666660000003</v>
      </c>
      <c r="G32" s="214">
        <v>304980</v>
      </c>
      <c r="H32" s="214">
        <v>8514233</v>
      </c>
      <c r="I32" s="214">
        <v>6237208</v>
      </c>
      <c r="J32" s="214">
        <v>0</v>
      </c>
    </row>
    <row r="33" spans="2:10">
      <c r="B33" s="208" t="s">
        <v>138</v>
      </c>
      <c r="C33" s="214"/>
      <c r="D33" s="214">
        <v>0</v>
      </c>
      <c r="E33" s="214">
        <v>29697691.912542783</v>
      </c>
      <c r="F33" s="214">
        <v>324000.22331999964</v>
      </c>
      <c r="G33" s="214">
        <v>342272</v>
      </c>
      <c r="H33" s="214">
        <v>13953929</v>
      </c>
      <c r="I33" s="214">
        <v>2090525</v>
      </c>
      <c r="J33" s="214">
        <v>0</v>
      </c>
    </row>
    <row r="34" spans="2:10">
      <c r="B34" s="208" t="s">
        <v>137</v>
      </c>
      <c r="C34" s="214"/>
      <c r="D34" s="214">
        <v>0</v>
      </c>
      <c r="E34" s="214">
        <v>0</v>
      </c>
      <c r="F34" s="214">
        <v>536304.60407</v>
      </c>
      <c r="G34" s="214">
        <v>98015</v>
      </c>
      <c r="H34" s="214">
        <v>2746588</v>
      </c>
      <c r="I34" s="214">
        <v>5652763</v>
      </c>
      <c r="J34" s="214">
        <v>0</v>
      </c>
    </row>
    <row r="35" spans="2:10">
      <c r="B35" s="208" t="s">
        <v>195</v>
      </c>
      <c r="C35" s="215"/>
      <c r="D35" s="214">
        <v>0</v>
      </c>
      <c r="E35" s="214">
        <v>0</v>
      </c>
      <c r="F35" s="214">
        <v>743507.61600003822</v>
      </c>
      <c r="G35" s="214">
        <v>0</v>
      </c>
      <c r="H35" s="214">
        <v>1899391</v>
      </c>
      <c r="I35" s="214">
        <v>5405533</v>
      </c>
      <c r="J35" s="214">
        <v>0</v>
      </c>
    </row>
    <row r="36" spans="2:10">
      <c r="C36" s="216"/>
      <c r="D36" s="216"/>
      <c r="E36" s="216"/>
      <c r="F36" s="216"/>
      <c r="G36" s="216"/>
      <c r="H36" s="216"/>
      <c r="I36" s="216"/>
      <c r="J36" s="216"/>
    </row>
    <row r="37" spans="2:10">
      <c r="B37" s="208" t="s">
        <v>129</v>
      </c>
      <c r="C37" s="214">
        <v>269356874.77211004</v>
      </c>
      <c r="D37" s="214">
        <v>123968342.09020999</v>
      </c>
      <c r="E37" s="214">
        <v>52637912.680180006</v>
      </c>
      <c r="F37" s="214">
        <v>1639812.0017200378</v>
      </c>
      <c r="G37" s="214">
        <v>985267</v>
      </c>
      <c r="H37" s="214">
        <v>35607936</v>
      </c>
      <c r="I37" s="214">
        <v>43918147</v>
      </c>
      <c r="J37" s="214">
        <v>10599458</v>
      </c>
    </row>
    <row r="38" spans="2:10">
      <c r="B38" s="208" t="s">
        <v>201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</row>
    <row r="39" spans="2:10">
      <c r="C39" s="214"/>
      <c r="D39" s="214"/>
      <c r="E39" s="214"/>
      <c r="F39" s="214"/>
      <c r="G39" s="214"/>
      <c r="H39" s="214"/>
      <c r="I39" s="214"/>
      <c r="J39" s="214"/>
    </row>
    <row r="40" spans="2:10">
      <c r="B40" s="208" t="s">
        <v>129</v>
      </c>
      <c r="C40" s="214">
        <v>269356874.77211004</v>
      </c>
      <c r="D40" s="214">
        <v>123968342.09020999</v>
      </c>
      <c r="E40" s="214">
        <v>52637912.680180006</v>
      </c>
      <c r="F40" s="214">
        <v>1639812.0017200378</v>
      </c>
      <c r="G40" s="214">
        <v>985267</v>
      </c>
      <c r="H40" s="214">
        <v>35607936</v>
      </c>
      <c r="I40" s="214">
        <v>43918147</v>
      </c>
      <c r="J40" s="214">
        <v>10599458</v>
      </c>
    </row>
    <row r="41" spans="2:10">
      <c r="B41" s="208" t="s">
        <v>166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</row>
    <row r="42" spans="2:10">
      <c r="C42" s="214"/>
      <c r="D42" s="214"/>
      <c r="E42" s="214"/>
      <c r="F42" s="214"/>
      <c r="G42" s="214"/>
      <c r="H42" s="214"/>
      <c r="I42" s="214"/>
      <c r="J42" s="214"/>
    </row>
    <row r="43" spans="2:10">
      <c r="B43" s="208" t="s">
        <v>165</v>
      </c>
      <c r="C43" s="214">
        <v>269356874.77211004</v>
      </c>
      <c r="D43" s="214">
        <v>123968342.09020999</v>
      </c>
      <c r="E43" s="214">
        <v>52637912.680180006</v>
      </c>
      <c r="F43" s="214">
        <v>1639812.0017200378</v>
      </c>
      <c r="G43" s="214">
        <v>985267</v>
      </c>
      <c r="H43" s="214">
        <v>35607936</v>
      </c>
      <c r="I43" s="214">
        <v>43918147</v>
      </c>
      <c r="J43" s="214">
        <v>10599458</v>
      </c>
    </row>
    <row r="44" spans="2:10">
      <c r="B44" s="208" t="s">
        <v>198</v>
      </c>
      <c r="C44" s="217">
        <v>6624790</v>
      </c>
      <c r="D44" s="217">
        <v>5017638</v>
      </c>
      <c r="E44" s="217">
        <v>1691893</v>
      </c>
      <c r="F44" s="217">
        <v>-84741</v>
      </c>
      <c r="G44" s="217">
        <v>0</v>
      </c>
      <c r="H44" s="217">
        <v>0</v>
      </c>
      <c r="I44" s="217">
        <v>0</v>
      </c>
      <c r="J44" s="217">
        <v>0</v>
      </c>
    </row>
    <row r="45" spans="2:10">
      <c r="C45" s="214"/>
      <c r="D45" s="214"/>
      <c r="E45" s="214"/>
      <c r="F45" s="214"/>
      <c r="G45" s="214"/>
      <c r="H45" s="214"/>
      <c r="I45" s="214"/>
      <c r="J45" s="214"/>
    </row>
    <row r="46" spans="2:10">
      <c r="B46" s="208" t="s">
        <v>199</v>
      </c>
      <c r="C46" s="214">
        <v>275981664.77211004</v>
      </c>
      <c r="D46" s="214">
        <v>128985980.09020999</v>
      </c>
      <c r="E46" s="214">
        <v>54329805.680180006</v>
      </c>
      <c r="F46" s="214">
        <v>1555071.0017200378</v>
      </c>
      <c r="G46" s="214">
        <v>985267</v>
      </c>
      <c r="H46" s="214">
        <v>35607936</v>
      </c>
      <c r="I46" s="282">
        <f>43918147+J46</f>
        <v>54517605</v>
      </c>
      <c r="J46" s="214">
        <v>10599458</v>
      </c>
    </row>
    <row r="47" spans="2:10">
      <c r="C47" s="214"/>
      <c r="D47" s="214"/>
      <c r="E47" s="214"/>
      <c r="F47" s="214"/>
      <c r="G47" s="214"/>
      <c r="H47" s="214"/>
      <c r="I47" s="214"/>
      <c r="J47" s="214"/>
    </row>
    <row r="48" spans="2:10">
      <c r="B48" s="208" t="s">
        <v>162</v>
      </c>
      <c r="C48" s="214"/>
      <c r="D48" s="214">
        <v>1941495</v>
      </c>
      <c r="E48" s="282">
        <f>+E49</f>
        <v>36840</v>
      </c>
      <c r="F48" s="282">
        <f>+F49</f>
        <v>36</v>
      </c>
      <c r="G48" s="214">
        <v>24</v>
      </c>
      <c r="H48" s="214">
        <v>480</v>
      </c>
      <c r="I48" s="282">
        <f>48+J48</f>
        <v>60</v>
      </c>
      <c r="J48" s="214">
        <v>12</v>
      </c>
    </row>
    <row r="49" spans="1:15">
      <c r="B49" s="208" t="s">
        <v>200</v>
      </c>
      <c r="C49" s="214"/>
      <c r="D49" s="214">
        <v>0</v>
      </c>
      <c r="E49" s="214">
        <v>36840</v>
      </c>
      <c r="F49" s="214">
        <v>36</v>
      </c>
      <c r="G49" s="214"/>
      <c r="H49" s="214"/>
      <c r="I49" s="214"/>
      <c r="J49" s="214"/>
    </row>
    <row r="50" spans="1:15">
      <c r="C50" s="219"/>
      <c r="D50" s="195"/>
      <c r="E50" s="195">
        <v>2</v>
      </c>
      <c r="F50" s="195">
        <v>3</v>
      </c>
      <c r="G50" s="195">
        <v>4</v>
      </c>
      <c r="H50" s="195">
        <v>5</v>
      </c>
      <c r="I50" s="195">
        <v>6</v>
      </c>
      <c r="J50" s="195">
        <v>7</v>
      </c>
    </row>
    <row r="51" spans="1:15">
      <c r="C51" s="219"/>
      <c r="D51" s="220"/>
      <c r="E51" s="220"/>
      <c r="F51" s="220"/>
      <c r="G51" s="220"/>
      <c r="H51" s="220"/>
      <c r="I51" s="219"/>
    </row>
    <row r="52" spans="1:15">
      <c r="C52" s="219"/>
      <c r="J52" s="210" t="s">
        <v>181</v>
      </c>
    </row>
    <row r="53" spans="1:15" s="210" customFormat="1">
      <c r="A53" s="126" t="s">
        <v>103</v>
      </c>
      <c r="C53" s="210" t="s">
        <v>6</v>
      </c>
      <c r="D53" s="210" t="s">
        <v>182</v>
      </c>
      <c r="E53" s="210" t="s">
        <v>183</v>
      </c>
      <c r="F53" s="210" t="s">
        <v>184</v>
      </c>
      <c r="G53" s="210" t="s">
        <v>10</v>
      </c>
      <c r="H53" s="210" t="s">
        <v>181</v>
      </c>
      <c r="I53" s="210" t="s">
        <v>181</v>
      </c>
      <c r="J53" s="211" t="s">
        <v>185</v>
      </c>
      <c r="M53" s="125" t="str">
        <f ca="1">"selected in cell "&amp;CELL("address",Base1_Billing2)&amp;":"</f>
        <v>selected in cell $O$8:</v>
      </c>
    </row>
    <row r="54" spans="1:15" s="210" customFormat="1">
      <c r="A54" s="126" t="s">
        <v>100</v>
      </c>
      <c r="B54" s="212"/>
      <c r="C54" s="212" t="s">
        <v>13</v>
      </c>
      <c r="D54" s="212" t="s">
        <v>202</v>
      </c>
      <c r="E54" s="212" t="s">
        <v>203</v>
      </c>
      <c r="F54" s="212" t="s">
        <v>204</v>
      </c>
      <c r="G54" s="212" t="s">
        <v>205</v>
      </c>
      <c r="H54" s="212" t="s">
        <v>190</v>
      </c>
      <c r="I54" s="212" t="s">
        <v>191</v>
      </c>
      <c r="J54" s="212" t="s">
        <v>192</v>
      </c>
      <c r="M54" s="138" t="str">
        <f>O10</f>
        <v>Base</v>
      </c>
    </row>
    <row r="55" spans="1:15" ht="12.75">
      <c r="B55" s="169" t="s">
        <v>159</v>
      </c>
      <c r="I55" s="221">
        <v>-1</v>
      </c>
      <c r="J55" s="221">
        <v>-2</v>
      </c>
      <c r="M55" s="125" t="str">
        <f>"Rates_"&amp;$M$54&amp;"_Present"</f>
        <v>Rates_Base_Present</v>
      </c>
      <c r="O55" s="193" t="s">
        <v>158</v>
      </c>
    </row>
    <row r="56" spans="1:15" ht="11.25" customHeight="1">
      <c r="A56" s="222" t="s">
        <v>206</v>
      </c>
      <c r="B56" s="208" t="s">
        <v>142</v>
      </c>
      <c r="D56" s="189">
        <v>9.5</v>
      </c>
      <c r="E56" s="189">
        <v>0</v>
      </c>
      <c r="F56" s="189">
        <v>0</v>
      </c>
      <c r="G56" s="189">
        <v>0</v>
      </c>
      <c r="H56" s="189">
        <v>550</v>
      </c>
      <c r="I56" s="223">
        <v>200</v>
      </c>
      <c r="J56" s="223">
        <v>26332</v>
      </c>
      <c r="K56" s="224">
        <v>1</v>
      </c>
      <c r="M56" s="125" t="str">
        <f>"Rates_"&amp;$M$54&amp;"_Proposed"</f>
        <v>Rates_Base_Proposed</v>
      </c>
      <c r="O56" s="193" t="s">
        <v>157</v>
      </c>
    </row>
    <row r="57" spans="1:15" ht="11.25" customHeight="1">
      <c r="A57" s="222" t="s">
        <v>206</v>
      </c>
      <c r="B57" s="208" t="s">
        <v>207</v>
      </c>
      <c r="D57" s="189">
        <v>0</v>
      </c>
      <c r="E57" s="189">
        <v>97.25</v>
      </c>
      <c r="F57" s="189">
        <v>240.44</v>
      </c>
      <c r="G57" s="189">
        <v>0</v>
      </c>
      <c r="H57" s="225"/>
      <c r="I57" s="223">
        <v>0</v>
      </c>
      <c r="J57" s="223">
        <v>0</v>
      </c>
      <c r="K57" s="224">
        <v>2</v>
      </c>
    </row>
    <row r="58" spans="1:15" ht="11.25" customHeight="1">
      <c r="I58" s="224"/>
      <c r="J58" s="224"/>
    </row>
    <row r="59" spans="1:15" ht="11.25" customHeight="1">
      <c r="A59" s="222" t="s">
        <v>206</v>
      </c>
      <c r="B59" s="208" t="s">
        <v>208</v>
      </c>
      <c r="D59" s="190">
        <v>36.722999999999999</v>
      </c>
      <c r="E59" s="190">
        <v>0</v>
      </c>
      <c r="F59" s="190">
        <v>0</v>
      </c>
      <c r="G59" s="190">
        <v>24.655000000000001</v>
      </c>
      <c r="H59" s="190">
        <v>9.69</v>
      </c>
      <c r="I59" s="226">
        <v>2.8</v>
      </c>
      <c r="J59" s="227">
        <v>1</v>
      </c>
      <c r="K59" s="224">
        <v>3</v>
      </c>
    </row>
    <row r="60" spans="1:15" ht="11.25" customHeight="1">
      <c r="A60" s="222" t="s">
        <v>206</v>
      </c>
      <c r="B60" s="208" t="s">
        <v>209</v>
      </c>
      <c r="D60" s="190">
        <v>47.728999999999999</v>
      </c>
      <c r="E60" s="190">
        <v>33.353999999999999</v>
      </c>
      <c r="F60" s="190">
        <v>34.85</v>
      </c>
      <c r="G60" s="190">
        <v>19.792000000000002</v>
      </c>
      <c r="H60" s="190">
        <v>8.6210000000000004</v>
      </c>
      <c r="I60" s="226">
        <v>4.5</v>
      </c>
      <c r="J60" s="227">
        <v>0</v>
      </c>
      <c r="K60" s="224">
        <v>4</v>
      </c>
    </row>
    <row r="61" spans="1:15" ht="11.25" customHeight="1">
      <c r="A61" s="222" t="s">
        <v>206</v>
      </c>
      <c r="B61" s="208" t="s">
        <v>210</v>
      </c>
      <c r="D61" s="190">
        <v>0</v>
      </c>
      <c r="E61" s="190">
        <v>25.423999999999999</v>
      </c>
      <c r="F61" s="190">
        <v>26.766999999999999</v>
      </c>
      <c r="G61" s="190">
        <v>18.597999999999999</v>
      </c>
      <c r="H61" s="190">
        <v>7.774</v>
      </c>
      <c r="I61" s="226">
        <v>3.1680000000000001</v>
      </c>
      <c r="J61" s="227">
        <v>0</v>
      </c>
      <c r="K61" s="224">
        <v>5</v>
      </c>
    </row>
    <row r="62" spans="1:15" ht="11.25" customHeight="1">
      <c r="A62" s="222" t="s">
        <v>206</v>
      </c>
      <c r="B62" s="208" t="s">
        <v>211</v>
      </c>
      <c r="D62" s="190">
        <v>0</v>
      </c>
      <c r="E62" s="190">
        <v>0</v>
      </c>
      <c r="F62" s="190">
        <v>21.692</v>
      </c>
      <c r="G62" s="190">
        <v>18.202999999999999</v>
      </c>
      <c r="H62" s="190">
        <v>7.1890000000000001</v>
      </c>
      <c r="I62" s="226">
        <v>2.5</v>
      </c>
      <c r="J62" s="227">
        <v>0</v>
      </c>
      <c r="K62" s="224">
        <v>6</v>
      </c>
    </row>
    <row r="63" spans="1:15" ht="11.25" customHeight="1">
      <c r="A63" s="222" t="s">
        <v>206</v>
      </c>
      <c r="B63" s="208" t="s">
        <v>212</v>
      </c>
      <c r="D63" s="190">
        <v>0</v>
      </c>
      <c r="E63" s="190">
        <v>0</v>
      </c>
      <c r="F63" s="190">
        <v>14.387</v>
      </c>
      <c r="G63" s="190">
        <v>0</v>
      </c>
      <c r="H63" s="190">
        <v>5.4029999999999996</v>
      </c>
      <c r="I63" s="226">
        <v>2.0910000000000002</v>
      </c>
      <c r="J63" s="227">
        <v>0</v>
      </c>
      <c r="K63" s="224">
        <v>7</v>
      </c>
    </row>
    <row r="64" spans="1:15">
      <c r="D64" s="190"/>
      <c r="E64" s="190"/>
      <c r="F64" s="190"/>
      <c r="G64" s="190"/>
      <c r="H64" s="190"/>
      <c r="I64" s="190"/>
      <c r="J64" s="190"/>
    </row>
    <row r="65" spans="1:11">
      <c r="B65" s="208" t="s">
        <v>213</v>
      </c>
      <c r="D65" s="190">
        <v>40.792513876809842</v>
      </c>
      <c r="E65" s="190">
        <v>24.840410332082502</v>
      </c>
      <c r="F65" s="190">
        <v>19.2888971216349</v>
      </c>
      <c r="G65" s="190">
        <v>20.403713917141243</v>
      </c>
      <c r="H65" s="190"/>
      <c r="I65" s="190"/>
      <c r="J65" s="190"/>
    </row>
    <row r="66" spans="1:11">
      <c r="D66" s="228"/>
      <c r="E66" s="228"/>
      <c r="F66" s="228"/>
      <c r="G66" s="228"/>
      <c r="H66" s="228"/>
      <c r="I66" s="228"/>
      <c r="J66" s="228"/>
    </row>
    <row r="67" spans="1:11">
      <c r="A67" s="208"/>
    </row>
    <row r="68" spans="1:11">
      <c r="A68" s="208"/>
    </row>
    <row r="69" spans="1:11">
      <c r="A69" s="208"/>
    </row>
    <row r="70" spans="1:11">
      <c r="D70" s="228"/>
      <c r="E70" s="228"/>
      <c r="F70" s="228"/>
      <c r="G70" s="228"/>
      <c r="H70" s="228"/>
      <c r="I70" s="228"/>
      <c r="J70" s="228"/>
    </row>
    <row r="71" spans="1:11">
      <c r="D71" s="228"/>
      <c r="E71" s="228"/>
      <c r="F71" s="228"/>
      <c r="G71" s="228"/>
      <c r="H71" s="228"/>
      <c r="I71" s="228"/>
      <c r="J71" s="228"/>
    </row>
    <row r="72" spans="1:11">
      <c r="D72" s="228"/>
      <c r="E72" s="228"/>
      <c r="F72" s="228"/>
      <c r="G72" s="228"/>
      <c r="H72" s="228"/>
      <c r="I72" s="228"/>
      <c r="J72" s="228"/>
    </row>
    <row r="73" spans="1:11" ht="12.75">
      <c r="B73" s="169" t="s">
        <v>155</v>
      </c>
    </row>
    <row r="74" spans="1:11">
      <c r="B74" s="208" t="s">
        <v>142</v>
      </c>
      <c r="D74" s="189">
        <v>9.5</v>
      </c>
      <c r="E74" s="189">
        <v>0</v>
      </c>
      <c r="F74" s="189">
        <v>0</v>
      </c>
      <c r="G74" s="189">
        <v>0</v>
      </c>
      <c r="H74" s="189">
        <v>550</v>
      </c>
      <c r="I74" s="223">
        <v>200</v>
      </c>
      <c r="J74" s="223">
        <v>26332</v>
      </c>
      <c r="K74" s="224">
        <v>1</v>
      </c>
    </row>
    <row r="75" spans="1:11">
      <c r="B75" s="208" t="s">
        <v>141</v>
      </c>
      <c r="D75" s="189">
        <v>0</v>
      </c>
      <c r="E75" s="189">
        <v>97.25</v>
      </c>
      <c r="F75" s="189">
        <v>240.44</v>
      </c>
      <c r="G75" s="189">
        <v>0</v>
      </c>
      <c r="H75" s="189">
        <v>0</v>
      </c>
      <c r="I75" s="223">
        <v>0</v>
      </c>
      <c r="J75" s="223">
        <v>0</v>
      </c>
      <c r="K75" s="224">
        <v>2</v>
      </c>
    </row>
    <row r="76" spans="1:11">
      <c r="I76" s="224"/>
      <c r="J76" s="224"/>
    </row>
    <row r="77" spans="1:11">
      <c r="B77" s="208" t="s">
        <v>208</v>
      </c>
      <c r="D77" s="190">
        <v>36.722999999999999</v>
      </c>
      <c r="E77" s="190">
        <v>0</v>
      </c>
      <c r="F77" s="190">
        <v>0</v>
      </c>
      <c r="G77" s="190">
        <v>24.655000000000001</v>
      </c>
      <c r="H77" s="190">
        <v>9.69</v>
      </c>
      <c r="I77" s="227">
        <v>2.8</v>
      </c>
      <c r="J77" s="227">
        <v>1</v>
      </c>
      <c r="K77" s="224">
        <v>3</v>
      </c>
    </row>
    <row r="78" spans="1:11">
      <c r="B78" s="208" t="s">
        <v>209</v>
      </c>
      <c r="D78" s="190">
        <v>47.728999999999999</v>
      </c>
      <c r="E78" s="190">
        <v>33.353999999999999</v>
      </c>
      <c r="F78" s="190">
        <v>34.85</v>
      </c>
      <c r="G78" s="190">
        <v>19.792000000000002</v>
      </c>
      <c r="H78" s="190">
        <v>8.6210000000000004</v>
      </c>
      <c r="I78" s="226">
        <v>4.5</v>
      </c>
      <c r="J78" s="227">
        <v>0</v>
      </c>
      <c r="K78" s="224">
        <v>4</v>
      </c>
    </row>
    <row r="79" spans="1:11">
      <c r="B79" s="208" t="s">
        <v>210</v>
      </c>
      <c r="D79" s="190">
        <v>0</v>
      </c>
      <c r="E79" s="190">
        <v>25.423999999999999</v>
      </c>
      <c r="F79" s="190">
        <v>26.766999999999999</v>
      </c>
      <c r="G79" s="190">
        <v>18.597999999999999</v>
      </c>
      <c r="H79" s="190">
        <v>7.774</v>
      </c>
      <c r="I79" s="227">
        <v>3.1680000000000001</v>
      </c>
      <c r="J79" s="227">
        <v>0</v>
      </c>
      <c r="K79" s="224">
        <v>5</v>
      </c>
    </row>
    <row r="80" spans="1:11">
      <c r="B80" s="208" t="s">
        <v>211</v>
      </c>
      <c r="D80" s="190">
        <v>0</v>
      </c>
      <c r="E80" s="190">
        <v>0</v>
      </c>
      <c r="F80" s="190">
        <v>21.692</v>
      </c>
      <c r="G80" s="190">
        <v>18.202999999999999</v>
      </c>
      <c r="H80" s="190">
        <v>7.1890000000000001</v>
      </c>
      <c r="I80" s="227">
        <v>2.5</v>
      </c>
      <c r="J80" s="227">
        <v>0</v>
      </c>
      <c r="K80" s="224">
        <v>6</v>
      </c>
    </row>
    <row r="81" spans="1:11">
      <c r="B81" s="208" t="s">
        <v>212</v>
      </c>
      <c r="D81" s="190">
        <v>0</v>
      </c>
      <c r="E81" s="190">
        <v>0</v>
      </c>
      <c r="F81" s="190">
        <v>14.387</v>
      </c>
      <c r="G81" s="190">
        <v>0</v>
      </c>
      <c r="H81" s="190">
        <v>5.4029999999999996</v>
      </c>
      <c r="I81" s="227">
        <v>2.0910000000000002</v>
      </c>
      <c r="J81" s="227">
        <v>0</v>
      </c>
      <c r="K81" s="224">
        <v>7</v>
      </c>
    </row>
    <row r="82" spans="1:11">
      <c r="D82" s="190"/>
      <c r="E82" s="190"/>
      <c r="F82" s="190"/>
      <c r="G82" s="190"/>
      <c r="H82" s="190"/>
      <c r="I82" s="190"/>
      <c r="J82" s="190"/>
    </row>
    <row r="83" spans="1:11">
      <c r="B83" s="208" t="s">
        <v>213</v>
      </c>
      <c r="D83" s="190">
        <v>40.792513876809842</v>
      </c>
      <c r="E83" s="190">
        <v>24.840410332082502</v>
      </c>
      <c r="F83" s="190">
        <v>19.2888971216349</v>
      </c>
      <c r="G83" s="190">
        <v>20.403713917141243</v>
      </c>
      <c r="H83" s="190"/>
      <c r="I83" s="190"/>
      <c r="J83" s="190"/>
    </row>
    <row r="84" spans="1:11">
      <c r="D84" s="228"/>
      <c r="E84" s="228"/>
      <c r="F84" s="228"/>
      <c r="G84" s="228"/>
      <c r="H84" s="228"/>
      <c r="I84" s="228"/>
      <c r="J84" s="228"/>
    </row>
    <row r="85" spans="1:11">
      <c r="A85" s="208"/>
    </row>
    <row r="86" spans="1:11">
      <c r="A86" s="208"/>
      <c r="B86" s="229"/>
    </row>
    <row r="87" spans="1:11">
      <c r="B87" s="208" t="s">
        <v>214</v>
      </c>
      <c r="D87" s="228"/>
      <c r="E87" s="228"/>
      <c r="F87" s="228"/>
      <c r="G87" s="228"/>
      <c r="H87" s="228"/>
      <c r="I87" s="228"/>
      <c r="J87" s="228"/>
    </row>
    <row r="88" spans="1:11">
      <c r="B88" s="230" t="s">
        <v>215</v>
      </c>
      <c r="D88" s="228"/>
      <c r="E88" s="228"/>
      <c r="F88" s="228"/>
      <c r="G88" s="228"/>
      <c r="H88" s="228"/>
      <c r="I88" s="228"/>
      <c r="J88" s="228"/>
    </row>
    <row r="89" spans="1:11">
      <c r="B89" s="208" t="s">
        <v>216</v>
      </c>
      <c r="D89" s="228"/>
      <c r="E89" s="228"/>
      <c r="F89" s="228"/>
      <c r="G89" s="228"/>
      <c r="H89" s="228"/>
      <c r="I89" s="228"/>
      <c r="J89" s="228"/>
    </row>
    <row r="90" spans="1:11">
      <c r="B90" s="208" t="s">
        <v>217</v>
      </c>
      <c r="D90" s="228"/>
      <c r="E90" s="228"/>
      <c r="F90" s="228"/>
      <c r="G90" s="228"/>
      <c r="H90" s="228"/>
      <c r="I90" s="228"/>
      <c r="J90" s="228"/>
    </row>
    <row r="91" spans="1:11">
      <c r="B91" s="208" t="s">
        <v>218</v>
      </c>
      <c r="D91" s="228"/>
      <c r="E91" s="228"/>
      <c r="F91" s="228"/>
      <c r="G91" s="228"/>
      <c r="H91" s="228"/>
      <c r="I91" s="228"/>
      <c r="J91" s="228"/>
    </row>
    <row r="92" spans="1:11">
      <c r="D92" s="228"/>
      <c r="E92" s="228"/>
      <c r="F92" s="228"/>
      <c r="G92" s="228"/>
      <c r="H92" s="228"/>
      <c r="I92" s="228"/>
      <c r="J92" s="228"/>
    </row>
    <row r="93" spans="1:11">
      <c r="B93" s="208" t="s">
        <v>219</v>
      </c>
      <c r="D93" s="228"/>
      <c r="E93" s="228"/>
      <c r="F93" s="228"/>
      <c r="G93" s="228"/>
      <c r="H93" s="228"/>
      <c r="I93" s="228"/>
      <c r="J93" s="228"/>
    </row>
    <row r="97" spans="1:10">
      <c r="B97" s="229" t="s">
        <v>263</v>
      </c>
    </row>
    <row r="101" spans="1:10">
      <c r="J101" s="210" t="s">
        <v>181</v>
      </c>
    </row>
    <row r="102" spans="1:10" s="210" customFormat="1">
      <c r="A102" s="126" t="s">
        <v>103</v>
      </c>
      <c r="C102" s="210" t="s">
        <v>6</v>
      </c>
      <c r="D102" s="210" t="s">
        <v>182</v>
      </c>
      <c r="E102" s="210" t="s">
        <v>183</v>
      </c>
      <c r="F102" s="210" t="s">
        <v>184</v>
      </c>
      <c r="G102" s="210" t="s">
        <v>10</v>
      </c>
      <c r="H102" s="210" t="s">
        <v>181</v>
      </c>
      <c r="I102" s="210" t="s">
        <v>181</v>
      </c>
      <c r="J102" s="211" t="s">
        <v>185</v>
      </c>
    </row>
    <row r="103" spans="1:10" s="210" customFormat="1">
      <c r="A103" s="126" t="s">
        <v>100</v>
      </c>
      <c r="B103" s="212"/>
      <c r="C103" s="212" t="s">
        <v>13</v>
      </c>
      <c r="D103" s="212" t="s">
        <v>202</v>
      </c>
      <c r="E103" s="212" t="s">
        <v>203</v>
      </c>
      <c r="F103" s="212" t="s">
        <v>204</v>
      </c>
      <c r="G103" s="212" t="s">
        <v>205</v>
      </c>
      <c r="H103" s="212" t="s">
        <v>190</v>
      </c>
      <c r="I103" s="212" t="s">
        <v>191</v>
      </c>
      <c r="J103" s="212" t="s">
        <v>192</v>
      </c>
    </row>
    <row r="104" spans="1:10" ht="12.75">
      <c r="B104" s="169" t="s">
        <v>149</v>
      </c>
      <c r="C104" s="231"/>
      <c r="D104" s="231"/>
      <c r="E104" s="231"/>
      <c r="F104" s="231"/>
      <c r="G104" s="231"/>
      <c r="H104" s="231"/>
      <c r="I104" s="231"/>
      <c r="J104" s="231"/>
    </row>
    <row r="105" spans="1:10">
      <c r="B105" s="208" t="s">
        <v>257</v>
      </c>
      <c r="C105" s="231"/>
      <c r="D105" s="231"/>
      <c r="E105" s="231"/>
      <c r="F105" s="231"/>
      <c r="G105" s="231"/>
      <c r="H105" s="231"/>
      <c r="I105" s="231"/>
      <c r="J105" s="231"/>
    </row>
    <row r="106" spans="1:10">
      <c r="B106" s="232" t="s">
        <v>142</v>
      </c>
      <c r="C106" s="233">
        <v>19033786.5</v>
      </c>
      <c r="D106" s="234">
        <v>18444202.5</v>
      </c>
      <c r="E106" s="234">
        <v>0</v>
      </c>
      <c r="F106" s="234">
        <v>0</v>
      </c>
      <c r="G106" s="234">
        <v>0</v>
      </c>
      <c r="H106" s="234">
        <v>264000</v>
      </c>
      <c r="I106" s="234">
        <v>9600</v>
      </c>
      <c r="J106" s="234">
        <v>315984</v>
      </c>
    </row>
    <row r="107" spans="1:10">
      <c r="B107" s="232" t="s">
        <v>207</v>
      </c>
      <c r="C107" s="235">
        <v>3621043.3026000001</v>
      </c>
      <c r="D107" s="214">
        <v>0</v>
      </c>
      <c r="E107" s="214">
        <v>3582690</v>
      </c>
      <c r="F107" s="214">
        <v>8655.84</v>
      </c>
      <c r="G107" s="214">
        <v>0</v>
      </c>
      <c r="H107" s="214">
        <v>29697.462599999999</v>
      </c>
      <c r="I107" s="214">
        <v>0</v>
      </c>
      <c r="J107" s="214">
        <v>0</v>
      </c>
    </row>
    <row r="108" spans="1:10">
      <c r="B108" s="232" t="s">
        <v>140</v>
      </c>
      <c r="C108" s="235">
        <v>30366991.509999998</v>
      </c>
      <c r="D108" s="214">
        <v>28691876.890000001</v>
      </c>
      <c r="E108" s="214">
        <v>0</v>
      </c>
      <c r="F108" s="214">
        <v>0</v>
      </c>
      <c r="G108" s="214">
        <v>59172</v>
      </c>
      <c r="H108" s="214">
        <v>823048.74</v>
      </c>
      <c r="I108" s="214">
        <v>686899.3</v>
      </c>
      <c r="J108" s="214">
        <v>105994.58</v>
      </c>
    </row>
    <row r="109" spans="1:10">
      <c r="B109" s="232" t="s">
        <v>139</v>
      </c>
      <c r="C109" s="235">
        <v>28484379.48</v>
      </c>
      <c r="D109" s="214">
        <v>21877926.260000002</v>
      </c>
      <c r="E109" s="214">
        <v>5525132.3099999996</v>
      </c>
      <c r="F109" s="214">
        <v>6272.88</v>
      </c>
      <c r="G109" s="214">
        <v>60361.64</v>
      </c>
      <c r="H109" s="214">
        <v>734012.03</v>
      </c>
      <c r="I109" s="214">
        <v>280674.36</v>
      </c>
      <c r="J109" s="214">
        <v>0</v>
      </c>
    </row>
    <row r="110" spans="1:10">
      <c r="B110" s="232" t="s">
        <v>138</v>
      </c>
      <c r="C110" s="235">
        <v>8851728.3499999996</v>
      </c>
      <c r="D110" s="214">
        <v>0</v>
      </c>
      <c r="E110" s="214">
        <v>7550341.1900000004</v>
      </c>
      <c r="F110" s="214">
        <v>86725.14</v>
      </c>
      <c r="G110" s="214">
        <v>63655.75</v>
      </c>
      <c r="H110" s="214">
        <v>1084778.44</v>
      </c>
      <c r="I110" s="214">
        <v>66227.83</v>
      </c>
      <c r="J110" s="214">
        <v>0</v>
      </c>
    </row>
    <row r="111" spans="1:10">
      <c r="B111" s="232" t="s">
        <v>137</v>
      </c>
      <c r="C111" s="235">
        <v>472948.14999999991</v>
      </c>
      <c r="D111" s="214">
        <v>0</v>
      </c>
      <c r="E111" s="214">
        <v>0</v>
      </c>
      <c r="F111" s="214">
        <v>116335.19</v>
      </c>
      <c r="G111" s="214">
        <v>17841.669999999998</v>
      </c>
      <c r="H111" s="214">
        <v>197452.21</v>
      </c>
      <c r="I111" s="214">
        <v>141319.07999999999</v>
      </c>
      <c r="J111" s="214">
        <v>0</v>
      </c>
    </row>
    <row r="112" spans="1:10">
      <c r="B112" s="232" t="s">
        <v>195</v>
      </c>
      <c r="C112" s="235">
        <v>322622.24</v>
      </c>
      <c r="D112" s="214">
        <v>0</v>
      </c>
      <c r="E112" s="214">
        <v>0</v>
      </c>
      <c r="F112" s="214">
        <v>106968.44</v>
      </c>
      <c r="G112" s="214">
        <v>0</v>
      </c>
      <c r="H112" s="214">
        <v>102624.1</v>
      </c>
      <c r="I112" s="214">
        <v>113029.7</v>
      </c>
      <c r="J112" s="214">
        <v>0</v>
      </c>
    </row>
    <row r="113" spans="1:10">
      <c r="B113" s="232" t="s">
        <v>220</v>
      </c>
      <c r="C113" s="235">
        <v>0</v>
      </c>
      <c r="D113" s="214"/>
      <c r="E113" s="214"/>
      <c r="F113" s="214"/>
      <c r="G113" s="214"/>
      <c r="H113" s="214"/>
      <c r="I113" s="214"/>
      <c r="J113" s="236">
        <v>0</v>
      </c>
    </row>
    <row r="114" spans="1:10">
      <c r="A114" s="208"/>
      <c r="C114" s="237"/>
      <c r="D114" s="237"/>
      <c r="E114" s="237"/>
      <c r="F114" s="237"/>
      <c r="G114" s="237"/>
      <c r="H114" s="238"/>
      <c r="I114" s="237"/>
      <c r="J114" s="238"/>
    </row>
    <row r="115" spans="1:10">
      <c r="B115" s="208" t="s">
        <v>129</v>
      </c>
      <c r="C115" s="239">
        <v>91153499.532600001</v>
      </c>
      <c r="D115" s="240">
        <v>69014005.650000006</v>
      </c>
      <c r="E115" s="240">
        <v>16658163.5</v>
      </c>
      <c r="F115" s="240">
        <v>324957.49</v>
      </c>
      <c r="G115" s="240">
        <v>201031.06</v>
      </c>
      <c r="H115" s="240">
        <v>3235612.9826000002</v>
      </c>
      <c r="I115" s="240">
        <v>1297750.27</v>
      </c>
      <c r="J115" s="240">
        <v>421978.58</v>
      </c>
    </row>
    <row r="116" spans="1:10">
      <c r="A116" s="208"/>
      <c r="B116" s="208" t="s">
        <v>201</v>
      </c>
      <c r="C116" s="241"/>
      <c r="D116" s="242"/>
      <c r="E116" s="242"/>
      <c r="F116" s="242"/>
      <c r="G116" s="242"/>
      <c r="H116" s="242"/>
      <c r="I116" s="242"/>
      <c r="J116" s="242"/>
    </row>
    <row r="117" spans="1:10">
      <c r="C117" s="233"/>
      <c r="D117" s="231"/>
      <c r="E117" s="231"/>
      <c r="F117" s="231"/>
      <c r="G117" s="231"/>
      <c r="H117" s="231"/>
      <c r="I117" s="231"/>
      <c r="J117" s="231"/>
    </row>
    <row r="118" spans="1:10">
      <c r="B118" s="208" t="s">
        <v>129</v>
      </c>
      <c r="C118" s="233">
        <v>91153499.532600001</v>
      </c>
      <c r="D118" s="231">
        <v>69014005.650000006</v>
      </c>
      <c r="E118" s="231">
        <v>16658163.5</v>
      </c>
      <c r="F118" s="231">
        <v>324957.49</v>
      </c>
      <c r="G118" s="231">
        <v>201031.06</v>
      </c>
      <c r="H118" s="231">
        <v>3235612.9826000002</v>
      </c>
      <c r="I118" s="231">
        <v>1297750.27</v>
      </c>
      <c r="J118" s="231">
        <v>421978.58</v>
      </c>
    </row>
    <row r="119" spans="1:10">
      <c r="B119" s="208" t="s">
        <v>128</v>
      </c>
      <c r="C119" s="243">
        <v>0</v>
      </c>
      <c r="D119" s="244">
        <v>0</v>
      </c>
      <c r="E119" s="244">
        <v>0</v>
      </c>
      <c r="F119" s="244">
        <v>0</v>
      </c>
      <c r="G119" s="244">
        <v>0</v>
      </c>
      <c r="H119" s="244">
        <v>0</v>
      </c>
      <c r="I119" s="244">
        <v>0</v>
      </c>
      <c r="J119" s="244">
        <v>0</v>
      </c>
    </row>
    <row r="120" spans="1:10">
      <c r="C120" s="245"/>
      <c r="D120" s="238"/>
      <c r="E120" s="238"/>
      <c r="F120" s="238"/>
      <c r="G120" s="238"/>
      <c r="H120" s="238"/>
      <c r="I120" s="238"/>
      <c r="J120" s="238"/>
    </row>
    <row r="121" spans="1:10">
      <c r="B121" s="125" t="s">
        <v>258</v>
      </c>
      <c r="C121" s="233">
        <v>91153499.532600001</v>
      </c>
      <c r="D121" s="231">
        <v>69014005.650000006</v>
      </c>
      <c r="E121" s="231">
        <v>16658163.5</v>
      </c>
      <c r="F121" s="231">
        <v>324957.49</v>
      </c>
      <c r="G121" s="231">
        <v>201031.06</v>
      </c>
      <c r="H121" s="231">
        <v>3235612.9826000002</v>
      </c>
      <c r="I121" s="231">
        <v>1297750.27</v>
      </c>
      <c r="J121" s="231">
        <v>421978.58</v>
      </c>
    </row>
    <row r="124" spans="1:10">
      <c r="B124" s="125" t="s">
        <v>127</v>
      </c>
      <c r="C124" s="231"/>
      <c r="D124" s="231"/>
      <c r="E124" s="231"/>
      <c r="F124" s="231"/>
      <c r="G124" s="231"/>
      <c r="H124" s="231"/>
      <c r="I124" s="231"/>
      <c r="J124" s="231"/>
    </row>
    <row r="125" spans="1:10">
      <c r="B125" s="246" t="s">
        <v>126</v>
      </c>
      <c r="C125" s="231"/>
      <c r="D125" s="231"/>
      <c r="E125" s="231"/>
      <c r="F125" s="231"/>
      <c r="G125" s="247"/>
      <c r="H125" s="247"/>
      <c r="I125" s="231"/>
      <c r="J125" s="231"/>
    </row>
    <row r="126" spans="1:10" s="219" customFormat="1">
      <c r="A126" s="248" t="s">
        <v>221</v>
      </c>
      <c r="B126" s="249" t="s">
        <v>222</v>
      </c>
      <c r="C126" s="250">
        <v>-2539340</v>
      </c>
      <c r="D126" s="251">
        <v>-1839341</v>
      </c>
      <c r="E126" s="251">
        <v>-547180</v>
      </c>
      <c r="F126" s="251">
        <v>-152819</v>
      </c>
      <c r="G126" s="252"/>
      <c r="H126" s="252"/>
    </row>
    <row r="127" spans="1:10" s="228" customFormat="1">
      <c r="A127" s="209" t="s">
        <v>223</v>
      </c>
      <c r="B127" s="253" t="s">
        <v>124</v>
      </c>
      <c r="C127" s="233"/>
      <c r="D127" s="228">
        <v>40.792513876809842</v>
      </c>
      <c r="E127" s="228">
        <v>24.840410332082502</v>
      </c>
      <c r="F127" s="228">
        <v>19.2888971216349</v>
      </c>
    </row>
    <row r="128" spans="1:10" s="231" customFormat="1">
      <c r="A128" s="209"/>
      <c r="B128" s="254" t="s">
        <v>123</v>
      </c>
      <c r="C128" s="255">
        <v>-915712.29</v>
      </c>
      <c r="D128" s="238">
        <v>-750313.43</v>
      </c>
      <c r="E128" s="238">
        <v>-135921.76</v>
      </c>
      <c r="F128" s="238">
        <v>-29477.1</v>
      </c>
      <c r="G128" s="238"/>
      <c r="H128" s="238"/>
      <c r="I128" s="238"/>
      <c r="J128" s="238"/>
    </row>
    <row r="129" spans="1:10" s="231" customFormat="1" hidden="1">
      <c r="A129" s="209"/>
      <c r="B129" s="254"/>
      <c r="C129" s="255"/>
    </row>
    <row r="130" spans="1:10" s="219" customFormat="1" hidden="1">
      <c r="A130" s="248" t="s">
        <v>224</v>
      </c>
      <c r="B130" s="249" t="s">
        <v>225</v>
      </c>
      <c r="C130" s="250">
        <v>0</v>
      </c>
      <c r="D130" s="256">
        <v>0</v>
      </c>
      <c r="E130" s="256">
        <v>0</v>
      </c>
      <c r="F130" s="257"/>
    </row>
    <row r="131" spans="1:10" s="228" customFormat="1" hidden="1">
      <c r="A131" s="209" t="s">
        <v>226</v>
      </c>
      <c r="B131" s="253" t="s">
        <v>118</v>
      </c>
      <c r="C131" s="255"/>
      <c r="D131" s="228">
        <v>36.722999999999999</v>
      </c>
      <c r="E131" s="228">
        <v>26.312354959053131</v>
      </c>
      <c r="F131" s="258"/>
    </row>
    <row r="132" spans="1:10" s="231" customFormat="1" hidden="1">
      <c r="A132" s="209"/>
      <c r="B132" s="254" t="s">
        <v>117</v>
      </c>
      <c r="C132" s="255">
        <v>0</v>
      </c>
      <c r="D132" s="238">
        <v>0</v>
      </c>
      <c r="E132" s="238">
        <v>0</v>
      </c>
      <c r="F132" s="238"/>
      <c r="G132" s="238"/>
      <c r="H132" s="238"/>
      <c r="I132" s="237"/>
      <c r="J132" s="238"/>
    </row>
    <row r="133" spans="1:10" s="231" customFormat="1">
      <c r="A133" s="209"/>
      <c r="B133" s="254"/>
      <c r="C133" s="255"/>
      <c r="I133" s="208"/>
    </row>
    <row r="134" spans="1:10" s="219" customFormat="1">
      <c r="A134" s="209"/>
      <c r="B134" s="249" t="s">
        <v>227</v>
      </c>
      <c r="C134" s="250">
        <v>-2539340</v>
      </c>
      <c r="D134" s="250">
        <v>-1839341</v>
      </c>
      <c r="E134" s="250">
        <v>-547180</v>
      </c>
      <c r="F134" s="244">
        <v>-152819</v>
      </c>
      <c r="G134" s="244"/>
      <c r="H134" s="244"/>
      <c r="I134" s="244"/>
      <c r="J134" s="244"/>
    </row>
    <row r="135" spans="1:10" s="231" customFormat="1">
      <c r="A135" s="209"/>
      <c r="B135" s="254" t="s">
        <v>121</v>
      </c>
      <c r="C135" s="255">
        <v>-915712.29</v>
      </c>
      <c r="D135" s="231">
        <v>-750313.43</v>
      </c>
      <c r="E135" s="231">
        <v>-135921.76</v>
      </c>
      <c r="F135" s="231">
        <v>-29477.1</v>
      </c>
    </row>
    <row r="136" spans="1:10">
      <c r="B136" s="246" t="s">
        <v>120</v>
      </c>
      <c r="C136" s="255"/>
      <c r="D136" s="231"/>
      <c r="E136" s="231"/>
      <c r="F136" s="231"/>
      <c r="G136" s="231"/>
      <c r="H136" s="231"/>
      <c r="I136" s="231"/>
      <c r="J136" s="231"/>
    </row>
    <row r="137" spans="1:10" s="219" customFormat="1">
      <c r="A137" s="248" t="s">
        <v>228</v>
      </c>
      <c r="B137" s="249" t="s">
        <v>225</v>
      </c>
      <c r="C137" s="250">
        <v>9164130</v>
      </c>
      <c r="D137" s="259">
        <v>6856979</v>
      </c>
      <c r="E137" s="259">
        <v>2239073</v>
      </c>
      <c r="F137" s="259">
        <v>68078</v>
      </c>
      <c r="G137" s="260"/>
      <c r="H137" s="244"/>
    </row>
    <row r="138" spans="1:10" s="228" customFormat="1">
      <c r="A138" s="209" t="s">
        <v>223</v>
      </c>
      <c r="B138" s="253" t="s">
        <v>118</v>
      </c>
      <c r="C138" s="255"/>
      <c r="D138" s="228">
        <v>41.832859958892833</v>
      </c>
      <c r="E138" s="228">
        <v>26.312354959053131</v>
      </c>
      <c r="F138" s="258">
        <v>17.284374370829603</v>
      </c>
    </row>
    <row r="139" spans="1:10" s="231" customFormat="1">
      <c r="A139" s="209"/>
      <c r="B139" s="254" t="s">
        <v>117</v>
      </c>
      <c r="C139" s="255">
        <v>3469390.1199999996</v>
      </c>
      <c r="D139" s="238">
        <v>2868470.42</v>
      </c>
      <c r="E139" s="238">
        <v>589152.84</v>
      </c>
      <c r="F139" s="238">
        <v>11766.86</v>
      </c>
      <c r="G139" s="238"/>
      <c r="H139" s="238"/>
      <c r="I139" s="238"/>
      <c r="J139" s="238"/>
    </row>
    <row r="140" spans="1:10" s="231" customFormat="1">
      <c r="A140" s="209"/>
      <c r="B140" s="254" t="s">
        <v>229</v>
      </c>
      <c r="C140" s="261"/>
      <c r="D140" s="262"/>
      <c r="E140" s="262"/>
      <c r="F140" s="262"/>
      <c r="G140" s="262"/>
      <c r="H140" s="262"/>
      <c r="I140" s="262"/>
      <c r="J140" s="262"/>
    </row>
    <row r="141" spans="1:10">
      <c r="C141" s="255"/>
      <c r="D141" s="231"/>
      <c r="E141" s="231"/>
      <c r="F141" s="231"/>
      <c r="G141" s="231"/>
      <c r="H141" s="231"/>
      <c r="I141" s="231"/>
      <c r="J141" s="231"/>
    </row>
    <row r="142" spans="1:10">
      <c r="B142" s="208" t="s">
        <v>116</v>
      </c>
      <c r="C142" s="255">
        <v>2553677.8299999996</v>
      </c>
      <c r="D142" s="231">
        <v>2118156.9899999998</v>
      </c>
      <c r="E142" s="231">
        <v>453231.07999999996</v>
      </c>
      <c r="F142" s="231">
        <v>-17710.239999999998</v>
      </c>
      <c r="G142" s="231">
        <v>0</v>
      </c>
      <c r="H142" s="231">
        <v>0</v>
      </c>
      <c r="I142" s="231">
        <v>0</v>
      </c>
      <c r="J142" s="231">
        <v>0</v>
      </c>
    </row>
    <row r="143" spans="1:10">
      <c r="B143" s="208" t="s">
        <v>258</v>
      </c>
      <c r="C143" s="241">
        <v>91153499.532600001</v>
      </c>
      <c r="D143" s="242">
        <v>69014005.650000006</v>
      </c>
      <c r="E143" s="242">
        <v>16658163.5</v>
      </c>
      <c r="F143" s="242">
        <v>324957.49</v>
      </c>
      <c r="G143" s="242">
        <v>201031.06</v>
      </c>
      <c r="H143" s="242">
        <v>3235612.9826000002</v>
      </c>
      <c r="I143" s="242">
        <v>1297750.27</v>
      </c>
      <c r="J143" s="242">
        <v>421978.58</v>
      </c>
    </row>
    <row r="144" spans="1:10">
      <c r="C144" s="233"/>
      <c r="D144" s="231"/>
      <c r="E144" s="231"/>
      <c r="F144" s="231"/>
      <c r="G144" s="231"/>
      <c r="H144" s="231"/>
      <c r="I144" s="231"/>
      <c r="J144" s="231"/>
    </row>
    <row r="145" spans="1:10">
      <c r="B145" s="208" t="s">
        <v>114</v>
      </c>
      <c r="C145" s="233">
        <v>93707177.362599999</v>
      </c>
      <c r="D145" s="231">
        <v>71132162.640000001</v>
      </c>
      <c r="E145" s="231">
        <v>17111394.579999998</v>
      </c>
      <c r="F145" s="231">
        <v>307247.25</v>
      </c>
      <c r="G145" s="231">
        <v>201031.06</v>
      </c>
      <c r="H145" s="231">
        <v>3235612.9826000002</v>
      </c>
      <c r="I145" s="231">
        <v>1297750.27</v>
      </c>
      <c r="J145" s="231">
        <v>421978.58</v>
      </c>
    </row>
    <row r="146" spans="1:10">
      <c r="C146" s="233"/>
      <c r="D146" s="231"/>
      <c r="E146" s="231"/>
      <c r="F146" s="231"/>
      <c r="G146" s="231"/>
      <c r="H146" s="231"/>
      <c r="I146" s="231"/>
      <c r="J146" s="231"/>
    </row>
    <row r="147" spans="1:10">
      <c r="C147" s="233"/>
      <c r="D147" s="231"/>
      <c r="E147" s="231"/>
      <c r="F147" s="231"/>
      <c r="G147" s="231"/>
      <c r="H147" s="231"/>
      <c r="I147" s="231"/>
      <c r="J147" s="231"/>
    </row>
    <row r="148" spans="1:10" s="210" customFormat="1">
      <c r="A148" s="209"/>
      <c r="C148" s="231"/>
      <c r="D148" s="231"/>
      <c r="E148" s="231"/>
      <c r="F148" s="231"/>
      <c r="G148" s="231"/>
      <c r="H148" s="231"/>
      <c r="I148" s="231"/>
      <c r="J148" s="231"/>
    </row>
    <row r="149" spans="1:10" s="210" customFormat="1">
      <c r="A149" s="209"/>
      <c r="C149" s="231"/>
      <c r="D149" s="231"/>
      <c r="E149" s="231"/>
      <c r="F149" s="231"/>
      <c r="G149" s="231"/>
      <c r="H149" s="231"/>
      <c r="I149" s="231"/>
    </row>
    <row r="150" spans="1:10" s="210" customFormat="1">
      <c r="A150" s="209"/>
      <c r="C150" s="231"/>
      <c r="D150" s="231"/>
      <c r="E150" s="231"/>
      <c r="F150" s="231"/>
      <c r="G150" s="231"/>
      <c r="H150" s="231"/>
      <c r="I150" s="231"/>
      <c r="J150" s="210" t="s">
        <v>181</v>
      </c>
    </row>
    <row r="151" spans="1:10" s="210" customFormat="1">
      <c r="A151" s="126" t="s">
        <v>103</v>
      </c>
      <c r="C151" s="210" t="s">
        <v>6</v>
      </c>
      <c r="D151" s="210" t="s">
        <v>182</v>
      </c>
      <c r="E151" s="210" t="s">
        <v>183</v>
      </c>
      <c r="F151" s="210" t="s">
        <v>184</v>
      </c>
      <c r="G151" s="210" t="s">
        <v>10</v>
      </c>
      <c r="H151" s="210" t="s">
        <v>181</v>
      </c>
      <c r="I151" s="210" t="s">
        <v>181</v>
      </c>
      <c r="J151" s="211" t="s">
        <v>185</v>
      </c>
    </row>
    <row r="152" spans="1:10" s="210" customFormat="1">
      <c r="A152" s="126" t="s">
        <v>100</v>
      </c>
      <c r="B152" s="212"/>
      <c r="C152" s="212" t="s">
        <v>13</v>
      </c>
      <c r="D152" s="212" t="s">
        <v>202</v>
      </c>
      <c r="E152" s="212" t="s">
        <v>203</v>
      </c>
      <c r="F152" s="212" t="s">
        <v>204</v>
      </c>
      <c r="G152" s="212" t="s">
        <v>205</v>
      </c>
      <c r="H152" s="212" t="s">
        <v>190</v>
      </c>
      <c r="I152" s="212" t="s">
        <v>191</v>
      </c>
      <c r="J152" s="212" t="s">
        <v>192</v>
      </c>
    </row>
    <row r="153" spans="1:10" ht="12.75">
      <c r="B153" s="169" t="s">
        <v>143</v>
      </c>
      <c r="C153" s="231"/>
      <c r="D153" s="231"/>
      <c r="E153" s="231"/>
      <c r="F153" s="231"/>
      <c r="G153" s="231"/>
      <c r="H153" s="231"/>
      <c r="I153" s="231"/>
      <c r="J153" s="231"/>
    </row>
    <row r="154" spans="1:10">
      <c r="B154" s="208" t="s">
        <v>257</v>
      </c>
      <c r="C154" s="231"/>
      <c r="D154" s="231"/>
      <c r="E154" s="231"/>
      <c r="F154" s="231"/>
      <c r="G154" s="231"/>
      <c r="H154" s="231"/>
      <c r="I154" s="231"/>
      <c r="J154" s="231"/>
    </row>
    <row r="155" spans="1:10">
      <c r="B155" s="232" t="s">
        <v>142</v>
      </c>
      <c r="C155" s="233">
        <v>19033786.5</v>
      </c>
      <c r="D155" s="234">
        <v>18444202.5</v>
      </c>
      <c r="E155" s="234">
        <v>0</v>
      </c>
      <c r="F155" s="234">
        <v>0</v>
      </c>
      <c r="G155" s="234">
        <v>0</v>
      </c>
      <c r="H155" s="234">
        <v>264000</v>
      </c>
      <c r="I155" s="234">
        <v>9600</v>
      </c>
      <c r="J155" s="234">
        <v>315984</v>
      </c>
    </row>
    <row r="156" spans="1:10">
      <c r="B156" s="232" t="s">
        <v>207</v>
      </c>
      <c r="C156" s="235">
        <v>3621043.3026000001</v>
      </c>
      <c r="D156" s="214">
        <v>0</v>
      </c>
      <c r="E156" s="214">
        <v>3582690</v>
      </c>
      <c r="F156" s="214">
        <v>8655.84</v>
      </c>
      <c r="G156" s="214">
        <v>0</v>
      </c>
      <c r="H156" s="214">
        <v>29697.462599999999</v>
      </c>
      <c r="I156" s="214">
        <v>0</v>
      </c>
      <c r="J156" s="214">
        <v>0</v>
      </c>
    </row>
    <row r="157" spans="1:10">
      <c r="B157" s="232" t="s">
        <v>140</v>
      </c>
      <c r="C157" s="235">
        <v>30366991.509999998</v>
      </c>
      <c r="D157" s="214">
        <v>28691876.890000001</v>
      </c>
      <c r="E157" s="214">
        <v>0</v>
      </c>
      <c r="F157" s="214">
        <v>0</v>
      </c>
      <c r="G157" s="214">
        <v>59172</v>
      </c>
      <c r="H157" s="214">
        <v>823048.74</v>
      </c>
      <c r="I157" s="214">
        <v>686899.3</v>
      </c>
      <c r="J157" s="214">
        <v>105994.58</v>
      </c>
    </row>
    <row r="158" spans="1:10">
      <c r="B158" s="232" t="s">
        <v>139</v>
      </c>
      <c r="C158" s="235">
        <v>28484379.48</v>
      </c>
      <c r="D158" s="214">
        <v>21877926.260000002</v>
      </c>
      <c r="E158" s="214">
        <v>5525132.3099999996</v>
      </c>
      <c r="F158" s="214">
        <v>6272.88</v>
      </c>
      <c r="G158" s="214">
        <v>60361.64</v>
      </c>
      <c r="H158" s="214">
        <v>734012.03</v>
      </c>
      <c r="I158" s="214">
        <v>280674.36</v>
      </c>
      <c r="J158" s="214">
        <v>0</v>
      </c>
    </row>
    <row r="159" spans="1:10">
      <c r="B159" s="232" t="s">
        <v>138</v>
      </c>
      <c r="C159" s="235">
        <v>8851728.3499999996</v>
      </c>
      <c r="D159" s="214">
        <v>0</v>
      </c>
      <c r="E159" s="214">
        <v>7550341.1900000004</v>
      </c>
      <c r="F159" s="214">
        <v>86725.14</v>
      </c>
      <c r="G159" s="214">
        <v>63655.75</v>
      </c>
      <c r="H159" s="214">
        <v>1084778.44</v>
      </c>
      <c r="I159" s="214">
        <v>66227.83</v>
      </c>
      <c r="J159" s="214">
        <v>0</v>
      </c>
    </row>
    <row r="160" spans="1:10">
      <c r="B160" s="232" t="s">
        <v>137</v>
      </c>
      <c r="C160" s="235">
        <v>472948.14999999991</v>
      </c>
      <c r="D160" s="214">
        <v>0</v>
      </c>
      <c r="E160" s="214">
        <v>0</v>
      </c>
      <c r="F160" s="214">
        <v>116335.19</v>
      </c>
      <c r="G160" s="214">
        <v>17841.669999999998</v>
      </c>
      <c r="H160" s="214">
        <v>197452.21</v>
      </c>
      <c r="I160" s="214">
        <v>141319.07999999999</v>
      </c>
      <c r="J160" s="214">
        <v>0</v>
      </c>
    </row>
    <row r="161" spans="1:10">
      <c r="B161" s="232" t="s">
        <v>195</v>
      </c>
      <c r="C161" s="235">
        <v>322622.24</v>
      </c>
      <c r="D161" s="214">
        <v>0</v>
      </c>
      <c r="E161" s="214">
        <v>0</v>
      </c>
      <c r="F161" s="214">
        <v>106968.44</v>
      </c>
      <c r="G161" s="214">
        <v>0</v>
      </c>
      <c r="H161" s="214">
        <v>102624.1</v>
      </c>
      <c r="I161" s="214">
        <v>113029.7</v>
      </c>
      <c r="J161" s="214">
        <v>0</v>
      </c>
    </row>
    <row r="162" spans="1:10">
      <c r="B162" s="232" t="s">
        <v>220</v>
      </c>
      <c r="C162" s="235">
        <v>0</v>
      </c>
      <c r="D162" s="214"/>
      <c r="E162" s="214"/>
      <c r="F162" s="214"/>
      <c r="G162" s="214"/>
      <c r="H162" s="214"/>
      <c r="I162" s="214"/>
      <c r="J162" s="236">
        <v>0</v>
      </c>
    </row>
    <row r="163" spans="1:10">
      <c r="A163" s="208"/>
      <c r="C163" s="245"/>
      <c r="D163" s="237"/>
      <c r="E163" s="237"/>
      <c r="F163" s="237"/>
      <c r="G163" s="237"/>
      <c r="H163" s="237"/>
      <c r="I163" s="237"/>
      <c r="J163" s="237"/>
    </row>
    <row r="164" spans="1:10">
      <c r="B164" s="208" t="s">
        <v>129</v>
      </c>
      <c r="C164" s="233">
        <v>91153499.532600001</v>
      </c>
      <c r="D164" s="231">
        <v>69014005.650000006</v>
      </c>
      <c r="E164" s="231">
        <v>16658163.5</v>
      </c>
      <c r="F164" s="231">
        <v>324957.49</v>
      </c>
      <c r="G164" s="231">
        <v>201031.06</v>
      </c>
      <c r="H164" s="231">
        <v>3235612.9826000002</v>
      </c>
      <c r="I164" s="231">
        <v>1297750.27</v>
      </c>
      <c r="J164" s="231">
        <v>421978.58</v>
      </c>
    </row>
    <row r="165" spans="1:10">
      <c r="A165" s="208"/>
      <c r="B165" s="208" t="s">
        <v>201</v>
      </c>
      <c r="C165" s="241"/>
      <c r="D165" s="242"/>
      <c r="E165" s="242"/>
      <c r="F165" s="242"/>
      <c r="G165" s="242"/>
      <c r="H165" s="242"/>
      <c r="I165" s="242"/>
      <c r="J165" s="242"/>
    </row>
    <row r="166" spans="1:10">
      <c r="C166" s="233"/>
      <c r="D166" s="231"/>
      <c r="E166" s="231"/>
      <c r="F166" s="231"/>
      <c r="G166" s="231"/>
      <c r="H166" s="231"/>
      <c r="I166" s="231"/>
      <c r="J166" s="231"/>
    </row>
    <row r="167" spans="1:10">
      <c r="B167" s="208" t="s">
        <v>129</v>
      </c>
      <c r="C167" s="233">
        <v>91153499.532600001</v>
      </c>
      <c r="D167" s="231">
        <v>69014005.650000006</v>
      </c>
      <c r="E167" s="231">
        <v>16658163.5</v>
      </c>
      <c r="F167" s="231">
        <v>324957.49</v>
      </c>
      <c r="G167" s="231">
        <v>201031.06</v>
      </c>
      <c r="H167" s="231">
        <v>3235612.9826000002</v>
      </c>
      <c r="I167" s="231">
        <v>1297750.27</v>
      </c>
      <c r="J167" s="231">
        <v>421978.58</v>
      </c>
    </row>
    <row r="168" spans="1:10">
      <c r="B168" s="208" t="s">
        <v>128</v>
      </c>
      <c r="C168" s="241">
        <v>0</v>
      </c>
      <c r="D168" s="242">
        <v>0</v>
      </c>
      <c r="E168" s="242">
        <v>0</v>
      </c>
      <c r="F168" s="242">
        <v>0</v>
      </c>
      <c r="G168" s="242">
        <v>0</v>
      </c>
      <c r="H168" s="242">
        <v>0</v>
      </c>
      <c r="I168" s="242">
        <v>0</v>
      </c>
      <c r="J168" s="242">
        <v>0</v>
      </c>
    </row>
    <row r="169" spans="1:10">
      <c r="C169" s="233"/>
      <c r="D169" s="231"/>
      <c r="E169" s="231"/>
      <c r="F169" s="231"/>
      <c r="G169" s="231"/>
      <c r="H169" s="231"/>
      <c r="I169" s="231"/>
      <c r="J169" s="231"/>
    </row>
    <row r="170" spans="1:10">
      <c r="B170" s="208" t="s">
        <v>258</v>
      </c>
      <c r="C170" s="233">
        <v>91153499.532600001</v>
      </c>
      <c r="D170" s="231">
        <v>69014005.650000006</v>
      </c>
      <c r="E170" s="231">
        <v>16658163.5</v>
      </c>
      <c r="F170" s="231">
        <v>324957.49</v>
      </c>
      <c r="G170" s="231">
        <v>201031.06</v>
      </c>
      <c r="H170" s="231">
        <v>3235612.9826000002</v>
      </c>
      <c r="I170" s="283">
        <f>1297750.27+J170</f>
        <v>1719728.85</v>
      </c>
      <c r="J170" s="231">
        <v>421978.58</v>
      </c>
    </row>
    <row r="171" spans="1:10">
      <c r="C171" s="233"/>
      <c r="D171" s="231"/>
      <c r="E171" s="231"/>
      <c r="F171" s="231"/>
      <c r="G171" s="231"/>
      <c r="H171" s="231"/>
      <c r="I171" s="231"/>
      <c r="J171" s="231"/>
    </row>
    <row r="172" spans="1:10">
      <c r="B172" s="125" t="s">
        <v>127</v>
      </c>
      <c r="C172" s="231"/>
      <c r="D172" s="231"/>
      <c r="E172" s="231"/>
      <c r="F172" s="231"/>
      <c r="G172" s="231"/>
      <c r="H172" s="231"/>
      <c r="I172" s="231"/>
      <c r="J172" s="231"/>
    </row>
    <row r="173" spans="1:10">
      <c r="B173" s="246" t="s">
        <v>126</v>
      </c>
      <c r="C173" s="244"/>
      <c r="D173" s="244"/>
      <c r="E173" s="244"/>
      <c r="F173" s="244"/>
      <c r="G173" s="231"/>
      <c r="H173" s="231"/>
      <c r="I173" s="231"/>
      <c r="J173" s="231"/>
    </row>
    <row r="174" spans="1:10" s="219" customFormat="1">
      <c r="B174" s="249" t="s">
        <v>230</v>
      </c>
      <c r="C174" s="244">
        <v>-2539340</v>
      </c>
      <c r="D174" s="244">
        <v>-1839341</v>
      </c>
      <c r="E174" s="244">
        <v>-547180</v>
      </c>
      <c r="F174" s="244">
        <v>-152819</v>
      </c>
      <c r="I174" s="208"/>
    </row>
    <row r="175" spans="1:10" s="228" customFormat="1">
      <c r="A175" s="209" t="s">
        <v>223</v>
      </c>
      <c r="B175" s="253" t="s">
        <v>231</v>
      </c>
      <c r="D175" s="263">
        <v>40.792513876809842</v>
      </c>
      <c r="E175" s="263">
        <v>24.840410332082502</v>
      </c>
      <c r="F175" s="263">
        <v>19.2888971216349</v>
      </c>
      <c r="G175" s="263"/>
      <c r="H175" s="263"/>
      <c r="I175" s="213"/>
      <c r="J175" s="264"/>
    </row>
    <row r="176" spans="1:10" s="231" customFormat="1">
      <c r="A176" s="209"/>
      <c r="B176" s="254" t="s">
        <v>232</v>
      </c>
      <c r="C176" s="231">
        <v>-915712.29</v>
      </c>
      <c r="D176" s="231">
        <v>-750313.43</v>
      </c>
      <c r="E176" s="231">
        <v>-135921.76</v>
      </c>
      <c r="F176" s="231">
        <v>-29477.1</v>
      </c>
      <c r="I176" s="208"/>
    </row>
    <row r="177" spans="1:10" s="231" customFormat="1">
      <c r="A177" s="209"/>
      <c r="B177" s="254"/>
      <c r="I177" s="208"/>
    </row>
    <row r="178" spans="1:10" s="219" customFormat="1" hidden="1">
      <c r="A178" s="209"/>
      <c r="B178" s="249" t="s">
        <v>225</v>
      </c>
      <c r="C178" s="244">
        <v>0</v>
      </c>
      <c r="D178" s="244">
        <v>0</v>
      </c>
      <c r="E178" s="244">
        <v>0</v>
      </c>
      <c r="F178" s="244">
        <v>0</v>
      </c>
      <c r="I178" s="208"/>
    </row>
    <row r="179" spans="1:10" s="228" customFormat="1" hidden="1">
      <c r="A179" s="209" t="s">
        <v>226</v>
      </c>
      <c r="B179" s="253" t="s">
        <v>118</v>
      </c>
      <c r="D179" s="263">
        <v>36.722999999999999</v>
      </c>
      <c r="E179" s="263">
        <v>26.312354959053131</v>
      </c>
      <c r="F179" s="263">
        <v>19.2888971216349</v>
      </c>
      <c r="G179" s="263"/>
      <c r="H179" s="263"/>
      <c r="I179" s="213"/>
      <c r="J179" s="263"/>
    </row>
    <row r="180" spans="1:10" s="231" customFormat="1" hidden="1">
      <c r="A180" s="209"/>
      <c r="B180" s="254" t="s">
        <v>117</v>
      </c>
      <c r="C180" s="231">
        <v>0</v>
      </c>
      <c r="D180" s="231">
        <v>0</v>
      </c>
      <c r="E180" s="231">
        <v>0</v>
      </c>
      <c r="F180" s="231">
        <v>0</v>
      </c>
      <c r="I180" s="208"/>
    </row>
    <row r="181" spans="1:10" s="231" customFormat="1" hidden="1">
      <c r="A181" s="209"/>
      <c r="B181" s="254"/>
      <c r="I181" s="208"/>
    </row>
    <row r="182" spans="1:10" s="219" customFormat="1">
      <c r="A182" s="209"/>
      <c r="B182" s="249" t="s">
        <v>227</v>
      </c>
      <c r="C182" s="244">
        <v>-2539340</v>
      </c>
      <c r="D182" s="244">
        <v>-1839341</v>
      </c>
      <c r="E182" s="244">
        <v>-547180</v>
      </c>
      <c r="F182" s="244">
        <v>-152819</v>
      </c>
      <c r="I182" s="208"/>
    </row>
    <row r="183" spans="1:10" s="231" customFormat="1">
      <c r="A183" s="209"/>
      <c r="B183" s="254" t="s">
        <v>121</v>
      </c>
      <c r="C183" s="231">
        <v>-915712.29</v>
      </c>
      <c r="D183" s="231">
        <v>-750313.43</v>
      </c>
      <c r="E183" s="231">
        <v>-135921.76</v>
      </c>
      <c r="F183" s="231">
        <v>-29477.1</v>
      </c>
      <c r="I183" s="208"/>
    </row>
    <row r="184" spans="1:10">
      <c r="B184" s="246" t="s">
        <v>120</v>
      </c>
      <c r="C184" s="231"/>
      <c r="D184" s="231"/>
      <c r="E184" s="231"/>
      <c r="F184" s="231"/>
      <c r="G184" s="231"/>
      <c r="H184" s="231"/>
      <c r="J184" s="231"/>
    </row>
    <row r="185" spans="1:10" s="219" customFormat="1">
      <c r="A185" s="209"/>
      <c r="B185" s="249" t="s">
        <v>225</v>
      </c>
      <c r="C185" s="244">
        <v>9164130</v>
      </c>
      <c r="D185" s="244">
        <v>6856979</v>
      </c>
      <c r="E185" s="244">
        <v>2239073</v>
      </c>
      <c r="F185" s="244">
        <v>68078</v>
      </c>
      <c r="I185" s="208"/>
    </row>
    <row r="186" spans="1:10" s="228" customFormat="1">
      <c r="A186" s="209" t="s">
        <v>223</v>
      </c>
      <c r="B186" s="253" t="s">
        <v>118</v>
      </c>
      <c r="C186" s="240"/>
      <c r="D186" s="263">
        <v>41.832859958892833</v>
      </c>
      <c r="E186" s="263">
        <v>26.312354959053131</v>
      </c>
      <c r="F186" s="263">
        <v>17.284374370829603</v>
      </c>
      <c r="G186" s="263"/>
      <c r="H186" s="263"/>
      <c r="I186" s="213"/>
      <c r="J186" s="263"/>
    </row>
    <row r="187" spans="1:10" s="231" customFormat="1">
      <c r="A187" s="209"/>
      <c r="B187" s="254" t="s">
        <v>117</v>
      </c>
      <c r="C187" s="231">
        <v>3469390.1199999996</v>
      </c>
      <c r="D187" s="231">
        <v>2868470.42</v>
      </c>
      <c r="E187" s="231">
        <v>589152.84</v>
      </c>
      <c r="F187" s="231">
        <v>11766.86</v>
      </c>
    </row>
    <row r="188" spans="1:10" s="231" customFormat="1">
      <c r="A188" s="209"/>
      <c r="B188" s="254" t="s">
        <v>229</v>
      </c>
      <c r="C188" s="262"/>
      <c r="D188" s="262"/>
      <c r="E188" s="262"/>
      <c r="F188" s="262"/>
      <c r="G188" s="262"/>
      <c r="H188" s="262"/>
      <c r="I188" s="262"/>
      <c r="J188" s="262"/>
    </row>
    <row r="189" spans="1:10">
      <c r="C189" s="231"/>
      <c r="D189" s="231"/>
      <c r="E189" s="231"/>
      <c r="F189" s="231"/>
      <c r="G189" s="231"/>
      <c r="H189" s="231"/>
      <c r="I189" s="231"/>
      <c r="J189" s="231"/>
    </row>
    <row r="190" spans="1:10">
      <c r="B190" s="208" t="s">
        <v>116</v>
      </c>
      <c r="C190" s="231">
        <v>2553677.8299999996</v>
      </c>
      <c r="D190" s="231">
        <v>2118156.9899999998</v>
      </c>
      <c r="E190" s="231">
        <v>453231.07999999996</v>
      </c>
      <c r="F190" s="231">
        <v>-17710.239999999998</v>
      </c>
      <c r="G190" s="231">
        <v>0</v>
      </c>
      <c r="H190" s="231">
        <v>0</v>
      </c>
      <c r="I190" s="231">
        <v>0</v>
      </c>
      <c r="J190" s="231">
        <v>0</v>
      </c>
    </row>
    <row r="191" spans="1:10">
      <c r="B191" s="208" t="s">
        <v>258</v>
      </c>
      <c r="C191" s="242">
        <v>91153499.532600001</v>
      </c>
      <c r="D191" s="242">
        <v>69014005.650000006</v>
      </c>
      <c r="E191" s="242">
        <v>16658163.5</v>
      </c>
      <c r="F191" s="242">
        <v>324957.49</v>
      </c>
      <c r="G191" s="242">
        <v>201031.06</v>
      </c>
      <c r="H191" s="242">
        <v>3235612.9826000002</v>
      </c>
      <c r="I191" s="242">
        <v>1297750.27</v>
      </c>
      <c r="J191" s="242">
        <v>421978.58</v>
      </c>
    </row>
    <row r="192" spans="1:10">
      <c r="B192" s="208" t="s">
        <v>115</v>
      </c>
      <c r="C192" s="231">
        <v>93707177.362599999</v>
      </c>
      <c r="D192" s="231">
        <v>71132162.640000001</v>
      </c>
      <c r="E192" s="231">
        <v>17111394.579999998</v>
      </c>
      <c r="F192" s="231">
        <v>307247.25</v>
      </c>
      <c r="G192" s="231">
        <v>201031.06</v>
      </c>
      <c r="H192" s="231">
        <v>3235612.9826000002</v>
      </c>
      <c r="I192" s="231">
        <v>1297750.27</v>
      </c>
      <c r="J192" s="231">
        <v>421978.58</v>
      </c>
    </row>
    <row r="193" spans="1:11">
      <c r="B193" s="208" t="s">
        <v>114</v>
      </c>
      <c r="C193" s="262">
        <v>93707177.362599999</v>
      </c>
      <c r="D193" s="262">
        <v>71132162.640000001</v>
      </c>
      <c r="E193" s="262">
        <v>17111394.579999998</v>
      </c>
      <c r="F193" s="262">
        <v>307247.25</v>
      </c>
      <c r="G193" s="262">
        <v>201031.06</v>
      </c>
      <c r="H193" s="262">
        <v>3235612.9826000002</v>
      </c>
      <c r="I193" s="262">
        <v>1297750.27</v>
      </c>
      <c r="J193" s="262">
        <v>421978.58</v>
      </c>
    </row>
    <row r="195" spans="1:11" s="229" customFormat="1">
      <c r="A195" s="265"/>
      <c r="B195" s="229" t="s">
        <v>233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</row>
    <row r="196" spans="1:11" s="229" customFormat="1">
      <c r="A196" s="265"/>
      <c r="B196" s="229" t="s">
        <v>112</v>
      </c>
      <c r="C196" s="267">
        <v>0</v>
      </c>
      <c r="D196" s="267">
        <v>0</v>
      </c>
      <c r="E196" s="267">
        <v>0</v>
      </c>
      <c r="F196" s="267">
        <v>0</v>
      </c>
      <c r="G196" s="267">
        <v>0</v>
      </c>
      <c r="H196" s="267">
        <v>0</v>
      </c>
      <c r="I196" s="267">
        <v>0</v>
      </c>
      <c r="J196" s="267">
        <v>0</v>
      </c>
    </row>
    <row r="197" spans="1:11" s="210" customFormat="1">
      <c r="A197" s="209"/>
      <c r="C197" s="268"/>
      <c r="D197" s="268"/>
      <c r="E197" s="269"/>
      <c r="F197" s="269"/>
      <c r="G197" s="269"/>
      <c r="H197" s="269"/>
      <c r="I197" s="269"/>
      <c r="J197" s="269"/>
    </row>
    <row r="198" spans="1:11" s="210" customFormat="1">
      <c r="A198" s="209"/>
      <c r="C198" s="268"/>
      <c r="D198" s="268"/>
      <c r="E198" s="268"/>
      <c r="F198" s="268"/>
      <c r="G198" s="268"/>
      <c r="H198" s="268"/>
      <c r="I198" s="268"/>
      <c r="J198" s="268"/>
    </row>
    <row r="199" spans="1:11" s="210" customFormat="1">
      <c r="A199" s="209"/>
      <c r="C199" s="268"/>
      <c r="D199" s="268"/>
      <c r="E199" s="268"/>
      <c r="F199" s="268"/>
      <c r="G199" s="268"/>
      <c r="H199" s="268"/>
      <c r="I199" s="268"/>
      <c r="J199" s="268"/>
    </row>
    <row r="200" spans="1:11" s="210" customFormat="1">
      <c r="A200" s="126" t="s">
        <v>103</v>
      </c>
      <c r="C200" s="210" t="s">
        <v>6</v>
      </c>
      <c r="D200" s="210" t="s">
        <v>13</v>
      </c>
      <c r="E200" s="210" t="s">
        <v>13</v>
      </c>
      <c r="F200" s="210" t="s">
        <v>234</v>
      </c>
      <c r="G200" s="210" t="s">
        <v>234</v>
      </c>
      <c r="H200" s="210" t="s">
        <v>101</v>
      </c>
      <c r="I200" s="210" t="s">
        <v>101</v>
      </c>
    </row>
    <row r="201" spans="1:11" s="210" customFormat="1">
      <c r="A201" s="126" t="s">
        <v>100</v>
      </c>
      <c r="C201" s="212" t="s">
        <v>99</v>
      </c>
      <c r="D201" s="212" t="s">
        <v>193</v>
      </c>
      <c r="E201" s="212" t="s">
        <v>97</v>
      </c>
      <c r="F201" s="212" t="s">
        <v>235</v>
      </c>
      <c r="G201" s="212" t="s">
        <v>97</v>
      </c>
      <c r="H201" s="212" t="s">
        <v>193</v>
      </c>
      <c r="I201" s="212" t="s">
        <v>97</v>
      </c>
    </row>
    <row r="202" spans="1:11">
      <c r="B202" s="270" t="s">
        <v>236</v>
      </c>
    </row>
    <row r="203" spans="1:11">
      <c r="B203" s="208" t="s">
        <v>202</v>
      </c>
    </row>
    <row r="204" spans="1:11">
      <c r="B204" s="232" t="s">
        <v>237</v>
      </c>
      <c r="C204" s="228">
        <v>36.722999999999999</v>
      </c>
      <c r="D204" s="219">
        <v>78130536.427342966</v>
      </c>
      <c r="E204" s="231">
        <v>28691876.892213158</v>
      </c>
      <c r="F204" s="128">
        <v>25239435</v>
      </c>
      <c r="G204" s="231">
        <v>9268677.7150500007</v>
      </c>
      <c r="H204" s="219">
        <v>52891101.427342966</v>
      </c>
      <c r="I204" s="231">
        <v>19423199.177163158</v>
      </c>
      <c r="K204" s="271">
        <f>H204/H207</f>
        <v>0.53572051981711521</v>
      </c>
    </row>
    <row r="205" spans="1:11">
      <c r="B205" s="232" t="s">
        <v>238</v>
      </c>
      <c r="C205" s="228">
        <v>47.728999999999999</v>
      </c>
      <c r="D205" s="219">
        <v>45837805.662867025</v>
      </c>
      <c r="E205" s="240">
        <v>21877926.264829803</v>
      </c>
      <c r="F205" s="181">
        <v>0</v>
      </c>
      <c r="G205" s="240">
        <v>0</v>
      </c>
      <c r="H205" s="219">
        <v>45837805.662867025</v>
      </c>
      <c r="I205" s="231">
        <v>21877926.264829803</v>
      </c>
      <c r="K205" s="271">
        <f>H205/H207</f>
        <v>0.46427948018288479</v>
      </c>
    </row>
    <row r="206" spans="1:11">
      <c r="D206" s="237"/>
      <c r="E206" s="237"/>
      <c r="F206" s="237"/>
      <c r="G206" s="237"/>
      <c r="H206" s="237"/>
      <c r="I206" s="238"/>
    </row>
    <row r="207" spans="1:11">
      <c r="B207" s="208" t="s">
        <v>13</v>
      </c>
      <c r="D207" s="219">
        <v>123968342.09020999</v>
      </c>
      <c r="E207" s="231">
        <v>50569803.157042965</v>
      </c>
      <c r="F207" s="272">
        <v>25239435</v>
      </c>
      <c r="G207" s="231">
        <v>9268677.7150500007</v>
      </c>
      <c r="H207" s="219">
        <v>98728907.090209991</v>
      </c>
      <c r="I207" s="231">
        <v>41301125.441992961</v>
      </c>
    </row>
    <row r="208" spans="1:11">
      <c r="B208" s="208" t="s">
        <v>91</v>
      </c>
      <c r="E208" s="228">
        <v>40.7925138824911</v>
      </c>
      <c r="F208" s="228"/>
      <c r="G208" s="228">
        <v>36.722999999999999</v>
      </c>
      <c r="I208" s="228">
        <v>41.832859958892833</v>
      </c>
    </row>
    <row r="211" spans="2:9" hidden="1">
      <c r="B211" s="270" t="s">
        <v>239</v>
      </c>
    </row>
    <row r="212" spans="2:9" hidden="1">
      <c r="B212" s="208" t="s">
        <v>202</v>
      </c>
    </row>
    <row r="213" spans="2:9" hidden="1">
      <c r="B213" s="232" t="s">
        <v>237</v>
      </c>
      <c r="C213" s="228">
        <v>36.722999999999999</v>
      </c>
      <c r="D213" s="219">
        <v>78130536.427342966</v>
      </c>
      <c r="E213" s="231">
        <v>28691876.892213158</v>
      </c>
      <c r="F213" s="128">
        <v>25239435</v>
      </c>
      <c r="G213" s="231">
        <v>9268677.7150500007</v>
      </c>
      <c r="H213" s="219">
        <v>52891101.427342966</v>
      </c>
      <c r="I213" s="231">
        <v>19423199.177163158</v>
      </c>
    </row>
    <row r="214" spans="2:9" hidden="1">
      <c r="B214" s="232" t="s">
        <v>238</v>
      </c>
      <c r="C214" s="228">
        <v>47.728999999999999</v>
      </c>
      <c r="D214" s="273">
        <v>45837805.662867025</v>
      </c>
      <c r="E214" s="240">
        <v>21877926.264829803</v>
      </c>
      <c r="F214" s="181">
        <v>0</v>
      </c>
      <c r="G214" s="240">
        <v>0</v>
      </c>
      <c r="H214" s="219">
        <v>45837805.662867025</v>
      </c>
      <c r="I214" s="231">
        <v>21877926.264829803</v>
      </c>
    </row>
    <row r="215" spans="2:9" hidden="1">
      <c r="D215" s="237"/>
      <c r="E215" s="237"/>
      <c r="F215" s="237"/>
      <c r="G215" s="237"/>
      <c r="H215" s="237"/>
      <c r="I215" s="237"/>
    </row>
    <row r="216" spans="2:9" hidden="1">
      <c r="B216" s="208" t="s">
        <v>13</v>
      </c>
      <c r="D216" s="219">
        <v>123968342.09020999</v>
      </c>
      <c r="E216" s="231">
        <v>50569803.157042965</v>
      </c>
      <c r="F216" s="244">
        <v>25239435</v>
      </c>
      <c r="G216" s="231">
        <v>9268677.7150500007</v>
      </c>
      <c r="H216" s="219">
        <v>98728907.090209991</v>
      </c>
      <c r="I216" s="219">
        <v>41301125.441992961</v>
      </c>
    </row>
    <row r="217" spans="2:9" hidden="1">
      <c r="B217" s="208" t="s">
        <v>91</v>
      </c>
      <c r="E217" s="228">
        <v>40.7925138824911</v>
      </c>
      <c r="F217" s="228"/>
      <c r="G217" s="228">
        <v>36.722999999999999</v>
      </c>
      <c r="I217" s="228">
        <v>41.832859958892833</v>
      </c>
    </row>
    <row r="218" spans="2:9" hidden="1"/>
    <row r="219" spans="2:9" hidden="1"/>
    <row r="220" spans="2:9">
      <c r="B220" s="230" t="s">
        <v>240</v>
      </c>
    </row>
    <row r="221" spans="2:9">
      <c r="B221" s="132" t="s">
        <v>264</v>
      </c>
    </row>
    <row r="223" spans="2:9">
      <c r="B223" s="270" t="s">
        <v>236</v>
      </c>
    </row>
    <row r="224" spans="2:9">
      <c r="B224" s="208" t="s">
        <v>203</v>
      </c>
    </row>
    <row r="225" spans="2:9">
      <c r="B225" s="232" t="s">
        <v>241</v>
      </c>
      <c r="C225" s="228">
        <v>0</v>
      </c>
      <c r="D225" s="219">
        <v>6375094.2101864293</v>
      </c>
      <c r="E225" s="231">
        <v>0</v>
      </c>
      <c r="F225" s="128">
        <v>6375094.2101864293</v>
      </c>
      <c r="G225" s="231">
        <v>0</v>
      </c>
      <c r="H225" s="219">
        <v>0</v>
      </c>
      <c r="I225" s="231">
        <v>0</v>
      </c>
    </row>
    <row r="226" spans="2:9">
      <c r="B226" s="232" t="s">
        <v>242</v>
      </c>
      <c r="C226" s="228">
        <v>33.353999999999999</v>
      </c>
      <c r="D226" s="219">
        <v>16565126.557450794</v>
      </c>
      <c r="E226" s="231">
        <v>5525132.3119721375</v>
      </c>
      <c r="F226" s="128">
        <v>12818545.789813571</v>
      </c>
      <c r="G226" s="231">
        <v>4275497.7627344187</v>
      </c>
      <c r="H226" s="219">
        <v>3746580.767637223</v>
      </c>
      <c r="I226" s="231">
        <v>1249634.5492377193</v>
      </c>
    </row>
    <row r="227" spans="2:9">
      <c r="B227" s="232" t="s">
        <v>243</v>
      </c>
      <c r="C227" s="228">
        <v>25.423999999999999</v>
      </c>
      <c r="D227" s="273">
        <v>29697691.912542783</v>
      </c>
      <c r="E227" s="240">
        <v>7550341.1918448769</v>
      </c>
      <c r="F227" s="181">
        <v>0</v>
      </c>
      <c r="G227" s="240">
        <v>0</v>
      </c>
      <c r="H227" s="219">
        <v>29697691.912542783</v>
      </c>
      <c r="I227" s="231">
        <v>7550341.1918448769</v>
      </c>
    </row>
    <row r="228" spans="2:9">
      <c r="D228" s="237"/>
      <c r="E228" s="237"/>
      <c r="F228" s="237"/>
      <c r="G228" s="237"/>
      <c r="H228" s="237"/>
      <c r="I228" s="238"/>
    </row>
    <row r="229" spans="2:9">
      <c r="B229" s="208" t="s">
        <v>13</v>
      </c>
      <c r="D229" s="219">
        <v>52637912.680180006</v>
      </c>
      <c r="E229" s="231">
        <v>13075473.503817014</v>
      </c>
      <c r="F229" s="272">
        <v>19193640</v>
      </c>
      <c r="G229" s="231">
        <v>4275497.7627344187</v>
      </c>
      <c r="H229" s="219">
        <v>33444272.680180006</v>
      </c>
      <c r="I229" s="231">
        <v>8799975.7410825957</v>
      </c>
    </row>
    <row r="230" spans="2:9">
      <c r="B230" s="208" t="s">
        <v>91</v>
      </c>
      <c r="E230" s="228">
        <v>24.840410339333957</v>
      </c>
      <c r="F230" s="228"/>
      <c r="G230" s="228">
        <v>22.275596305517968</v>
      </c>
      <c r="I230" s="228">
        <v>26.312354959053131</v>
      </c>
    </row>
    <row r="233" spans="2:9" hidden="1">
      <c r="B233" s="270" t="s">
        <v>239</v>
      </c>
    </row>
    <row r="234" spans="2:9" hidden="1">
      <c r="B234" s="208" t="s">
        <v>203</v>
      </c>
    </row>
    <row r="235" spans="2:9" hidden="1">
      <c r="B235" s="232" t="s">
        <v>241</v>
      </c>
      <c r="C235" s="228">
        <v>0</v>
      </c>
      <c r="D235" s="219">
        <v>6375094.2101864293</v>
      </c>
      <c r="E235" s="231">
        <v>0</v>
      </c>
      <c r="F235" s="128">
        <v>6375094.2101864293</v>
      </c>
      <c r="G235" s="231">
        <v>0</v>
      </c>
      <c r="H235" s="219">
        <v>0</v>
      </c>
      <c r="I235" s="231">
        <v>0</v>
      </c>
    </row>
    <row r="236" spans="2:9" hidden="1">
      <c r="B236" s="232" t="s">
        <v>242</v>
      </c>
      <c r="C236" s="228">
        <v>33.353999999999999</v>
      </c>
      <c r="D236" s="219">
        <v>16565126.557450794</v>
      </c>
      <c r="E236" s="231">
        <v>5525132.3119721375</v>
      </c>
      <c r="F236" s="128">
        <v>12818545.789813571</v>
      </c>
      <c r="G236" s="231">
        <v>4275497.7627344187</v>
      </c>
      <c r="H236" s="219">
        <v>3746580.767637223</v>
      </c>
      <c r="I236" s="231">
        <v>1249634.5492377193</v>
      </c>
    </row>
    <row r="237" spans="2:9" hidden="1">
      <c r="B237" s="232" t="s">
        <v>243</v>
      </c>
      <c r="C237" s="228">
        <v>25.423999999999999</v>
      </c>
      <c r="D237" s="273">
        <v>29697691.912542783</v>
      </c>
      <c r="E237" s="240">
        <v>7550341.1918448769</v>
      </c>
      <c r="F237" s="181">
        <v>0</v>
      </c>
      <c r="G237" s="240">
        <v>0</v>
      </c>
      <c r="H237" s="219">
        <v>29697691.912542783</v>
      </c>
      <c r="I237" s="231">
        <v>7550341.1918448769</v>
      </c>
    </row>
    <row r="238" spans="2:9" hidden="1">
      <c r="D238" s="237"/>
      <c r="E238" s="237"/>
      <c r="F238" s="237"/>
      <c r="G238" s="237"/>
      <c r="H238" s="237"/>
      <c r="I238" s="237"/>
    </row>
    <row r="239" spans="2:9" hidden="1">
      <c r="B239" s="208" t="s">
        <v>13</v>
      </c>
      <c r="D239" s="219">
        <v>52637912.680180006</v>
      </c>
      <c r="E239" s="231">
        <v>13075473.503817014</v>
      </c>
      <c r="F239" s="244">
        <v>19193640</v>
      </c>
      <c r="G239" s="231">
        <v>4275497.7627344187</v>
      </c>
      <c r="H239" s="219">
        <v>33444272.680180006</v>
      </c>
      <c r="I239" s="219">
        <v>8799975.7410825957</v>
      </c>
    </row>
    <row r="240" spans="2:9" hidden="1">
      <c r="B240" s="208" t="s">
        <v>91</v>
      </c>
      <c r="E240" s="228">
        <v>24.840410339333957</v>
      </c>
      <c r="F240" s="228"/>
      <c r="G240" s="228">
        <v>22.275596305517968</v>
      </c>
      <c r="I240" s="228">
        <v>26.312354959053131</v>
      </c>
    </row>
    <row r="241" spans="1:9" hidden="1"/>
    <row r="243" spans="1:9">
      <c r="B243" s="230" t="s">
        <v>244</v>
      </c>
    </row>
    <row r="244" spans="1:9">
      <c r="B244" s="132" t="s">
        <v>265</v>
      </c>
    </row>
    <row r="246" spans="1:9">
      <c r="A246" s="126" t="s">
        <v>103</v>
      </c>
      <c r="B246" s="210"/>
      <c r="C246" s="210" t="s">
        <v>6</v>
      </c>
      <c r="D246" s="210" t="s">
        <v>13</v>
      </c>
      <c r="E246" s="210" t="s">
        <v>13</v>
      </c>
      <c r="F246" s="210" t="s">
        <v>234</v>
      </c>
      <c r="G246" s="210" t="s">
        <v>234</v>
      </c>
      <c r="H246" s="210" t="s">
        <v>101</v>
      </c>
      <c r="I246" s="210" t="s">
        <v>101</v>
      </c>
    </row>
    <row r="247" spans="1:9">
      <c r="A247" s="126" t="s">
        <v>100</v>
      </c>
      <c r="B247" s="210"/>
      <c r="C247" s="212" t="s">
        <v>99</v>
      </c>
      <c r="D247" s="212" t="s">
        <v>193</v>
      </c>
      <c r="E247" s="212" t="s">
        <v>97</v>
      </c>
      <c r="F247" s="212" t="s">
        <v>235</v>
      </c>
      <c r="G247" s="212" t="s">
        <v>97</v>
      </c>
      <c r="H247" s="212" t="s">
        <v>193</v>
      </c>
      <c r="I247" s="212" t="s">
        <v>97</v>
      </c>
    </row>
    <row r="249" spans="1:9">
      <c r="B249" s="270" t="s">
        <v>236</v>
      </c>
    </row>
    <row r="250" spans="1:9">
      <c r="B250" s="208" t="s">
        <v>204</v>
      </c>
    </row>
    <row r="251" spans="1:9">
      <c r="B251" s="232" t="s">
        <v>245</v>
      </c>
      <c r="C251" s="228">
        <v>0</v>
      </c>
      <c r="D251" s="219">
        <v>17999.891669999983</v>
      </c>
      <c r="E251" s="231">
        <v>0</v>
      </c>
      <c r="F251" s="128">
        <v>17999.891669999983</v>
      </c>
      <c r="G251" s="231">
        <v>0</v>
      </c>
      <c r="H251" s="219">
        <v>0</v>
      </c>
      <c r="I251" s="231">
        <v>0</v>
      </c>
    </row>
    <row r="252" spans="1:9">
      <c r="B252" s="232" t="s">
        <v>246</v>
      </c>
      <c r="C252" s="228">
        <v>34.85</v>
      </c>
      <c r="D252" s="219">
        <v>17999.666660000003</v>
      </c>
      <c r="E252" s="231">
        <v>6272.8838310100009</v>
      </c>
      <c r="F252" s="128">
        <v>17999.666660000003</v>
      </c>
      <c r="G252" s="231">
        <v>6272.8838310100009</v>
      </c>
      <c r="H252" s="219">
        <v>0</v>
      </c>
      <c r="I252" s="231">
        <v>0</v>
      </c>
    </row>
    <row r="253" spans="1:9">
      <c r="B253" s="232" t="s">
        <v>247</v>
      </c>
      <c r="C253" s="228">
        <v>26.766999999999999</v>
      </c>
      <c r="D253" s="219">
        <v>324000.22331999964</v>
      </c>
      <c r="E253" s="240">
        <v>86725.139776064301</v>
      </c>
      <c r="F253" s="181">
        <v>324000.22331999964</v>
      </c>
      <c r="G253" s="240">
        <v>86725.139776064301</v>
      </c>
      <c r="H253" s="219">
        <v>0</v>
      </c>
      <c r="I253" s="231">
        <v>0</v>
      </c>
    </row>
    <row r="254" spans="1:9">
      <c r="B254" s="232" t="s">
        <v>248</v>
      </c>
      <c r="C254" s="228">
        <v>21.692</v>
      </c>
      <c r="D254" s="219">
        <v>536304.60407</v>
      </c>
      <c r="E254" s="240">
        <v>116335.1947148644</v>
      </c>
      <c r="F254" s="181">
        <v>47556.218350000388</v>
      </c>
      <c r="G254" s="240">
        <v>10315.894884482084</v>
      </c>
      <c r="H254" s="219">
        <v>488748.38571999961</v>
      </c>
      <c r="I254" s="231">
        <v>106019.29983038231</v>
      </c>
    </row>
    <row r="255" spans="1:9">
      <c r="B255" s="232" t="s">
        <v>249</v>
      </c>
      <c r="C255" s="228">
        <v>14.387</v>
      </c>
      <c r="D255" s="219">
        <v>743507.61600003822</v>
      </c>
      <c r="E255" s="240">
        <v>106968.44071392551</v>
      </c>
      <c r="F255" s="181">
        <v>0</v>
      </c>
      <c r="G255" s="240">
        <v>0</v>
      </c>
      <c r="H255" s="219">
        <v>743507.61600003822</v>
      </c>
      <c r="I255" s="231">
        <v>106968.44071392551</v>
      </c>
    </row>
    <row r="256" spans="1:9">
      <c r="D256" s="237"/>
      <c r="E256" s="237"/>
      <c r="F256" s="237"/>
      <c r="G256" s="237"/>
      <c r="H256" s="237"/>
      <c r="I256" s="238"/>
    </row>
    <row r="257" spans="2:9">
      <c r="B257" s="208" t="s">
        <v>13</v>
      </c>
      <c r="D257" s="219">
        <v>1639812.0017200378</v>
      </c>
      <c r="E257" s="231">
        <v>316301.65903586423</v>
      </c>
      <c r="F257" s="272">
        <v>407556</v>
      </c>
      <c r="G257" s="231">
        <v>92998.023607074298</v>
      </c>
      <c r="H257" s="219">
        <v>1232256.0017200378</v>
      </c>
      <c r="I257" s="231">
        <v>212987.7405443078</v>
      </c>
    </row>
    <row r="258" spans="2:9">
      <c r="B258" s="208" t="s">
        <v>91</v>
      </c>
      <c r="E258" s="228">
        <v>19.288897672665399</v>
      </c>
      <c r="F258" s="228"/>
      <c r="G258" s="228">
        <v>22.818465096103186</v>
      </c>
      <c r="I258" s="228">
        <v>17.284374370829603</v>
      </c>
    </row>
    <row r="261" spans="2:9" hidden="1">
      <c r="B261" s="270" t="s">
        <v>239</v>
      </c>
    </row>
    <row r="262" spans="2:9" hidden="1">
      <c r="B262" s="208" t="s">
        <v>204</v>
      </c>
    </row>
    <row r="263" spans="2:9" hidden="1">
      <c r="B263" s="232" t="s">
        <v>245</v>
      </c>
      <c r="C263" s="228">
        <v>0</v>
      </c>
      <c r="D263" s="219">
        <v>17999.891669999983</v>
      </c>
      <c r="E263" s="231">
        <v>0</v>
      </c>
      <c r="F263" s="128">
        <v>17999.891669999983</v>
      </c>
      <c r="G263" s="231">
        <v>0</v>
      </c>
      <c r="H263" s="219">
        <v>0</v>
      </c>
      <c r="I263" s="231">
        <v>0</v>
      </c>
    </row>
    <row r="264" spans="2:9" hidden="1">
      <c r="B264" s="232" t="s">
        <v>246</v>
      </c>
      <c r="C264" s="228">
        <v>34.85</v>
      </c>
      <c r="D264" s="219">
        <v>17999.666660000003</v>
      </c>
      <c r="E264" s="231">
        <v>6272.8838310100009</v>
      </c>
      <c r="F264" s="128">
        <v>17999.666660000003</v>
      </c>
      <c r="G264" s="231">
        <v>6272.8838310100009</v>
      </c>
      <c r="H264" s="219">
        <v>0</v>
      </c>
      <c r="I264" s="231">
        <v>0</v>
      </c>
    </row>
    <row r="265" spans="2:9" hidden="1">
      <c r="B265" s="232" t="s">
        <v>247</v>
      </c>
      <c r="C265" s="228">
        <v>26.766999999999999</v>
      </c>
      <c r="D265" s="219">
        <v>324000.22331999964</v>
      </c>
      <c r="E265" s="231">
        <v>86725.139776064301</v>
      </c>
      <c r="F265" s="181">
        <v>324000.22331999964</v>
      </c>
      <c r="G265" s="240">
        <v>86725.139776064301</v>
      </c>
      <c r="H265" s="219">
        <v>0</v>
      </c>
      <c r="I265" s="231">
        <v>0</v>
      </c>
    </row>
    <row r="266" spans="2:9" hidden="1">
      <c r="B266" s="232" t="s">
        <v>248</v>
      </c>
      <c r="C266" s="228">
        <v>21.692</v>
      </c>
      <c r="D266" s="219">
        <v>536304.60407</v>
      </c>
      <c r="E266" s="231">
        <v>116335.1947148644</v>
      </c>
      <c r="F266" s="181">
        <v>47556.218350000388</v>
      </c>
      <c r="G266" s="240">
        <v>10315.894884482084</v>
      </c>
      <c r="H266" s="219">
        <v>488748.38571999961</v>
      </c>
      <c r="I266" s="231">
        <v>106019.29983038231</v>
      </c>
    </row>
    <row r="267" spans="2:9" hidden="1">
      <c r="B267" s="232" t="s">
        <v>249</v>
      </c>
      <c r="C267" s="228">
        <v>14.387</v>
      </c>
      <c r="D267" s="219">
        <v>743507.61600003822</v>
      </c>
      <c r="E267" s="231">
        <v>106968.44071392551</v>
      </c>
      <c r="F267" s="181">
        <v>0</v>
      </c>
      <c r="G267" s="240">
        <v>0</v>
      </c>
      <c r="H267" s="219">
        <v>743507.61600003822</v>
      </c>
      <c r="I267" s="231">
        <v>106968.44071392551</v>
      </c>
    </row>
    <row r="268" spans="2:9" hidden="1">
      <c r="D268" s="237"/>
      <c r="E268" s="237"/>
      <c r="F268" s="237"/>
      <c r="G268" s="237"/>
      <c r="H268" s="237"/>
      <c r="I268" s="237"/>
    </row>
    <row r="269" spans="2:9" hidden="1">
      <c r="B269" s="208" t="s">
        <v>13</v>
      </c>
      <c r="D269" s="219">
        <v>1639812.0017200378</v>
      </c>
      <c r="E269" s="231">
        <v>316301.65903586423</v>
      </c>
      <c r="F269" s="244">
        <v>407556</v>
      </c>
      <c r="G269" s="231">
        <v>103313.91849155638</v>
      </c>
      <c r="H269" s="219">
        <v>1232256.0017200378</v>
      </c>
      <c r="I269" s="219">
        <v>212987.7405443078</v>
      </c>
    </row>
    <row r="270" spans="2:9" hidden="1">
      <c r="B270" s="208" t="s">
        <v>91</v>
      </c>
      <c r="E270" s="228">
        <v>19.288897672665399</v>
      </c>
      <c r="F270" s="228"/>
      <c r="G270" s="228">
        <v>25.349625202808053</v>
      </c>
      <c r="I270" s="228">
        <v>17.284374370829603</v>
      </c>
    </row>
    <row r="271" spans="2:9" hidden="1"/>
    <row r="272" spans="2:9">
      <c r="B272" s="230" t="s">
        <v>250</v>
      </c>
    </row>
    <row r="273" spans="2:9">
      <c r="B273" s="132" t="s">
        <v>266</v>
      </c>
    </row>
    <row r="276" spans="2:9">
      <c r="D276" s="274">
        <v>0</v>
      </c>
      <c r="E276" s="274">
        <v>0</v>
      </c>
      <c r="F276" s="274">
        <v>0</v>
      </c>
      <c r="G276" s="274">
        <v>0</v>
      </c>
      <c r="H276" s="274">
        <v>0</v>
      </c>
      <c r="I276" s="231"/>
    </row>
    <row r="277" spans="2:9">
      <c r="D277" s="219">
        <v>66.436421463980068</v>
      </c>
      <c r="E277" s="219">
        <v>1474.7504256292075</v>
      </c>
      <c r="F277" s="219">
        <v>43196.416714445491</v>
      </c>
      <c r="G277" s="219">
        <v>41052.791666666664</v>
      </c>
      <c r="H277" s="219">
        <v>74183.199999999997</v>
      </c>
    </row>
    <row r="280" spans="2:9">
      <c r="D280" s="275">
        <v>0</v>
      </c>
    </row>
    <row r="281" spans="2:9">
      <c r="D281" s="208">
        <v>23.87</v>
      </c>
    </row>
    <row r="282" spans="2:9">
      <c r="D282" s="208">
        <v>23.87</v>
      </c>
    </row>
    <row r="284" spans="2:9">
      <c r="D284" s="276">
        <v>0</v>
      </c>
    </row>
  </sheetData>
  <mergeCells count="1">
    <mergeCell ref="Q6:S11"/>
  </mergeCells>
  <pageMargins left="0.5" right="0.5" top="1.03" bottom="0.5" header="0.42" footer="0.5"/>
  <pageSetup scale="85" orientation="landscape" r:id="rId1"/>
  <headerFooter scaleWithDoc="0" alignWithMargins="0">
    <oddHeader>&amp;C&amp;"Arial,Bold"&amp;9AVISTA UTILITIES
WASHINGTON NATURAL GAS
PRO FORMA REVENUE UNDER PRESENT AND PROPOSED BASE TARIFF RATES
12 MONTHS ENDED DECEMBER 31, 2018</oddHeader>
    <oddFooter>&amp;L&amp;F / &amp;A&amp;RPage &amp;P</oddFoot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99C00-4181-44E9-9FFC-42888374D429}">
  <ds:schemaRefs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54F484-4FB9-4A17-8717-EDCB64971F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E81A80-3D5E-4150-B6F2-24D19FC53A1D}"/>
</file>

<file path=customXml/itemProps4.xml><?xml version="1.0" encoding="utf-8"?>
<ds:datastoreItem xmlns:ds="http://schemas.openxmlformats.org/officeDocument/2006/customXml" ds:itemID="{2BC2ECFA-E558-45C8-9FE9-A0202096C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Exh. BGM-8</vt:lpstr>
      <vt:lpstr>WA Electric-Revenue</vt:lpstr>
      <vt:lpstr>Pres &amp; Prop Rev (e)</vt:lpstr>
      <vt:lpstr>WA Natural Gas</vt:lpstr>
      <vt:lpstr>Pres &amp; Prop Rev (G)</vt:lpstr>
      <vt:lpstr>'Pres &amp; Prop Rev (e)'!Base1_Billing2</vt:lpstr>
      <vt:lpstr>'Pres &amp; Prop Rev (G)'!Base1_Billing2</vt:lpstr>
      <vt:lpstr>'Pres &amp; Prop Rev (e)'!Print_Area</vt:lpstr>
      <vt:lpstr>'Pres &amp; Prop Rev (G)'!Print_Area</vt:lpstr>
      <vt:lpstr>'WA Electric-Revenue'!Print_Area</vt:lpstr>
      <vt:lpstr>'WA Natural Gas'!Print_Area</vt:lpstr>
      <vt:lpstr>'Pres &amp; Prop Rev (e)'!PrintHeader</vt:lpstr>
      <vt:lpstr>'Pres &amp; Prop Rev (G)'!PrintHeader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Brewster, Stacey (UTC)</cp:lastModifiedBy>
  <cp:lastPrinted>2019-08-27T17:47:22Z</cp:lastPrinted>
  <dcterms:created xsi:type="dcterms:W3CDTF">2019-08-27T17:28:59Z</dcterms:created>
  <dcterms:modified xsi:type="dcterms:W3CDTF">2020-04-08T23:07:01Z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