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My Documents\Rates\GRC\2020 WA GRC\Data Requests\Staff DR 107\"/>
    </mc:Choice>
  </mc:AlternateContent>
  <xr:revisionPtr revIDLastSave="0" documentId="13_ncr:1_{F5267CBD-2BCE-4E84-8924-0C4FB13F1C2F}" xr6:coauthVersionLast="44" xr6:coauthVersionMax="44" xr10:uidLastSave="{00000000-0000-0000-0000-000000000000}"/>
  <bookViews>
    <workbookView xWindow="28680" yWindow="-120" windowWidth="29040" windowHeight="15840" xr2:uid="{C54D2AFC-F2C9-46F1-AB3F-4AC33B4E35B0}"/>
  </bookViews>
  <sheets>
    <sheet name="E-CAP SUMMARY - 2020 Actuals" sheetId="3" r:id="rId1"/>
    <sheet name="G-CAP SUMMARY - 2020 Actuals" sheetId="4" r:id="rId2"/>
    <sheet name="E-CAP SUMMARY - As-Filed" sheetId="1" r:id="rId3"/>
    <sheet name="G-CAP SUMMARY - As-Filed" sheetId="2" r:id="rId4"/>
  </sheets>
  <externalReferences>
    <externalReference r:id="rId5"/>
    <externalReference r:id="rId6"/>
    <externalReference r:id="rId7"/>
    <externalReference r:id="rId8"/>
  </externalReferences>
  <definedNames>
    <definedName name="a">#REF!,#REF!</definedName>
    <definedName name="Allocation_Categories">OFFSET('[1]Allocation Factors'!$A$4,0,0,COUNTA('[1]Allocation Factors'!$A:$A)-COUNTA('[1]Allocation Factors'!$A$1:$A$3),1)</definedName>
    <definedName name="Allocators">'[2]OR-ALL'!$C$8:$J$97</definedName>
    <definedName name="_xlnm.Auto_Open">#REF!</definedName>
    <definedName name="C_">#REF!,#REF!</definedName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[3]!_xlnm.Database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ID_Elec">#REF!</definedName>
    <definedName name="ID_Gas">'[4]DEBT CALC'!#REF!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onths">[2]DATA!$H$2</definedName>
    <definedName name="_xlnm.Print_Area" localSheetId="0">'E-CAP SUMMARY - 2020 Actuals'!$A$1:$AV$84</definedName>
    <definedName name="_xlnm.Print_Area" localSheetId="2">'E-CAP SUMMARY - As-Filed'!$A$1:$AV$68</definedName>
    <definedName name="_xlnm.Print_Area" localSheetId="1">'G-CAP SUMMARY - 2020 Actuals'!$A$1:$AV$59</definedName>
    <definedName name="_xlnm.Print_Area" localSheetId="3">'G-CAP SUMMARY - As-Filed'!$A$1:$AV$46</definedName>
    <definedName name="Print_for_Checking">'[4]ADJ SUMMARY'!#REF!:'[4]ADJ SUMMARY'!#REF!</definedName>
    <definedName name="_xlnm.Print_Titles" localSheetId="0">'E-CAP SUMMARY - 2020 Actuals'!$A:$D,'E-CAP SUMMARY - 2020 Actuals'!$2:$7</definedName>
    <definedName name="_xlnm.Print_Titles" localSheetId="2">'E-CAP SUMMARY - As-Filed'!$A:$D,'E-CAP SUMMARY - As-Filed'!$2:$7</definedName>
    <definedName name="_xlnm.Print_Titles" localSheetId="1">'G-CAP SUMMARY - 2020 Actuals'!$A:$D,'G-CAP SUMMARY - 2020 Actuals'!$2:$7</definedName>
    <definedName name="_xlnm.Print_Titles" localSheetId="3">'G-CAP SUMMARY - As-Filed'!$A:$D,'G-CAP SUMMARY - As-Filed'!$2:$7</definedName>
    <definedName name="rbcalc">[2]DATA!$H$3</definedName>
    <definedName name="rbcalc_heading">[2]DATA!$H$5</definedName>
    <definedName name="Recover">#REF!</definedName>
    <definedName name="RRC_Adjustment_Print">#REF!</definedName>
    <definedName name="RRC_Rate_Print">#REF!</definedName>
    <definedName name="Summary">#REF!</definedName>
    <definedName name="TableName">"Dummy"</definedName>
    <definedName name="tp_heading">[2]DATA!$H$4</definedName>
    <definedName name="W_804_Titles">#REF!,#REF!</definedName>
    <definedName name="W_805_Titles">#REF!,#REF!</definedName>
    <definedName name="W_807_Titles">#REF!,#REF!</definedName>
    <definedName name="W_808_Titles">#REF!,#REF!</definedName>
    <definedName name="W_903">#REF!</definedName>
    <definedName name="W_903_Area">#REF!</definedName>
    <definedName name="W_903_Titles">#REF!,#REF!</definedName>
    <definedName name="W_928_Titles">#REF!,#REF!</definedName>
    <definedName name="W_ALL_Titles">#REF!,#REF!</definedName>
    <definedName name="W_APL_Titles">#REF!,#REF!</definedName>
    <definedName name="W_ARR_Titles">#REF!,#REF!</definedName>
    <definedName name="W_DTE_Titles">#REF!,#REF!</definedName>
    <definedName name="W_FIT_Titles">#REF!,#REF!</definedName>
    <definedName name="W_OPS">#REF!</definedName>
    <definedName name="W_OPS_Area">#REF!</definedName>
    <definedName name="W_OPS_Titles">#REF!,#REF!</definedName>
    <definedName name="W_OTX_Titles">#REF!,#REF!</definedName>
    <definedName name="W_PLT">#REF!</definedName>
    <definedName name="W_PLT_Titles">#REF!,#REF!</definedName>
    <definedName name="W_ROR_Titles">#REF!,#REF!</definedName>
    <definedName name="W_SCM_Titles">#REF!,#REF!</definedName>
    <definedName name="WA_Elec">#REF!</definedName>
    <definedName name="WA_Gas">'[4]DEBT CALC'!#REF!</definedName>
    <definedName name="wrn.All._.Sheets." hidden="1">{"IncSt",#N/A,FALSE,"IS";"BalSht",#N/A,FALSE,"BS";"IntCash",#N/A,FALSE,"Int. Cash";"Stats",#N/A,FALSE,"Stats"}</definedName>
    <definedName name="Z_6E1B8C45_B07F_11D2_B0DC_0000832CDFF0_.wvu.Cols" localSheetId="0" hidden="1">'E-CAP SUMMARY - 2020 Actuals'!#REF!,'E-CAP SUMMARY - 2020 Actuals'!#REF!</definedName>
    <definedName name="Z_6E1B8C45_B07F_11D2_B0DC_0000832CDFF0_.wvu.Cols" localSheetId="2" hidden="1">'E-CAP SUMMARY - As-Filed'!#REF!,'E-CAP SUMMARY - As-Filed'!#REF!</definedName>
    <definedName name="Z_6E1B8C45_B07F_11D2_B0DC_0000832CDFF0_.wvu.Cols" localSheetId="1" hidden="1">'G-CAP SUMMARY - 2020 Actuals'!#REF!,'G-CAP SUMMARY - 2020 Actuals'!#REF!</definedName>
    <definedName name="Z_6E1B8C45_B07F_11D2_B0DC_0000832CDFF0_.wvu.Cols" localSheetId="3" hidden="1">'G-CAP SUMMARY - As-Filed'!#REF!,'G-CAP SUMMARY - As-Filed'!#REF!</definedName>
    <definedName name="Z_6E1B8C45_B07F_11D2_B0DC_0000832CDFF0_.wvu.PrintArea" localSheetId="0" hidden="1">'E-CAP SUMMARY - 2020 Actuals'!$E:$K</definedName>
    <definedName name="Z_6E1B8C45_B07F_11D2_B0DC_0000832CDFF0_.wvu.PrintArea" localSheetId="2" hidden="1">'E-CAP SUMMARY - As-Filed'!$E:$K</definedName>
    <definedName name="Z_6E1B8C45_B07F_11D2_B0DC_0000832CDFF0_.wvu.PrintArea" localSheetId="1" hidden="1">'G-CAP SUMMARY - 2020 Actuals'!$E:$J</definedName>
    <definedName name="Z_6E1B8C45_B07F_11D2_B0DC_0000832CDFF0_.wvu.PrintArea" localSheetId="3" hidden="1">'G-CAP SUMMARY - As-Filed'!$E:$J</definedName>
    <definedName name="Z_6E1B8C45_B07F_11D2_B0DC_0000832CDFF0_.wvu.PrintTitles" localSheetId="0" hidden="1">'E-CAP SUMMARY - 2020 Actuals'!$A:$D,'E-CAP SUMMARY - 2020 Actuals'!$2:$7</definedName>
    <definedName name="Z_6E1B8C45_B07F_11D2_B0DC_0000832CDFF0_.wvu.PrintTitles" localSheetId="2" hidden="1">'E-CAP SUMMARY - As-Filed'!$A:$D,'E-CAP SUMMARY - As-Filed'!$2:$7</definedName>
    <definedName name="Z_6E1B8C45_B07F_11D2_B0DC_0000832CDFF0_.wvu.PrintTitles" localSheetId="1" hidden="1">'G-CAP SUMMARY - 2020 Actuals'!$A:$D,'G-CAP SUMMARY - 2020 Actuals'!$2:$7</definedName>
    <definedName name="Z_6E1B8C45_B07F_11D2_B0DC_0000832CDFF0_.wvu.PrintTitles" localSheetId="3" hidden="1">'G-CAP SUMMARY - As-Filed'!$A:$D,'G-CAP SUMMARY - As-Filed'!$2:$7</definedName>
    <definedName name="Z_A15D1962_B049_11D2_8670_0000832CEEE8_.wvu.Cols" localSheetId="0" hidden="1">'E-CAP SUMMARY - 2020 Actuals'!#REF!</definedName>
    <definedName name="Z_A15D1962_B049_11D2_8670_0000832CEEE8_.wvu.Cols" localSheetId="2" hidden="1">'E-CAP SUMMARY - As-Filed'!#REF!</definedName>
    <definedName name="Z_A15D1962_B049_11D2_8670_0000832CEEE8_.wvu.Cols" localSheetId="1" hidden="1">'G-CAP SUMMARY - 2020 Actuals'!#REF!</definedName>
    <definedName name="Z_A15D1962_B049_11D2_8670_0000832CEEE8_.wvu.Cols" localSheetId="3" hidden="1">'G-CAP SUMMARY - As-Filed'!#REF!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30" i="4" l="1"/>
  <c r="AW40" i="3"/>
  <c r="AW39" i="3"/>
  <c r="AW32" i="3"/>
  <c r="I20" i="4" l="1"/>
  <c r="I16" i="4"/>
  <c r="I19" i="4" s="1"/>
  <c r="I22" i="4" s="1"/>
  <c r="I43" i="4"/>
  <c r="I21" i="3"/>
  <c r="I17" i="3"/>
  <c r="I20" i="3" s="1"/>
  <c r="I23" i="3" s="1"/>
  <c r="I46" i="3"/>
  <c r="AJ46" i="3"/>
  <c r="AJ52" i="3" s="1"/>
  <c r="AJ53" i="3" s="1"/>
  <c r="AJ48" i="3" s="1"/>
  <c r="AJ21" i="3"/>
  <c r="AJ17" i="3"/>
  <c r="AJ20" i="3" s="1"/>
  <c r="AJ23" i="3" s="1"/>
  <c r="F58" i="4"/>
  <c r="E58" i="4"/>
  <c r="AP40" i="4"/>
  <c r="AO40" i="4"/>
  <c r="AN40" i="4"/>
  <c r="AJ40" i="4"/>
  <c r="AE40" i="4"/>
  <c r="Z40" i="4"/>
  <c r="U40" i="4"/>
  <c r="P40" i="4"/>
  <c r="I40" i="4"/>
  <c r="K40" i="4" s="1"/>
  <c r="AW37" i="4"/>
  <c r="AP37" i="4"/>
  <c r="AO37" i="4"/>
  <c r="AO41" i="4" s="1"/>
  <c r="AN37" i="4"/>
  <c r="AW36" i="4"/>
  <c r="H36" i="4"/>
  <c r="G36" i="4"/>
  <c r="F36" i="4"/>
  <c r="E36" i="4"/>
  <c r="AP35" i="4"/>
  <c r="AO35" i="4"/>
  <c r="AN35" i="4"/>
  <c r="AJ35" i="4"/>
  <c r="AE35" i="4"/>
  <c r="Z35" i="4"/>
  <c r="U35" i="4"/>
  <c r="P35" i="4"/>
  <c r="I35" i="4"/>
  <c r="K35" i="4" s="1"/>
  <c r="AP34" i="4"/>
  <c r="AO34" i="4"/>
  <c r="AN34" i="4"/>
  <c r="AJ34" i="4"/>
  <c r="AE34" i="4"/>
  <c r="Z34" i="4"/>
  <c r="U34" i="4"/>
  <c r="P34" i="4"/>
  <c r="K34" i="4"/>
  <c r="I34" i="4"/>
  <c r="AP33" i="4"/>
  <c r="AO33" i="4"/>
  <c r="AN33" i="4"/>
  <c r="AJ33" i="4"/>
  <c r="AE33" i="4"/>
  <c r="Z33" i="4"/>
  <c r="U33" i="4"/>
  <c r="P33" i="4"/>
  <c r="K33" i="4"/>
  <c r="I33" i="4"/>
  <c r="AP32" i="4"/>
  <c r="AO32" i="4"/>
  <c r="AN32" i="4"/>
  <c r="AJ32" i="4"/>
  <c r="AJ36" i="4" s="1"/>
  <c r="AE32" i="4"/>
  <c r="AE36" i="4" s="1"/>
  <c r="Z32" i="4"/>
  <c r="U32" i="4"/>
  <c r="P32" i="4"/>
  <c r="P36" i="4" s="1"/>
  <c r="I32" i="4"/>
  <c r="K32" i="4" s="1"/>
  <c r="H30" i="4"/>
  <c r="H37" i="4" s="1"/>
  <c r="H41" i="4" s="1"/>
  <c r="G30" i="4"/>
  <c r="G37" i="4" s="1"/>
  <c r="G41" i="4" s="1"/>
  <c r="F30" i="4"/>
  <c r="F37" i="4" s="1"/>
  <c r="F41" i="4" s="1"/>
  <c r="E30" i="4"/>
  <c r="E37" i="4" s="1"/>
  <c r="E41" i="4" s="1"/>
  <c r="AP29" i="4"/>
  <c r="AO29" i="4"/>
  <c r="AN29" i="4"/>
  <c r="AJ29" i="4"/>
  <c r="AE29" i="4"/>
  <c r="Z29" i="4"/>
  <c r="U29" i="4"/>
  <c r="P29" i="4"/>
  <c r="I29" i="4"/>
  <c r="K29" i="4" s="1"/>
  <c r="AP28" i="4"/>
  <c r="AO28" i="4"/>
  <c r="AN28" i="4"/>
  <c r="AJ28" i="4"/>
  <c r="AE28" i="4"/>
  <c r="Z28" i="4"/>
  <c r="U28" i="4"/>
  <c r="P28" i="4"/>
  <c r="K28" i="4"/>
  <c r="I28" i="4"/>
  <c r="AP27" i="4"/>
  <c r="AO27" i="4"/>
  <c r="AN27" i="4"/>
  <c r="AJ27" i="4"/>
  <c r="AE27" i="4"/>
  <c r="Z27" i="4"/>
  <c r="U27" i="4"/>
  <c r="P27" i="4"/>
  <c r="K27" i="4"/>
  <c r="I27" i="4"/>
  <c r="AP26" i="4"/>
  <c r="AO26" i="4"/>
  <c r="AN26" i="4"/>
  <c r="AJ26" i="4"/>
  <c r="AJ30" i="4" s="1"/>
  <c r="AE26" i="4"/>
  <c r="AE30" i="4" s="1"/>
  <c r="Z26" i="4"/>
  <c r="Z30" i="4" s="1"/>
  <c r="U26" i="4"/>
  <c r="U30" i="4" s="1"/>
  <c r="P26" i="4"/>
  <c r="I26" i="4"/>
  <c r="I30" i="4" s="1"/>
  <c r="G14" i="4"/>
  <c r="E14" i="4"/>
  <c r="AP13" i="4"/>
  <c r="AO13" i="4"/>
  <c r="AN13" i="4"/>
  <c r="AJ13" i="4"/>
  <c r="AE13" i="4"/>
  <c r="Z13" i="4"/>
  <c r="U13" i="4"/>
  <c r="P13" i="4"/>
  <c r="H13" i="4"/>
  <c r="F13" i="4"/>
  <c r="I13" i="4" s="1"/>
  <c r="K13" i="4" s="1"/>
  <c r="AP12" i="4"/>
  <c r="AO12" i="4"/>
  <c r="AN12" i="4"/>
  <c r="AJ12" i="4"/>
  <c r="AE12" i="4"/>
  <c r="Z12" i="4"/>
  <c r="U12" i="4"/>
  <c r="P12" i="4"/>
  <c r="I12" i="4"/>
  <c r="K12" i="4" s="1"/>
  <c r="H12" i="4"/>
  <c r="F12" i="4"/>
  <c r="AP11" i="4"/>
  <c r="AO11" i="4"/>
  <c r="AN11" i="4"/>
  <c r="AJ11" i="4"/>
  <c r="AE11" i="4"/>
  <c r="Z11" i="4"/>
  <c r="U11" i="4"/>
  <c r="P11" i="4"/>
  <c r="K11" i="4"/>
  <c r="I11" i="4"/>
  <c r="H11" i="4"/>
  <c r="F11" i="4"/>
  <c r="AP10" i="4"/>
  <c r="AO10" i="4"/>
  <c r="AN10" i="4"/>
  <c r="AJ10" i="4"/>
  <c r="AE10" i="4"/>
  <c r="AE14" i="4" s="1"/>
  <c r="AE16" i="4" s="1"/>
  <c r="AE19" i="4" s="1"/>
  <c r="Z10" i="4"/>
  <c r="U10" i="4"/>
  <c r="P10" i="4"/>
  <c r="H10" i="4"/>
  <c r="H14" i="4" s="1"/>
  <c r="F10" i="4"/>
  <c r="I10" i="4" s="1"/>
  <c r="F84" i="3"/>
  <c r="E84" i="3"/>
  <c r="AP72" i="3"/>
  <c r="AO72" i="3"/>
  <c r="AN72" i="3"/>
  <c r="F72" i="3"/>
  <c r="E72" i="3"/>
  <c r="AP71" i="3"/>
  <c r="AO71" i="3"/>
  <c r="AN71" i="3"/>
  <c r="AJ71" i="3"/>
  <c r="AE71" i="3"/>
  <c r="Z71" i="3"/>
  <c r="U71" i="3"/>
  <c r="P71" i="3"/>
  <c r="I71" i="3"/>
  <c r="K71" i="3" s="1"/>
  <c r="AP70" i="3"/>
  <c r="AO70" i="3"/>
  <c r="AN70" i="3"/>
  <c r="AJ70" i="3"/>
  <c r="AE70" i="3"/>
  <c r="Z70" i="3"/>
  <c r="U70" i="3"/>
  <c r="P70" i="3"/>
  <c r="K70" i="3"/>
  <c r="AL70" i="3" s="1"/>
  <c r="I70" i="3"/>
  <c r="AP69" i="3"/>
  <c r="AO69" i="3"/>
  <c r="AN69" i="3"/>
  <c r="AJ69" i="3"/>
  <c r="AE69" i="3"/>
  <c r="Z69" i="3"/>
  <c r="U69" i="3"/>
  <c r="P69" i="3"/>
  <c r="I69" i="3"/>
  <c r="I72" i="3" s="1"/>
  <c r="AP66" i="3"/>
  <c r="AO66" i="3"/>
  <c r="AN66" i="3"/>
  <c r="F66" i="3"/>
  <c r="E66" i="3"/>
  <c r="AP65" i="3"/>
  <c r="AO65" i="3"/>
  <c r="AN65" i="3"/>
  <c r="AJ65" i="3"/>
  <c r="AE65" i="3"/>
  <c r="Z65" i="3"/>
  <c r="U65" i="3"/>
  <c r="P65" i="3"/>
  <c r="I65" i="3"/>
  <c r="K65" i="3" s="1"/>
  <c r="AL65" i="3" s="1"/>
  <c r="AP64" i="3"/>
  <c r="AO64" i="3"/>
  <c r="AN64" i="3"/>
  <c r="AJ64" i="3"/>
  <c r="AE64" i="3"/>
  <c r="Z64" i="3"/>
  <c r="U64" i="3"/>
  <c r="P64" i="3"/>
  <c r="I64" i="3"/>
  <c r="K64" i="3" s="1"/>
  <c r="AP63" i="3"/>
  <c r="AO63" i="3"/>
  <c r="AN63" i="3"/>
  <c r="AJ63" i="3"/>
  <c r="AE63" i="3"/>
  <c r="Z63" i="3"/>
  <c r="Z66" i="3" s="1"/>
  <c r="U63" i="3"/>
  <c r="P63" i="3"/>
  <c r="I63" i="3"/>
  <c r="K63" i="3" s="1"/>
  <c r="AP60" i="3"/>
  <c r="AO60" i="3"/>
  <c r="AN60" i="3"/>
  <c r="AE60" i="3"/>
  <c r="AP59" i="3"/>
  <c r="AO59" i="3"/>
  <c r="AN59" i="3"/>
  <c r="AJ59" i="3"/>
  <c r="AE59" i="3"/>
  <c r="Z59" i="3"/>
  <c r="U59" i="3"/>
  <c r="P59" i="3"/>
  <c r="F59" i="3"/>
  <c r="I59" i="3" s="1"/>
  <c r="K59" i="3" s="1"/>
  <c r="AP58" i="3"/>
  <c r="AO58" i="3"/>
  <c r="AN58" i="3"/>
  <c r="AJ58" i="3"/>
  <c r="AE58" i="3"/>
  <c r="Z58" i="3"/>
  <c r="U58" i="3"/>
  <c r="P58" i="3"/>
  <c r="F58" i="3"/>
  <c r="I58" i="3" s="1"/>
  <c r="K58" i="3" s="1"/>
  <c r="AL58" i="3" s="1"/>
  <c r="AP57" i="3"/>
  <c r="AO57" i="3"/>
  <c r="AN57" i="3"/>
  <c r="AJ57" i="3"/>
  <c r="AJ60" i="3" s="1"/>
  <c r="AE57" i="3"/>
  <c r="Z57" i="3"/>
  <c r="U57" i="3"/>
  <c r="P57" i="3"/>
  <c r="P60" i="3" s="1"/>
  <c r="E57" i="3"/>
  <c r="AP44" i="3"/>
  <c r="AO44" i="3"/>
  <c r="AN44" i="3"/>
  <c r="AP43" i="3"/>
  <c r="AO43" i="3"/>
  <c r="AN43" i="3"/>
  <c r="AJ43" i="3"/>
  <c r="AE43" i="3"/>
  <c r="Z43" i="3"/>
  <c r="U43" i="3"/>
  <c r="P43" i="3"/>
  <c r="I43" i="3"/>
  <c r="K43" i="3" s="1"/>
  <c r="AP40" i="3"/>
  <c r="AO40" i="3"/>
  <c r="AN40" i="3"/>
  <c r="AP39" i="3"/>
  <c r="AO39" i="3"/>
  <c r="AN39" i="3"/>
  <c r="H39" i="3"/>
  <c r="G39" i="3"/>
  <c r="AP38" i="3"/>
  <c r="AO38" i="3"/>
  <c r="AN38" i="3"/>
  <c r="AJ38" i="3"/>
  <c r="AE38" i="3"/>
  <c r="Z38" i="3"/>
  <c r="U38" i="3"/>
  <c r="P38" i="3"/>
  <c r="K38" i="3"/>
  <c r="AL38" i="3" s="1"/>
  <c r="I38" i="3"/>
  <c r="AP37" i="3"/>
  <c r="AO37" i="3"/>
  <c r="AN37" i="3"/>
  <c r="AJ37" i="3"/>
  <c r="AE37" i="3"/>
  <c r="Z37" i="3"/>
  <c r="U37" i="3"/>
  <c r="P37" i="3"/>
  <c r="I37" i="3"/>
  <c r="K37" i="3" s="1"/>
  <c r="AP36" i="3"/>
  <c r="AO36" i="3"/>
  <c r="AN36" i="3"/>
  <c r="AJ36" i="3"/>
  <c r="AE36" i="3"/>
  <c r="Z36" i="3"/>
  <c r="U36" i="3"/>
  <c r="P36" i="3"/>
  <c r="I36" i="3"/>
  <c r="K36" i="3" s="1"/>
  <c r="AP35" i="3"/>
  <c r="AO35" i="3"/>
  <c r="AN35" i="3"/>
  <c r="AJ35" i="3"/>
  <c r="AE35" i="3"/>
  <c r="Z35" i="3"/>
  <c r="U35" i="3"/>
  <c r="P35" i="3"/>
  <c r="F35" i="3"/>
  <c r="F39" i="3" s="1"/>
  <c r="E35" i="3"/>
  <c r="AP34" i="3"/>
  <c r="AO34" i="3"/>
  <c r="AN34" i="3"/>
  <c r="AJ34" i="3"/>
  <c r="AE34" i="3"/>
  <c r="AE39" i="3" s="1"/>
  <c r="Z34" i="3"/>
  <c r="U34" i="3"/>
  <c r="P34" i="3"/>
  <c r="K34" i="3"/>
  <c r="I34" i="3"/>
  <c r="AP32" i="3"/>
  <c r="AO32" i="3"/>
  <c r="AN32" i="3"/>
  <c r="H32" i="3"/>
  <c r="H40" i="3" s="1"/>
  <c r="H44" i="3" s="1"/>
  <c r="G32" i="3"/>
  <c r="AP31" i="3"/>
  <c r="AO31" i="3"/>
  <c r="AN31" i="3"/>
  <c r="AJ31" i="3"/>
  <c r="AE31" i="3"/>
  <c r="Z31" i="3"/>
  <c r="U31" i="3"/>
  <c r="P31" i="3"/>
  <c r="K31" i="3"/>
  <c r="I31" i="3"/>
  <c r="AP30" i="3"/>
  <c r="AO30" i="3"/>
  <c r="AN30" i="3"/>
  <c r="AJ30" i="3"/>
  <c r="AE30" i="3"/>
  <c r="Z30" i="3"/>
  <c r="U30" i="3"/>
  <c r="P30" i="3"/>
  <c r="K30" i="3"/>
  <c r="I30" i="3"/>
  <c r="AP29" i="3"/>
  <c r="AO29" i="3"/>
  <c r="AN29" i="3"/>
  <c r="AJ29" i="3"/>
  <c r="AE29" i="3"/>
  <c r="Z29" i="3"/>
  <c r="U29" i="3"/>
  <c r="P29" i="3"/>
  <c r="I29" i="3"/>
  <c r="K29" i="3" s="1"/>
  <c r="AP28" i="3"/>
  <c r="AO28" i="3"/>
  <c r="AN28" i="3"/>
  <c r="AJ28" i="3"/>
  <c r="AE28" i="3"/>
  <c r="Z28" i="3"/>
  <c r="U28" i="3"/>
  <c r="P28" i="3"/>
  <c r="F28" i="3"/>
  <c r="F32" i="3" s="1"/>
  <c r="F40" i="3" s="1"/>
  <c r="F44" i="3" s="1"/>
  <c r="E28" i="3"/>
  <c r="AP27" i="3"/>
  <c r="AO27" i="3"/>
  <c r="AN27" i="3"/>
  <c r="AJ27" i="3"/>
  <c r="AE27" i="3"/>
  <c r="Z27" i="3"/>
  <c r="U27" i="3"/>
  <c r="P27" i="3"/>
  <c r="I27" i="3"/>
  <c r="AP15" i="3"/>
  <c r="AO15" i="3"/>
  <c r="AN15" i="3"/>
  <c r="AO24" i="3" s="1"/>
  <c r="G15" i="3"/>
  <c r="AP14" i="3"/>
  <c r="AO14" i="3"/>
  <c r="AN14" i="3"/>
  <c r="AJ14" i="3"/>
  <c r="AE14" i="3"/>
  <c r="Z14" i="3"/>
  <c r="U14" i="3"/>
  <c r="P14" i="3"/>
  <c r="H14" i="3"/>
  <c r="F14" i="3"/>
  <c r="I14" i="3" s="1"/>
  <c r="K14" i="3" s="1"/>
  <c r="AP13" i="3"/>
  <c r="AO13" i="3"/>
  <c r="AN13" i="3"/>
  <c r="AJ13" i="3"/>
  <c r="AE13" i="3"/>
  <c r="Z13" i="3"/>
  <c r="U13" i="3"/>
  <c r="P13" i="3"/>
  <c r="H13" i="3"/>
  <c r="F13" i="3"/>
  <c r="AP12" i="3"/>
  <c r="AO12" i="3"/>
  <c r="AN12" i="3"/>
  <c r="AJ12" i="3"/>
  <c r="AE12" i="3"/>
  <c r="Z12" i="3"/>
  <c r="U12" i="3"/>
  <c r="P12" i="3"/>
  <c r="H12" i="3"/>
  <c r="I12" i="3" s="1"/>
  <c r="K12" i="3" s="1"/>
  <c r="F12" i="3"/>
  <c r="AP11" i="3"/>
  <c r="AO11" i="3"/>
  <c r="AN11" i="3"/>
  <c r="AJ11" i="3"/>
  <c r="AE11" i="3"/>
  <c r="Z11" i="3"/>
  <c r="U11" i="3"/>
  <c r="P11" i="3"/>
  <c r="AP10" i="3"/>
  <c r="AO10" i="3"/>
  <c r="AN10" i="3"/>
  <c r="AJ10" i="3"/>
  <c r="AE10" i="3"/>
  <c r="AE15" i="3" s="1"/>
  <c r="AE17" i="3" s="1"/>
  <c r="AE20" i="3" s="1"/>
  <c r="Z10" i="3"/>
  <c r="U10" i="3"/>
  <c r="P10" i="3"/>
  <c r="H10" i="3"/>
  <c r="F10" i="3"/>
  <c r="P66" i="3" l="1"/>
  <c r="P39" i="3"/>
  <c r="P30" i="4"/>
  <c r="P37" i="4" s="1"/>
  <c r="P41" i="4" s="1"/>
  <c r="P43" i="4" s="1"/>
  <c r="P20" i="4" s="1"/>
  <c r="AP30" i="4"/>
  <c r="AP41" i="4"/>
  <c r="U36" i="4"/>
  <c r="U37" i="4" s="1"/>
  <c r="U41" i="4" s="1"/>
  <c r="U43" i="4" s="1"/>
  <c r="U14" i="4"/>
  <c r="U16" i="4" s="1"/>
  <c r="U19" i="4" s="1"/>
  <c r="AL13" i="4"/>
  <c r="U60" i="3"/>
  <c r="U66" i="3"/>
  <c r="AO25" i="3"/>
  <c r="AL59" i="3"/>
  <c r="AL35" i="4"/>
  <c r="AL29" i="4"/>
  <c r="AL28" i="4"/>
  <c r="Z36" i="4"/>
  <c r="Z37" i="4" s="1"/>
  <c r="Z41" i="4" s="1"/>
  <c r="Z43" i="4" s="1"/>
  <c r="Z20" i="4" s="1"/>
  <c r="AL40" i="4"/>
  <c r="Z32" i="3"/>
  <c r="AL31" i="3"/>
  <c r="AL29" i="3"/>
  <c r="AE72" i="3"/>
  <c r="AE37" i="4"/>
  <c r="AE41" i="4" s="1"/>
  <c r="AE43" i="4" s="1"/>
  <c r="AE20" i="4" s="1"/>
  <c r="AE22" i="4" s="1"/>
  <c r="AE49" i="4" s="1"/>
  <c r="AE50" i="4" s="1"/>
  <c r="AE45" i="4" s="1"/>
  <c r="AJ37" i="4"/>
  <c r="AJ41" i="4" s="1"/>
  <c r="AJ43" i="4" s="1"/>
  <c r="AJ20" i="4" s="1"/>
  <c r="AN36" i="4"/>
  <c r="AL33" i="4"/>
  <c r="AN30" i="4"/>
  <c r="AL27" i="4"/>
  <c r="AO36" i="4"/>
  <c r="AN41" i="4"/>
  <c r="AO30" i="4"/>
  <c r="AP36" i="4"/>
  <c r="AL34" i="4"/>
  <c r="AP14" i="4"/>
  <c r="AL11" i="4"/>
  <c r="I49" i="4"/>
  <c r="I50" i="4" s="1"/>
  <c r="I45" i="4" s="1"/>
  <c r="P14" i="4"/>
  <c r="P16" i="4" s="1"/>
  <c r="P19" i="4" s="1"/>
  <c r="P22" i="4" s="1"/>
  <c r="P49" i="4" s="1"/>
  <c r="P50" i="4" s="1"/>
  <c r="P45" i="4" s="1"/>
  <c r="AJ14" i="4"/>
  <c r="AJ16" i="4" s="1"/>
  <c r="AJ19" i="4" s="1"/>
  <c r="AJ22" i="4" s="1"/>
  <c r="AJ49" i="4" s="1"/>
  <c r="AJ50" i="4" s="1"/>
  <c r="AJ45" i="4" s="1"/>
  <c r="AN14" i="4"/>
  <c r="Z14" i="4"/>
  <c r="Z16" i="4" s="1"/>
  <c r="Z19" i="4" s="1"/>
  <c r="AO14" i="4"/>
  <c r="AL12" i="4"/>
  <c r="I52" i="3"/>
  <c r="I53" i="3" s="1"/>
  <c r="I48" i="3" s="1"/>
  <c r="AL12" i="3"/>
  <c r="AJ39" i="3"/>
  <c r="AL34" i="3"/>
  <c r="AJ66" i="3"/>
  <c r="AL64" i="3"/>
  <c r="P15" i="3"/>
  <c r="P17" i="3" s="1"/>
  <c r="P20" i="3" s="1"/>
  <c r="AJ15" i="3"/>
  <c r="H15" i="3"/>
  <c r="AE32" i="3"/>
  <c r="AE40" i="3" s="1"/>
  <c r="AE44" i="3" s="1"/>
  <c r="U32" i="3"/>
  <c r="G40" i="3"/>
  <c r="G44" i="3" s="1"/>
  <c r="Z72" i="3"/>
  <c r="AL71" i="3"/>
  <c r="AL14" i="3"/>
  <c r="P32" i="3"/>
  <c r="P40" i="3" s="1"/>
  <c r="P44" i="3" s="1"/>
  <c r="AJ32" i="3"/>
  <c r="AJ40" i="3" s="1"/>
  <c r="AJ44" i="3" s="1"/>
  <c r="AL30" i="3"/>
  <c r="U39" i="3"/>
  <c r="AL37" i="3"/>
  <c r="Z60" i="3"/>
  <c r="AE66" i="3"/>
  <c r="U72" i="3"/>
  <c r="Z15" i="3"/>
  <c r="Z17" i="3" s="1"/>
  <c r="Z20" i="3" s="1"/>
  <c r="U15" i="3"/>
  <c r="U17" i="3" s="1"/>
  <c r="U20" i="3" s="1"/>
  <c r="Z39" i="3"/>
  <c r="Z40" i="3" s="1"/>
  <c r="Z44" i="3" s="1"/>
  <c r="AL36" i="3"/>
  <c r="AL43" i="3"/>
  <c r="P72" i="3"/>
  <c r="AJ72" i="3"/>
  <c r="K10" i="4"/>
  <c r="I14" i="4"/>
  <c r="AL32" i="4"/>
  <c r="K36" i="4"/>
  <c r="I36" i="4"/>
  <c r="I37" i="4" s="1"/>
  <c r="I41" i="4" s="1"/>
  <c r="F14" i="4"/>
  <c r="K26" i="4"/>
  <c r="I32" i="3"/>
  <c r="K66" i="3"/>
  <c r="AL63" i="3"/>
  <c r="I13" i="3"/>
  <c r="K13" i="3" s="1"/>
  <c r="AL13" i="3" s="1"/>
  <c r="AO16" i="3"/>
  <c r="K27" i="3"/>
  <c r="I28" i="3"/>
  <c r="K28" i="3" s="1"/>
  <c r="AL28" i="3" s="1"/>
  <c r="E32" i="3"/>
  <c r="E40" i="3" s="1"/>
  <c r="E44" i="3" s="1"/>
  <c r="F57" i="3"/>
  <c r="F60" i="3" s="1"/>
  <c r="F11" i="3" s="1"/>
  <c r="F15" i="3" s="1"/>
  <c r="E60" i="3"/>
  <c r="E11" i="3" s="1"/>
  <c r="I66" i="3"/>
  <c r="K69" i="3"/>
  <c r="I10" i="3"/>
  <c r="I35" i="3"/>
  <c r="I39" i="3" s="1"/>
  <c r="E39" i="3"/>
  <c r="AO17" i="1"/>
  <c r="P21" i="3" l="1"/>
  <c r="P46" i="3"/>
  <c r="P23" i="3"/>
  <c r="P52" i="3" s="1"/>
  <c r="P53" i="3" s="1"/>
  <c r="P48" i="3" s="1"/>
  <c r="U20" i="4"/>
  <c r="U22" i="4"/>
  <c r="U49" i="4" s="1"/>
  <c r="U50" i="4" s="1"/>
  <c r="U45" i="4" s="1"/>
  <c r="AO15" i="4"/>
  <c r="Z22" i="4"/>
  <c r="Z49" i="4" s="1"/>
  <c r="Z50" i="4" s="1"/>
  <c r="Z45" i="4" s="1"/>
  <c r="Z21" i="3"/>
  <c r="Z46" i="3"/>
  <c r="Z23" i="3"/>
  <c r="Z52" i="3" s="1"/>
  <c r="Z53" i="3" s="1"/>
  <c r="Z48" i="3" s="1"/>
  <c r="AE21" i="3"/>
  <c r="AE23" i="3" s="1"/>
  <c r="AE46" i="3"/>
  <c r="AE52" i="3" s="1"/>
  <c r="AE53" i="3" s="1"/>
  <c r="AE48" i="3" s="1"/>
  <c r="AL66" i="3"/>
  <c r="AL36" i="4"/>
  <c r="U40" i="3"/>
  <c r="U44" i="3" s="1"/>
  <c r="AL26" i="4"/>
  <c r="AL30" i="4" s="1"/>
  <c r="K30" i="4"/>
  <c r="K37" i="4" s="1"/>
  <c r="K41" i="4" s="1"/>
  <c r="K14" i="4"/>
  <c r="AL10" i="4"/>
  <c r="AL14" i="4" s="1"/>
  <c r="I57" i="3"/>
  <c r="AL69" i="3"/>
  <c r="AL72" i="3" s="1"/>
  <c r="K72" i="3"/>
  <c r="K35" i="3"/>
  <c r="K10" i="3"/>
  <c r="I40" i="3"/>
  <c r="I44" i="3" s="1"/>
  <c r="I11" i="3"/>
  <c r="I15" i="3" s="1"/>
  <c r="E15" i="3"/>
  <c r="AL27" i="3"/>
  <c r="AL32" i="3" s="1"/>
  <c r="K32" i="3"/>
  <c r="AO16" i="1"/>
  <c r="AW25" i="1"/>
  <c r="AO15" i="2"/>
  <c r="U46" i="3" l="1"/>
  <c r="U21" i="3"/>
  <c r="U23" i="3" s="1"/>
  <c r="U52" i="3" s="1"/>
  <c r="U53" i="3" s="1"/>
  <c r="U48" i="3" s="1"/>
  <c r="AL37" i="4"/>
  <c r="AL41" i="4" s="1"/>
  <c r="AL35" i="3"/>
  <c r="AL39" i="3" s="1"/>
  <c r="AL40" i="3" s="1"/>
  <c r="AL44" i="3" s="1"/>
  <c r="K39" i="3"/>
  <c r="K40" i="3"/>
  <c r="K44" i="3" s="1"/>
  <c r="K11" i="3"/>
  <c r="AL11" i="3" s="1"/>
  <c r="AL10" i="3"/>
  <c r="I60" i="3"/>
  <c r="K57" i="3"/>
  <c r="H13" i="2"/>
  <c r="H12" i="2"/>
  <c r="H11" i="2"/>
  <c r="H10" i="2"/>
  <c r="H14" i="1"/>
  <c r="H13" i="1"/>
  <c r="H12" i="1"/>
  <c r="H10" i="1"/>
  <c r="AL15" i="3" l="1"/>
  <c r="K15" i="3"/>
  <c r="K60" i="3"/>
  <c r="AL57" i="3"/>
  <c r="AL60" i="3" s="1"/>
  <c r="AP15" i="1"/>
  <c r="AW22" i="2" l="1"/>
  <c r="AW28" i="2"/>
  <c r="AW29" i="2"/>
  <c r="AW32" i="1"/>
  <c r="AW33" i="1"/>
  <c r="AO33" i="1"/>
  <c r="Y15" i="1"/>
  <c r="AP33" i="2" l="1"/>
  <c r="AO33" i="2"/>
  <c r="AP32" i="2"/>
  <c r="AO32" i="2"/>
  <c r="AN32" i="2"/>
  <c r="AN33" i="2" s="1"/>
  <c r="AP27" i="2"/>
  <c r="AO27" i="2"/>
  <c r="AN27" i="2"/>
  <c r="AP26" i="2"/>
  <c r="AO26" i="2"/>
  <c r="AN26" i="2"/>
  <c r="AP25" i="2"/>
  <c r="AO25" i="2"/>
  <c r="AN25" i="2"/>
  <c r="AP24" i="2"/>
  <c r="AP28" i="2" s="1"/>
  <c r="AO24" i="2"/>
  <c r="AO28" i="2" s="1"/>
  <c r="AN24" i="2"/>
  <c r="AN28" i="2" s="1"/>
  <c r="AP21" i="2"/>
  <c r="AO21" i="2"/>
  <c r="AN21" i="2"/>
  <c r="AP20" i="2"/>
  <c r="AO20" i="2"/>
  <c r="AN20" i="2"/>
  <c r="AP19" i="2"/>
  <c r="AO19" i="2"/>
  <c r="AN19" i="2"/>
  <c r="AP18" i="2"/>
  <c r="AP22" i="2" s="1"/>
  <c r="AO18" i="2"/>
  <c r="AO22" i="2" s="1"/>
  <c r="AN18" i="2"/>
  <c r="AN22" i="2" s="1"/>
  <c r="AO14" i="2"/>
  <c r="AP14" i="2"/>
  <c r="AN14" i="2"/>
  <c r="AN10" i="2"/>
  <c r="E42" i="2"/>
  <c r="F42" i="2"/>
  <c r="AP29" i="2"/>
  <c r="AO29" i="2"/>
  <c r="AN29" i="2"/>
  <c r="AP13" i="2"/>
  <c r="AO13" i="2"/>
  <c r="AN13" i="2"/>
  <c r="AP12" i="2"/>
  <c r="AO12" i="2"/>
  <c r="AN12" i="2"/>
  <c r="AP11" i="2"/>
  <c r="AO11" i="2"/>
  <c r="AN11" i="2"/>
  <c r="AP10" i="2"/>
  <c r="AO10" i="2"/>
  <c r="AN11" i="1" l="1"/>
  <c r="AO11" i="1"/>
  <c r="AP11" i="1"/>
  <c r="AN12" i="1"/>
  <c r="AO12" i="1"/>
  <c r="AP12" i="1"/>
  <c r="AN13" i="1"/>
  <c r="AO13" i="1"/>
  <c r="AP13" i="1"/>
  <c r="AN14" i="1"/>
  <c r="AO14" i="1"/>
  <c r="AP14" i="1"/>
  <c r="AN15" i="1"/>
  <c r="AO15" i="1"/>
  <c r="AN20" i="1"/>
  <c r="AO20" i="1"/>
  <c r="AP20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P33" i="1"/>
  <c r="AN36" i="1"/>
  <c r="AO36" i="1"/>
  <c r="AP36" i="1"/>
  <c r="AN37" i="1"/>
  <c r="AO37" i="1"/>
  <c r="AP37" i="1"/>
  <c r="AN41" i="1"/>
  <c r="AO41" i="1"/>
  <c r="AP41" i="1"/>
  <c r="AN42" i="1"/>
  <c r="AO42" i="1"/>
  <c r="AP42" i="1"/>
  <c r="AN43" i="1"/>
  <c r="AO43" i="1"/>
  <c r="AP43" i="1"/>
  <c r="AN44" i="1"/>
  <c r="AO44" i="1"/>
  <c r="AP44" i="1"/>
  <c r="AN47" i="1"/>
  <c r="AO47" i="1"/>
  <c r="AP47" i="1"/>
  <c r="AN48" i="1"/>
  <c r="AO48" i="1"/>
  <c r="AP48" i="1"/>
  <c r="AN49" i="1"/>
  <c r="AO49" i="1"/>
  <c r="AP49" i="1"/>
  <c r="AN50" i="1"/>
  <c r="AO50" i="1"/>
  <c r="AP50" i="1"/>
  <c r="AN53" i="1"/>
  <c r="AO53" i="1"/>
  <c r="AP53" i="1"/>
  <c r="AN54" i="1"/>
  <c r="AO54" i="1"/>
  <c r="AP54" i="1"/>
  <c r="AN55" i="1"/>
  <c r="AO55" i="1"/>
  <c r="AP55" i="1"/>
  <c r="AN56" i="1"/>
  <c r="AO56" i="1"/>
  <c r="AP56" i="1"/>
  <c r="AO10" i="1"/>
  <c r="AP10" i="1"/>
  <c r="AN10" i="1"/>
  <c r="AJ54" i="1"/>
  <c r="AJ49" i="1"/>
  <c r="AJ55" i="1"/>
  <c r="AJ48" i="1"/>
  <c r="AJ47" i="1"/>
  <c r="AJ43" i="1"/>
  <c r="AJ42" i="1"/>
  <c r="AJ36" i="1"/>
  <c r="AJ31" i="1"/>
  <c r="AJ29" i="1"/>
  <c r="AJ27" i="1"/>
  <c r="AJ24" i="1"/>
  <c r="AJ30" i="1"/>
  <c r="AJ22" i="1"/>
  <c r="AJ14" i="1"/>
  <c r="AJ13" i="1"/>
  <c r="AJ12" i="1"/>
  <c r="AJ32" i="2"/>
  <c r="AJ27" i="2"/>
  <c r="AJ20" i="2"/>
  <c r="AJ19" i="2"/>
  <c r="AJ25" i="2"/>
  <c r="AJ18" i="2"/>
  <c r="AJ13" i="2"/>
  <c r="AJ12" i="2"/>
  <c r="AJ11" i="2"/>
  <c r="AJ10" i="2"/>
  <c r="AO18" i="1" l="1"/>
  <c r="AJ50" i="1"/>
  <c r="AJ11" i="1"/>
  <c r="AJ20" i="1"/>
  <c r="AJ41" i="1"/>
  <c r="AJ44" i="1" s="1"/>
  <c r="AJ10" i="1"/>
  <c r="AJ23" i="1"/>
  <c r="AJ14" i="2"/>
  <c r="AJ24" i="2"/>
  <c r="AJ26" i="2"/>
  <c r="AJ21" i="2"/>
  <c r="AJ22" i="2" s="1"/>
  <c r="AJ15" i="1" l="1"/>
  <c r="AJ53" i="1"/>
  <c r="AJ56" i="1" s="1"/>
  <c r="AJ21" i="1"/>
  <c r="AJ25" i="1" s="1"/>
  <c r="AJ28" i="2"/>
  <c r="AJ29" i="2" s="1"/>
  <c r="AJ33" i="2" s="1"/>
  <c r="AJ28" i="1" l="1"/>
  <c r="AJ32" i="1" s="1"/>
  <c r="AJ33" i="1" s="1"/>
  <c r="AJ37" i="1" s="1"/>
  <c r="AE32" i="2" l="1"/>
  <c r="AE21" i="2"/>
  <c r="AE27" i="2"/>
  <c r="AE26" i="2"/>
  <c r="AE19" i="2"/>
  <c r="AE18" i="2"/>
  <c r="AE13" i="2"/>
  <c r="AE12" i="2"/>
  <c r="AE11" i="2"/>
  <c r="AE10" i="2"/>
  <c r="AE54" i="1"/>
  <c r="AE49" i="1"/>
  <c r="AE48" i="1"/>
  <c r="AE47" i="1"/>
  <c r="AE43" i="1"/>
  <c r="AE11" i="1"/>
  <c r="AE36" i="1"/>
  <c r="AE31" i="1"/>
  <c r="AE29" i="1"/>
  <c r="AE24" i="1"/>
  <c r="AE23" i="1"/>
  <c r="AE30" i="1"/>
  <c r="AE22" i="1"/>
  <c r="AE20" i="1"/>
  <c r="AE14" i="1"/>
  <c r="AE13" i="1"/>
  <c r="AE12" i="1"/>
  <c r="AE10" i="1"/>
  <c r="AE14" i="2" l="1"/>
  <c r="AE24" i="2"/>
  <c r="AE25" i="2"/>
  <c r="AE20" i="2"/>
  <c r="AE22" i="2" s="1"/>
  <c r="AE53" i="1"/>
  <c r="AE28" i="1"/>
  <c r="AE15" i="1"/>
  <c r="AE50" i="1"/>
  <c r="AE55" i="1"/>
  <c r="AE27" i="1"/>
  <c r="AE32" i="1" s="1"/>
  <c r="AE42" i="1"/>
  <c r="AE41" i="1"/>
  <c r="AE44" i="1" s="1"/>
  <c r="AE28" i="2" l="1"/>
  <c r="AE29" i="2" s="1"/>
  <c r="AE33" i="2" s="1"/>
  <c r="AE21" i="1"/>
  <c r="AE25" i="1" s="1"/>
  <c r="AE33" i="1" s="1"/>
  <c r="AE37" i="1" s="1"/>
  <c r="AE56" i="1"/>
  <c r="Z49" i="1" l="1"/>
  <c r="Z48" i="1"/>
  <c r="Z47" i="1"/>
  <c r="Z43" i="1"/>
  <c r="Z42" i="1"/>
  <c r="Z41" i="1"/>
  <c r="Z36" i="1"/>
  <c r="Z31" i="1"/>
  <c r="Z30" i="1"/>
  <c r="Z29" i="1"/>
  <c r="Z24" i="1"/>
  <c r="Z23" i="1"/>
  <c r="Z22" i="1"/>
  <c r="Z20" i="1"/>
  <c r="Z14" i="1"/>
  <c r="Z13" i="1"/>
  <c r="Z12" i="1"/>
  <c r="Z10" i="1"/>
  <c r="Z32" i="2"/>
  <c r="Z21" i="2"/>
  <c r="Z20" i="2"/>
  <c r="Z26" i="2"/>
  <c r="Z19" i="2"/>
  <c r="Z25" i="2"/>
  <c r="Z18" i="2"/>
  <c r="Z13" i="2"/>
  <c r="Z12" i="2"/>
  <c r="Z11" i="2"/>
  <c r="Z10" i="2"/>
  <c r="Z44" i="1" l="1"/>
  <c r="Z50" i="1"/>
  <c r="Z53" i="1"/>
  <c r="Z55" i="1"/>
  <c r="Z27" i="1"/>
  <c r="Z54" i="1"/>
  <c r="Z22" i="2"/>
  <c r="Z14" i="2"/>
  <c r="Z27" i="2"/>
  <c r="Z21" i="1" l="1"/>
  <c r="Z25" i="1" s="1"/>
  <c r="Z11" i="1"/>
  <c r="Z15" i="1" s="1"/>
  <c r="Z56" i="1"/>
  <c r="Z24" i="2"/>
  <c r="Z28" i="2" s="1"/>
  <c r="Z29" i="2" s="1"/>
  <c r="Z33" i="2" s="1"/>
  <c r="Z28" i="1" l="1"/>
  <c r="Z32" i="1" s="1"/>
  <c r="Z33" i="1" s="1"/>
  <c r="Z37" i="1" s="1"/>
  <c r="U32" i="2" l="1"/>
  <c r="U27" i="2"/>
  <c r="U20" i="2"/>
  <c r="U19" i="2"/>
  <c r="U25" i="2"/>
  <c r="U13" i="2"/>
  <c r="U12" i="2"/>
  <c r="U11" i="2"/>
  <c r="U13" i="1"/>
  <c r="U30" i="1"/>
  <c r="U29" i="1"/>
  <c r="U31" i="1"/>
  <c r="U48" i="1"/>
  <c r="U43" i="1"/>
  <c r="U42" i="1"/>
  <c r="U36" i="1"/>
  <c r="U24" i="1"/>
  <c r="U20" i="1"/>
  <c r="U14" i="1"/>
  <c r="U24" i="2" l="1"/>
  <c r="U18" i="2"/>
  <c r="U21" i="2"/>
  <c r="U10" i="2"/>
  <c r="U14" i="2" s="1"/>
  <c r="U26" i="2"/>
  <c r="U11" i="1"/>
  <c r="U49" i="1"/>
  <c r="U47" i="1"/>
  <c r="U10" i="1"/>
  <c r="U23" i="1"/>
  <c r="U12" i="1"/>
  <c r="U53" i="1"/>
  <c r="U22" i="1"/>
  <c r="U55" i="1"/>
  <c r="U27" i="1"/>
  <c r="U54" i="1"/>
  <c r="U41" i="1"/>
  <c r="U44" i="1" s="1"/>
  <c r="U22" i="2" l="1"/>
  <c r="U28" i="2"/>
  <c r="U50" i="1"/>
  <c r="U15" i="1"/>
  <c r="U56" i="1"/>
  <c r="U21" i="1"/>
  <c r="U25" i="1" s="1"/>
  <c r="U29" i="2" l="1"/>
  <c r="U33" i="2" s="1"/>
  <c r="U28" i="1"/>
  <c r="U32" i="1" s="1"/>
  <c r="U33" i="1" s="1"/>
  <c r="U37" i="1" s="1"/>
  <c r="P32" i="2" l="1"/>
  <c r="P27" i="2"/>
  <c r="P20" i="2"/>
  <c r="P12" i="2"/>
  <c r="P11" i="2" l="1"/>
  <c r="P19" i="2"/>
  <c r="P13" i="2"/>
  <c r="P18" i="2"/>
  <c r="P10" i="2"/>
  <c r="P21" i="2"/>
  <c r="P24" i="2"/>
  <c r="P26" i="2"/>
  <c r="P25" i="2"/>
  <c r="P36" i="1"/>
  <c r="P23" i="1"/>
  <c r="P29" i="1"/>
  <c r="P20" i="1"/>
  <c r="P10" i="1"/>
  <c r="I27" i="1"/>
  <c r="K27" i="1" s="1"/>
  <c r="F28" i="2"/>
  <c r="E28" i="2"/>
  <c r="I25" i="2"/>
  <c r="K25" i="2" s="1"/>
  <c r="AL25" i="2" s="1"/>
  <c r="F22" i="2"/>
  <c r="F29" i="2" s="1"/>
  <c r="F33" i="2" s="1"/>
  <c r="E22" i="2"/>
  <c r="E29" i="2" s="1"/>
  <c r="E33" i="2" s="1"/>
  <c r="I19" i="2"/>
  <c r="K19" i="2" s="1"/>
  <c r="AL19" i="2" s="1"/>
  <c r="I18" i="2"/>
  <c r="E14" i="2"/>
  <c r="F13" i="2"/>
  <c r="F12" i="2"/>
  <c r="F11" i="2"/>
  <c r="I11" i="2" s="1"/>
  <c r="K11" i="2" s="1"/>
  <c r="AL11" i="2" s="1"/>
  <c r="F10" i="2"/>
  <c r="F68" i="1"/>
  <c r="E68" i="1"/>
  <c r="F56" i="1"/>
  <c r="F28" i="1" s="1"/>
  <c r="F32" i="1" s="1"/>
  <c r="E56" i="1"/>
  <c r="I55" i="1"/>
  <c r="K55" i="1" s="1"/>
  <c r="I54" i="1"/>
  <c r="K54" i="1" s="1"/>
  <c r="I53" i="1"/>
  <c r="K53" i="1" s="1"/>
  <c r="F50" i="1"/>
  <c r="E50" i="1"/>
  <c r="E21" i="1" s="1"/>
  <c r="K49" i="1"/>
  <c r="I49" i="1"/>
  <c r="I48" i="1"/>
  <c r="K48" i="1" s="1"/>
  <c r="I47" i="1"/>
  <c r="I50" i="1" s="1"/>
  <c r="F43" i="1"/>
  <c r="I43" i="1" s="1"/>
  <c r="K43" i="1" s="1"/>
  <c r="F42" i="1"/>
  <c r="I42" i="1" s="1"/>
  <c r="K42" i="1" s="1"/>
  <c r="E41" i="1"/>
  <c r="F41" i="1" s="1"/>
  <c r="I29" i="1"/>
  <c r="K29" i="1" s="1"/>
  <c r="E28" i="1"/>
  <c r="I24" i="1"/>
  <c r="K24" i="1" s="1"/>
  <c r="I22" i="1"/>
  <c r="K22" i="1" s="1"/>
  <c r="F21" i="1"/>
  <c r="F25" i="1" s="1"/>
  <c r="F33" i="1" s="1"/>
  <c r="F37" i="1" s="1"/>
  <c r="F14" i="1"/>
  <c r="I14" i="1" s="1"/>
  <c r="K14" i="1" s="1"/>
  <c r="F13" i="1"/>
  <c r="F12" i="1"/>
  <c r="I12" i="1" s="1"/>
  <c r="K12" i="1" s="1"/>
  <c r="F10" i="1"/>
  <c r="F14" i="2" l="1"/>
  <c r="H14" i="2"/>
  <c r="I13" i="2"/>
  <c r="K13" i="2" s="1"/>
  <c r="AL13" i="2" s="1"/>
  <c r="I10" i="2"/>
  <c r="K10" i="2" s="1"/>
  <c r="AL10" i="2" s="1"/>
  <c r="H15" i="1"/>
  <c r="I41" i="1"/>
  <c r="E25" i="1"/>
  <c r="I21" i="1"/>
  <c r="K21" i="1" s="1"/>
  <c r="AL29" i="1"/>
  <c r="I44" i="1"/>
  <c r="F44" i="1"/>
  <c r="F11" i="1" s="1"/>
  <c r="F15" i="1" s="1"/>
  <c r="E44" i="1"/>
  <c r="E11" i="1" s="1"/>
  <c r="P14" i="2"/>
  <c r="P13" i="1"/>
  <c r="P22" i="2"/>
  <c r="P43" i="1"/>
  <c r="AL43" i="1" s="1"/>
  <c r="P24" i="1"/>
  <c r="AL24" i="1" s="1"/>
  <c r="P28" i="2"/>
  <c r="P29" i="2"/>
  <c r="P33" i="2" s="1"/>
  <c r="P12" i="1"/>
  <c r="AL12" i="1" s="1"/>
  <c r="P14" i="1"/>
  <c r="AL14" i="1" s="1"/>
  <c r="P47" i="1"/>
  <c r="P30" i="1"/>
  <c r="P22" i="1"/>
  <c r="AL22" i="1" s="1"/>
  <c r="P42" i="1"/>
  <c r="AL42" i="1" s="1"/>
  <c r="P48" i="1"/>
  <c r="AL48" i="1" s="1"/>
  <c r="P31" i="1"/>
  <c r="P41" i="1"/>
  <c r="P49" i="1"/>
  <c r="AL49" i="1" s="1"/>
  <c r="P53" i="1"/>
  <c r="AL53" i="1" s="1"/>
  <c r="P55" i="1"/>
  <c r="AL55" i="1" s="1"/>
  <c r="P27" i="1"/>
  <c r="AL27" i="1" s="1"/>
  <c r="P54" i="1"/>
  <c r="AL54" i="1" s="1"/>
  <c r="I28" i="1"/>
  <c r="K28" i="1" s="1"/>
  <c r="E32" i="1"/>
  <c r="E33" i="1" s="1"/>
  <c r="E37" i="1" s="1"/>
  <c r="K41" i="1"/>
  <c r="I10" i="1"/>
  <c r="K18" i="2"/>
  <c r="AL18" i="2" s="1"/>
  <c r="K47" i="1"/>
  <c r="AL47" i="1" s="1"/>
  <c r="K56" i="1"/>
  <c r="I31" i="1"/>
  <c r="K31" i="1" s="1"/>
  <c r="AL31" i="1" s="1"/>
  <c r="I27" i="2"/>
  <c r="K27" i="2" s="1"/>
  <c r="AL27" i="2" s="1"/>
  <c r="I56" i="1"/>
  <c r="I21" i="2"/>
  <c r="K21" i="2" s="1"/>
  <c r="AL21" i="2" s="1"/>
  <c r="I11" i="1" l="1"/>
  <c r="K11" i="1" s="1"/>
  <c r="AL41" i="1"/>
  <c r="AL44" i="1" s="1"/>
  <c r="AL56" i="1"/>
  <c r="E15" i="1"/>
  <c r="P50" i="1"/>
  <c r="P44" i="1"/>
  <c r="P21" i="1"/>
  <c r="P25" i="1" s="1"/>
  <c r="P56" i="1"/>
  <c r="P11" i="1"/>
  <c r="P15" i="1" s="1"/>
  <c r="H25" i="1"/>
  <c r="H22" i="2"/>
  <c r="I20" i="1"/>
  <c r="K10" i="1"/>
  <c r="AL10" i="1" s="1"/>
  <c r="H32" i="1"/>
  <c r="H28" i="2"/>
  <c r="I24" i="2"/>
  <c r="K44" i="1"/>
  <c r="K50" i="1"/>
  <c r="AL11" i="1" l="1"/>
  <c r="AL21" i="1"/>
  <c r="P28" i="1"/>
  <c r="K24" i="2"/>
  <c r="AL24" i="2" s="1"/>
  <c r="K20" i="1"/>
  <c r="AL20" i="1" s="1"/>
  <c r="H33" i="1"/>
  <c r="H37" i="1" s="1"/>
  <c r="H29" i="2"/>
  <c r="H33" i="2" s="1"/>
  <c r="P32" i="1" l="1"/>
  <c r="P33" i="1" s="1"/>
  <c r="P37" i="1" s="1"/>
  <c r="AL28" i="1"/>
  <c r="G25" i="1" l="1"/>
  <c r="I23" i="1"/>
  <c r="G22" i="2"/>
  <c r="I20" i="2"/>
  <c r="I32" i="2" l="1"/>
  <c r="K32" i="2" s="1"/>
  <c r="AL32" i="2" s="1"/>
  <c r="K20" i="2"/>
  <c r="AL20" i="2" s="1"/>
  <c r="AL22" i="2" s="1"/>
  <c r="I22" i="2"/>
  <c r="I36" i="1"/>
  <c r="K36" i="1" s="1"/>
  <c r="AL36" i="1" s="1"/>
  <c r="K23" i="1"/>
  <c r="AL23" i="1" s="1"/>
  <c r="AL25" i="1" s="1"/>
  <c r="I25" i="1"/>
  <c r="K25" i="1" l="1"/>
  <c r="G14" i="2"/>
  <c r="I12" i="2"/>
  <c r="I26" i="2"/>
  <c r="G28" i="2"/>
  <c r="G29" i="2" s="1"/>
  <c r="G33" i="2" s="1"/>
  <c r="G15" i="1"/>
  <c r="I13" i="1"/>
  <c r="G32" i="1"/>
  <c r="G33" i="1" s="1"/>
  <c r="G37" i="1" s="1"/>
  <c r="I30" i="1"/>
  <c r="K22" i="2"/>
  <c r="K12" i="2" l="1"/>
  <c r="AL12" i="2" s="1"/>
  <c r="AL14" i="2" s="1"/>
  <c r="I14" i="2"/>
  <c r="K13" i="1"/>
  <c r="AL13" i="1" s="1"/>
  <c r="AL15" i="1" s="1"/>
  <c r="I15" i="1"/>
  <c r="K26" i="2"/>
  <c r="AL26" i="2" s="1"/>
  <c r="AL28" i="2" s="1"/>
  <c r="AL29" i="2" s="1"/>
  <c r="AL33" i="2" s="1"/>
  <c r="I28" i="2"/>
  <c r="I29" i="2" s="1"/>
  <c r="I33" i="2" s="1"/>
  <c r="K30" i="1"/>
  <c r="AL30" i="1" s="1"/>
  <c r="AL32" i="1" s="1"/>
  <c r="AL33" i="1" s="1"/>
  <c r="AL37" i="1" s="1"/>
  <c r="I32" i="1"/>
  <c r="I33" i="1" s="1"/>
  <c r="I37" i="1" s="1"/>
  <c r="K28" i="2" l="1"/>
  <c r="K29" i="2" s="1"/>
  <c r="K33" i="2" s="1"/>
  <c r="K15" i="1"/>
  <c r="K32" i="1"/>
  <c r="K33" i="1" s="1"/>
  <c r="K37" i="1" s="1"/>
  <c r="K14" i="2"/>
  <c r="AL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Schultz, Kaylene</author>
  </authors>
  <commentList>
    <comment ref="E21" authorId="0" shapeId="0" xr:uid="{DECB0266-7220-4C1D-9F21-6D6E7FCCDDD0}">
      <text>
        <r>
          <rPr>
            <sz val="9"/>
            <color indexed="81"/>
            <rFont val="Tahoma"/>
            <family val="2"/>
          </rPr>
          <t>WA wtd debt is 2.48% per RR Model</t>
        </r>
      </text>
    </comment>
    <comment ref="E50" authorId="0" shapeId="0" xr:uid="{0551255C-E91B-419A-84F5-D463C90A41C2}">
      <text>
        <r>
          <rPr>
            <sz val="9"/>
            <color indexed="81"/>
            <rFont val="Tahoma"/>
            <family val="2"/>
          </rPr>
          <t>Total Weighted Cost per RR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Schultz, Kaylene</author>
  </authors>
  <commentList>
    <comment ref="E20" authorId="0" shapeId="0" xr:uid="{2F83DAD9-1248-4E03-A97D-76BB91ADDD9D}">
      <text>
        <r>
          <rPr>
            <sz val="9"/>
            <color indexed="81"/>
            <rFont val="Tahoma"/>
            <family val="2"/>
          </rPr>
          <t>WA wtd debt is 2.48% per RR Model</t>
        </r>
      </text>
    </comment>
    <comment ref="E47" authorId="0" shapeId="0" xr:uid="{29DCAA28-57D3-44B7-81D7-271AD2D44F46}">
      <text>
        <r>
          <rPr>
            <sz val="9"/>
            <color indexed="81"/>
            <rFont val="Tahoma"/>
            <family val="2"/>
          </rPr>
          <t>Total Weighted Cost per RR Model</t>
        </r>
      </text>
    </comment>
  </commentList>
</comments>
</file>

<file path=xl/sharedStrings.xml><?xml version="1.0" encoding="utf-8"?>
<sst xmlns="http://schemas.openxmlformats.org/spreadsheetml/2006/main" count="510" uniqueCount="99">
  <si>
    <t xml:space="preserve">AVISTA UTILITIES  </t>
  </si>
  <si>
    <t>WASHINGTON ELECTRIC RESULTS  - ADJUST NET PLANT AMA TO EOP</t>
  </si>
  <si>
    <t>TWELVE MONTHS ENDED DECEMBER 31, 2019</t>
  </si>
  <si>
    <t xml:space="preserve">(000'S OF DOLLARS)  </t>
  </si>
  <si>
    <t>AMA</t>
  </si>
  <si>
    <t>EOP</t>
  </si>
  <si>
    <t>AMA to EOP</t>
  </si>
  <si>
    <t>Adjustment 2.19</t>
  </si>
  <si>
    <t>RECONCILIATION</t>
  </si>
  <si>
    <t>Adjustment 3.11 - Customer at the Center</t>
  </si>
  <si>
    <t>DESCRIPTION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</si>
  <si>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</si>
  <si>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</si>
  <si>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</si>
  <si>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</si>
  <si>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</si>
  <si>
    <t>2020 Retirements on Plant-In-Service at 12/31/2019</t>
  </si>
  <si>
    <t>2020 Plant Additions</t>
  </si>
  <si>
    <t>12.31.2020 EOP Balance Restated</t>
  </si>
  <si>
    <t xml:space="preserve">EXPENSES  </t>
  </si>
  <si>
    <t>ROO</t>
  </si>
  <si>
    <t>2) Adj. Dep Exp</t>
  </si>
  <si>
    <t xml:space="preserve">Intangible </t>
  </si>
  <si>
    <t xml:space="preserve">Production </t>
  </si>
  <si>
    <t>Transmission</t>
  </si>
  <si>
    <t xml:space="preserve">Distribution  </t>
  </si>
  <si>
    <t xml:space="preserve">General </t>
  </si>
  <si>
    <t xml:space="preserve">Total Electric Expenses  </t>
  </si>
  <si>
    <t xml:space="preserve">RATE BASE  </t>
  </si>
  <si>
    <t xml:space="preserve">PLANT IN SERVICE  </t>
  </si>
  <si>
    <t>NR.1E-New Rev</t>
  </si>
  <si>
    <t>AMI - Electric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</si>
  <si>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</si>
  <si>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</si>
  <si>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</si>
  <si>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</si>
  <si>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</si>
  <si>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</si>
  <si>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</si>
  <si>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</si>
  <si>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ADFIT AMA </t>
  </si>
  <si>
    <t>ADFIT EOP</t>
  </si>
  <si>
    <t xml:space="preserve">DEFERRED TAXES  </t>
  </si>
  <si>
    <t>Net Plant After DFIT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</si>
  <si>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</si>
  <si>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</si>
  <si>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</si>
  <si>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</si>
  <si>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</si>
  <si>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</si>
  <si>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</si>
  <si>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</si>
  <si>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</si>
  <si>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</si>
  <si>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Electric Depreciation Exp Adjustment to Plant</t>
  </si>
  <si>
    <t>Electric Depreciation Exp Adjustment to Plant - AMI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</si>
  <si>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</si>
  <si>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</si>
  <si>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</si>
  <si>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</si>
  <si>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</si>
  <si>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</si>
  <si>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</si>
  <si>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</si>
  <si>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WASHINGTON NATURAL GAS RESULTS  - ADJUST NET PLANT AMA TO EOP</t>
  </si>
  <si>
    <t>Underground Storage</t>
  </si>
  <si>
    <t xml:space="preserve">Total Natural Gas Expenses  </t>
  </si>
  <si>
    <t>NR.1G-New Rev</t>
  </si>
  <si>
    <t>AMI - Natural Gas</t>
  </si>
  <si>
    <t>Natural Gas Depreciation Exp Adjustment to Plant</t>
  </si>
  <si>
    <t>Natural Gas Depreciation Exp Adjustment to Plant - AMI</t>
  </si>
  <si>
    <t>Underground Storage Plant</t>
  </si>
  <si>
    <t>2020 Offsets</t>
  </si>
  <si>
    <t>12.31.2020 EOP Adjustment 3.11 Customer at the Center</t>
  </si>
  <si>
    <t>Adjustment 3.12 - Large Distinct Projects</t>
  </si>
  <si>
    <t>12.31.2020 EOP Adjustment 3.12 Large Distinct Projects</t>
  </si>
  <si>
    <t>Adjustment 3.13 - Programs</t>
  </si>
  <si>
    <t>12.31.2020 EOP Adjustment 3.13 Programs</t>
  </si>
  <si>
    <t>Adjustment 3.14 - Mandatory &amp; Compliance</t>
  </si>
  <si>
    <t>12.31.2020 EOP Adjustment 3.14 Mandatory &amp; Compliance</t>
  </si>
  <si>
    <t>Adjustment 3.15 Short-Lived Assets</t>
  </si>
  <si>
    <t>12.31.2020 EOP Adjustment 3.15 Short-Lived Assets</t>
  </si>
  <si>
    <t>2020 Total Retirements</t>
  </si>
  <si>
    <t>Check</t>
  </si>
  <si>
    <t>OFFSETS</t>
  </si>
  <si>
    <t xml:space="preserve">Total Offsets </t>
  </si>
  <si>
    <t>Depr</t>
  </si>
  <si>
    <t>Other exp</t>
  </si>
  <si>
    <t xml:space="preserve">TOTAL RATE BASE  </t>
  </si>
  <si>
    <t xml:space="preserve">RATE OF RETURN  </t>
  </si>
  <si>
    <t xml:space="preserve">REVENUE REQUIREMENT </t>
  </si>
  <si>
    <t xml:space="preserve">Revenue Conversion Factor </t>
  </si>
  <si>
    <t>NOI Requirement</t>
  </si>
  <si>
    <t xml:space="preserve">Revenue Requirement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</si>
  <si>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</si>
  <si>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</si>
  <si>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</si>
  <si>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</si>
  <si>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NET OPERATING INCOME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</si>
</sst>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center"/>
    </xf>
    <xf numFmtId="41" fontId="4" fillId="0" borderId="0" xfId="2" applyNumberFormat="1" applyFont="1"/>
    <xf numFmtId="164" fontId="4" fillId="0" borderId="0" xfId="1" applyNumberFormat="1" applyFont="1"/>
    <xf numFmtId="0" fontId="5" fillId="0" borderId="0" xfId="3"/>
    <xf numFmtId="41" fontId="4" fillId="0" borderId="0" xfId="2" applyNumberFormat="1" applyFont="1" applyAlignment="1">
      <alignment horizontal="center"/>
    </xf>
    <xf numFmtId="41" fontId="3" fillId="0" borderId="0" xfId="2" applyNumberFormat="1" applyFont="1"/>
    <xf numFmtId="0" fontId="4" fillId="0" borderId="0" xfId="2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164" fontId="6" fillId="2" borderId="5" xfId="1" quotePrefix="1" applyNumberFormat="1" applyFont="1" applyFill="1" applyBorder="1" applyAlignment="1">
      <alignment horizontal="center" vertical="center" wrapText="1"/>
    </xf>
    <xf numFmtId="2" fontId="4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2" fontId="4" fillId="0" borderId="0" xfId="5" applyNumberFormat="1" applyFont="1" applyAlignment="1" applyProtection="1">
      <alignment horizontal="center"/>
    </xf>
    <xf numFmtId="164" fontId="4" fillId="2" borderId="6" xfId="1" applyNumberFormat="1" applyFont="1" applyFill="1" applyBorder="1" applyAlignment="1">
      <alignment horizontal="center"/>
    </xf>
    <xf numFmtId="37" fontId="3" fillId="0" borderId="0" xfId="2" applyNumberFormat="1" applyFont="1" applyAlignment="1">
      <alignment horizontal="center"/>
    </xf>
    <xf numFmtId="37" fontId="3" fillId="0" borderId="0" xfId="2" applyNumberFormat="1" applyFont="1"/>
    <xf numFmtId="37" fontId="6" fillId="0" borderId="0" xfId="2" applyNumberFormat="1" applyFont="1"/>
    <xf numFmtId="164" fontId="4" fillId="2" borderId="6" xfId="1" applyNumberFormat="1" applyFont="1" applyFill="1" applyBorder="1"/>
    <xf numFmtId="37" fontId="3" fillId="3" borderId="0" xfId="2" applyNumberFormat="1" applyFont="1" applyFill="1"/>
    <xf numFmtId="41" fontId="3" fillId="3" borderId="0" xfId="2" applyNumberFormat="1" applyFont="1" applyFill="1"/>
    <xf numFmtId="37" fontId="3" fillId="0" borderId="7" xfId="2" applyNumberFormat="1" applyFont="1" applyBorder="1"/>
    <xf numFmtId="37" fontId="3" fillId="3" borderId="7" xfId="2" applyNumberFormat="1" applyFont="1" applyFill="1" applyBorder="1"/>
    <xf numFmtId="41" fontId="3" fillId="0" borderId="3" xfId="2" applyNumberFormat="1" applyFont="1" applyBorder="1"/>
    <xf numFmtId="164" fontId="4" fillId="2" borderId="5" xfId="1" applyNumberFormat="1" applyFont="1" applyFill="1" applyBorder="1"/>
    <xf numFmtId="3" fontId="3" fillId="0" borderId="0" xfId="6" applyNumberFormat="1" applyFont="1" applyAlignment="1">
      <alignment horizontal="center"/>
    </xf>
    <xf numFmtId="5" fontId="3" fillId="0" borderId="0" xfId="2" applyNumberFormat="1" applyFont="1"/>
    <xf numFmtId="164" fontId="4" fillId="2" borderId="8" xfId="1" applyNumberFormat="1" applyFont="1" applyFill="1" applyBorder="1"/>
    <xf numFmtId="41" fontId="3" fillId="0" borderId="9" xfId="2" applyNumberFormat="1" applyFont="1" applyBorder="1"/>
    <xf numFmtId="164" fontId="4" fillId="2" borderId="1" xfId="1" applyNumberFormat="1" applyFont="1" applyFill="1" applyBorder="1"/>
    <xf numFmtId="1" fontId="3" fillId="0" borderId="0" xfId="6" applyNumberFormat="1" applyFont="1" applyAlignment="1">
      <alignment horizontal="center"/>
    </xf>
    <xf numFmtId="41" fontId="3" fillId="0" borderId="7" xfId="2" applyNumberFormat="1" applyFont="1" applyBorder="1"/>
    <xf numFmtId="41" fontId="6" fillId="0" borderId="0" xfId="2" applyNumberFormat="1" applyFont="1"/>
    <xf numFmtId="164" fontId="4" fillId="2" borderId="0" xfId="1" applyNumberFormat="1" applyFont="1" applyFill="1"/>
    <xf numFmtId="0" fontId="4" fillId="0" borderId="0" xfId="3" applyFont="1" applyAlignment="1">
      <alignment horizontal="left"/>
    </xf>
    <xf numFmtId="0" fontId="8" fillId="0" borderId="0" xfId="3" applyFont="1"/>
    <xf numFmtId="37" fontId="3" fillId="0" borderId="3" xfId="2" applyNumberFormat="1" applyFont="1" applyBorder="1"/>
    <xf numFmtId="37" fontId="6" fillId="0" borderId="0" xfId="2" applyNumberFormat="1" applyFont="1" applyAlignment="1">
      <alignment horizontal="right"/>
    </xf>
    <xf numFmtId="41" fontId="4" fillId="0" borderId="0" xfId="2" applyNumberFormat="1" applyFont="1" applyAlignment="1">
      <alignment horizontal="center" vertical="center" wrapText="1"/>
    </xf>
    <xf numFmtId="164" fontId="3" fillId="0" borderId="7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/>
    <xf numFmtId="164" fontId="3" fillId="0" borderId="9" xfId="1" applyNumberFormat="1" applyFont="1" applyBorder="1"/>
    <xf numFmtId="0" fontId="4" fillId="0" borderId="5" xfId="2" applyFont="1" applyFill="1" applyBorder="1" applyAlignment="1">
      <alignment horizontal="center" vertical="center" wrapText="1"/>
    </xf>
    <xf numFmtId="37" fontId="3" fillId="0" borderId="9" xfId="2" applyNumberFormat="1" applyFont="1" applyBorder="1"/>
    <xf numFmtId="41" fontId="3" fillId="0" borderId="7" xfId="2" applyNumberFormat="1" applyFont="1" applyFill="1" applyBorder="1"/>
    <xf numFmtId="2" fontId="6" fillId="4" borderId="0" xfId="5" applyNumberFormat="1" applyFont="1" applyFill="1" applyAlignment="1" applyProtection="1">
      <alignment horizontal="center"/>
    </xf>
    <xf numFmtId="37" fontId="3" fillId="0" borderId="0" xfId="2" applyNumberFormat="1" applyFont="1" applyBorder="1"/>
    <xf numFmtId="37" fontId="6" fillId="0" borderId="10" xfId="2" applyNumberFormat="1" applyFont="1" applyBorder="1"/>
    <xf numFmtId="165" fontId="6" fillId="0" borderId="11" xfId="9" applyNumberFormat="1" applyFont="1" applyBorder="1"/>
    <xf numFmtId="37" fontId="3" fillId="5" borderId="0" xfId="2" applyNumberFormat="1" applyFont="1" applyFill="1"/>
    <xf numFmtId="165" fontId="3" fillId="0" borderId="0" xfId="9" applyNumberFormat="1" applyFont="1"/>
    <xf numFmtId="37" fontId="6" fillId="0" borderId="0" xfId="2" applyNumberFormat="1" applyFont="1" applyBorder="1"/>
    <xf numFmtId="165" fontId="6" fillId="0" borderId="0" xfId="9" applyNumberFormat="1" applyFont="1" applyBorder="1"/>
    <xf numFmtId="10" fontId="3" fillId="0" borderId="0" xfId="2" applyNumberFormat="1" applyFont="1"/>
    <xf numFmtId="166" fontId="3" fillId="0" borderId="0" xfId="2" applyNumberFormat="1" applyFont="1"/>
    <xf numFmtId="9" fontId="3" fillId="0" borderId="0" xfId="7" applyFont="1"/>
    <xf numFmtId="10" fontId="3" fillId="0" borderId="0" xfId="7" applyNumberFormat="1" applyFont="1"/>
    <xf numFmtId="164" fontId="4" fillId="2" borderId="12" xfId="1" applyNumberFormat="1" applyFont="1" applyFill="1" applyBorder="1"/>
    <xf numFmtId="0" fontId="4" fillId="0" borderId="0" xfId="2" applyFont="1" applyFill="1" applyAlignment="1">
      <alignment horizontal="center"/>
    </xf>
    <xf numFmtId="164" fontId="4" fillId="0" borderId="0" xfId="4" applyNumberFormat="1" applyFont="1" applyFill="1" applyAlignment="1">
      <alignment horizontal="center"/>
    </xf>
    <xf numFmtId="0" fontId="5" fillId="0" borderId="0" xfId="0" applyFont="1" applyFill="1"/>
    <xf numFmtId="0" fontId="0" fillId="0" borderId="0" xfId="0" applyFill="1"/>
    <xf numFmtId="164" fontId="4" fillId="0" borderId="2" xfId="4" applyNumberFormat="1" applyFont="1" applyFill="1" applyBorder="1" applyAlignment="1">
      <alignment horizontal="center" vertical="center" wrapText="1"/>
    </xf>
    <xf numFmtId="164" fontId="4" fillId="0" borderId="3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 applyAlignment="1">
      <alignment horizontal="center" vertical="center" wrapText="1"/>
    </xf>
    <xf numFmtId="164" fontId="4" fillId="0" borderId="2" xfId="4" applyNumberFormat="1" applyFont="1" applyFill="1" applyBorder="1" applyAlignment="1">
      <alignment horizontal="center"/>
    </xf>
    <xf numFmtId="164" fontId="4" fillId="0" borderId="3" xfId="4" applyNumberFormat="1" applyFont="1" applyFill="1" applyBorder="1" applyAlignment="1">
      <alignment horizontal="center"/>
    </xf>
    <xf numFmtId="164" fontId="4" fillId="0" borderId="4" xfId="4" applyNumberFormat="1" applyFont="1" applyFill="1" applyBorder="1" applyAlignment="1">
      <alignment horizontal="center"/>
    </xf>
    <xf numFmtId="164" fontId="4" fillId="0" borderId="2" xfId="4" applyNumberFormat="1" applyFont="1" applyBorder="1" applyAlignment="1">
      <alignment horizontal="center" vertical="center" wrapText="1"/>
    </xf>
    <xf numFmtId="164" fontId="4" fillId="0" borderId="3" xfId="4" applyNumberFormat="1" applyFont="1" applyBorder="1" applyAlignment="1">
      <alignment horizontal="center" vertical="center" wrapText="1"/>
    </xf>
    <xf numFmtId="164" fontId="4" fillId="0" borderId="4" xfId="4" applyNumberFormat="1" applyFont="1" applyBorder="1" applyAlignment="1">
      <alignment horizontal="center" vertical="center" wrapText="1"/>
    </xf>
    <xf numFmtId="164" fontId="4" fillId="0" borderId="2" xfId="4" applyNumberFormat="1" applyFont="1" applyBorder="1" applyAlignment="1">
      <alignment horizontal="center"/>
    </xf>
    <xf numFmtId="164" fontId="4" fillId="0" borderId="3" xfId="4" applyNumberFormat="1" applyFont="1" applyBorder="1" applyAlignment="1">
      <alignment horizontal="center"/>
    </xf>
    <xf numFmtId="164" fontId="4" fillId="0" borderId="4" xfId="4" applyNumberFormat="1" applyFont="1" applyBorder="1" applyAlignment="1">
      <alignment horizontal="center"/>
    </xf>
  </cellXfs>
  <cellStyles count="10">
    <cellStyle name="Comma" xfId="1" builtinId="3"/>
    <cellStyle name="Comma 2 2" xfId="4" xr:uid="{FF517005-F59B-40A0-95F2-45526B628447}"/>
    <cellStyle name="Comma 3 2" xfId="8" xr:uid="{ACFA4382-209C-4866-A973-4DE231173074}"/>
    <cellStyle name="Followed Hyperlink" xfId="5" builtinId="9"/>
    <cellStyle name="Normal" xfId="0" builtinId="0"/>
    <cellStyle name="Normal 2 2" xfId="3" xr:uid="{0DAFE8DB-4574-429E-A46E-353E76C3E441}"/>
    <cellStyle name="Normal_DFIT-WaEle_SUM" xfId="6" xr:uid="{520426AF-458A-4DC2-BB90-53D36110A821}"/>
    <cellStyle name="Normal_WAElec6_97" xfId="2" xr:uid="{2D686B2E-E885-441B-9FEE-8A807571020F}"/>
    <cellStyle name="Percent" xfId="9" builtinId="5"/>
    <cellStyle name="Percent 2 2" xfId="7" xr:uid="{30E93191-F8CE-425B-AEC3-A30CD9514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26</xdr:row>
      <xdr:rowOff>49530</xdr:rowOff>
    </xdr:from>
    <xdr:to>
      <xdr:col>4</xdr:col>
      <xdr:colOff>131445</xdr:colOff>
      <xdr:row>30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865F3E41-CDD1-4A50-AC0F-AD3AC5FA8228}"/>
            </a:ext>
          </a:extLst>
        </xdr:cNvPr>
        <xdr:cNvCxnSpPr/>
      </xdr:nvCxnSpPr>
      <xdr:spPr>
        <a:xfrm>
          <a:off x="2897505" y="3901440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68</xdr:row>
      <xdr:rowOff>22860</xdr:rowOff>
    </xdr:from>
    <xdr:to>
      <xdr:col>4</xdr:col>
      <xdr:colOff>137160</xdr:colOff>
      <xdr:row>70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FFBAA95-3C3C-47F8-9235-34D25FCBDBFE}"/>
            </a:ext>
          </a:extLst>
        </xdr:cNvPr>
        <xdr:cNvCxnSpPr/>
      </xdr:nvCxnSpPr>
      <xdr:spPr>
        <a:xfrm>
          <a:off x="2895600" y="95821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33</xdr:row>
      <xdr:rowOff>38100</xdr:rowOff>
    </xdr:from>
    <xdr:to>
      <xdr:col>4</xdr:col>
      <xdr:colOff>121920</xdr:colOff>
      <xdr:row>37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8ED1AAF-B3F1-4FFD-9526-2CE044D012D1}"/>
            </a:ext>
          </a:extLst>
        </xdr:cNvPr>
        <xdr:cNvCxnSpPr/>
      </xdr:nvCxnSpPr>
      <xdr:spPr>
        <a:xfrm>
          <a:off x="2886075" y="514350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62</xdr:row>
      <xdr:rowOff>38100</xdr:rowOff>
    </xdr:from>
    <xdr:to>
      <xdr:col>4</xdr:col>
      <xdr:colOff>137160</xdr:colOff>
      <xdr:row>64</xdr:row>
      <xdr:rowOff>99060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F8EECED-A593-47C6-8193-2AF68F47877F}"/>
            </a:ext>
          </a:extLst>
        </xdr:cNvPr>
        <xdr:cNvCxnSpPr/>
      </xdr:nvCxnSpPr>
      <xdr:spPr>
        <a:xfrm>
          <a:off x="2895600" y="8572500"/>
          <a:ext cx="0" cy="4000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44A8D4F-AFE8-4A59-9C61-F955782112A4}"/>
            </a:ext>
          </a:extLst>
        </xdr:cNvPr>
        <xdr:cNvCxnSpPr/>
      </xdr:nvCxnSpPr>
      <xdr:spPr>
        <a:xfrm>
          <a:off x="2905125" y="21240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56</xdr:row>
      <xdr:rowOff>22860</xdr:rowOff>
    </xdr:from>
    <xdr:to>
      <xdr:col>4</xdr:col>
      <xdr:colOff>129540</xdr:colOff>
      <xdr:row>58</xdr:row>
      <xdr:rowOff>83820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A3580A8-9882-41E0-9450-CC290A084B0C}"/>
            </a:ext>
          </a:extLst>
        </xdr:cNvPr>
        <xdr:cNvCxnSpPr/>
      </xdr:nvCxnSpPr>
      <xdr:spPr>
        <a:xfrm>
          <a:off x="2895600" y="75247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56</xdr:row>
      <xdr:rowOff>30480</xdr:rowOff>
    </xdr:from>
    <xdr:to>
      <xdr:col>5</xdr:col>
      <xdr:colOff>114300</xdr:colOff>
      <xdr:row>58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AB4CF1-8990-4B3F-A1E6-0B57B887D23B}"/>
            </a:ext>
          </a:extLst>
        </xdr:cNvPr>
        <xdr:cNvCxnSpPr/>
      </xdr:nvCxnSpPr>
      <xdr:spPr>
        <a:xfrm>
          <a:off x="3733800" y="75342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62</xdr:row>
      <xdr:rowOff>30480</xdr:rowOff>
    </xdr:from>
    <xdr:to>
      <xdr:col>5</xdr:col>
      <xdr:colOff>99060</xdr:colOff>
      <xdr:row>64</xdr:row>
      <xdr:rowOff>91440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F2433099-DA5F-44F1-AC7A-8B0382976169}"/>
            </a:ext>
          </a:extLst>
        </xdr:cNvPr>
        <xdr:cNvCxnSpPr/>
      </xdr:nvCxnSpPr>
      <xdr:spPr>
        <a:xfrm>
          <a:off x="3714750" y="85629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68</xdr:row>
      <xdr:rowOff>22860</xdr:rowOff>
    </xdr:from>
    <xdr:to>
      <xdr:col>5</xdr:col>
      <xdr:colOff>106680</xdr:colOff>
      <xdr:row>70</xdr:row>
      <xdr:rowOff>83820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B4DB3E3-D4DB-4104-971E-33C682C6894F}"/>
            </a:ext>
          </a:extLst>
        </xdr:cNvPr>
        <xdr:cNvCxnSpPr/>
      </xdr:nvCxnSpPr>
      <xdr:spPr>
        <a:xfrm>
          <a:off x="3724275" y="95821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B7ABA159-3D5F-4EB0-ACEC-CF68D108DCD1}"/>
            </a:ext>
          </a:extLst>
        </xdr:cNvPr>
        <xdr:cNvCxnSpPr/>
      </xdr:nvCxnSpPr>
      <xdr:spPr>
        <a:xfrm>
          <a:off x="3724275" y="21145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26</xdr:row>
      <xdr:rowOff>68580</xdr:rowOff>
    </xdr:from>
    <xdr:to>
      <xdr:col>5</xdr:col>
      <xdr:colOff>97155</xdr:colOff>
      <xdr:row>30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2503446-67E9-4BE7-B188-4CCE7C702830}"/>
            </a:ext>
          </a:extLst>
        </xdr:cNvPr>
        <xdr:cNvCxnSpPr/>
      </xdr:nvCxnSpPr>
      <xdr:spPr>
        <a:xfrm>
          <a:off x="3712845" y="3914775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33</xdr:row>
      <xdr:rowOff>55245</xdr:rowOff>
    </xdr:from>
    <xdr:to>
      <xdr:col>5</xdr:col>
      <xdr:colOff>91440</xdr:colOff>
      <xdr:row>37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F14428D-950B-41A3-88B6-C49235EAD4EB}"/>
            </a:ext>
          </a:extLst>
        </xdr:cNvPr>
        <xdr:cNvCxnSpPr/>
      </xdr:nvCxnSpPr>
      <xdr:spPr>
        <a:xfrm>
          <a:off x="3714750" y="5164455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75</xdr:row>
      <xdr:rowOff>47625</xdr:rowOff>
    </xdr:from>
    <xdr:to>
      <xdr:col>3</xdr:col>
      <xdr:colOff>2360295</xdr:colOff>
      <xdr:row>83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7B0788C9-A990-452A-9FAF-64986A9E4D3B}"/>
            </a:ext>
          </a:extLst>
        </xdr:cNvPr>
        <xdr:cNvCxnSpPr/>
      </xdr:nvCxnSpPr>
      <xdr:spPr>
        <a:xfrm>
          <a:off x="2625090" y="11365230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C2F2172C-8D17-457B-B401-24CA9BE495CC}"/>
            </a:ext>
          </a:extLst>
        </xdr:cNvPr>
        <xdr:cNvCxnSpPr/>
      </xdr:nvCxnSpPr>
      <xdr:spPr>
        <a:xfrm>
          <a:off x="5476875" y="21145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26</xdr:row>
      <xdr:rowOff>55245</xdr:rowOff>
    </xdr:from>
    <xdr:to>
      <xdr:col>7</xdr:col>
      <xdr:colOff>93345</xdr:colOff>
      <xdr:row>30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DB7970F0-AE59-4C57-83F6-F9C36047F065}"/>
            </a:ext>
          </a:extLst>
        </xdr:cNvPr>
        <xdr:cNvCxnSpPr/>
      </xdr:nvCxnSpPr>
      <xdr:spPr>
        <a:xfrm>
          <a:off x="5469255" y="390715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33</xdr:row>
      <xdr:rowOff>66675</xdr:rowOff>
    </xdr:from>
    <xdr:to>
      <xdr:col>7</xdr:col>
      <xdr:colOff>97155</xdr:colOff>
      <xdr:row>37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71A0FD1-19DD-45AE-9F9F-577AC14BA459}"/>
            </a:ext>
          </a:extLst>
        </xdr:cNvPr>
        <xdr:cNvCxnSpPr/>
      </xdr:nvCxnSpPr>
      <xdr:spPr>
        <a:xfrm>
          <a:off x="5465445" y="517017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26</xdr:row>
      <xdr:rowOff>81915</xdr:rowOff>
    </xdr:from>
    <xdr:to>
      <xdr:col>6</xdr:col>
      <xdr:colOff>93345</xdr:colOff>
      <xdr:row>30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234B505-9577-4B4D-9496-399DC9B9E6AE}"/>
            </a:ext>
          </a:extLst>
        </xdr:cNvPr>
        <xdr:cNvCxnSpPr/>
      </xdr:nvCxnSpPr>
      <xdr:spPr>
        <a:xfrm>
          <a:off x="4573905" y="39319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26</xdr:row>
      <xdr:rowOff>81915</xdr:rowOff>
    </xdr:from>
    <xdr:to>
      <xdr:col>6</xdr:col>
      <xdr:colOff>97155</xdr:colOff>
      <xdr:row>30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B5A84330-BD46-4EB3-880F-680E8315DF32}"/>
            </a:ext>
          </a:extLst>
        </xdr:cNvPr>
        <xdr:cNvCxnSpPr/>
      </xdr:nvCxnSpPr>
      <xdr:spPr>
        <a:xfrm>
          <a:off x="4570095" y="39319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26</xdr:row>
      <xdr:rowOff>74295</xdr:rowOff>
    </xdr:from>
    <xdr:to>
      <xdr:col>6</xdr:col>
      <xdr:colOff>93345</xdr:colOff>
      <xdr:row>30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BDFDDB39-ACCC-4A46-8EB9-8E13E2A815AE}"/>
            </a:ext>
          </a:extLst>
        </xdr:cNvPr>
        <xdr:cNvCxnSpPr/>
      </xdr:nvCxnSpPr>
      <xdr:spPr>
        <a:xfrm>
          <a:off x="4573905" y="39223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33</xdr:row>
      <xdr:rowOff>76200</xdr:rowOff>
    </xdr:from>
    <xdr:to>
      <xdr:col>6</xdr:col>
      <xdr:colOff>104775</xdr:colOff>
      <xdr:row>37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C651BEDE-7DC9-4A90-9DF3-6D88A74A7162}"/>
            </a:ext>
          </a:extLst>
        </xdr:cNvPr>
        <xdr:cNvCxnSpPr/>
      </xdr:nvCxnSpPr>
      <xdr:spPr>
        <a:xfrm>
          <a:off x="4579620" y="518160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25</xdr:row>
      <xdr:rowOff>49530</xdr:rowOff>
    </xdr:from>
    <xdr:to>
      <xdr:col>4</xdr:col>
      <xdr:colOff>131445</xdr:colOff>
      <xdr:row>28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B111D5C-78D4-40F8-AC6C-4763AFB12128}"/>
            </a:ext>
          </a:extLst>
        </xdr:cNvPr>
        <xdr:cNvCxnSpPr/>
      </xdr:nvCxnSpPr>
      <xdr:spPr>
        <a:xfrm>
          <a:off x="2897505" y="3549015"/>
          <a:ext cx="0" cy="52673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31</xdr:row>
      <xdr:rowOff>38100</xdr:rowOff>
    </xdr:from>
    <xdr:to>
      <xdr:col>4</xdr:col>
      <xdr:colOff>121920</xdr:colOff>
      <xdr:row>34</xdr:row>
      <xdr:rowOff>63817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8866099-2BF9-4AE5-9EEB-1B978F98AD4E}"/>
            </a:ext>
          </a:extLst>
        </xdr:cNvPr>
        <xdr:cNvCxnSpPr/>
      </xdr:nvCxnSpPr>
      <xdr:spPr>
        <a:xfrm>
          <a:off x="2886075" y="46196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582C889-F4FD-488F-B92A-300A1248F26B}"/>
            </a:ext>
          </a:extLst>
        </xdr:cNvPr>
        <xdr:cNvCxnSpPr/>
      </xdr:nvCxnSpPr>
      <xdr:spPr>
        <a:xfrm>
          <a:off x="2905125" y="2114550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1C8D5C0-27AF-4C84-B3B1-30D3D8FF2CDB}"/>
            </a:ext>
          </a:extLst>
        </xdr:cNvPr>
        <xdr:cNvCxnSpPr/>
      </xdr:nvCxnSpPr>
      <xdr:spPr>
        <a:xfrm>
          <a:off x="37242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25</xdr:row>
      <xdr:rowOff>68580</xdr:rowOff>
    </xdr:from>
    <xdr:to>
      <xdr:col>5</xdr:col>
      <xdr:colOff>97155</xdr:colOff>
      <xdr:row>28</xdr:row>
      <xdr:rowOff>77152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49B7A1A-D7ED-4E26-A334-84F8AD9C5889}"/>
            </a:ext>
          </a:extLst>
        </xdr:cNvPr>
        <xdr:cNvCxnSpPr/>
      </xdr:nvCxnSpPr>
      <xdr:spPr>
        <a:xfrm>
          <a:off x="3712845" y="3562350"/>
          <a:ext cx="0" cy="52482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31</xdr:row>
      <xdr:rowOff>55245</xdr:rowOff>
    </xdr:from>
    <xdr:to>
      <xdr:col>5</xdr:col>
      <xdr:colOff>91440</xdr:colOff>
      <xdr:row>34</xdr:row>
      <xdr:rowOff>73342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D66CC5A-3E1A-4309-A39A-9464B7C9F999}"/>
            </a:ext>
          </a:extLst>
        </xdr:cNvPr>
        <xdr:cNvCxnSpPr/>
      </xdr:nvCxnSpPr>
      <xdr:spPr>
        <a:xfrm>
          <a:off x="3714750" y="4640580"/>
          <a:ext cx="0" cy="52863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52</xdr:row>
      <xdr:rowOff>47625</xdr:rowOff>
    </xdr:from>
    <xdr:to>
      <xdr:col>3</xdr:col>
      <xdr:colOff>2360295</xdr:colOff>
      <xdr:row>57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5DD1EC4-73FE-4C57-8874-F21EB0B5AF71}"/>
            </a:ext>
          </a:extLst>
        </xdr:cNvPr>
        <xdr:cNvCxnSpPr/>
      </xdr:nvCxnSpPr>
      <xdr:spPr>
        <a:xfrm>
          <a:off x="2625090" y="7412355"/>
          <a:ext cx="1905" cy="8953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FBC50E6-6902-4FC6-9144-9B59CDA9AD3C}"/>
            </a:ext>
          </a:extLst>
        </xdr:cNvPr>
        <xdr:cNvCxnSpPr/>
      </xdr:nvCxnSpPr>
      <xdr:spPr>
        <a:xfrm>
          <a:off x="54768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25</xdr:row>
      <xdr:rowOff>55245</xdr:rowOff>
    </xdr:from>
    <xdr:to>
      <xdr:col>7</xdr:col>
      <xdr:colOff>93345</xdr:colOff>
      <xdr:row>28</xdr:row>
      <xdr:rowOff>77152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BFAA9C43-354E-42CD-9DD4-9F3C2DE335DD}"/>
            </a:ext>
          </a:extLst>
        </xdr:cNvPr>
        <xdr:cNvCxnSpPr/>
      </xdr:nvCxnSpPr>
      <xdr:spPr>
        <a:xfrm>
          <a:off x="5469255" y="3554730"/>
          <a:ext cx="0" cy="53244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31</xdr:row>
      <xdr:rowOff>66675</xdr:rowOff>
    </xdr:from>
    <xdr:to>
      <xdr:col>7</xdr:col>
      <xdr:colOff>97155</xdr:colOff>
      <xdr:row>34</xdr:row>
      <xdr:rowOff>84772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C5F293B4-73FE-4D82-B945-1A15E5C8CF5D}"/>
            </a:ext>
          </a:extLst>
        </xdr:cNvPr>
        <xdr:cNvCxnSpPr/>
      </xdr:nvCxnSpPr>
      <xdr:spPr>
        <a:xfrm>
          <a:off x="5465445" y="464629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25</xdr:row>
      <xdr:rowOff>81915</xdr:rowOff>
    </xdr:from>
    <xdr:to>
      <xdr:col>6</xdr:col>
      <xdr:colOff>93345</xdr:colOff>
      <xdr:row>28</xdr:row>
      <xdr:rowOff>82867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F33135D-EBB6-4D2D-9B51-DD53CCE1F319}"/>
            </a:ext>
          </a:extLst>
        </xdr:cNvPr>
        <xdr:cNvCxnSpPr/>
      </xdr:nvCxnSpPr>
      <xdr:spPr>
        <a:xfrm>
          <a:off x="457390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25</xdr:row>
      <xdr:rowOff>81915</xdr:rowOff>
    </xdr:from>
    <xdr:to>
      <xdr:col>6</xdr:col>
      <xdr:colOff>97155</xdr:colOff>
      <xdr:row>28</xdr:row>
      <xdr:rowOff>82867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722FA57-A806-4ECC-BC71-5EE9D339D728}"/>
            </a:ext>
          </a:extLst>
        </xdr:cNvPr>
        <xdr:cNvCxnSpPr/>
      </xdr:nvCxnSpPr>
      <xdr:spPr>
        <a:xfrm>
          <a:off x="457009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25</xdr:row>
      <xdr:rowOff>74295</xdr:rowOff>
    </xdr:from>
    <xdr:to>
      <xdr:col>6</xdr:col>
      <xdr:colOff>93345</xdr:colOff>
      <xdr:row>28</xdr:row>
      <xdr:rowOff>75247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FDB21D4-4637-4374-8D9D-C6DCD55B03A0}"/>
            </a:ext>
          </a:extLst>
        </xdr:cNvPr>
        <xdr:cNvCxnSpPr/>
      </xdr:nvCxnSpPr>
      <xdr:spPr>
        <a:xfrm>
          <a:off x="4573905" y="3569970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31</xdr:row>
      <xdr:rowOff>76200</xdr:rowOff>
    </xdr:from>
    <xdr:to>
      <xdr:col>6</xdr:col>
      <xdr:colOff>104775</xdr:colOff>
      <xdr:row>34</xdr:row>
      <xdr:rowOff>77152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2B0128F-E25F-49F5-A472-E7413920847B}"/>
            </a:ext>
          </a:extLst>
        </xdr:cNvPr>
        <xdr:cNvCxnSpPr/>
      </xdr:nvCxnSpPr>
      <xdr:spPr>
        <a:xfrm>
          <a:off x="4579620" y="465772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1D44AF1-2B2B-4906-BC54-535B9CD62D12}"/>
            </a:ext>
          </a:extLst>
        </xdr:cNvPr>
        <xdr:cNvCxnSpPr/>
      </xdr:nvCxnSpPr>
      <xdr:spPr>
        <a:xfrm>
          <a:off x="2897505" y="4168140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43ADC9C-65E3-4B02-AF0C-3D992D769AFE}"/>
            </a:ext>
          </a:extLst>
        </xdr:cNvPr>
        <xdr:cNvCxnSpPr/>
      </xdr:nvCxnSpPr>
      <xdr:spPr>
        <a:xfrm>
          <a:off x="2895600" y="98488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B6990F-C5D6-4D47-8224-75FFE1282C1E}"/>
            </a:ext>
          </a:extLst>
        </xdr:cNvPr>
        <xdr:cNvCxnSpPr/>
      </xdr:nvCxnSpPr>
      <xdr:spPr>
        <a:xfrm>
          <a:off x="2886075" y="541020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2D45744-495B-4E2A-ACBF-41E1952F672F}"/>
            </a:ext>
          </a:extLst>
        </xdr:cNvPr>
        <xdr:cNvCxnSpPr/>
      </xdr:nvCxnSpPr>
      <xdr:spPr>
        <a:xfrm>
          <a:off x="2895600" y="8839200"/>
          <a:ext cx="0" cy="4000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DCDD9C2-2FA4-45D2-B8B9-CE515DC443A1}"/>
            </a:ext>
          </a:extLst>
        </xdr:cNvPr>
        <xdr:cNvCxnSpPr/>
      </xdr:nvCxnSpPr>
      <xdr:spPr>
        <a:xfrm>
          <a:off x="2905125" y="23907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86A97DD-58F5-495F-A11D-123333FE12EB}"/>
            </a:ext>
          </a:extLst>
        </xdr:cNvPr>
        <xdr:cNvCxnSpPr/>
      </xdr:nvCxnSpPr>
      <xdr:spPr>
        <a:xfrm>
          <a:off x="289560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DEF359-5A10-46C8-9072-8834A0E9E01B}"/>
            </a:ext>
          </a:extLst>
        </xdr:cNvPr>
        <xdr:cNvCxnSpPr/>
      </xdr:nvCxnSpPr>
      <xdr:spPr>
        <a:xfrm>
          <a:off x="3733800" y="78009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9ADC0B7-477B-4688-A6C7-82C4713FF9D5}"/>
            </a:ext>
          </a:extLst>
        </xdr:cNvPr>
        <xdr:cNvCxnSpPr/>
      </xdr:nvCxnSpPr>
      <xdr:spPr>
        <a:xfrm>
          <a:off x="3714750" y="88296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9846311-E270-4CD3-8851-BAA31A4CFD10}"/>
            </a:ext>
          </a:extLst>
        </xdr:cNvPr>
        <xdr:cNvCxnSpPr/>
      </xdr:nvCxnSpPr>
      <xdr:spPr>
        <a:xfrm>
          <a:off x="3724275" y="98488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DEAEFE9-174A-4A69-90EB-0E4944452EF4}"/>
            </a:ext>
          </a:extLst>
        </xdr:cNvPr>
        <xdr:cNvCxnSpPr/>
      </xdr:nvCxnSpPr>
      <xdr:spPr>
        <a:xfrm>
          <a:off x="3724275" y="23812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9F890317-83F0-4893-ACCC-0B1CFF41AA0E}"/>
            </a:ext>
          </a:extLst>
        </xdr:cNvPr>
        <xdr:cNvCxnSpPr/>
      </xdr:nvCxnSpPr>
      <xdr:spPr>
        <a:xfrm>
          <a:off x="3712845" y="4181475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6C40105-A3E0-4897-B8DC-D597B204EAE2}"/>
            </a:ext>
          </a:extLst>
        </xdr:cNvPr>
        <xdr:cNvCxnSpPr/>
      </xdr:nvCxnSpPr>
      <xdr:spPr>
        <a:xfrm>
          <a:off x="3714750" y="5431155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D658B63-04A7-4D24-A34F-10E943E5CCAA}"/>
            </a:ext>
          </a:extLst>
        </xdr:cNvPr>
        <xdr:cNvCxnSpPr/>
      </xdr:nvCxnSpPr>
      <xdr:spPr>
        <a:xfrm>
          <a:off x="2625090" y="1148905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04521AF-0B62-4F8F-9001-5EFD4BE804A1}"/>
            </a:ext>
          </a:extLst>
        </xdr:cNvPr>
        <xdr:cNvCxnSpPr/>
      </xdr:nvCxnSpPr>
      <xdr:spPr>
        <a:xfrm>
          <a:off x="5476875" y="23812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0FCDAF8-8716-49D5-829A-F59CF2B0228C}"/>
            </a:ext>
          </a:extLst>
        </xdr:cNvPr>
        <xdr:cNvCxnSpPr/>
      </xdr:nvCxnSpPr>
      <xdr:spPr>
        <a:xfrm>
          <a:off x="5469255" y="417385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DF5BB98-04DC-4C38-BD41-7F32267E9F2C}"/>
            </a:ext>
          </a:extLst>
        </xdr:cNvPr>
        <xdr:cNvCxnSpPr/>
      </xdr:nvCxnSpPr>
      <xdr:spPr>
        <a:xfrm>
          <a:off x="5465445" y="543687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2E9F5720-975D-40D4-A87E-505A3425F93F}"/>
            </a:ext>
          </a:extLst>
        </xdr:cNvPr>
        <xdr:cNvCxnSpPr/>
      </xdr:nvCxnSpPr>
      <xdr:spPr>
        <a:xfrm>
          <a:off x="4573905" y="41986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C513A1EC-8F64-4A7B-8074-98942808A65C}"/>
            </a:ext>
          </a:extLst>
        </xdr:cNvPr>
        <xdr:cNvCxnSpPr/>
      </xdr:nvCxnSpPr>
      <xdr:spPr>
        <a:xfrm>
          <a:off x="4570095" y="41986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220E483-2A3D-44F8-9CC1-3B2E13739CFB}"/>
            </a:ext>
          </a:extLst>
        </xdr:cNvPr>
        <xdr:cNvCxnSpPr/>
      </xdr:nvCxnSpPr>
      <xdr:spPr>
        <a:xfrm>
          <a:off x="4573905" y="41890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67996DB-BEB6-4E27-A61D-8FA98DF03387}"/>
            </a:ext>
          </a:extLst>
        </xdr:cNvPr>
        <xdr:cNvCxnSpPr/>
      </xdr:nvCxnSpPr>
      <xdr:spPr>
        <a:xfrm>
          <a:off x="4579620" y="544830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7067F22-C929-47E5-967D-BFE1F9953799}"/>
            </a:ext>
          </a:extLst>
        </xdr:cNvPr>
        <xdr:cNvCxnSpPr/>
      </xdr:nvCxnSpPr>
      <xdr:spPr>
        <a:xfrm>
          <a:off x="2897505" y="3549015"/>
          <a:ext cx="0" cy="52673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B4212BB-A7D0-4B70-896C-CC11BD6AD07A}"/>
            </a:ext>
          </a:extLst>
        </xdr:cNvPr>
        <xdr:cNvCxnSpPr/>
      </xdr:nvCxnSpPr>
      <xdr:spPr>
        <a:xfrm>
          <a:off x="2886075" y="46196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50BC269-697A-473D-813C-D4731A1F6935}"/>
            </a:ext>
          </a:extLst>
        </xdr:cNvPr>
        <xdr:cNvCxnSpPr/>
      </xdr:nvCxnSpPr>
      <xdr:spPr>
        <a:xfrm>
          <a:off x="2905125" y="2114550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BA71FC2-BCBC-4259-A50F-01E1CFBD8626}"/>
            </a:ext>
          </a:extLst>
        </xdr:cNvPr>
        <xdr:cNvCxnSpPr/>
      </xdr:nvCxnSpPr>
      <xdr:spPr>
        <a:xfrm>
          <a:off x="37242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92BEF19-2B16-429C-AFD4-4000946FE56C}"/>
            </a:ext>
          </a:extLst>
        </xdr:cNvPr>
        <xdr:cNvCxnSpPr/>
      </xdr:nvCxnSpPr>
      <xdr:spPr>
        <a:xfrm>
          <a:off x="3712845" y="3562350"/>
          <a:ext cx="0" cy="52482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9137301-D008-4648-9E13-EA807AF4A3DA}"/>
            </a:ext>
          </a:extLst>
        </xdr:cNvPr>
        <xdr:cNvCxnSpPr/>
      </xdr:nvCxnSpPr>
      <xdr:spPr>
        <a:xfrm>
          <a:off x="3714750" y="4640580"/>
          <a:ext cx="0" cy="52863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6814EE2-B551-4C6A-A275-43404965A90C}"/>
            </a:ext>
          </a:extLst>
        </xdr:cNvPr>
        <xdr:cNvCxnSpPr/>
      </xdr:nvCxnSpPr>
      <xdr:spPr>
        <a:xfrm>
          <a:off x="2625090" y="7269480"/>
          <a:ext cx="1905" cy="8953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474A45B-22E1-46E2-B74D-BCB6ACEDFC92}"/>
            </a:ext>
          </a:extLst>
        </xdr:cNvPr>
        <xdr:cNvCxnSpPr/>
      </xdr:nvCxnSpPr>
      <xdr:spPr>
        <a:xfrm>
          <a:off x="54768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3F19594-1B7C-4466-A5FD-7D35D8778B2B}"/>
            </a:ext>
          </a:extLst>
        </xdr:cNvPr>
        <xdr:cNvCxnSpPr/>
      </xdr:nvCxnSpPr>
      <xdr:spPr>
        <a:xfrm>
          <a:off x="5469255" y="3554730"/>
          <a:ext cx="0" cy="53244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23D44F10-B4B8-4CF1-B0CB-C519F0A7F0D8}"/>
            </a:ext>
          </a:extLst>
        </xdr:cNvPr>
        <xdr:cNvCxnSpPr/>
      </xdr:nvCxnSpPr>
      <xdr:spPr>
        <a:xfrm>
          <a:off x="5465445" y="464629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50415BD-045E-4887-8703-8258CEAC4AF2}"/>
            </a:ext>
          </a:extLst>
        </xdr:cNvPr>
        <xdr:cNvCxnSpPr/>
      </xdr:nvCxnSpPr>
      <xdr:spPr>
        <a:xfrm>
          <a:off x="457390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9E5D90B-765B-4C6D-930E-D1D455105144}"/>
            </a:ext>
          </a:extLst>
        </xdr:cNvPr>
        <xdr:cNvCxnSpPr/>
      </xdr:nvCxnSpPr>
      <xdr:spPr>
        <a:xfrm>
          <a:off x="457009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0C3C3AC-8048-4FFE-B7AC-AE08E6AEAFF5}"/>
            </a:ext>
          </a:extLst>
        </xdr:cNvPr>
        <xdr:cNvCxnSpPr/>
      </xdr:nvCxnSpPr>
      <xdr:spPr>
        <a:xfrm>
          <a:off x="4573905" y="3569970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30E886A-BC1B-4D0A-9579-3235BE7A77C4}"/>
            </a:ext>
          </a:extLst>
        </xdr:cNvPr>
        <xdr:cNvCxnSpPr/>
      </xdr:nvCxnSpPr>
      <xdr:spPr>
        <a:xfrm>
          <a:off x="4579620" y="465772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%20of%20Operations\2018\2018.11\12A-2018.11_Avista%20Gas%20South%20Pul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lias"/>
      <sheetName val="OR-CHK"/>
      <sheetName val="OR-CHK-UI"/>
      <sheetName val="OR-ALL"/>
      <sheetName val="OR-OPS"/>
      <sheetName val="OR-495"/>
      <sheetName val="OR-804"/>
      <sheetName val="OR-805"/>
      <sheetName val="OR-808"/>
      <sheetName val="OR-908"/>
      <sheetName val="OR-INT"/>
      <sheetName val="OR-FIT"/>
      <sheetName val="OR-SCM"/>
      <sheetName val="OR-DTE"/>
      <sheetName val="OR-OTX"/>
      <sheetName val="OR-PLT"/>
      <sheetName val="OR-APL"/>
      <sheetName val="OR-DEPX"/>
      <sheetName val="OR-AMTX"/>
      <sheetName val="OR-ADEP"/>
      <sheetName val="OR-AAMT"/>
      <sheetName val="C-GPL"/>
      <sheetName val="C-IPL"/>
      <sheetName val="C-DTX"/>
      <sheetName val="C-WKC"/>
      <sheetName val="OR-ROR"/>
    </sheetNames>
    <sheetDataSet>
      <sheetData sheetId="0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November 30, 2018</v>
          </cell>
        </row>
        <row r="5">
          <cell r="H5" t="str">
            <v>Average of Monthly Averages Basis</v>
          </cell>
        </row>
      </sheetData>
      <sheetData sheetId="1"/>
      <sheetData sheetId="2"/>
      <sheetData sheetId="3"/>
      <sheetData sheetId="4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 t="str">
            <v>Input</v>
          </cell>
          <cell r="E9" t="str">
            <v>Elec/Gas North/Oregon 4-Factor</v>
          </cell>
          <cell r="F9" t="str">
            <v>01-01-2017 thru 12-31-2017</v>
          </cell>
          <cell r="G9" t="str">
            <v>Total</v>
          </cell>
          <cell r="H9" t="str">
            <v>Electric</v>
          </cell>
          <cell r="I9" t="str">
            <v>Gas North</v>
          </cell>
          <cell r="J9" t="str">
            <v>Oregon Gas</v>
          </cell>
        </row>
        <row r="10">
          <cell r="C10">
            <v>0</v>
          </cell>
          <cell r="D10">
            <v>0</v>
          </cell>
          <cell r="E10" t="str">
            <v xml:space="preserve">   Direct O &amp; M Accts 580 - 894</v>
          </cell>
          <cell r="F10">
            <v>0</v>
          </cell>
          <cell r="G10">
            <v>74561528</v>
          </cell>
          <cell r="H10">
            <v>62492356</v>
          </cell>
          <cell r="I10">
            <v>8088844</v>
          </cell>
          <cell r="J10">
            <v>3980328</v>
          </cell>
        </row>
        <row r="11">
          <cell r="C11">
            <v>0</v>
          </cell>
          <cell r="D11">
            <v>0</v>
          </cell>
          <cell r="E11" t="str">
            <v xml:space="preserve">   Direct O &amp; M Accts 901 - 935</v>
          </cell>
          <cell r="F11">
            <v>0</v>
          </cell>
          <cell r="G11">
            <v>51344851</v>
          </cell>
          <cell r="H11">
            <v>35523672</v>
          </cell>
          <cell r="I11">
            <v>10602829</v>
          </cell>
          <cell r="J11">
            <v>5218350</v>
          </cell>
        </row>
        <row r="12">
          <cell r="C12">
            <v>0</v>
          </cell>
          <cell r="D12">
            <v>0</v>
          </cell>
          <cell r="E12" t="str">
            <v xml:space="preserve">   Direct O &amp; M Accts 901 - 905 Utility 9 Only</v>
          </cell>
          <cell r="F12">
            <v>0</v>
          </cell>
          <cell r="G12">
            <v>5153393</v>
          </cell>
          <cell r="H12">
            <v>3464837</v>
          </cell>
          <cell r="I12">
            <v>1688556</v>
          </cell>
          <cell r="J12" t="str">
            <v>XXXXXX</v>
          </cell>
        </row>
        <row r="13">
          <cell r="C13">
            <v>0</v>
          </cell>
          <cell r="D13">
            <v>0</v>
          </cell>
          <cell r="E13" t="str">
            <v xml:space="preserve">   Adjustments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0</v>
          </cell>
          <cell r="D14">
            <v>0</v>
          </cell>
          <cell r="E14" t="str">
            <v>Total</v>
          </cell>
          <cell r="F14">
            <v>0</v>
          </cell>
          <cell r="G14">
            <v>131059772</v>
          </cell>
          <cell r="H14">
            <v>101480865</v>
          </cell>
          <cell r="I14">
            <v>20380229</v>
          </cell>
          <cell r="J14">
            <v>9198678</v>
          </cell>
        </row>
        <row r="15">
          <cell r="C15">
            <v>0</v>
          </cell>
          <cell r="D15">
            <v>0</v>
          </cell>
          <cell r="E15" t="str">
            <v>Percentage</v>
          </cell>
          <cell r="F15">
            <v>0</v>
          </cell>
          <cell r="G15">
            <v>1</v>
          </cell>
          <cell r="H15">
            <v>0.77431000000000005</v>
          </cell>
          <cell r="I15">
            <v>0.1555</v>
          </cell>
          <cell r="J15">
            <v>7.0190000000000002E-2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 t="str">
            <v xml:space="preserve">   Direct Labor Accts 580 - 894</v>
          </cell>
          <cell r="F17">
            <v>0</v>
          </cell>
          <cell r="G17">
            <v>74226505</v>
          </cell>
          <cell r="H17">
            <v>55932706</v>
          </cell>
          <cell r="I17">
            <v>12828428</v>
          </cell>
          <cell r="J17">
            <v>5465371</v>
          </cell>
        </row>
        <row r="18">
          <cell r="C18">
            <v>0</v>
          </cell>
          <cell r="D18">
            <v>0</v>
          </cell>
          <cell r="E18" t="str">
            <v xml:space="preserve">   Direct Labor Accts 901 - 935</v>
          </cell>
          <cell r="F18">
            <v>0</v>
          </cell>
          <cell r="G18">
            <v>6185979</v>
          </cell>
          <cell r="H18">
            <v>3809731</v>
          </cell>
          <cell r="I18">
            <v>197120</v>
          </cell>
          <cell r="J18">
            <v>2179128</v>
          </cell>
        </row>
        <row r="19">
          <cell r="C19">
            <v>0</v>
          </cell>
          <cell r="D19">
            <v>0</v>
          </cell>
          <cell r="E19" t="str">
            <v xml:space="preserve">   Direct Labor Accts 901 - 905 Utility 9 Only</v>
          </cell>
          <cell r="F19">
            <v>0</v>
          </cell>
          <cell r="G19">
            <v>11137496</v>
          </cell>
          <cell r="H19">
            <v>7407915</v>
          </cell>
          <cell r="I19">
            <v>3729581</v>
          </cell>
          <cell r="J19" t="str">
            <v>XXXXXX</v>
          </cell>
        </row>
        <row r="20">
          <cell r="C20">
            <v>0</v>
          </cell>
          <cell r="D20">
            <v>0</v>
          </cell>
          <cell r="E20" t="str">
            <v>Total</v>
          </cell>
          <cell r="F20">
            <v>0</v>
          </cell>
          <cell r="G20">
            <v>91549980</v>
          </cell>
          <cell r="H20">
            <v>67150352</v>
          </cell>
          <cell r="I20">
            <v>16755129</v>
          </cell>
          <cell r="J20">
            <v>7644499</v>
          </cell>
        </row>
        <row r="21">
          <cell r="C21">
            <v>0</v>
          </cell>
          <cell r="D21">
            <v>0</v>
          </cell>
          <cell r="E21" t="str">
            <v>Percentage</v>
          </cell>
          <cell r="F21">
            <v>0</v>
          </cell>
          <cell r="G21">
            <v>1</v>
          </cell>
          <cell r="H21">
            <v>0.73348000000000002</v>
          </cell>
          <cell r="I21">
            <v>0.18301999999999999</v>
          </cell>
          <cell r="J21">
            <v>8.3500000000000005E-2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 t="str">
            <v xml:space="preserve">   Number of Customers</v>
          </cell>
          <cell r="F23">
            <v>0</v>
          </cell>
          <cell r="G23">
            <v>729596</v>
          </cell>
          <cell r="H23">
            <v>382273</v>
          </cell>
          <cell r="I23">
            <v>245616</v>
          </cell>
          <cell r="J23">
            <v>101707</v>
          </cell>
        </row>
        <row r="24">
          <cell r="C24">
            <v>0</v>
          </cell>
          <cell r="D24">
            <v>0</v>
          </cell>
          <cell r="E24" t="str">
            <v>Percentage</v>
          </cell>
          <cell r="F24">
            <v>0</v>
          </cell>
          <cell r="G24">
            <v>1</v>
          </cell>
          <cell r="H24">
            <v>0.52395000000000003</v>
          </cell>
          <cell r="I24">
            <v>0.33665</v>
          </cell>
          <cell r="J24">
            <v>0.1394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 t="str">
            <v xml:space="preserve">   Net Direct Plant</v>
          </cell>
          <cell r="F26">
            <v>0</v>
          </cell>
          <cell r="G26">
            <v>3427085391</v>
          </cell>
          <cell r="H26">
            <v>2651455641</v>
          </cell>
          <cell r="I26">
            <v>503067746</v>
          </cell>
          <cell r="J26">
            <v>272562004</v>
          </cell>
        </row>
        <row r="27">
          <cell r="C27">
            <v>0</v>
          </cell>
          <cell r="D27">
            <v>0</v>
          </cell>
          <cell r="E27" t="str">
            <v>Percentage</v>
          </cell>
          <cell r="F27">
            <v>0</v>
          </cell>
          <cell r="G27">
            <v>1</v>
          </cell>
          <cell r="H27">
            <v>0.77368000000000003</v>
          </cell>
          <cell r="I27">
            <v>0.14679</v>
          </cell>
          <cell r="J27">
            <v>7.9530000000000003E-2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 t="str">
            <v>Total Percentages</v>
          </cell>
          <cell r="F29">
            <v>0</v>
          </cell>
          <cell r="G29">
            <v>4</v>
          </cell>
          <cell r="H29">
            <v>2.8054199999999998</v>
          </cell>
          <cell r="I29">
            <v>0.82196000000000002</v>
          </cell>
          <cell r="J29">
            <v>0.37262000000000001</v>
          </cell>
        </row>
        <row r="30">
          <cell r="C30">
            <v>7</v>
          </cell>
          <cell r="D30">
            <v>0</v>
          </cell>
          <cell r="E30" t="str">
            <v>Average  (CD AA)</v>
          </cell>
          <cell r="F30">
            <v>0</v>
          </cell>
          <cell r="G30">
            <v>1</v>
          </cell>
          <cell r="H30">
            <v>0.70135000000000003</v>
          </cell>
          <cell r="I30">
            <v>0.20549000000000001</v>
          </cell>
          <cell r="J30">
            <v>9.3160000000000007E-2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 t="str">
            <v>Input</v>
          </cell>
          <cell r="E32" t="str">
            <v>Gas North/Oregon 4-Factor</v>
          </cell>
          <cell r="F32" t="str">
            <v>01-01-2017 thru 12-31-2017</v>
          </cell>
          <cell r="G32" t="str">
            <v>Total</v>
          </cell>
          <cell r="H32" t="str">
            <v>Electric</v>
          </cell>
          <cell r="I32" t="str">
            <v>Gas North</v>
          </cell>
          <cell r="J32" t="str">
            <v>Oregon Gas</v>
          </cell>
        </row>
        <row r="33">
          <cell r="C33">
            <v>0</v>
          </cell>
          <cell r="D33">
            <v>0</v>
          </cell>
          <cell r="E33" t="str">
            <v xml:space="preserve">   Direct O &amp; M Accts 580 - 894</v>
          </cell>
          <cell r="F33">
            <v>0</v>
          </cell>
          <cell r="G33">
            <v>11502745</v>
          </cell>
          <cell r="H33">
            <v>0</v>
          </cell>
          <cell r="I33">
            <v>7709221</v>
          </cell>
          <cell r="J33">
            <v>3793524</v>
          </cell>
        </row>
        <row r="34">
          <cell r="C34">
            <v>0</v>
          </cell>
          <cell r="D34">
            <v>0</v>
          </cell>
          <cell r="E34" t="str">
            <v xml:space="preserve">   Direct O &amp; M Accts 901 - 935</v>
          </cell>
          <cell r="F34">
            <v>0</v>
          </cell>
          <cell r="G34">
            <v>15449456</v>
          </cell>
          <cell r="H34">
            <v>0</v>
          </cell>
          <cell r="I34">
            <v>10353713</v>
          </cell>
          <cell r="J34">
            <v>5095743</v>
          </cell>
        </row>
        <row r="35">
          <cell r="C35">
            <v>0</v>
          </cell>
          <cell r="D35">
            <v>0</v>
          </cell>
          <cell r="E35" t="str">
            <v xml:space="preserve">   Direct O &amp; M Accts 901 - 905 Utility 9 Only</v>
          </cell>
          <cell r="F35">
            <v>0</v>
          </cell>
          <cell r="G35">
            <v>1688556</v>
          </cell>
          <cell r="H35">
            <v>0</v>
          </cell>
          <cell r="I35">
            <v>1688556</v>
          </cell>
          <cell r="J35" t="str">
            <v>XXXXXX</v>
          </cell>
        </row>
        <row r="36">
          <cell r="C36">
            <v>0</v>
          </cell>
          <cell r="D36">
            <v>0</v>
          </cell>
          <cell r="E36" t="str">
            <v>Total</v>
          </cell>
          <cell r="F36">
            <v>0</v>
          </cell>
          <cell r="G36">
            <v>28640757</v>
          </cell>
          <cell r="H36">
            <v>0</v>
          </cell>
          <cell r="I36">
            <v>19751490</v>
          </cell>
          <cell r="J36">
            <v>8889267</v>
          </cell>
        </row>
        <row r="37">
          <cell r="C37">
            <v>0</v>
          </cell>
          <cell r="D37">
            <v>0</v>
          </cell>
          <cell r="E37" t="str">
            <v>Percentage</v>
          </cell>
          <cell r="F37">
            <v>0</v>
          </cell>
          <cell r="G37">
            <v>1</v>
          </cell>
          <cell r="H37">
            <v>0</v>
          </cell>
          <cell r="I37">
            <v>0.68962999999999997</v>
          </cell>
          <cell r="J37">
            <v>0.31036999999999998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 t="str">
            <v xml:space="preserve">   Direct Labor Accts 580 - 894</v>
          </cell>
          <cell r="F39">
            <v>0</v>
          </cell>
          <cell r="G39">
            <v>13255885</v>
          </cell>
          <cell r="H39">
            <v>0</v>
          </cell>
          <cell r="I39">
            <v>9295618</v>
          </cell>
          <cell r="J39">
            <v>3960267</v>
          </cell>
        </row>
        <row r="40">
          <cell r="C40">
            <v>0</v>
          </cell>
          <cell r="D40">
            <v>0</v>
          </cell>
          <cell r="E40" t="str">
            <v xml:space="preserve">   Direct Labor Accts 901 - 935</v>
          </cell>
          <cell r="F40">
            <v>0</v>
          </cell>
          <cell r="G40">
            <v>1818322</v>
          </cell>
          <cell r="H40">
            <v>0</v>
          </cell>
          <cell r="I40">
            <v>150838</v>
          </cell>
          <cell r="J40">
            <v>1667484</v>
          </cell>
        </row>
        <row r="41">
          <cell r="C41">
            <v>0</v>
          </cell>
          <cell r="D41">
            <v>0</v>
          </cell>
          <cell r="E41" t="str">
            <v xml:space="preserve">   Direct Labor Accts 901 - 905 Utility 9 Only</v>
          </cell>
          <cell r="F41">
            <v>0</v>
          </cell>
          <cell r="G41">
            <v>3729581</v>
          </cell>
          <cell r="H41">
            <v>0</v>
          </cell>
          <cell r="I41">
            <v>3729581</v>
          </cell>
          <cell r="J41" t="str">
            <v>XXXXXX</v>
          </cell>
        </row>
        <row r="42">
          <cell r="C42">
            <v>0</v>
          </cell>
          <cell r="D42">
            <v>0</v>
          </cell>
          <cell r="E42" t="str">
            <v>Total</v>
          </cell>
          <cell r="F42">
            <v>0</v>
          </cell>
          <cell r="G42">
            <v>18803788</v>
          </cell>
          <cell r="H42">
            <v>0</v>
          </cell>
          <cell r="I42">
            <v>13176037</v>
          </cell>
          <cell r="J42">
            <v>5627751</v>
          </cell>
        </row>
        <row r="43">
          <cell r="C43">
            <v>0</v>
          </cell>
          <cell r="D43">
            <v>0</v>
          </cell>
          <cell r="E43" t="str">
            <v>Percentage</v>
          </cell>
          <cell r="F43">
            <v>0</v>
          </cell>
          <cell r="G43">
            <v>1</v>
          </cell>
          <cell r="H43">
            <v>0</v>
          </cell>
          <cell r="I43">
            <v>0.70071000000000006</v>
          </cell>
          <cell r="J43">
            <v>0.29929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 t="str">
            <v xml:space="preserve">   Number of Customers</v>
          </cell>
          <cell r="F45">
            <v>0</v>
          </cell>
          <cell r="G45">
            <v>347323</v>
          </cell>
          <cell r="H45">
            <v>0</v>
          </cell>
          <cell r="I45">
            <v>245616</v>
          </cell>
          <cell r="J45">
            <v>101707</v>
          </cell>
        </row>
        <row r="46">
          <cell r="C46">
            <v>0</v>
          </cell>
          <cell r="D46">
            <v>0</v>
          </cell>
          <cell r="E46" t="str">
            <v>Percentage</v>
          </cell>
          <cell r="F46">
            <v>0</v>
          </cell>
          <cell r="G46">
            <v>1</v>
          </cell>
          <cell r="H46">
            <v>0</v>
          </cell>
          <cell r="I46">
            <v>0.70716999999999997</v>
          </cell>
          <cell r="J46">
            <v>0.29282999999999998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 t="str">
            <v xml:space="preserve">   Net Direct Plant</v>
          </cell>
          <cell r="F48">
            <v>0</v>
          </cell>
          <cell r="G48">
            <v>764182162</v>
          </cell>
          <cell r="H48">
            <v>0</v>
          </cell>
          <cell r="I48">
            <v>492888057</v>
          </cell>
          <cell r="J48">
            <v>271294105</v>
          </cell>
        </row>
        <row r="49">
          <cell r="C49">
            <v>0</v>
          </cell>
          <cell r="D49">
            <v>0</v>
          </cell>
          <cell r="E49" t="str">
            <v>Percentage</v>
          </cell>
          <cell r="F49">
            <v>0</v>
          </cell>
          <cell r="G49">
            <v>1</v>
          </cell>
          <cell r="H49">
            <v>0</v>
          </cell>
          <cell r="I49">
            <v>0.64498999999999995</v>
          </cell>
          <cell r="J49">
            <v>0.35500999999999999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 t="str">
            <v>Total Percentages</v>
          </cell>
          <cell r="F51">
            <v>0</v>
          </cell>
          <cell r="G51">
            <v>4</v>
          </cell>
          <cell r="H51">
            <v>0</v>
          </cell>
          <cell r="I51">
            <v>2.7425000000000002</v>
          </cell>
          <cell r="J51">
            <v>1.2575000000000001</v>
          </cell>
        </row>
        <row r="52">
          <cell r="C52">
            <v>8</v>
          </cell>
          <cell r="D52">
            <v>0</v>
          </cell>
          <cell r="E52" t="str">
            <v>Average  (GD AA)</v>
          </cell>
          <cell r="F52">
            <v>0</v>
          </cell>
          <cell r="G52">
            <v>1</v>
          </cell>
          <cell r="H52">
            <v>0</v>
          </cell>
          <cell r="I52">
            <v>0.68562000000000001</v>
          </cell>
          <cell r="J52">
            <v>0.31437999999999999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 t="str">
            <v>Input</v>
          </cell>
          <cell r="E56" t="str">
            <v xml:space="preserve">Elec/Gas North 4-Factor </v>
          </cell>
          <cell r="F56" t="str">
            <v>01-01-2017 thru 12-31-2017</v>
          </cell>
          <cell r="G56" t="str">
            <v>Total</v>
          </cell>
          <cell r="H56" t="str">
            <v>Electric</v>
          </cell>
          <cell r="I56" t="str">
            <v>Gas North</v>
          </cell>
          <cell r="J56" t="str">
            <v>Oregon Gas</v>
          </cell>
        </row>
        <row r="57">
          <cell r="C57">
            <v>0</v>
          </cell>
          <cell r="D57">
            <v>0</v>
          </cell>
          <cell r="E57" t="str">
            <v xml:space="preserve">   Direct O &amp; M Accts 580 - 894</v>
          </cell>
          <cell r="F57">
            <v>0</v>
          </cell>
          <cell r="G57">
            <v>70589908</v>
          </cell>
          <cell r="H57">
            <v>62492356</v>
          </cell>
          <cell r="I57">
            <v>8097552</v>
          </cell>
          <cell r="J57">
            <v>0</v>
          </cell>
        </row>
        <row r="58">
          <cell r="C58">
            <v>0</v>
          </cell>
          <cell r="D58">
            <v>0</v>
          </cell>
          <cell r="E58" t="str">
            <v xml:space="preserve">   Direct O &amp; M Accts 901 - 935</v>
          </cell>
          <cell r="F58">
            <v>0</v>
          </cell>
          <cell r="G58">
            <v>46132231</v>
          </cell>
          <cell r="H58">
            <v>35523672</v>
          </cell>
          <cell r="I58">
            <v>10608559</v>
          </cell>
          <cell r="J58">
            <v>0</v>
          </cell>
        </row>
        <row r="59">
          <cell r="C59">
            <v>0</v>
          </cell>
          <cell r="D59">
            <v>0</v>
          </cell>
          <cell r="E59" t="str">
            <v xml:space="preserve">   Adjustments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C60">
            <v>0</v>
          </cell>
          <cell r="D60">
            <v>0</v>
          </cell>
          <cell r="E60" t="str">
            <v>Total</v>
          </cell>
          <cell r="F60">
            <v>0</v>
          </cell>
          <cell r="G60">
            <v>116722139</v>
          </cell>
          <cell r="H60">
            <v>98016028</v>
          </cell>
          <cell r="I60">
            <v>18706111</v>
          </cell>
          <cell r="J60">
            <v>0</v>
          </cell>
        </row>
        <row r="61">
          <cell r="C61">
            <v>0</v>
          </cell>
          <cell r="D61">
            <v>0</v>
          </cell>
          <cell r="E61" t="str">
            <v>Percentage</v>
          </cell>
          <cell r="F61">
            <v>0</v>
          </cell>
          <cell r="G61">
            <v>1</v>
          </cell>
          <cell r="H61">
            <v>0.83974000000000004</v>
          </cell>
          <cell r="I61">
            <v>0.16026000000000001</v>
          </cell>
          <cell r="J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C63">
            <v>0</v>
          </cell>
          <cell r="D63">
            <v>0</v>
          </cell>
          <cell r="E63" t="str">
            <v xml:space="preserve">   Direct Labor Accts 580 - 894</v>
          </cell>
          <cell r="F63">
            <v>0</v>
          </cell>
          <cell r="G63">
            <v>68682217</v>
          </cell>
          <cell r="H63">
            <v>55932706</v>
          </cell>
          <cell r="I63">
            <v>12749511</v>
          </cell>
          <cell r="J63">
            <v>0</v>
          </cell>
        </row>
        <row r="64">
          <cell r="C64">
            <v>0</v>
          </cell>
          <cell r="D64">
            <v>0</v>
          </cell>
          <cell r="E64" t="str">
            <v xml:space="preserve">   Direct Labor Accts 901 - 935</v>
          </cell>
          <cell r="F64">
            <v>0</v>
          </cell>
          <cell r="G64">
            <v>4343072</v>
          </cell>
          <cell r="H64">
            <v>3809731</v>
          </cell>
          <cell r="I64">
            <v>533341</v>
          </cell>
          <cell r="J64">
            <v>0</v>
          </cell>
        </row>
        <row r="65">
          <cell r="C65">
            <v>0</v>
          </cell>
          <cell r="D65">
            <v>0</v>
          </cell>
          <cell r="E65" t="str">
            <v>Total</v>
          </cell>
          <cell r="F65">
            <v>0</v>
          </cell>
          <cell r="G65">
            <v>73025289</v>
          </cell>
          <cell r="H65">
            <v>59742437</v>
          </cell>
          <cell r="I65">
            <v>13282852</v>
          </cell>
          <cell r="J65">
            <v>0</v>
          </cell>
        </row>
        <row r="66">
          <cell r="C66">
            <v>0</v>
          </cell>
          <cell r="D66">
            <v>0</v>
          </cell>
          <cell r="E66" t="str">
            <v>Percentage</v>
          </cell>
          <cell r="F66">
            <v>0</v>
          </cell>
          <cell r="G66">
            <v>1</v>
          </cell>
          <cell r="H66">
            <v>0.81811</v>
          </cell>
          <cell r="I66">
            <v>0.18189</v>
          </cell>
          <cell r="J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C68">
            <v>0</v>
          </cell>
          <cell r="D68">
            <v>0</v>
          </cell>
          <cell r="E68" t="str">
            <v xml:space="preserve">   Number of Customers</v>
          </cell>
          <cell r="F68">
            <v>0</v>
          </cell>
          <cell r="G68">
            <v>627889</v>
          </cell>
          <cell r="H68">
            <v>382273</v>
          </cell>
          <cell r="I68">
            <v>245616</v>
          </cell>
          <cell r="J68">
            <v>0</v>
          </cell>
        </row>
        <row r="69">
          <cell r="C69">
            <v>0</v>
          </cell>
          <cell r="D69">
            <v>0</v>
          </cell>
          <cell r="E69" t="str">
            <v>Percentage</v>
          </cell>
          <cell r="F69">
            <v>0</v>
          </cell>
          <cell r="G69">
            <v>1</v>
          </cell>
          <cell r="H69">
            <v>0.60882000000000003</v>
          </cell>
          <cell r="I69">
            <v>0.39118000000000003</v>
          </cell>
          <cell r="J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C71">
            <v>0</v>
          </cell>
          <cell r="D71">
            <v>0</v>
          </cell>
          <cell r="E71" t="str">
            <v xml:space="preserve">   Net Direct Plant</v>
          </cell>
          <cell r="F71">
            <v>0</v>
          </cell>
          <cell r="G71">
            <v>3118486683</v>
          </cell>
          <cell r="H71">
            <v>2625598626</v>
          </cell>
          <cell r="I71">
            <v>492888057</v>
          </cell>
          <cell r="J71">
            <v>0</v>
          </cell>
        </row>
        <row r="72">
          <cell r="C72">
            <v>0</v>
          </cell>
          <cell r="D72">
            <v>0</v>
          </cell>
          <cell r="E72" t="str">
            <v>Percentage</v>
          </cell>
          <cell r="F72">
            <v>0</v>
          </cell>
          <cell r="G72">
            <v>1</v>
          </cell>
          <cell r="H72">
            <v>0.84194999999999998</v>
          </cell>
          <cell r="I72">
            <v>0.15805</v>
          </cell>
          <cell r="J72">
            <v>0</v>
          </cell>
        </row>
        <row r="73">
          <cell r="C73">
            <v>0</v>
          </cell>
          <cell r="D73">
            <v>0</v>
          </cell>
          <cell r="E73" t="str">
            <v>Total Percentages</v>
          </cell>
          <cell r="F73">
            <v>0</v>
          </cell>
          <cell r="G73">
            <v>4</v>
          </cell>
          <cell r="H73">
            <v>3.1086200000000002</v>
          </cell>
          <cell r="I73">
            <v>0.89137999999999995</v>
          </cell>
          <cell r="J73">
            <v>0</v>
          </cell>
        </row>
        <row r="74">
          <cell r="C74">
            <v>9</v>
          </cell>
          <cell r="D74">
            <v>0</v>
          </cell>
          <cell r="E74" t="str">
            <v>Average  (CD AN/ID/WA)</v>
          </cell>
          <cell r="F74">
            <v>0</v>
          </cell>
          <cell r="G74">
            <v>1</v>
          </cell>
          <cell r="H74">
            <v>0.77714000000000005</v>
          </cell>
          <cell r="I74">
            <v>0.22286</v>
          </cell>
          <cell r="J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>Total</v>
          </cell>
          <cell r="H76">
            <v>0</v>
          </cell>
          <cell r="I76" t="str">
            <v>Gas North</v>
          </cell>
          <cell r="J76" t="str">
            <v>Oregon Gas</v>
          </cell>
        </row>
        <row r="77">
          <cell r="C77" t="str">
            <v>JP</v>
          </cell>
          <cell r="D77">
            <v>0</v>
          </cell>
          <cell r="E77" t="str">
            <v>Gas North/Oregon JP Factor %</v>
          </cell>
          <cell r="F77" t="str">
            <v>01-01-2017 thru 12-31-2017</v>
          </cell>
          <cell r="G77">
            <v>1</v>
          </cell>
          <cell r="H77">
            <v>0</v>
          </cell>
          <cell r="I77">
            <v>0.90349999999999997</v>
          </cell>
          <cell r="J77">
            <v>9.6500000000000002E-2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Total</v>
          </cell>
          <cell r="H79">
            <v>0</v>
          </cell>
          <cell r="I79">
            <v>0</v>
          </cell>
          <cell r="J79" t="str">
            <v>Oregon Gas</v>
          </cell>
        </row>
        <row r="80">
          <cell r="D80">
            <v>0</v>
          </cell>
          <cell r="E80" t="str">
            <v>Annual Throughput</v>
          </cell>
          <cell r="F80" t="str">
            <v>01-01-2017 thru 12-31-2017</v>
          </cell>
          <cell r="G80">
            <v>96627550</v>
          </cell>
          <cell r="H80">
            <v>0</v>
          </cell>
          <cell r="I80">
            <v>0</v>
          </cell>
          <cell r="J80">
            <v>96627550</v>
          </cell>
        </row>
        <row r="81">
          <cell r="C81">
            <v>10</v>
          </cell>
          <cell r="D81">
            <v>0</v>
          </cell>
          <cell r="E81" t="str">
            <v xml:space="preserve">  Percent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</row>
        <row r="82"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OR-PLT</v>
          </cell>
          <cell r="E83" t="str">
            <v>Net Gas Plant (before ADFIT) - AMA</v>
          </cell>
          <cell r="F83" t="str">
            <v>11-01-2017 thru 11-30-2018</v>
          </cell>
          <cell r="G83">
            <v>315414928</v>
          </cell>
          <cell r="H83">
            <v>0</v>
          </cell>
          <cell r="I83">
            <v>0</v>
          </cell>
          <cell r="J83">
            <v>315414928</v>
          </cell>
        </row>
        <row r="84">
          <cell r="C84">
            <v>12</v>
          </cell>
          <cell r="D84">
            <v>0</v>
          </cell>
          <cell r="E84" t="str">
            <v xml:space="preserve">  Percent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</row>
        <row r="85"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C86">
            <v>16</v>
          </cell>
          <cell r="D86">
            <v>0</v>
          </cell>
          <cell r="E86" t="str">
            <v>Jurisdiction/Service JP Factor %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>
            <v>99</v>
          </cell>
          <cell r="D88" t="str">
            <v>Input</v>
          </cell>
          <cell r="E88" t="str">
            <v>Not Allocated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C90">
            <v>0</v>
          </cell>
          <cell r="D90">
            <v>0</v>
          </cell>
          <cell r="E90" t="str">
            <v>**** The following is obsolete as of 201111 and will not be printed. ***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>
            <v>0</v>
          </cell>
          <cell r="D91">
            <v>0</v>
          </cell>
          <cell r="E91" t="str">
            <v>Situs Plant by Functional Group: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>
            <v>0</v>
          </cell>
          <cell r="D92">
            <v>0</v>
          </cell>
          <cell r="E92" t="str">
            <v>(Used to functionalize R&amp;P Property Tax 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C93">
            <v>0</v>
          </cell>
          <cell r="D93">
            <v>0</v>
          </cell>
          <cell r="E93" t="str">
            <v xml:space="preserve"> Report OR-OTX)</v>
          </cell>
          <cell r="F93" t="str">
            <v>11-30-2018</v>
          </cell>
          <cell r="G93" t="str">
            <v>Oregon</v>
          </cell>
          <cell r="J93">
            <v>0</v>
          </cell>
        </row>
        <row r="94">
          <cell r="C94">
            <v>0</v>
          </cell>
          <cell r="D94" t="str">
            <v>OR-PLT</v>
          </cell>
          <cell r="E94" t="str">
            <v>Production</v>
          </cell>
          <cell r="G94">
            <v>7628</v>
          </cell>
          <cell r="J94">
            <v>0</v>
          </cell>
        </row>
        <row r="95">
          <cell r="C95">
            <v>0</v>
          </cell>
          <cell r="D95" t="str">
            <v>OR-PLT</v>
          </cell>
          <cell r="E95" t="str">
            <v>Distribution</v>
          </cell>
          <cell r="G95">
            <v>376952028</v>
          </cell>
          <cell r="J95">
            <v>0</v>
          </cell>
        </row>
        <row r="96">
          <cell r="C96">
            <v>0</v>
          </cell>
          <cell r="D96" t="str">
            <v>OR-PLT</v>
          </cell>
          <cell r="E96" t="str">
            <v>General</v>
          </cell>
          <cell r="G96">
            <v>37012960</v>
          </cell>
          <cell r="J96">
            <v>0</v>
          </cell>
        </row>
        <row r="97">
          <cell r="C97">
            <v>0</v>
          </cell>
          <cell r="D97">
            <v>0</v>
          </cell>
          <cell r="E97" t="str">
            <v xml:space="preserve">  TOTAL</v>
          </cell>
          <cell r="G97">
            <v>413972616</v>
          </cell>
          <cell r="J9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A9AB-6F93-4F69-8232-30A2D6324D2F}">
  <dimension ref="A2:AW87"/>
  <sheetViews>
    <sheetView tabSelected="1" zoomScaleNormal="100" workbookViewId="0">
      <selection activeCell="B1" sqref="B1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2.44140625" style="8" bestFit="1" customWidth="1"/>
    <col min="9" max="9" width="14" style="5" bestFit="1" customWidth="1"/>
    <col min="10" max="10" width="1.6640625" customWidth="1"/>
    <col min="11" max="11" width="17.44140625" style="8" customWidth="1"/>
    <col min="12" max="12" width="1.44140625" style="6" customWidth="1"/>
    <col min="13" max="13" width="10.33203125" style="6" customWidth="1"/>
    <col min="14" max="15" width="10.6640625" style="6"/>
    <col min="16" max="16" width="14" style="5" bestFit="1" customWidth="1"/>
    <col min="17" max="17" width="1.88671875" style="6" customWidth="1"/>
    <col min="18" max="18" width="10.33203125" style="6" customWidth="1"/>
    <col min="19" max="20" width="10.6640625" style="6"/>
    <col min="21" max="21" width="14" style="5" bestFit="1" customWidth="1"/>
    <col min="22" max="22" width="1.88671875" style="6" customWidth="1"/>
    <col min="23" max="23" width="10.33203125" style="6" customWidth="1"/>
    <col min="24" max="25" width="10.6640625" style="6"/>
    <col min="26" max="26" width="14" style="5" bestFit="1" customWidth="1"/>
    <col min="27" max="27" width="1.88671875" style="6" customWidth="1"/>
    <col min="28" max="28" width="10.33203125" style="6" customWidth="1"/>
    <col min="29" max="30" width="10.6640625" style="6"/>
    <col min="31" max="31" width="14" style="5" bestFit="1" customWidth="1"/>
    <col min="32" max="32" width="1.88671875" style="6" customWidth="1"/>
    <col min="33" max="33" width="10.33203125" style="6" customWidth="1"/>
    <col min="34" max="35" width="10.6640625" style="6"/>
    <col min="36" max="36" width="14" style="5" bestFit="1" customWidth="1"/>
    <col min="37" max="37" width="1.88671875" style="6" customWidth="1"/>
    <col min="38" max="38" width="17.44140625" style="8" bestFit="1" customWidth="1"/>
    <col min="39" max="39" width="10.6640625" style="2"/>
    <col min="40" max="40" width="11.109375" style="8" customWidth="1"/>
    <col min="41" max="41" width="16.33203125" style="8" bestFit="1" customWidth="1"/>
    <col min="42" max="42" width="10.109375" style="8" bestFit="1" customWidth="1"/>
    <col min="43" max="43" width="10.6640625" style="2"/>
    <col min="44" max="48" width="14" style="5" bestFit="1" customWidth="1"/>
    <col min="49" max="16384" width="10.6640625" style="2"/>
  </cols>
  <sheetData>
    <row r="2" spans="1:48">
      <c r="A2" s="1" t="s">
        <v>0</v>
      </c>
      <c r="D2" s="3"/>
      <c r="E2" s="4"/>
      <c r="F2" s="4"/>
      <c r="G2" s="4"/>
      <c r="H2" s="4"/>
      <c r="K2" s="4"/>
      <c r="AL2" s="4"/>
      <c r="AN2" s="4"/>
      <c r="AO2" s="4"/>
      <c r="AP2" s="4"/>
    </row>
    <row r="3" spans="1:48" ht="12.75" customHeight="1">
      <c r="A3" s="1" t="s">
        <v>1</v>
      </c>
      <c r="D3" s="3"/>
      <c r="E3" s="7"/>
      <c r="F3" s="7"/>
      <c r="G3" s="7"/>
      <c r="H3" s="7"/>
      <c r="K3" s="7"/>
      <c r="AL3" s="7"/>
      <c r="AN3" s="7"/>
      <c r="AO3" s="7"/>
      <c r="AP3" s="7"/>
    </row>
    <row r="4" spans="1:48">
      <c r="A4" s="1" t="s">
        <v>2</v>
      </c>
      <c r="D4" s="3"/>
    </row>
    <row r="5" spans="1:48" ht="12.75" customHeight="1">
      <c r="A5" s="1" t="s">
        <v>3</v>
      </c>
      <c r="D5" s="3"/>
      <c r="E5" s="7"/>
      <c r="F5" s="7"/>
      <c r="G5" s="7"/>
      <c r="H5" s="7"/>
      <c r="K5" s="7"/>
      <c r="AL5" s="7"/>
      <c r="AN5" s="7"/>
      <c r="AO5" s="7"/>
      <c r="AP5" s="7"/>
    </row>
    <row r="6" spans="1:48" s="65" customFormat="1">
      <c r="E6" s="65" t="s">
        <v>4</v>
      </c>
      <c r="F6" s="65" t="s">
        <v>5</v>
      </c>
      <c r="G6" s="65" t="s">
        <v>6</v>
      </c>
      <c r="H6" s="65" t="s">
        <v>6</v>
      </c>
      <c r="I6" s="66" t="s">
        <v>7</v>
      </c>
      <c r="J6" s="67"/>
      <c r="K6" s="66" t="s">
        <v>8</v>
      </c>
      <c r="M6" s="69" t="s">
        <v>9</v>
      </c>
      <c r="N6" s="70"/>
      <c r="O6" s="70"/>
      <c r="P6" s="71"/>
      <c r="R6" s="69" t="s">
        <v>74</v>
      </c>
      <c r="S6" s="70"/>
      <c r="T6" s="70"/>
      <c r="U6" s="71"/>
      <c r="W6" s="69" t="s">
        <v>76</v>
      </c>
      <c r="X6" s="70"/>
      <c r="Y6" s="70"/>
      <c r="Z6" s="71"/>
      <c r="AB6" s="69" t="s">
        <v>78</v>
      </c>
      <c r="AC6" s="70"/>
      <c r="AD6" s="70"/>
      <c r="AE6" s="71"/>
      <c r="AG6" s="69" t="s">
        <v>80</v>
      </c>
      <c r="AH6" s="70"/>
      <c r="AI6" s="70"/>
      <c r="AJ6" s="71"/>
      <c r="AL6" s="66" t="s">
        <v>8</v>
      </c>
      <c r="AN6" s="66" t="s">
        <v>83</v>
      </c>
      <c r="AO6" s="66" t="s">
        <v>83</v>
      </c>
      <c r="AP6" s="66" t="s">
        <v>83</v>
      </c>
    </row>
    <row r="7" spans="1:48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15" t="s">
        <v>18</v>
      </c>
      <c r="AN7" s="15" t="s">
        <v>82</v>
      </c>
      <c r="AO7" s="15" t="s">
        <v>17</v>
      </c>
      <c r="AP7" s="15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48" s="17" customFormat="1">
      <c r="B8" s="18"/>
      <c r="E8" s="19"/>
      <c r="F8" s="19"/>
      <c r="G8" s="19"/>
      <c r="H8" s="19"/>
      <c r="I8" s="20"/>
      <c r="J8"/>
      <c r="K8" s="19"/>
      <c r="M8" s="52" t="s">
        <v>84</v>
      </c>
      <c r="P8" s="20"/>
      <c r="R8" s="52" t="s">
        <v>84</v>
      </c>
      <c r="U8" s="20"/>
      <c r="W8" s="52" t="s">
        <v>84</v>
      </c>
      <c r="Z8" s="20"/>
      <c r="AB8" s="52" t="s">
        <v>84</v>
      </c>
      <c r="AE8" s="20"/>
      <c r="AG8" s="52" t="s">
        <v>84</v>
      </c>
      <c r="AJ8" s="20"/>
      <c r="AL8" s="19"/>
      <c r="AN8" s="52" t="s">
        <v>84</v>
      </c>
      <c r="AO8" s="19"/>
      <c r="AP8" s="52" t="s">
        <v>84</v>
      </c>
      <c r="AR8" s="20"/>
      <c r="AS8" s="20"/>
      <c r="AT8" s="20"/>
      <c r="AU8" s="20"/>
      <c r="AV8" s="20"/>
    </row>
    <row r="9" spans="1:48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/>
      <c r="K9" s="23"/>
      <c r="P9" s="24"/>
      <c r="U9" s="24"/>
      <c r="Z9" s="24"/>
      <c r="AE9" s="24"/>
      <c r="AJ9" s="24"/>
      <c r="AL9" s="23"/>
      <c r="AN9" s="23"/>
      <c r="AO9" s="23"/>
      <c r="AP9" s="23"/>
      <c r="AR9" s="24"/>
      <c r="AS9" s="24"/>
      <c r="AT9" s="24"/>
      <c r="AU9" s="24"/>
      <c r="AV9" s="24"/>
    </row>
    <row r="10" spans="1:48" s="22" customFormat="1">
      <c r="A10" s="21"/>
      <c r="C10" s="22" t="s">
        <v>22</v>
      </c>
      <c r="E10" s="22">
        <v>20791</v>
      </c>
      <c r="F10" s="25">
        <f>E10+(E76/1000)</f>
        <v>21711.468380000628</v>
      </c>
      <c r="H10" s="25">
        <f>-(F76/1000)</f>
        <v>-72.288396421350768</v>
      </c>
      <c r="I10" s="24">
        <f>SUM(-E10,F10,G10:H10)</f>
        <v>848.17998357927706</v>
      </c>
      <c r="J10"/>
      <c r="K10" s="22">
        <f>E10+I10</f>
        <v>21639.179983579277</v>
      </c>
      <c r="M10" s="22">
        <v>-206.49894390642459</v>
      </c>
      <c r="N10" s="22">
        <v>2220</v>
      </c>
      <c r="O10" s="22">
        <v>0</v>
      </c>
      <c r="P10" s="24">
        <f>SUM(M10:O10)</f>
        <v>2013.5010560935755</v>
      </c>
      <c r="R10" s="22">
        <v>0</v>
      </c>
      <c r="S10" s="22">
        <v>0</v>
      </c>
      <c r="T10" s="22">
        <v>0</v>
      </c>
      <c r="U10" s="24">
        <f>SUM(R10:T10)</f>
        <v>0</v>
      </c>
      <c r="W10" s="22">
        <v>-15.75285461586992</v>
      </c>
      <c r="X10" s="22">
        <v>169</v>
      </c>
      <c r="Y10" s="22">
        <v>0</v>
      </c>
      <c r="Z10" s="24">
        <f>SUM(W10:Y10)</f>
        <v>153.24714538413008</v>
      </c>
      <c r="AB10" s="22">
        <v>-1.0041357670237285</v>
      </c>
      <c r="AC10" s="22">
        <v>11</v>
      </c>
      <c r="AD10" s="22">
        <v>0</v>
      </c>
      <c r="AE10" s="24">
        <f>SUM(AB10:AD10)</f>
        <v>9.9958642329762721</v>
      </c>
      <c r="AG10" s="22">
        <v>-156.49505714384773</v>
      </c>
      <c r="AH10" s="22">
        <v>1682</v>
      </c>
      <c r="AI10" s="22">
        <v>0</v>
      </c>
      <c r="AJ10" s="24">
        <f>SUM(AG10:AI10)</f>
        <v>1525.5049428561522</v>
      </c>
      <c r="AL10" s="22">
        <f>SUM(K10,P10,U10,Z10,AE10,AJ10)</f>
        <v>25341.428992146113</v>
      </c>
      <c r="AN10" s="22">
        <f>SUM(M10,R10,W10,AB10,AG10)</f>
        <v>-379.75099143316595</v>
      </c>
      <c r="AO10" s="22">
        <f t="shared" ref="AO10:AP32" si="0">SUM(N10,S10,X10,AC10,AH10)</f>
        <v>4082</v>
      </c>
      <c r="AP10" s="22">
        <f t="shared" si="0"/>
        <v>0</v>
      </c>
      <c r="AR10" s="24">
        <v>2013.5010560935755</v>
      </c>
      <c r="AS10" s="24">
        <v>0</v>
      </c>
      <c r="AT10" s="24">
        <v>153.24714538413008</v>
      </c>
      <c r="AU10" s="24">
        <v>9.9958642329762721</v>
      </c>
      <c r="AV10" s="24">
        <v>1525.5049428561522</v>
      </c>
    </row>
    <row r="11" spans="1:48" s="22" customFormat="1">
      <c r="A11" s="21"/>
      <c r="C11" s="22" t="s">
        <v>23</v>
      </c>
      <c r="E11" s="22">
        <f>E60</f>
        <v>21924.798000000003</v>
      </c>
      <c r="F11" s="25">
        <f>F60</f>
        <v>24686.845332398429</v>
      </c>
      <c r="H11" s="25"/>
      <c r="I11" s="24">
        <f>SUM(-E11,F11,G11:H11)</f>
        <v>2762.0473323984261</v>
      </c>
      <c r="J11"/>
      <c r="K11" s="22">
        <f t="shared" ref="K11:K14" si="1">E11+I11</f>
        <v>24686.845332398429</v>
      </c>
      <c r="M11" s="22">
        <v>0</v>
      </c>
      <c r="N11" s="22">
        <v>0</v>
      </c>
      <c r="O11" s="22">
        <v>0</v>
      </c>
      <c r="P11" s="24">
        <f t="shared" ref="P11:P14" si="2">SUM(M11:O11)</f>
        <v>0</v>
      </c>
      <c r="R11" s="22">
        <v>-33.640254301592094</v>
      </c>
      <c r="S11" s="22">
        <v>71</v>
      </c>
      <c r="T11" s="22">
        <v>0</v>
      </c>
      <c r="U11" s="24">
        <f t="shared" ref="U11:U14" si="3">SUM(R11:T11)</f>
        <v>37.359745698407906</v>
      </c>
      <c r="W11" s="22">
        <v>-3.8892637711023674</v>
      </c>
      <c r="X11" s="22">
        <v>58</v>
      </c>
      <c r="Y11" s="22">
        <v>0</v>
      </c>
      <c r="Z11" s="24">
        <f t="shared" ref="Z11:Z14" si="4">SUM(W11:Y11)</f>
        <v>54.110736228897636</v>
      </c>
      <c r="AB11" s="22">
        <v>-5.9301841118760379</v>
      </c>
      <c r="AC11" s="22">
        <v>31</v>
      </c>
      <c r="AD11" s="22">
        <v>0</v>
      </c>
      <c r="AE11" s="24">
        <f t="shared" ref="AE11:AE14" si="5">SUM(AB11:AD11)</f>
        <v>25.069815888123962</v>
      </c>
      <c r="AG11" s="22">
        <v>0</v>
      </c>
      <c r="AH11" s="22">
        <v>0</v>
      </c>
      <c r="AI11" s="22">
        <v>0</v>
      </c>
      <c r="AJ11" s="24">
        <f t="shared" ref="AJ11:AJ14" si="6">SUM(AG11:AI11)</f>
        <v>0</v>
      </c>
      <c r="AL11" s="22">
        <f t="shared" ref="AL11:AL14" si="7">SUM(K11,P11,U11,Z11,AE11,AJ11)</f>
        <v>24803.385630213856</v>
      </c>
      <c r="AN11" s="22">
        <f t="shared" ref="AN11:AP72" si="8">SUM(M11,R11,W11,AB11,AG11)</f>
        <v>-43.459702184570496</v>
      </c>
      <c r="AO11" s="22">
        <f t="shared" si="0"/>
        <v>160</v>
      </c>
      <c r="AP11" s="22">
        <f t="shared" si="0"/>
        <v>0</v>
      </c>
      <c r="AR11" s="24">
        <v>0</v>
      </c>
      <c r="AS11" s="24">
        <v>37.359745698407906</v>
      </c>
      <c r="AT11" s="24">
        <v>54.110736228897636</v>
      </c>
      <c r="AU11" s="24">
        <v>25.069815888123962</v>
      </c>
      <c r="AV11" s="24">
        <v>0</v>
      </c>
    </row>
    <row r="12" spans="1:48" s="22" customFormat="1">
      <c r="A12" s="21"/>
      <c r="C12" s="22" t="s">
        <v>24</v>
      </c>
      <c r="E12" s="22">
        <v>9925</v>
      </c>
      <c r="F12" s="25">
        <f>E12+(E80/1000)</f>
        <v>10729.753958451944</v>
      </c>
      <c r="H12" s="26">
        <f>-(F80/1000)</f>
        <v>0</v>
      </c>
      <c r="I12" s="24">
        <f>SUM(-E12,F12,G12:H12)</f>
        <v>804.75395845194362</v>
      </c>
      <c r="J12"/>
      <c r="K12" s="22">
        <f t="shared" si="1"/>
        <v>10729.753958451944</v>
      </c>
      <c r="M12" s="22">
        <v>0</v>
      </c>
      <c r="N12" s="22">
        <v>0</v>
      </c>
      <c r="O12" s="22">
        <v>0</v>
      </c>
      <c r="P12" s="24">
        <f t="shared" si="2"/>
        <v>0</v>
      </c>
      <c r="R12" s="22">
        <v>-14.74792333773966</v>
      </c>
      <c r="S12" s="22">
        <v>179</v>
      </c>
      <c r="T12" s="22">
        <v>0</v>
      </c>
      <c r="U12" s="24">
        <f t="shared" si="3"/>
        <v>164.25207666226035</v>
      </c>
      <c r="W12" s="22">
        <v>-12.456046902445152</v>
      </c>
      <c r="X12" s="22">
        <v>151</v>
      </c>
      <c r="Y12" s="22">
        <v>0</v>
      </c>
      <c r="Z12" s="24">
        <f t="shared" si="4"/>
        <v>138.54395309755483</v>
      </c>
      <c r="AB12" s="22">
        <v>-45.442178163688858</v>
      </c>
      <c r="AC12" s="22">
        <v>551</v>
      </c>
      <c r="AD12" s="22">
        <v>0</v>
      </c>
      <c r="AE12" s="24">
        <f t="shared" si="5"/>
        <v>505.55782183631112</v>
      </c>
      <c r="AG12" s="22">
        <v>0</v>
      </c>
      <c r="AH12" s="22">
        <v>0</v>
      </c>
      <c r="AI12" s="22">
        <v>0</v>
      </c>
      <c r="AJ12" s="24">
        <f t="shared" si="6"/>
        <v>0</v>
      </c>
      <c r="AL12" s="22">
        <f t="shared" si="7"/>
        <v>11538.10781004807</v>
      </c>
      <c r="AN12" s="22">
        <f t="shared" si="8"/>
        <v>-72.646148403873667</v>
      </c>
      <c r="AO12" s="22">
        <f t="shared" si="0"/>
        <v>881</v>
      </c>
      <c r="AP12" s="22">
        <f t="shared" si="0"/>
        <v>0</v>
      </c>
      <c r="AR12" s="24">
        <v>0</v>
      </c>
      <c r="AS12" s="24">
        <v>164.25207666226035</v>
      </c>
      <c r="AT12" s="24">
        <v>138.54395309755483</v>
      </c>
      <c r="AU12" s="24">
        <v>505.55782183631112</v>
      </c>
      <c r="AV12" s="24">
        <v>0</v>
      </c>
    </row>
    <row r="13" spans="1:48" s="22" customFormat="1">
      <c r="A13" s="21"/>
      <c r="C13" s="22" t="s">
        <v>25</v>
      </c>
      <c r="E13" s="22">
        <v>31102</v>
      </c>
      <c r="F13" s="25">
        <f>E13+(E81/1000)</f>
        <v>31255.137906385287</v>
      </c>
      <c r="G13" s="22">
        <v>-345.68607147929077</v>
      </c>
      <c r="H13" s="25">
        <f>-(F81/1000)</f>
        <v>-1170.472579806391</v>
      </c>
      <c r="I13" s="24">
        <f>SUM(-E13,F13,G13:H13)</f>
        <v>-1363.0207449003944</v>
      </c>
      <c r="J13"/>
      <c r="K13" s="22">
        <f t="shared" si="1"/>
        <v>29738.979255099606</v>
      </c>
      <c r="M13" s="22">
        <v>0</v>
      </c>
      <c r="N13" s="22">
        <v>0</v>
      </c>
      <c r="O13" s="22">
        <v>0</v>
      </c>
      <c r="P13" s="24">
        <f t="shared" si="2"/>
        <v>0</v>
      </c>
      <c r="R13" s="22">
        <v>-16.541534722994502</v>
      </c>
      <c r="S13" s="22">
        <v>64</v>
      </c>
      <c r="T13" s="22">
        <v>0</v>
      </c>
      <c r="U13" s="24">
        <f t="shared" si="3"/>
        <v>47.458465277005502</v>
      </c>
      <c r="W13" s="22">
        <v>-201.16268859223496</v>
      </c>
      <c r="X13" s="22">
        <v>779</v>
      </c>
      <c r="Y13" s="56">
        <v>-205.92524764000001</v>
      </c>
      <c r="Z13" s="24">
        <f t="shared" si="4"/>
        <v>371.91206376776501</v>
      </c>
      <c r="AB13" s="22">
        <v>-53.867853493801775</v>
      </c>
      <c r="AC13" s="22">
        <v>209</v>
      </c>
      <c r="AD13" s="22">
        <v>0</v>
      </c>
      <c r="AE13" s="24">
        <f t="shared" si="5"/>
        <v>155.13214650619824</v>
      </c>
      <c r="AG13" s="22">
        <v>0</v>
      </c>
      <c r="AH13" s="22">
        <v>0</v>
      </c>
      <c r="AI13" s="22">
        <v>0</v>
      </c>
      <c r="AJ13" s="24">
        <f t="shared" si="6"/>
        <v>0</v>
      </c>
      <c r="AL13" s="22">
        <f t="shared" si="7"/>
        <v>30313.481930650578</v>
      </c>
      <c r="AN13" s="22">
        <f t="shared" si="8"/>
        <v>-271.57207680903122</v>
      </c>
      <c r="AO13" s="22">
        <f t="shared" si="0"/>
        <v>1052</v>
      </c>
      <c r="AP13" s="22">
        <f t="shared" si="0"/>
        <v>-205.92524764000001</v>
      </c>
      <c r="AR13" s="24">
        <v>0</v>
      </c>
      <c r="AS13" s="24">
        <v>47.458465277005502</v>
      </c>
      <c r="AT13" s="24">
        <v>371.91206376776501</v>
      </c>
      <c r="AU13" s="24">
        <v>155.13214650619824</v>
      </c>
      <c r="AV13" s="24">
        <v>0</v>
      </c>
    </row>
    <row r="14" spans="1:48" s="22" customFormat="1">
      <c r="A14" s="21"/>
      <c r="C14" s="22" t="s">
        <v>26</v>
      </c>
      <c r="E14" s="27">
        <v>15583</v>
      </c>
      <c r="F14" s="28">
        <f>E14+(SUM(E82:E83)/1000)</f>
        <v>14580.692554547988</v>
      </c>
      <c r="G14" s="27"/>
      <c r="H14" s="28">
        <f>-(SUM(F82:F83)/1000)</f>
        <v>-193.84457795641882</v>
      </c>
      <c r="I14" s="24">
        <f>SUM(-E14,F14,G14:H14)</f>
        <v>-1196.1520234084308</v>
      </c>
      <c r="J14"/>
      <c r="K14" s="27">
        <f t="shared" si="1"/>
        <v>14386.847976591569</v>
      </c>
      <c r="M14" s="27">
        <v>-10.790731103490044</v>
      </c>
      <c r="N14" s="27">
        <v>39</v>
      </c>
      <c r="O14" s="27">
        <v>0</v>
      </c>
      <c r="P14" s="24">
        <f t="shared" si="2"/>
        <v>28.209268896509954</v>
      </c>
      <c r="R14" s="27">
        <v>-185.63800818602223</v>
      </c>
      <c r="S14" s="27">
        <v>175</v>
      </c>
      <c r="T14" s="27">
        <v>0</v>
      </c>
      <c r="U14" s="24">
        <f t="shared" si="3"/>
        <v>-10.638008186022233</v>
      </c>
      <c r="W14" s="27">
        <v>-317.81299272149909</v>
      </c>
      <c r="X14" s="27">
        <v>448</v>
      </c>
      <c r="Y14" s="27">
        <v>0</v>
      </c>
      <c r="Z14" s="24">
        <f t="shared" si="4"/>
        <v>130.18700727850091</v>
      </c>
      <c r="AB14" s="27">
        <v>-83.932437659244556</v>
      </c>
      <c r="AC14" s="27">
        <v>57</v>
      </c>
      <c r="AD14" s="27">
        <v>0</v>
      </c>
      <c r="AE14" s="24">
        <f t="shared" si="5"/>
        <v>-26.932437659244556</v>
      </c>
      <c r="AG14" s="27">
        <v>-164.64306949915948</v>
      </c>
      <c r="AH14" s="27">
        <v>561</v>
      </c>
      <c r="AI14" s="27">
        <v>0</v>
      </c>
      <c r="AJ14" s="24">
        <f t="shared" si="6"/>
        <v>396.35693050084052</v>
      </c>
      <c r="AL14" s="27">
        <f t="shared" si="7"/>
        <v>14904.030737422152</v>
      </c>
      <c r="AN14" s="27">
        <f t="shared" si="8"/>
        <v>-762.81723916941542</v>
      </c>
      <c r="AO14" s="27">
        <f t="shared" si="0"/>
        <v>1280</v>
      </c>
      <c r="AP14" s="27">
        <f t="shared" si="0"/>
        <v>0</v>
      </c>
      <c r="AR14" s="24">
        <v>28.209268896509954</v>
      </c>
      <c r="AS14" s="24">
        <v>-10.638008186022233</v>
      </c>
      <c r="AT14" s="24">
        <v>130.18700727850091</v>
      </c>
      <c r="AU14" s="24">
        <v>-26.932437659244556</v>
      </c>
      <c r="AV14" s="24">
        <v>396.35693050084052</v>
      </c>
    </row>
    <row r="15" spans="1:48" s="22" customFormat="1" ht="18" customHeight="1" thickBot="1">
      <c r="A15" s="21"/>
      <c r="B15" s="22" t="s">
        <v>27</v>
      </c>
      <c r="E15" s="27">
        <f>SUM(E10:E14)</f>
        <v>99325.79800000001</v>
      </c>
      <c r="F15" s="27">
        <f>SUM(F10:F14)</f>
        <v>102963.89813178427</v>
      </c>
      <c r="G15" s="29">
        <f>SUM(G10:G14)</f>
        <v>-345.68607147929077</v>
      </c>
      <c r="H15" s="27">
        <f>SUM(H10:H14)</f>
        <v>-1436.6055541841606</v>
      </c>
      <c r="I15" s="30">
        <f>SUM(I10:I14)</f>
        <v>1855.8085061208214</v>
      </c>
      <c r="J15"/>
      <c r="K15" s="27">
        <f>SUM(K10:K14)</f>
        <v>101181.60650612082</v>
      </c>
      <c r="M15" s="27">
        <v>-217.28967500991462</v>
      </c>
      <c r="N15" s="27">
        <v>2259</v>
      </c>
      <c r="O15" s="45">
        <v>0</v>
      </c>
      <c r="P15" s="30">
        <f>SUM(P10:P14)</f>
        <v>2041.7103249900854</v>
      </c>
      <c r="R15" s="27">
        <v>-250.56772054834849</v>
      </c>
      <c r="S15" s="27">
        <v>489</v>
      </c>
      <c r="T15" s="45">
        <v>0</v>
      </c>
      <c r="U15" s="30">
        <f>SUM(U10:U14)</f>
        <v>238.43227945165154</v>
      </c>
      <c r="W15" s="27">
        <v>-551.07384660315142</v>
      </c>
      <c r="X15" s="27">
        <v>1605</v>
      </c>
      <c r="Y15" s="45">
        <v>-205.92524764000001</v>
      </c>
      <c r="Z15" s="30">
        <f>SUM(Z10:Z14)</f>
        <v>848.0009057568484</v>
      </c>
      <c r="AB15" s="27">
        <v>-190.17678919563497</v>
      </c>
      <c r="AC15" s="27">
        <v>859</v>
      </c>
      <c r="AD15" s="45">
        <v>0</v>
      </c>
      <c r="AE15" s="30">
        <f>SUM(AE10:AE14)</f>
        <v>668.82321080436498</v>
      </c>
      <c r="AG15" s="27">
        <v>-321.13812664300724</v>
      </c>
      <c r="AH15" s="27">
        <v>2243</v>
      </c>
      <c r="AI15" s="45">
        <v>0</v>
      </c>
      <c r="AJ15" s="30">
        <f>SUM(AJ10:AJ14)</f>
        <v>1921.8618733569926</v>
      </c>
      <c r="AL15" s="27">
        <f>SUM(AL10:AL14)</f>
        <v>106900.43510048077</v>
      </c>
      <c r="AN15" s="53">
        <f t="shared" si="8"/>
        <v>-1530.2461580000568</v>
      </c>
      <c r="AO15" s="53">
        <f t="shared" si="0"/>
        <v>7455</v>
      </c>
      <c r="AP15" s="27">
        <f>SUM(O15,T15,Y15,AD15,AI15)</f>
        <v>-205.92524764000001</v>
      </c>
      <c r="AR15" s="30">
        <v>2041.7103249900854</v>
      </c>
      <c r="AS15" s="30">
        <v>238.43227945165154</v>
      </c>
      <c r="AT15" s="30">
        <v>848.0009057568484</v>
      </c>
      <c r="AU15" s="30">
        <v>668.82321080436498</v>
      </c>
      <c r="AV15" s="30">
        <v>1921.8618733569926</v>
      </c>
    </row>
    <row r="16" spans="1:48" s="22" customFormat="1" ht="13.8" thickBot="1">
      <c r="E16" s="23"/>
      <c r="F16" s="23"/>
      <c r="G16" s="23"/>
      <c r="I16" s="24"/>
      <c r="J16"/>
      <c r="K16" s="23"/>
      <c r="M16" s="23"/>
      <c r="N16" s="23"/>
      <c r="O16" s="23"/>
      <c r="P16" s="24"/>
      <c r="R16" s="23"/>
      <c r="S16" s="23"/>
      <c r="T16" s="23"/>
      <c r="U16" s="24"/>
      <c r="W16" s="23"/>
      <c r="X16" s="23"/>
      <c r="Y16" s="23"/>
      <c r="Z16" s="24"/>
      <c r="AB16" s="23"/>
      <c r="AC16" s="23"/>
      <c r="AD16" s="23"/>
      <c r="AE16" s="24"/>
      <c r="AG16" s="23"/>
      <c r="AH16" s="23"/>
      <c r="AI16" s="23"/>
      <c r="AJ16" s="24"/>
      <c r="AL16" s="23"/>
      <c r="AN16" s="54" t="s">
        <v>85</v>
      </c>
      <c r="AO16" s="55">
        <f>(AN15+AP15)/AO15</f>
        <v>-0.23288684180282451</v>
      </c>
      <c r="AP16" s="23"/>
      <c r="AR16" s="24"/>
      <c r="AS16" s="24"/>
      <c r="AT16" s="24"/>
      <c r="AU16" s="24"/>
      <c r="AV16" s="24"/>
    </row>
    <row r="17" spans="1:49" s="22" customFormat="1">
      <c r="B17" s="22" t="s">
        <v>94</v>
      </c>
      <c r="F17" s="23"/>
      <c r="G17" s="23"/>
      <c r="I17" s="24">
        <f>-I15</f>
        <v>-1855.8085061208214</v>
      </c>
      <c r="J17"/>
      <c r="K17" s="23"/>
      <c r="M17" s="23"/>
      <c r="N17" s="23"/>
      <c r="O17" s="23"/>
      <c r="P17" s="24">
        <f>-P15</f>
        <v>-2041.7103249900854</v>
      </c>
      <c r="R17" s="23"/>
      <c r="S17" s="23"/>
      <c r="T17" s="23"/>
      <c r="U17" s="24">
        <f>-U15</f>
        <v>-238.43227945165154</v>
      </c>
      <c r="W17" s="23"/>
      <c r="X17" s="23"/>
      <c r="Y17" s="23"/>
      <c r="Z17" s="24">
        <f>-Z15</f>
        <v>-848.0009057568484</v>
      </c>
      <c r="AB17" s="23"/>
      <c r="AC17" s="23"/>
      <c r="AD17" s="23"/>
      <c r="AE17" s="24">
        <f>-AE15</f>
        <v>-668.82321080436498</v>
      </c>
      <c r="AG17" s="23"/>
      <c r="AH17" s="23"/>
      <c r="AI17" s="23"/>
      <c r="AJ17" s="24">
        <f>-AJ15</f>
        <v>-1921.8618733569926</v>
      </c>
      <c r="AL17" s="23"/>
      <c r="AN17" s="58"/>
      <c r="AO17" s="59"/>
      <c r="AP17" s="23"/>
      <c r="AR17" s="24">
        <v>-2041.7103249900854</v>
      </c>
      <c r="AS17" s="24">
        <v>-238.43227945165154</v>
      </c>
      <c r="AT17" s="24">
        <v>-848.0009057568484</v>
      </c>
      <c r="AU17" s="24">
        <v>-668.82321080436498</v>
      </c>
      <c r="AV17" s="24">
        <v>-1921.8618733569926</v>
      </c>
    </row>
    <row r="18" spans="1:49" s="22" customFormat="1">
      <c r="F18" s="23"/>
      <c r="G18" s="23"/>
      <c r="I18" s="24"/>
      <c r="J18"/>
      <c r="K18" s="23"/>
      <c r="M18" s="23"/>
      <c r="N18" s="23"/>
      <c r="O18" s="23"/>
      <c r="P18" s="24"/>
      <c r="R18" s="23"/>
      <c r="S18" s="23"/>
      <c r="T18" s="23"/>
      <c r="U18" s="24"/>
      <c r="W18" s="23"/>
      <c r="X18" s="23"/>
      <c r="Y18" s="23"/>
      <c r="Z18" s="24"/>
      <c r="AB18" s="23"/>
      <c r="AC18" s="23"/>
      <c r="AD18" s="23"/>
      <c r="AE18" s="24"/>
      <c r="AG18" s="23"/>
      <c r="AH18" s="23"/>
      <c r="AI18" s="23"/>
      <c r="AJ18" s="24"/>
      <c r="AL18" s="23"/>
      <c r="AN18" s="58"/>
      <c r="AO18" s="59"/>
      <c r="AP18" s="23"/>
      <c r="AR18" s="24"/>
      <c r="AS18" s="24"/>
      <c r="AT18" s="24"/>
      <c r="AU18" s="24"/>
      <c r="AV18" s="24"/>
    </row>
    <row r="19" spans="1:49" s="22" customFormat="1">
      <c r="B19" s="22" t="s">
        <v>95</v>
      </c>
      <c r="F19" s="23"/>
      <c r="G19" s="23"/>
      <c r="I19" s="24"/>
      <c r="J19"/>
      <c r="K19" s="23"/>
      <c r="M19" s="23"/>
      <c r="N19" s="23"/>
      <c r="O19" s="23"/>
      <c r="P19" s="24"/>
      <c r="R19" s="23"/>
      <c r="S19" s="23"/>
      <c r="T19" s="23"/>
      <c r="U19" s="24"/>
      <c r="W19" s="23"/>
      <c r="X19" s="23"/>
      <c r="Y19" s="23"/>
      <c r="Z19" s="24"/>
      <c r="AB19" s="23"/>
      <c r="AC19" s="23"/>
      <c r="AD19" s="23"/>
      <c r="AE19" s="24"/>
      <c r="AG19" s="23"/>
      <c r="AH19" s="23"/>
      <c r="AI19" s="23"/>
      <c r="AJ19" s="24"/>
      <c r="AL19" s="23"/>
      <c r="AN19" s="58"/>
      <c r="AO19" s="59"/>
      <c r="AP19" s="23"/>
      <c r="AR19" s="24"/>
      <c r="AS19" s="24"/>
      <c r="AT19" s="24"/>
      <c r="AU19" s="24"/>
      <c r="AV19" s="24"/>
    </row>
    <row r="20" spans="1:49" s="22" customFormat="1">
      <c r="B20" s="22" t="s">
        <v>96</v>
      </c>
      <c r="E20" s="62">
        <v>0.21</v>
      </c>
      <c r="F20" s="23"/>
      <c r="G20" s="23"/>
      <c r="I20" s="24">
        <f>$E$20*I17</f>
        <v>-389.71978628537249</v>
      </c>
      <c r="J20"/>
      <c r="K20" s="23"/>
      <c r="M20" s="23"/>
      <c r="N20" s="23"/>
      <c r="O20" s="23"/>
      <c r="P20" s="24">
        <f>$E$20*P17</f>
        <v>-428.7591682479179</v>
      </c>
      <c r="R20" s="23"/>
      <c r="S20" s="23"/>
      <c r="T20" s="23"/>
      <c r="U20" s="24">
        <f>$E$20*U17</f>
        <v>-50.070778684846822</v>
      </c>
      <c r="W20" s="23"/>
      <c r="X20" s="23"/>
      <c r="Y20" s="23"/>
      <c r="Z20" s="24">
        <f>$E$20*Z17</f>
        <v>-178.08019020893815</v>
      </c>
      <c r="AB20" s="23"/>
      <c r="AC20" s="23"/>
      <c r="AD20" s="23"/>
      <c r="AE20" s="24">
        <f>$E$20*AE17</f>
        <v>-140.45287426891664</v>
      </c>
      <c r="AG20" s="23"/>
      <c r="AH20" s="23"/>
      <c r="AI20" s="23"/>
      <c r="AJ20" s="24">
        <f>$E$20*AJ17</f>
        <v>-403.59099340496846</v>
      </c>
      <c r="AL20" s="23"/>
      <c r="AN20" s="58"/>
      <c r="AO20" s="59"/>
      <c r="AP20" s="23"/>
      <c r="AR20" s="24">
        <v>-428.7591682479179</v>
      </c>
      <c r="AS20" s="24">
        <v>-50.070778684846822</v>
      </c>
      <c r="AT20" s="24">
        <v>-178.08019020893815</v>
      </c>
      <c r="AU20" s="24">
        <v>-140.45287426891664</v>
      </c>
      <c r="AV20" s="24">
        <v>-403.59099340496846</v>
      </c>
    </row>
    <row r="21" spans="1:49" s="22" customFormat="1">
      <c r="B21" s="22" t="s">
        <v>97</v>
      </c>
      <c r="E21" s="63">
        <v>2.4799999999999999E-2</v>
      </c>
      <c r="F21" s="23"/>
      <c r="G21" s="23"/>
      <c r="I21" s="33">
        <f>-(I44*$E$21)*$E$20</f>
        <v>-109.62334295599328</v>
      </c>
      <c r="J21"/>
      <c r="K21" s="23"/>
      <c r="M21" s="23"/>
      <c r="N21" s="23"/>
      <c r="O21" s="23"/>
      <c r="P21" s="33">
        <f>-(P44*$E$21)*$E$20</f>
        <v>-53.534447849669526</v>
      </c>
      <c r="R21" s="23"/>
      <c r="S21" s="23"/>
      <c r="T21" s="23"/>
      <c r="U21" s="33">
        <f>-(U44*$E$21)*$E$20</f>
        <v>-93.771299093946524</v>
      </c>
      <c r="W21" s="23"/>
      <c r="X21" s="23"/>
      <c r="Y21" s="23"/>
      <c r="Z21" s="33">
        <f>-(Z44*$E$21)*$E$20</f>
        <v>-247.27048747260054</v>
      </c>
      <c r="AB21" s="23"/>
      <c r="AC21" s="23"/>
      <c r="AD21" s="23"/>
      <c r="AE21" s="33">
        <f>-(AE44*$E$21)*$E$20</f>
        <v>-191.79120402372226</v>
      </c>
      <c r="AG21" s="23"/>
      <c r="AH21" s="23"/>
      <c r="AI21" s="23"/>
      <c r="AJ21" s="33">
        <f>-(AJ44*$E$21)*$E$20</f>
        <v>-53.017408977384989</v>
      </c>
      <c r="AL21" s="23"/>
      <c r="AN21" s="58"/>
      <c r="AO21" s="59"/>
      <c r="AP21" s="23"/>
      <c r="AR21" s="24">
        <v>-53.534447849669526</v>
      </c>
      <c r="AS21" s="24">
        <v>-93.771299093946524</v>
      </c>
      <c r="AT21" s="24">
        <v>-247.27048747260054</v>
      </c>
      <c r="AU21" s="24">
        <v>-191.79120402372226</v>
      </c>
      <c r="AV21" s="24">
        <v>-53.017408977384989</v>
      </c>
    </row>
    <row r="22" spans="1:49" s="22" customFormat="1">
      <c r="B22" s="2"/>
      <c r="C22" s="2"/>
      <c r="D22" s="2"/>
      <c r="E22" s="2"/>
      <c r="F22" s="23"/>
      <c r="G22" s="23"/>
      <c r="I22" s="24"/>
      <c r="J22"/>
      <c r="K22" s="23"/>
      <c r="M22" s="23"/>
      <c r="N22" s="23"/>
      <c r="O22" s="23"/>
      <c r="P22" s="24"/>
      <c r="R22" s="23"/>
      <c r="S22" s="23"/>
      <c r="T22" s="23"/>
      <c r="U22" s="24"/>
      <c r="W22" s="23"/>
      <c r="X22" s="23"/>
      <c r="Y22" s="23"/>
      <c r="Z22" s="24"/>
      <c r="AB22" s="23"/>
      <c r="AC22" s="23"/>
      <c r="AD22" s="23"/>
      <c r="AE22" s="24"/>
      <c r="AG22" s="23"/>
      <c r="AH22" s="23"/>
      <c r="AI22" s="23"/>
      <c r="AJ22" s="24"/>
      <c r="AL22" s="23"/>
      <c r="AN22" s="58"/>
      <c r="AO22" s="59"/>
      <c r="AP22" s="23"/>
      <c r="AR22" s="24"/>
      <c r="AS22" s="24"/>
      <c r="AT22" s="24"/>
      <c r="AU22" s="24"/>
      <c r="AV22" s="24"/>
    </row>
    <row r="23" spans="1:49" s="22" customFormat="1" ht="13.8" thickBot="1">
      <c r="B23" s="32" t="s">
        <v>98</v>
      </c>
      <c r="C23" s="2"/>
      <c r="D23" s="2"/>
      <c r="E23" s="2"/>
      <c r="F23" s="23"/>
      <c r="G23" s="23"/>
      <c r="I23" s="64">
        <f>-SUM(I15,I20:I21)</f>
        <v>-1356.4653768794556</v>
      </c>
      <c r="J23"/>
      <c r="K23" s="23"/>
      <c r="M23" s="23"/>
      <c r="N23" s="23"/>
      <c r="O23" s="23"/>
      <c r="P23" s="64">
        <f>-SUM(P15,P20:P21)</f>
        <v>-1559.416708892498</v>
      </c>
      <c r="R23" s="23"/>
      <c r="S23" s="23"/>
      <c r="T23" s="23"/>
      <c r="U23" s="64">
        <f>-SUM(U15,U20:U21)</f>
        <v>-94.590201672858186</v>
      </c>
      <c r="W23" s="23"/>
      <c r="X23" s="23"/>
      <c r="Y23" s="23"/>
      <c r="Z23" s="64">
        <f>-SUM(Z15,Z20:Z21)</f>
        <v>-422.65022807530977</v>
      </c>
      <c r="AB23" s="23"/>
      <c r="AC23" s="23"/>
      <c r="AD23" s="23"/>
      <c r="AE23" s="64">
        <f>-SUM(AE15,AE20:AE21)</f>
        <v>-336.57913251172613</v>
      </c>
      <c r="AG23" s="23"/>
      <c r="AH23" s="23"/>
      <c r="AI23" s="23"/>
      <c r="AJ23" s="64">
        <f>-SUM(AJ15,AJ20:AJ21)</f>
        <v>-1465.2534709746392</v>
      </c>
      <c r="AL23" s="23"/>
      <c r="AN23" s="58"/>
      <c r="AO23" s="59"/>
      <c r="AP23" s="23"/>
      <c r="AR23" s="24">
        <v>-1559.416708892498</v>
      </c>
      <c r="AS23" s="24">
        <v>-94.590201672858186</v>
      </c>
      <c r="AT23" s="24">
        <v>-422.65022807530977</v>
      </c>
      <c r="AU23" s="24">
        <v>-336.57913251172613</v>
      </c>
      <c r="AV23" s="24">
        <v>-1465.2534709746392</v>
      </c>
    </row>
    <row r="24" spans="1:49" s="6" customFormat="1" ht="13.8" thickTop="1">
      <c r="A24" s="31"/>
      <c r="B24" s="2"/>
      <c r="C24" s="2"/>
      <c r="D24" s="2"/>
      <c r="E24" s="8"/>
      <c r="F24" s="8"/>
      <c r="G24" s="8"/>
      <c r="H24" s="8"/>
      <c r="I24" s="24"/>
      <c r="J24"/>
      <c r="K24" s="8"/>
      <c r="M24" s="8"/>
      <c r="N24" s="8"/>
      <c r="O24" s="8"/>
      <c r="P24" s="24"/>
      <c r="R24" s="8"/>
      <c r="S24" s="8"/>
      <c r="T24" s="8"/>
      <c r="U24" s="24"/>
      <c r="W24" s="8"/>
      <c r="X24" s="8"/>
      <c r="Y24" s="8"/>
      <c r="Z24" s="24"/>
      <c r="AB24" s="8"/>
      <c r="AC24" s="8"/>
      <c r="AD24" s="8"/>
      <c r="AE24" s="24"/>
      <c r="AG24" s="8"/>
      <c r="AH24" s="8"/>
      <c r="AI24" s="8"/>
      <c r="AJ24" s="24"/>
      <c r="AL24" s="8"/>
      <c r="AM24" s="2"/>
      <c r="AN24" s="8"/>
      <c r="AO24" s="57">
        <f>AN15/AO15</f>
        <v>-0.20526440751174471</v>
      </c>
      <c r="AP24" s="8" t="s">
        <v>86</v>
      </c>
      <c r="AQ24" s="2"/>
      <c r="AR24" s="24"/>
      <c r="AS24" s="24"/>
      <c r="AT24" s="24"/>
      <c r="AU24" s="24"/>
      <c r="AV24" s="24"/>
    </row>
    <row r="25" spans="1:49" s="6" customFormat="1">
      <c r="A25" s="31"/>
      <c r="B25" s="2" t="s">
        <v>28</v>
      </c>
      <c r="C25" s="2"/>
      <c r="D25" s="2"/>
      <c r="E25" s="8"/>
      <c r="F25" s="8"/>
      <c r="G25" s="8"/>
      <c r="H25" s="8"/>
      <c r="I25" s="24"/>
      <c r="J25"/>
      <c r="K25" s="8"/>
      <c r="M25" s="8"/>
      <c r="N25" s="8"/>
      <c r="O25" s="8"/>
      <c r="P25" s="24"/>
      <c r="R25" s="8"/>
      <c r="S25" s="8"/>
      <c r="T25" s="8"/>
      <c r="U25" s="24"/>
      <c r="W25" s="8"/>
      <c r="X25" s="8"/>
      <c r="Y25" s="8"/>
      <c r="Z25" s="24"/>
      <c r="AB25" s="8"/>
      <c r="AC25" s="8"/>
      <c r="AD25" s="8"/>
      <c r="AE25" s="24"/>
      <c r="AG25" s="8"/>
      <c r="AH25" s="8"/>
      <c r="AI25" s="8"/>
      <c r="AJ25" s="24"/>
      <c r="AL25" s="8"/>
      <c r="AM25" s="2"/>
      <c r="AN25" s="8"/>
      <c r="AO25" s="57">
        <f>AP15/AO15</f>
        <v>-2.7622434291079814E-2</v>
      </c>
      <c r="AP25" s="8" t="s">
        <v>87</v>
      </c>
      <c r="AQ25" s="2"/>
      <c r="AR25" s="24"/>
      <c r="AS25" s="24"/>
      <c r="AT25" s="24"/>
      <c r="AU25" s="24"/>
      <c r="AV25" s="24"/>
    </row>
    <row r="26" spans="1:49" s="6" customFormat="1">
      <c r="A26" s="3"/>
      <c r="B26" s="2" t="s">
        <v>29</v>
      </c>
      <c r="C26" s="2"/>
      <c r="D26" s="2"/>
      <c r="E26" s="23" t="s">
        <v>20</v>
      </c>
      <c r="F26" s="23" t="s">
        <v>20</v>
      </c>
      <c r="G26" s="23" t="s">
        <v>30</v>
      </c>
      <c r="H26" s="23" t="s">
        <v>31</v>
      </c>
      <c r="I26" s="24"/>
      <c r="J26"/>
      <c r="K26" s="23"/>
      <c r="M26" s="23"/>
      <c r="N26" s="23"/>
      <c r="O26" s="23"/>
      <c r="P26" s="24"/>
      <c r="R26" s="23"/>
      <c r="S26" s="23"/>
      <c r="T26" s="23"/>
      <c r="U26" s="24"/>
      <c r="W26" s="23"/>
      <c r="X26" s="23"/>
      <c r="Y26" s="23"/>
      <c r="Z26" s="24"/>
      <c r="AB26" s="23"/>
      <c r="AC26" s="23"/>
      <c r="AD26" s="23"/>
      <c r="AE26" s="24"/>
      <c r="AG26" s="23"/>
      <c r="AH26" s="23"/>
      <c r="AI26" s="23"/>
      <c r="AJ26" s="24"/>
      <c r="AL26" s="23"/>
      <c r="AM26" s="2"/>
      <c r="AN26" s="23"/>
      <c r="AO26" s="23"/>
      <c r="AP26" s="23"/>
      <c r="AQ26" s="2"/>
      <c r="AR26" s="24"/>
      <c r="AS26" s="24"/>
      <c r="AT26" s="24"/>
      <c r="AU26" s="24"/>
      <c r="AV26" s="24"/>
    </row>
    <row r="27" spans="1:49" s="32" customFormat="1">
      <c r="A27" s="31"/>
      <c r="C27" s="32" t="s">
        <v>32</v>
      </c>
      <c r="E27" s="22">
        <v>211035.28899999999</v>
      </c>
      <c r="F27" s="22">
        <v>213102</v>
      </c>
      <c r="G27" s="22"/>
      <c r="H27" s="22">
        <v>12.401530738737435</v>
      </c>
      <c r="I27" s="24">
        <f>SUM(-E27,F27,G27:H27)</f>
        <v>2079.1125307387479</v>
      </c>
      <c r="J27"/>
      <c r="K27" s="22">
        <f t="shared" ref="K27:K31" si="9">E27+I27</f>
        <v>213114.40153073875</v>
      </c>
      <c r="M27" s="22">
        <v>-2595.5187807812026</v>
      </c>
      <c r="N27" s="22">
        <v>11099.924445077753</v>
      </c>
      <c r="O27" s="22">
        <v>0</v>
      </c>
      <c r="P27" s="24">
        <f>SUM(M27:O27)</f>
        <v>8504.4056642965515</v>
      </c>
      <c r="R27" s="22">
        <v>0</v>
      </c>
      <c r="S27" s="22">
        <v>0</v>
      </c>
      <c r="T27" s="22">
        <v>0</v>
      </c>
      <c r="U27" s="24">
        <f>SUM(R27:T27)</f>
        <v>0</v>
      </c>
      <c r="W27" s="22">
        <v>-198.0001894098508</v>
      </c>
      <c r="X27" s="22">
        <v>846.76218058377356</v>
      </c>
      <c r="Y27" s="22">
        <v>0</v>
      </c>
      <c r="Z27" s="24">
        <f>SUM(W27:Y27)</f>
        <v>648.76199117392275</v>
      </c>
      <c r="AB27" s="22">
        <v>-12.621145621670852</v>
      </c>
      <c r="AC27" s="22">
        <v>53.975245275900001</v>
      </c>
      <c r="AD27" s="22">
        <v>0</v>
      </c>
      <c r="AE27" s="24">
        <f>SUM(AB27:AD27)</f>
        <v>41.354099654229145</v>
      </c>
      <c r="AG27" s="22">
        <v>-1967.0118027351662</v>
      </c>
      <c r="AH27" s="22">
        <v>8412.0687373200217</v>
      </c>
      <c r="AI27" s="22">
        <v>0</v>
      </c>
      <c r="AJ27" s="24">
        <f>SUM(AG27:AI27)</f>
        <v>6445.0569345848553</v>
      </c>
      <c r="AL27" s="22">
        <f>SUM(K27,P27,U27,Z27,AE27,AJ27)</f>
        <v>228753.98022044834</v>
      </c>
      <c r="AN27" s="22">
        <f t="shared" si="8"/>
        <v>-4773.151918547891</v>
      </c>
      <c r="AO27" s="22">
        <f t="shared" si="0"/>
        <v>20412.730608257451</v>
      </c>
      <c r="AP27" s="22">
        <f t="shared" si="0"/>
        <v>0</v>
      </c>
      <c r="AR27" s="24">
        <v>8504.4056642965515</v>
      </c>
      <c r="AS27" s="24">
        <v>0</v>
      </c>
      <c r="AT27" s="24">
        <v>648.76199117392275</v>
      </c>
      <c r="AU27" s="24">
        <v>41.354099654229145</v>
      </c>
      <c r="AV27" s="24">
        <v>6445.0569345848553</v>
      </c>
    </row>
    <row r="28" spans="1:49" s="22" customFormat="1">
      <c r="A28" s="31"/>
      <c r="C28" s="22" t="s">
        <v>33</v>
      </c>
      <c r="E28" s="22">
        <f>E66</f>
        <v>930160</v>
      </c>
      <c r="F28" s="22">
        <f>F66</f>
        <v>934139.30099999998</v>
      </c>
      <c r="I28" s="24">
        <f>SUM(-E28,F28,G28:H28)</f>
        <v>3979.3009999999776</v>
      </c>
      <c r="J28"/>
      <c r="K28" s="22">
        <f t="shared" si="9"/>
        <v>934139.30099999998</v>
      </c>
      <c r="M28" s="22">
        <v>0</v>
      </c>
      <c r="N28" s="22">
        <v>0</v>
      </c>
      <c r="O28" s="22">
        <v>0</v>
      </c>
      <c r="P28" s="24">
        <f t="shared" ref="P28:P30" si="10">SUM(M28:O28)</f>
        <v>0</v>
      </c>
      <c r="R28" s="22">
        <v>-1379.0306529887264</v>
      </c>
      <c r="S28" s="22">
        <v>3082.8745944599996</v>
      </c>
      <c r="T28" s="22">
        <v>0</v>
      </c>
      <c r="U28" s="24">
        <f t="shared" ref="U28:U30" si="11">SUM(R28:T28)</f>
        <v>1703.8439414712732</v>
      </c>
      <c r="W28" s="22">
        <v>-154.32803695706878</v>
      </c>
      <c r="X28" s="22">
        <v>1985.5817288520004</v>
      </c>
      <c r="Y28" s="22">
        <v>0</v>
      </c>
      <c r="Z28" s="24">
        <f t="shared" ref="Z28:Z30" si="12">SUM(W28:Y28)</f>
        <v>1831.2536918949318</v>
      </c>
      <c r="AB28" s="22">
        <v>-276.59761666620489</v>
      </c>
      <c r="AC28" s="22">
        <v>1426.6496458919999</v>
      </c>
      <c r="AD28" s="22">
        <v>0</v>
      </c>
      <c r="AE28" s="24">
        <f t="shared" ref="AE28:AE30" si="13">SUM(AB28:AD28)</f>
        <v>1150.052029225795</v>
      </c>
      <c r="AG28" s="22">
        <v>0</v>
      </c>
      <c r="AH28" s="22">
        <v>0</v>
      </c>
      <c r="AI28" s="22">
        <v>0</v>
      </c>
      <c r="AJ28" s="24">
        <f t="shared" ref="AJ28:AJ30" si="14">SUM(AG28:AI28)</f>
        <v>0</v>
      </c>
      <c r="AL28" s="22">
        <f t="shared" ref="AL28:AL31" si="15">SUM(K28,P28,U28,Z28,AE28,AJ28)</f>
        <v>938824.45066259196</v>
      </c>
      <c r="AN28" s="22">
        <f t="shared" si="8"/>
        <v>-1809.9563066119999</v>
      </c>
      <c r="AO28" s="22">
        <f t="shared" si="0"/>
        <v>6495.1059692039998</v>
      </c>
      <c r="AP28" s="22">
        <f t="shared" si="0"/>
        <v>0</v>
      </c>
      <c r="AR28" s="24">
        <v>0</v>
      </c>
      <c r="AS28" s="24">
        <v>1703.8439414712732</v>
      </c>
      <c r="AT28" s="24">
        <v>1831.2536918949318</v>
      </c>
      <c r="AU28" s="24">
        <v>1150.052029225795</v>
      </c>
      <c r="AV28" s="24">
        <v>0</v>
      </c>
    </row>
    <row r="29" spans="1:49" s="22" customFormat="1">
      <c r="A29" s="31"/>
      <c r="C29" s="22" t="s">
        <v>34</v>
      </c>
      <c r="E29" s="22">
        <v>509896.91200000001</v>
      </c>
      <c r="F29" s="22">
        <v>527864</v>
      </c>
      <c r="I29" s="24">
        <f>SUM(-E29,F29,G29:H29)</f>
        <v>17967.087999999989</v>
      </c>
      <c r="J29"/>
      <c r="K29" s="22">
        <f t="shared" si="9"/>
        <v>527864</v>
      </c>
      <c r="M29" s="22">
        <v>0</v>
      </c>
      <c r="N29" s="22">
        <v>0</v>
      </c>
      <c r="O29" s="22">
        <v>0</v>
      </c>
      <c r="P29" s="24">
        <f t="shared" si="10"/>
        <v>0</v>
      </c>
      <c r="R29" s="22">
        <v>-707.51069654814762</v>
      </c>
      <c r="S29" s="22">
        <v>8684.3253678599995</v>
      </c>
      <c r="T29" s="22">
        <v>0</v>
      </c>
      <c r="U29" s="24">
        <f t="shared" si="11"/>
        <v>7976.8146713118522</v>
      </c>
      <c r="W29" s="22">
        <v>-597.56117646974815</v>
      </c>
      <c r="X29" s="22">
        <v>7334.7522645000017</v>
      </c>
      <c r="Y29" s="22">
        <v>0</v>
      </c>
      <c r="Z29" s="24">
        <f t="shared" si="12"/>
        <v>6737.1910880302539</v>
      </c>
      <c r="AB29" s="22">
        <v>-2180.0240202621039</v>
      </c>
      <c r="AC29" s="22">
        <v>26758.659613308002</v>
      </c>
      <c r="AD29" s="22">
        <v>0</v>
      </c>
      <c r="AE29" s="24">
        <f t="shared" si="13"/>
        <v>24578.635593045899</v>
      </c>
      <c r="AG29" s="22">
        <v>0</v>
      </c>
      <c r="AH29" s="22">
        <v>0</v>
      </c>
      <c r="AI29" s="22">
        <v>0</v>
      </c>
      <c r="AJ29" s="24">
        <f t="shared" si="14"/>
        <v>0</v>
      </c>
      <c r="AL29" s="22">
        <f t="shared" si="15"/>
        <v>567156.64135238796</v>
      </c>
      <c r="AN29" s="22">
        <f t="shared" si="8"/>
        <v>-3485.0958932799995</v>
      </c>
      <c r="AO29" s="22">
        <f t="shared" si="0"/>
        <v>42777.737245668002</v>
      </c>
      <c r="AP29" s="22">
        <f t="shared" si="0"/>
        <v>0</v>
      </c>
      <c r="AR29" s="24">
        <v>0</v>
      </c>
      <c r="AS29" s="24">
        <v>7976.8146713118522</v>
      </c>
      <c r="AT29" s="24">
        <v>6737.1910880302539</v>
      </c>
      <c r="AU29" s="24">
        <v>24578.635593045899</v>
      </c>
      <c r="AV29" s="24">
        <v>0</v>
      </c>
    </row>
    <row r="30" spans="1:49" s="22" customFormat="1">
      <c r="A30" s="31"/>
      <c r="C30" s="22" t="s">
        <v>25</v>
      </c>
      <c r="E30" s="22">
        <v>1194476.476</v>
      </c>
      <c r="F30" s="22">
        <v>1233690</v>
      </c>
      <c r="G30" s="22">
        <v>-14111.248264734279</v>
      </c>
      <c r="H30" s="22">
        <v>-17592.489930833341</v>
      </c>
      <c r="I30" s="24">
        <f>SUM(-E30,F30,G30:H30)</f>
        <v>7509.7858044323584</v>
      </c>
      <c r="J30"/>
      <c r="K30" s="22">
        <f t="shared" si="9"/>
        <v>1201986.2618044324</v>
      </c>
      <c r="M30" s="22">
        <v>0</v>
      </c>
      <c r="N30" s="22">
        <v>0</v>
      </c>
      <c r="O30" s="22">
        <v>0</v>
      </c>
      <c r="P30" s="24">
        <f t="shared" si="10"/>
        <v>0</v>
      </c>
      <c r="R30" s="22">
        <v>-858.86804598381025</v>
      </c>
      <c r="S30" s="22">
        <v>2619.841260000002</v>
      </c>
      <c r="T30" s="22">
        <v>0</v>
      </c>
      <c r="U30" s="24">
        <f t="shared" si="11"/>
        <v>1760.9732140161918</v>
      </c>
      <c r="W30" s="22">
        <v>-10444.750633439755</v>
      </c>
      <c r="X30" s="22">
        <v>31860.061377126192</v>
      </c>
      <c r="Y30" s="22">
        <v>0</v>
      </c>
      <c r="Z30" s="24">
        <f t="shared" si="12"/>
        <v>21415.310743686437</v>
      </c>
      <c r="AB30" s="22">
        <v>-2796.921739507633</v>
      </c>
      <c r="AC30" s="22">
        <v>8531.5678100000005</v>
      </c>
      <c r="AD30" s="22">
        <v>0</v>
      </c>
      <c r="AE30" s="24">
        <f t="shared" si="13"/>
        <v>5734.6460704923675</v>
      </c>
      <c r="AG30" s="22">
        <v>0</v>
      </c>
      <c r="AH30" s="22">
        <v>0</v>
      </c>
      <c r="AI30" s="22">
        <v>0</v>
      </c>
      <c r="AJ30" s="24">
        <f t="shared" si="14"/>
        <v>0</v>
      </c>
      <c r="AL30" s="22">
        <f t="shared" si="15"/>
        <v>1230897.1918326276</v>
      </c>
      <c r="AN30" s="22">
        <f t="shared" si="8"/>
        <v>-14100.540418931199</v>
      </c>
      <c r="AO30" s="22">
        <f t="shared" si="0"/>
        <v>43011.470447126194</v>
      </c>
      <c r="AP30" s="22">
        <f t="shared" si="0"/>
        <v>0</v>
      </c>
      <c r="AR30" s="24">
        <v>0</v>
      </c>
      <c r="AS30" s="24">
        <v>1760.9732140161918</v>
      </c>
      <c r="AT30" s="24">
        <v>21415.310743686437</v>
      </c>
      <c r="AU30" s="24">
        <v>5734.6460704923675</v>
      </c>
      <c r="AV30" s="24">
        <v>0</v>
      </c>
    </row>
    <row r="31" spans="1:49" s="22" customFormat="1">
      <c r="A31" s="31"/>
      <c r="C31" s="22" t="s">
        <v>35</v>
      </c>
      <c r="E31" s="27">
        <v>279556.24900000001</v>
      </c>
      <c r="F31" s="27">
        <v>286687</v>
      </c>
      <c r="G31" s="27"/>
      <c r="H31" s="27">
        <v>-1517.7501680260859</v>
      </c>
      <c r="I31" s="33">
        <f>SUM(-E31,F31,G31:H31)</f>
        <v>5613.0008319739036</v>
      </c>
      <c r="J31"/>
      <c r="K31" s="27">
        <f t="shared" si="9"/>
        <v>285169.24983197392</v>
      </c>
      <c r="M31" s="27">
        <v>-203.52445648937083</v>
      </c>
      <c r="N31" s="27">
        <v>194.36028847790004</v>
      </c>
      <c r="O31" s="27">
        <v>0</v>
      </c>
      <c r="P31" s="33">
        <f>SUM(M31:O31)</f>
        <v>-9.1641680114707924</v>
      </c>
      <c r="R31" s="27">
        <v>-3515.5826126699139</v>
      </c>
      <c r="S31" s="27">
        <v>4380.8117805067604</v>
      </c>
      <c r="T31" s="27">
        <v>0</v>
      </c>
      <c r="U31" s="33">
        <f>SUM(R31:T31)</f>
        <v>865.2291678368465</v>
      </c>
      <c r="W31" s="27">
        <v>-6690.5392477223941</v>
      </c>
      <c r="X31" s="27">
        <v>8093.6468501328754</v>
      </c>
      <c r="Y31" s="27">
        <v>0</v>
      </c>
      <c r="Z31" s="33">
        <f>SUM(W31:Y31)</f>
        <v>1403.1076024104814</v>
      </c>
      <c r="AB31" s="27">
        <v>-1583.0534180302966</v>
      </c>
      <c r="AC31" s="27">
        <v>1511.7727093419999</v>
      </c>
      <c r="AD31" s="27">
        <v>0</v>
      </c>
      <c r="AE31" s="33">
        <f>SUM(AB31:AD31)</f>
        <v>-71.280708688296727</v>
      </c>
      <c r="AG31" s="27">
        <v>-3105.3402140398412</v>
      </c>
      <c r="AH31" s="27">
        <v>2965.5149569424275</v>
      </c>
      <c r="AI31" s="27">
        <v>0</v>
      </c>
      <c r="AJ31" s="33">
        <f>SUM(AG31:AI31)</f>
        <v>-139.82525709741367</v>
      </c>
      <c r="AL31" s="27">
        <f t="shared" si="15"/>
        <v>287217.31646842405</v>
      </c>
      <c r="AN31" s="27">
        <f t="shared" si="8"/>
        <v>-15098.039948951817</v>
      </c>
      <c r="AO31" s="27">
        <f t="shared" si="0"/>
        <v>17146.106585401965</v>
      </c>
      <c r="AP31" s="27">
        <f t="shared" si="0"/>
        <v>0</v>
      </c>
      <c r="AR31" s="33">
        <v>-9.1641680114707924</v>
      </c>
      <c r="AS31" s="33">
        <v>865.2291678368465</v>
      </c>
      <c r="AT31" s="33">
        <v>1403.1076024104814</v>
      </c>
      <c r="AU31" s="33">
        <v>-71.280708688296727</v>
      </c>
      <c r="AV31" s="33">
        <v>-139.82525709741367</v>
      </c>
    </row>
    <row r="32" spans="1:49" s="22" customFormat="1">
      <c r="A32" s="31"/>
      <c r="B32" s="22" t="s">
        <v>36</v>
      </c>
      <c r="E32" s="8">
        <f>SUM(E27:E31)</f>
        <v>3125124.926</v>
      </c>
      <c r="F32" s="8">
        <f>SUM(F27:F31)</f>
        <v>3195482.301</v>
      </c>
      <c r="G32" s="8">
        <f>SUM(G27:G31)</f>
        <v>-14111.248264734279</v>
      </c>
      <c r="H32" s="8">
        <f>SUM(H27:H31)</f>
        <v>-19097.838568120689</v>
      </c>
      <c r="I32" s="24">
        <f>SUM(I27:I31)</f>
        <v>37148.28816714498</v>
      </c>
      <c r="J32"/>
      <c r="K32" s="8">
        <f>SUM(K27:K31)</f>
        <v>3162273.2141671451</v>
      </c>
      <c r="M32" s="8">
        <v>-2799.0432372705736</v>
      </c>
      <c r="N32" s="8">
        <v>11294.284733555653</v>
      </c>
      <c r="O32" s="8">
        <v>0</v>
      </c>
      <c r="P32" s="24">
        <f>SUM(P27:P31)</f>
        <v>8495.2414962850817</v>
      </c>
      <c r="R32" s="8">
        <v>-6460.9920081905984</v>
      </c>
      <c r="S32" s="8">
        <v>18767.85300282676</v>
      </c>
      <c r="T32" s="8">
        <v>0</v>
      </c>
      <c r="U32" s="24">
        <f>SUM(U27:U31)</f>
        <v>12306.860994636165</v>
      </c>
      <c r="W32" s="8">
        <v>-18085.179283998819</v>
      </c>
      <c r="X32" s="8">
        <v>50120.804401194844</v>
      </c>
      <c r="Y32" s="8">
        <v>0</v>
      </c>
      <c r="Z32" s="24">
        <f>SUM(Z27:Z31)</f>
        <v>32035.625117196028</v>
      </c>
      <c r="AB32" s="8">
        <v>-6849.2179400879095</v>
      </c>
      <c r="AC32" s="8">
        <v>38282.625023817905</v>
      </c>
      <c r="AD32" s="8">
        <v>0</v>
      </c>
      <c r="AE32" s="24">
        <f>SUM(AE27:AE31)</f>
        <v>31433.407083729995</v>
      </c>
      <c r="AG32" s="8">
        <v>-5072.3520167750075</v>
      </c>
      <c r="AH32" s="8">
        <v>11377.583694262448</v>
      </c>
      <c r="AI32" s="8">
        <v>0</v>
      </c>
      <c r="AJ32" s="24">
        <f>SUM(AJ27:AJ31)</f>
        <v>6305.2316774874416</v>
      </c>
      <c r="AL32" s="8">
        <f>SUM(AL27:AL31)</f>
        <v>3252849.5805364801</v>
      </c>
      <c r="AN32" s="8">
        <f t="shared" si="8"/>
        <v>-39266.784486322911</v>
      </c>
      <c r="AO32" s="8">
        <f t="shared" si="0"/>
        <v>129843.1508556576</v>
      </c>
      <c r="AP32" s="8">
        <f t="shared" si="0"/>
        <v>0</v>
      </c>
      <c r="AR32" s="24">
        <v>8495.2414962850817</v>
      </c>
      <c r="AS32" s="24">
        <v>12306.860994636165</v>
      </c>
      <c r="AT32" s="24">
        <v>32035.625117196028</v>
      </c>
      <c r="AU32" s="24">
        <v>31433.407083729995</v>
      </c>
      <c r="AV32" s="24">
        <v>6305.2316774874416</v>
      </c>
      <c r="AW32" s="22">
        <f>SUM(AR32:AV32)</f>
        <v>90576.366369334719</v>
      </c>
    </row>
    <row r="33" spans="1:49" s="22" customFormat="1" ht="18" customHeight="1">
      <c r="A33" s="31"/>
      <c r="B33" s="22" t="s">
        <v>37</v>
      </c>
      <c r="E33" s="23" t="s">
        <v>20</v>
      </c>
      <c r="F33" s="23" t="s">
        <v>20</v>
      </c>
      <c r="G33" s="23" t="s">
        <v>30</v>
      </c>
      <c r="H33" s="23" t="s">
        <v>31</v>
      </c>
      <c r="I33" s="24"/>
      <c r="J33"/>
      <c r="K33" s="23"/>
      <c r="M33" s="23"/>
      <c r="N33" s="23"/>
      <c r="O33" s="23"/>
      <c r="P33" s="24"/>
      <c r="R33" s="23"/>
      <c r="S33" s="23"/>
      <c r="T33" s="23"/>
      <c r="U33" s="24"/>
      <c r="W33" s="23"/>
      <c r="X33" s="23"/>
      <c r="Y33" s="23"/>
      <c r="Z33" s="24"/>
      <c r="AB33" s="23"/>
      <c r="AC33" s="23"/>
      <c r="AD33" s="23"/>
      <c r="AE33" s="24"/>
      <c r="AG33" s="23"/>
      <c r="AH33" s="23"/>
      <c r="AI33" s="23"/>
      <c r="AJ33" s="24"/>
      <c r="AL33" s="23"/>
      <c r="AN33" s="23"/>
      <c r="AO33" s="23"/>
      <c r="AP33" s="23"/>
      <c r="AR33" s="24"/>
      <c r="AS33" s="24"/>
      <c r="AT33" s="24"/>
      <c r="AU33" s="24"/>
      <c r="AV33" s="24"/>
    </row>
    <row r="34" spans="1:49" s="22" customFormat="1">
      <c r="A34" s="31"/>
      <c r="C34" s="32" t="s">
        <v>32</v>
      </c>
      <c r="E34" s="22">
        <v>-57195</v>
      </c>
      <c r="F34" s="22">
        <v>-64518.855000000003</v>
      </c>
      <c r="H34" s="22">
        <v>2010.2032951567835</v>
      </c>
      <c r="I34" s="24">
        <f>SUM(-E34,F34,G34:H34)</f>
        <v>-5313.6517048432197</v>
      </c>
      <c r="J34"/>
      <c r="K34" s="22">
        <f t="shared" ref="K34:K38" si="16">E34+I34</f>
        <v>-62508.651704843222</v>
      </c>
      <c r="M34" s="22">
        <v>2595.5187807812026</v>
      </c>
      <c r="N34" s="22">
        <v>-729.49563480102267</v>
      </c>
      <c r="O34" s="22">
        <v>0</v>
      </c>
      <c r="P34" s="24">
        <f>SUM(M34:O34)</f>
        <v>1866.0231459801798</v>
      </c>
      <c r="R34" s="22">
        <v>0</v>
      </c>
      <c r="S34" s="22">
        <v>0</v>
      </c>
      <c r="T34" s="22">
        <v>0</v>
      </c>
      <c r="U34" s="24">
        <f>SUM(R34:T34)</f>
        <v>0</v>
      </c>
      <c r="W34" s="22">
        <v>198.0001894098508</v>
      </c>
      <c r="X34" s="22">
        <v>-8.372095957769611</v>
      </c>
      <c r="Y34" s="22">
        <v>0</v>
      </c>
      <c r="Z34" s="24">
        <f>SUM(W34:Y34)</f>
        <v>189.6280934520812</v>
      </c>
      <c r="AB34" s="22">
        <v>12.621145621670852</v>
      </c>
      <c r="AC34" s="22">
        <v>-4.4288270394425009</v>
      </c>
      <c r="AD34" s="22">
        <v>0</v>
      </c>
      <c r="AE34" s="24">
        <f>SUM(AB34:AD34)</f>
        <v>8.1923185822283511</v>
      </c>
      <c r="AG34" s="22">
        <v>1967.0118027351662</v>
      </c>
      <c r="AH34" s="22">
        <v>-657.36499629552532</v>
      </c>
      <c r="AI34" s="22">
        <v>0</v>
      </c>
      <c r="AJ34" s="24">
        <f>SUM(AG34:AI34)</f>
        <v>1309.6468064396408</v>
      </c>
      <c r="AL34" s="22">
        <f>SUM(K34,P34,U34,Z34,AE34,AJ34)</f>
        <v>-59135.161340389088</v>
      </c>
      <c r="AN34" s="22">
        <f t="shared" si="8"/>
        <v>4773.151918547891</v>
      </c>
      <c r="AO34" s="22">
        <f t="shared" si="8"/>
        <v>-1399.6615540937601</v>
      </c>
      <c r="AP34" s="22">
        <f t="shared" si="8"/>
        <v>0</v>
      </c>
      <c r="AR34" s="24">
        <v>1866.0231459801798</v>
      </c>
      <c r="AS34" s="24">
        <v>0</v>
      </c>
      <c r="AT34" s="24">
        <v>189.6280934520812</v>
      </c>
      <c r="AU34" s="24">
        <v>8.1923185822283511</v>
      </c>
      <c r="AV34" s="24">
        <v>1309.6468064396408</v>
      </c>
    </row>
    <row r="35" spans="1:49" s="22" customFormat="1">
      <c r="A35" s="31"/>
      <c r="C35" s="22" t="s">
        <v>33</v>
      </c>
      <c r="E35" s="22">
        <f>E72</f>
        <v>-382437</v>
      </c>
      <c r="F35" s="22">
        <f>F72</f>
        <v>-390611.13500000001</v>
      </c>
      <c r="I35" s="24">
        <f>SUM(-E35,F35,G35:H35)</f>
        <v>-8174.1350000000093</v>
      </c>
      <c r="J35"/>
      <c r="K35" s="22">
        <f t="shared" si="16"/>
        <v>-390611.13500000001</v>
      </c>
      <c r="M35" s="22">
        <v>0</v>
      </c>
      <c r="N35" s="22">
        <v>0</v>
      </c>
      <c r="O35" s="22">
        <v>0</v>
      </c>
      <c r="P35" s="24">
        <f t="shared" ref="P35:P38" si="17">SUM(M35:O35)</f>
        <v>0</v>
      </c>
      <c r="R35" s="22">
        <v>1379.0306529887264</v>
      </c>
      <c r="S35" s="22">
        <v>-47.054392632782587</v>
      </c>
      <c r="T35" s="22">
        <v>0</v>
      </c>
      <c r="U35" s="24">
        <f t="shared" ref="U35:U38" si="18">SUM(R35:T35)</f>
        <v>1331.9762603559439</v>
      </c>
      <c r="W35" s="22">
        <v>154.32803695706878</v>
      </c>
      <c r="X35" s="22">
        <v>-24.830676479175189</v>
      </c>
      <c r="Y35" s="22">
        <v>0</v>
      </c>
      <c r="Z35" s="24">
        <f t="shared" ref="Z35:Z38" si="19">SUM(W35:Y35)</f>
        <v>129.49736047789358</v>
      </c>
      <c r="AB35" s="22">
        <v>276.59761666620489</v>
      </c>
      <c r="AC35" s="22">
        <v>-13.909108041696998</v>
      </c>
      <c r="AD35" s="22">
        <v>0</v>
      </c>
      <c r="AE35" s="24">
        <f t="shared" ref="AE35:AE38" si="20">SUM(AB35:AD35)</f>
        <v>262.6885086245079</v>
      </c>
      <c r="AG35" s="22">
        <v>0</v>
      </c>
      <c r="AH35" s="22">
        <v>0</v>
      </c>
      <c r="AI35" s="22">
        <v>0</v>
      </c>
      <c r="AJ35" s="24">
        <f t="shared" ref="AJ35:AJ38" si="21">SUM(AG35:AI35)</f>
        <v>0</v>
      </c>
      <c r="AL35" s="22">
        <f t="shared" ref="AL35:AL38" si="22">SUM(K35,P35,U35,Z35,AE35,AJ35)</f>
        <v>-388886.97287054162</v>
      </c>
      <c r="AN35" s="22">
        <f t="shared" si="8"/>
        <v>1809.9563066119999</v>
      </c>
      <c r="AO35" s="22">
        <f t="shared" si="8"/>
        <v>-85.794177153654772</v>
      </c>
      <c r="AP35" s="22">
        <f t="shared" si="8"/>
        <v>0</v>
      </c>
      <c r="AR35" s="24">
        <v>0</v>
      </c>
      <c r="AS35" s="24">
        <v>1331.9762603559439</v>
      </c>
      <c r="AT35" s="24">
        <v>129.49736047789358</v>
      </c>
      <c r="AU35" s="24">
        <v>262.6885086245079</v>
      </c>
      <c r="AV35" s="24">
        <v>0</v>
      </c>
    </row>
    <row r="36" spans="1:49" s="22" customFormat="1">
      <c r="A36" s="31"/>
      <c r="C36" s="22" t="s">
        <v>34</v>
      </c>
      <c r="E36" s="22">
        <v>-147016</v>
      </c>
      <c r="F36" s="22">
        <v>-150786.728</v>
      </c>
      <c r="I36" s="24">
        <f>SUM(-E36,F36,G36:H36)</f>
        <v>-3770.7280000000028</v>
      </c>
      <c r="J36"/>
      <c r="K36" s="22">
        <f t="shared" si="16"/>
        <v>-150786.728</v>
      </c>
      <c r="M36" s="22">
        <v>0</v>
      </c>
      <c r="N36" s="22">
        <v>0</v>
      </c>
      <c r="O36" s="22">
        <v>0</v>
      </c>
      <c r="P36" s="24">
        <f t="shared" si="17"/>
        <v>0</v>
      </c>
      <c r="R36" s="22">
        <v>707.51069654814762</v>
      </c>
      <c r="S36" s="22">
        <v>-90.844851165243497</v>
      </c>
      <c r="T36" s="22">
        <v>0</v>
      </c>
      <c r="U36" s="24">
        <f t="shared" si="18"/>
        <v>616.66584538290408</v>
      </c>
      <c r="W36" s="22">
        <v>597.56117646974815</v>
      </c>
      <c r="X36" s="22">
        <v>-61.883345723597493</v>
      </c>
      <c r="Y36" s="22">
        <v>0</v>
      </c>
      <c r="Z36" s="24">
        <f t="shared" si="19"/>
        <v>535.67783074615068</v>
      </c>
      <c r="AB36" s="22">
        <v>2180.0240202621039</v>
      </c>
      <c r="AC36" s="22">
        <v>-161.25909408683307</v>
      </c>
      <c r="AD36" s="22">
        <v>0</v>
      </c>
      <c r="AE36" s="24">
        <f t="shared" si="20"/>
        <v>2018.7649261752708</v>
      </c>
      <c r="AG36" s="22">
        <v>0</v>
      </c>
      <c r="AH36" s="22">
        <v>0</v>
      </c>
      <c r="AI36" s="22">
        <v>0</v>
      </c>
      <c r="AJ36" s="24">
        <f t="shared" si="21"/>
        <v>0</v>
      </c>
      <c r="AL36" s="22">
        <f t="shared" si="22"/>
        <v>-147615.61939769567</v>
      </c>
      <c r="AN36" s="22">
        <f t="shared" si="8"/>
        <v>3485.0958932799995</v>
      </c>
      <c r="AO36" s="22">
        <f t="shared" si="8"/>
        <v>-313.98729097567406</v>
      </c>
      <c r="AP36" s="22">
        <f t="shared" si="8"/>
        <v>0</v>
      </c>
      <c r="AR36" s="24">
        <v>0</v>
      </c>
      <c r="AS36" s="24">
        <v>616.66584538290408</v>
      </c>
      <c r="AT36" s="24">
        <v>535.67783074615068</v>
      </c>
      <c r="AU36" s="24">
        <v>2018.7649261752708</v>
      </c>
      <c r="AV36" s="24">
        <v>0</v>
      </c>
    </row>
    <row r="37" spans="1:49" s="22" customFormat="1">
      <c r="A37" s="31"/>
      <c r="C37" s="22" t="s">
        <v>25</v>
      </c>
      <c r="E37" s="22">
        <v>-358989</v>
      </c>
      <c r="F37" s="22">
        <v>-359566.21799999999</v>
      </c>
      <c r="G37" s="22">
        <v>345.68607147929077</v>
      </c>
      <c r="H37" s="22">
        <v>789.68742583333324</v>
      </c>
      <c r="I37" s="24">
        <f>SUM(-E37,F37,G37:H37)</f>
        <v>558.15549731263059</v>
      </c>
      <c r="J37"/>
      <c r="K37" s="22">
        <f t="shared" si="16"/>
        <v>-358430.8445026874</v>
      </c>
      <c r="M37" s="22">
        <v>0</v>
      </c>
      <c r="N37" s="22">
        <v>0</v>
      </c>
      <c r="O37" s="22">
        <v>0</v>
      </c>
      <c r="P37" s="24">
        <f t="shared" si="17"/>
        <v>0</v>
      </c>
      <c r="R37" s="22">
        <v>858.86804598381025</v>
      </c>
      <c r="S37" s="22">
        <v>-17.948720697357384</v>
      </c>
      <c r="T37" s="22">
        <v>0</v>
      </c>
      <c r="U37" s="24">
        <f t="shared" si="18"/>
        <v>840.91932528645282</v>
      </c>
      <c r="W37" s="22">
        <v>10444.750633439755</v>
      </c>
      <c r="X37" s="22">
        <v>-398.72415295829762</v>
      </c>
      <c r="Y37" s="22">
        <v>0</v>
      </c>
      <c r="Z37" s="24">
        <f t="shared" si="19"/>
        <v>10046.026480481458</v>
      </c>
      <c r="AB37" s="22">
        <v>2796.921739507633</v>
      </c>
      <c r="AC37" s="22">
        <v>-81.547489676396097</v>
      </c>
      <c r="AD37" s="22">
        <v>0</v>
      </c>
      <c r="AE37" s="24">
        <f t="shared" si="20"/>
        <v>2715.3742498312367</v>
      </c>
      <c r="AG37" s="22">
        <v>0</v>
      </c>
      <c r="AH37" s="22">
        <v>0</v>
      </c>
      <c r="AI37" s="22">
        <v>0</v>
      </c>
      <c r="AJ37" s="24">
        <f t="shared" si="21"/>
        <v>0</v>
      </c>
      <c r="AL37" s="22">
        <f t="shared" si="22"/>
        <v>-344828.52444708825</v>
      </c>
      <c r="AN37" s="22">
        <f t="shared" si="8"/>
        <v>14100.540418931199</v>
      </c>
      <c r="AO37" s="22">
        <f t="shared" si="8"/>
        <v>-498.22036333205108</v>
      </c>
      <c r="AP37" s="22">
        <f t="shared" si="8"/>
        <v>0</v>
      </c>
      <c r="AR37" s="24">
        <v>0</v>
      </c>
      <c r="AS37" s="24">
        <v>840.91932528645282</v>
      </c>
      <c r="AT37" s="24">
        <v>10046.026480481458</v>
      </c>
      <c r="AU37" s="24">
        <v>2715.3742498312367</v>
      </c>
      <c r="AV37" s="24">
        <v>0</v>
      </c>
    </row>
    <row r="38" spans="1:49" s="22" customFormat="1">
      <c r="A38" s="31"/>
      <c r="C38" s="22" t="s">
        <v>35</v>
      </c>
      <c r="E38" s="22">
        <v>-92748</v>
      </c>
      <c r="F38" s="22">
        <v>-92213.226999999999</v>
      </c>
      <c r="H38" s="22">
        <v>583.32702579139959</v>
      </c>
      <c r="I38" s="24">
        <f>SUM(-E38,F38,G38:H38)</f>
        <v>1118.1000257914006</v>
      </c>
      <c r="J38"/>
      <c r="K38" s="22">
        <f t="shared" si="16"/>
        <v>-91629.899974208602</v>
      </c>
      <c r="M38" s="22">
        <v>203.52445648937083</v>
      </c>
      <c r="N38" s="22">
        <v>-53.5172382190081</v>
      </c>
      <c r="O38" s="22">
        <v>0</v>
      </c>
      <c r="P38" s="24">
        <f t="shared" si="17"/>
        <v>150.00721827036273</v>
      </c>
      <c r="R38" s="22">
        <v>3515.5826126699139</v>
      </c>
      <c r="S38" s="22">
        <v>-86.763276820906114</v>
      </c>
      <c r="T38" s="22">
        <v>0</v>
      </c>
      <c r="U38" s="24">
        <f t="shared" si="18"/>
        <v>3428.819335849008</v>
      </c>
      <c r="W38" s="22">
        <v>6690.5392477223941</v>
      </c>
      <c r="X38" s="22">
        <v>-199.0218811127711</v>
      </c>
      <c r="Y38" s="22">
        <v>0</v>
      </c>
      <c r="Z38" s="24">
        <f t="shared" si="19"/>
        <v>6491.5173666096234</v>
      </c>
      <c r="AB38" s="22">
        <v>1583.0534180302966</v>
      </c>
      <c r="AC38" s="22">
        <v>-8.2124512634230964</v>
      </c>
      <c r="AD38" s="22">
        <v>0</v>
      </c>
      <c r="AE38" s="24">
        <f t="shared" si="20"/>
        <v>1574.8409667668734</v>
      </c>
      <c r="AG38" s="22">
        <v>3105.3402140398412</v>
      </c>
      <c r="AH38" s="22">
        <v>-332.22465469023467</v>
      </c>
      <c r="AI38" s="22">
        <v>0</v>
      </c>
      <c r="AJ38" s="24">
        <f t="shared" si="21"/>
        <v>2773.1155593496064</v>
      </c>
      <c r="AL38" s="22">
        <f t="shared" si="22"/>
        <v>-77211.599527363127</v>
      </c>
      <c r="AN38" s="22">
        <f t="shared" si="8"/>
        <v>15098.039948951817</v>
      </c>
      <c r="AO38" s="22">
        <f t="shared" si="8"/>
        <v>-679.73950210634302</v>
      </c>
      <c r="AP38" s="22">
        <f t="shared" si="8"/>
        <v>0</v>
      </c>
      <c r="AR38" s="24">
        <v>150.00721827036273</v>
      </c>
      <c r="AS38" s="24">
        <v>3428.819335849008</v>
      </c>
      <c r="AT38" s="24">
        <v>6491.5173666096234</v>
      </c>
      <c r="AU38" s="24">
        <v>1574.8409667668734</v>
      </c>
      <c r="AV38" s="24">
        <v>2773.1155593496064</v>
      </c>
    </row>
    <row r="39" spans="1:49" s="22" customFormat="1">
      <c r="A39" s="31"/>
      <c r="B39" s="22" t="s">
        <v>38</v>
      </c>
      <c r="E39" s="34">
        <f>SUM(E34:E38)</f>
        <v>-1038385</v>
      </c>
      <c r="F39" s="34">
        <f>SUM(F34:F38)</f>
        <v>-1057696.1629999999</v>
      </c>
      <c r="G39" s="34">
        <f>SUM(G34:G38)</f>
        <v>345.68607147929077</v>
      </c>
      <c r="H39" s="34">
        <f>SUM(H34:H38)</f>
        <v>3383.2177467815163</v>
      </c>
      <c r="I39" s="35">
        <f>SUM(I34:I38)</f>
        <v>-15582.259181739204</v>
      </c>
      <c r="J39"/>
      <c r="K39" s="34">
        <f>SUM(K34:K38)</f>
        <v>-1053967.2591817393</v>
      </c>
      <c r="M39" s="34">
        <v>2799.0432372705736</v>
      </c>
      <c r="N39" s="34">
        <v>-783.01287302003072</v>
      </c>
      <c r="O39" s="34">
        <v>0</v>
      </c>
      <c r="P39" s="30">
        <f>SUM(P34:P38)</f>
        <v>2016.0303642505426</v>
      </c>
      <c r="R39" s="34">
        <v>6460.9920081905984</v>
      </c>
      <c r="S39" s="34">
        <v>-242.61124131628958</v>
      </c>
      <c r="T39" s="34">
        <v>0</v>
      </c>
      <c r="U39" s="30">
        <f>SUM(U34:U38)</f>
        <v>6218.3807668743084</v>
      </c>
      <c r="W39" s="34">
        <v>18085.179283998819</v>
      </c>
      <c r="X39" s="34">
        <v>-692.83215223161096</v>
      </c>
      <c r="Y39" s="34">
        <v>0</v>
      </c>
      <c r="Z39" s="30">
        <f>SUM(Z34:Z38)</f>
        <v>17392.347131767208</v>
      </c>
      <c r="AB39" s="34">
        <v>6849.2179400879095</v>
      </c>
      <c r="AC39" s="34">
        <v>-269.35697010779177</v>
      </c>
      <c r="AD39" s="34">
        <v>0</v>
      </c>
      <c r="AE39" s="30">
        <f>SUM(AE34:AE38)</f>
        <v>6579.8609699801164</v>
      </c>
      <c r="AG39" s="34">
        <v>5072.3520167750075</v>
      </c>
      <c r="AH39" s="34">
        <v>-989.58965098576004</v>
      </c>
      <c r="AI39" s="34">
        <v>0</v>
      </c>
      <c r="AJ39" s="30">
        <f>SUM(AJ34:AJ38)</f>
        <v>4082.7623657892473</v>
      </c>
      <c r="AL39" s="34">
        <f>SUM(AL34:AL38)</f>
        <v>-1017677.8775830778</v>
      </c>
      <c r="AN39" s="34">
        <f t="shared" si="8"/>
        <v>39266.784486322911</v>
      </c>
      <c r="AO39" s="34">
        <f t="shared" si="8"/>
        <v>-2977.402887661483</v>
      </c>
      <c r="AP39" s="34">
        <f t="shared" si="8"/>
        <v>0</v>
      </c>
      <c r="AR39" s="30">
        <v>2016.0303642505426</v>
      </c>
      <c r="AS39" s="30">
        <v>6218.3807668743084</v>
      </c>
      <c r="AT39" s="30">
        <v>17392.347131767208</v>
      </c>
      <c r="AU39" s="30">
        <v>6579.8609699801164</v>
      </c>
      <c r="AV39" s="30">
        <v>4082.7623657892473</v>
      </c>
      <c r="AW39" s="22">
        <f>SUM(AR39:AV39)</f>
        <v>36289.381598661421</v>
      </c>
    </row>
    <row r="40" spans="1:49" s="22" customFormat="1">
      <c r="A40" s="31"/>
      <c r="B40" s="22" t="s">
        <v>39</v>
      </c>
      <c r="E40" s="34">
        <f>E32+E39</f>
        <v>2086739.926</v>
      </c>
      <c r="F40" s="34">
        <f>F32+F39</f>
        <v>2137786.1380000003</v>
      </c>
      <c r="G40" s="34">
        <f>G32+G39</f>
        <v>-13765.562193254988</v>
      </c>
      <c r="H40" s="34">
        <f>H32+H39</f>
        <v>-15714.620821339173</v>
      </c>
      <c r="I40" s="35">
        <f>I32+I39</f>
        <v>21566.028985405777</v>
      </c>
      <c r="J40"/>
      <c r="K40" s="34">
        <f>K32+K39</f>
        <v>2108305.9549854058</v>
      </c>
      <c r="M40" s="34">
        <v>0</v>
      </c>
      <c r="N40" s="34">
        <v>10511.271860535622</v>
      </c>
      <c r="O40" s="34">
        <v>0</v>
      </c>
      <c r="P40" s="35">
        <f>P32+P39</f>
        <v>10511.271860535624</v>
      </c>
      <c r="R40" s="34">
        <v>0</v>
      </c>
      <c r="S40" s="34">
        <v>18525.241761510471</v>
      </c>
      <c r="T40" s="34">
        <v>0</v>
      </c>
      <c r="U40" s="35">
        <f>U32+U39</f>
        <v>18525.241761510471</v>
      </c>
      <c r="W40" s="34">
        <v>0</v>
      </c>
      <c r="X40" s="34">
        <v>49427.972248963233</v>
      </c>
      <c r="Y40" s="34">
        <v>0</v>
      </c>
      <c r="Z40" s="35">
        <f>Z32+Z39</f>
        <v>49427.97224896324</v>
      </c>
      <c r="AB40" s="34">
        <v>0</v>
      </c>
      <c r="AC40" s="34">
        <v>38013.268053710111</v>
      </c>
      <c r="AD40" s="34">
        <v>0</v>
      </c>
      <c r="AE40" s="35">
        <f>AE32+AE39</f>
        <v>38013.268053710111</v>
      </c>
      <c r="AG40" s="34">
        <v>0</v>
      </c>
      <c r="AH40" s="34">
        <v>10387.994043276689</v>
      </c>
      <c r="AI40" s="34">
        <v>0</v>
      </c>
      <c r="AJ40" s="35">
        <f>AJ32+AJ39</f>
        <v>10387.994043276689</v>
      </c>
      <c r="AL40" s="34">
        <f>AL32+AL39</f>
        <v>2235171.7029534024</v>
      </c>
      <c r="AN40" s="34">
        <f t="shared" si="8"/>
        <v>0</v>
      </c>
      <c r="AO40" s="34">
        <f>SUM(N40,S40,X40,AC40,AH40)</f>
        <v>126865.74796799613</v>
      </c>
      <c r="AP40" s="34">
        <f t="shared" si="8"/>
        <v>0</v>
      </c>
      <c r="AR40" s="35">
        <v>10511.271860535624</v>
      </c>
      <c r="AS40" s="35">
        <v>18525.241761510471</v>
      </c>
      <c r="AT40" s="35">
        <v>49427.97224896324</v>
      </c>
      <c r="AU40" s="35">
        <v>38013.268053710111</v>
      </c>
      <c r="AV40" s="35">
        <v>10387.994043276689</v>
      </c>
      <c r="AW40" s="22">
        <f>SUM(AR40:AV40)</f>
        <v>126865.74796799614</v>
      </c>
    </row>
    <row r="41" spans="1:49" s="22" customFormat="1">
      <c r="A41" s="31"/>
      <c r="E41" s="23"/>
      <c r="F41" s="23"/>
      <c r="G41" s="23"/>
      <c r="H41" s="8"/>
      <c r="I41" s="24"/>
      <c r="J41"/>
      <c r="K41" s="23"/>
      <c r="M41" s="23"/>
      <c r="N41" s="23"/>
      <c r="O41" s="23"/>
      <c r="P41" s="24"/>
      <c r="R41" s="23"/>
      <c r="S41" s="23"/>
      <c r="T41" s="23"/>
      <c r="U41" s="24"/>
      <c r="W41" s="23"/>
      <c r="X41" s="23"/>
      <c r="Y41" s="23"/>
      <c r="Z41" s="24"/>
      <c r="AB41" s="23"/>
      <c r="AC41" s="23"/>
      <c r="AD41" s="23"/>
      <c r="AE41" s="24"/>
      <c r="AG41" s="23"/>
      <c r="AH41" s="23"/>
      <c r="AI41" s="23"/>
      <c r="AJ41" s="24"/>
      <c r="AL41" s="23"/>
      <c r="AN41" s="23"/>
      <c r="AO41" s="23"/>
      <c r="AP41" s="23"/>
      <c r="AR41" s="24"/>
      <c r="AS41" s="24"/>
      <c r="AT41" s="24"/>
      <c r="AU41" s="24"/>
      <c r="AV41" s="24"/>
    </row>
    <row r="42" spans="1:49" s="22" customFormat="1">
      <c r="A42" s="31"/>
      <c r="E42" s="23" t="s">
        <v>40</v>
      </c>
      <c r="F42" s="23" t="s">
        <v>41</v>
      </c>
      <c r="G42" s="23" t="s">
        <v>30</v>
      </c>
      <c r="H42" s="8"/>
      <c r="I42" s="24"/>
      <c r="J42"/>
      <c r="K42" s="23"/>
      <c r="M42" s="23"/>
      <c r="N42" s="23"/>
      <c r="O42" s="23"/>
      <c r="P42" s="24"/>
      <c r="R42" s="23"/>
      <c r="S42" s="23"/>
      <c r="T42" s="23"/>
      <c r="U42" s="24"/>
      <c r="W42" s="23"/>
      <c r="X42" s="23"/>
      <c r="Y42" s="23"/>
      <c r="Z42" s="24"/>
      <c r="AB42" s="23"/>
      <c r="AC42" s="23"/>
      <c r="AD42" s="23"/>
      <c r="AE42" s="24"/>
      <c r="AG42" s="23"/>
      <c r="AH42" s="23"/>
      <c r="AI42" s="23"/>
      <c r="AJ42" s="24"/>
      <c r="AL42" s="23"/>
      <c r="AN42" s="23"/>
      <c r="AO42" s="23"/>
      <c r="AP42" s="23"/>
      <c r="AR42" s="24"/>
      <c r="AS42" s="24"/>
      <c r="AT42" s="24"/>
      <c r="AU42" s="24"/>
      <c r="AV42" s="24"/>
    </row>
    <row r="43" spans="1:49" s="22" customFormat="1">
      <c r="A43" s="36"/>
      <c r="B43" s="22" t="s">
        <v>42</v>
      </c>
      <c r="E43" s="37">
        <v>-418923</v>
      </c>
      <c r="F43" s="37">
        <v>-420133</v>
      </c>
      <c r="G43" s="37">
        <v>693</v>
      </c>
      <c r="H43" s="37">
        <v>0</v>
      </c>
      <c r="I43" s="33">
        <f>SUM(-E43,F43,G43:H43)</f>
        <v>-517</v>
      </c>
      <c r="J43"/>
      <c r="K43" s="37">
        <f t="shared" ref="K43" si="23">E43+I43</f>
        <v>-419440</v>
      </c>
      <c r="M43" s="37">
        <v>0</v>
      </c>
      <c r="N43" s="37">
        <v>-232</v>
      </c>
      <c r="O43" s="37">
        <v>0</v>
      </c>
      <c r="P43" s="33">
        <f>SUM(M43:O43)</f>
        <v>-232</v>
      </c>
      <c r="R43" s="37">
        <v>0</v>
      </c>
      <c r="S43" s="37">
        <v>-520</v>
      </c>
      <c r="T43" s="37">
        <v>0</v>
      </c>
      <c r="U43" s="33">
        <f>SUM(R43:T43)</f>
        <v>-520</v>
      </c>
      <c r="W43" s="37">
        <v>0</v>
      </c>
      <c r="X43" s="37">
        <v>-1949</v>
      </c>
      <c r="Y43" s="37">
        <v>0</v>
      </c>
      <c r="Z43" s="33">
        <f>SUM(W43:Y43)</f>
        <v>-1949</v>
      </c>
      <c r="AB43" s="37">
        <v>0</v>
      </c>
      <c r="AC43" s="37">
        <v>-1187</v>
      </c>
      <c r="AD43" s="37">
        <v>0</v>
      </c>
      <c r="AE43" s="33">
        <f>SUM(AB43:AD43)</f>
        <v>-1187</v>
      </c>
      <c r="AG43" s="37">
        <v>0</v>
      </c>
      <c r="AH43" s="37">
        <v>-208</v>
      </c>
      <c r="AI43" s="37">
        <v>0</v>
      </c>
      <c r="AJ43" s="33">
        <f>SUM(AG43:AI43)</f>
        <v>-208</v>
      </c>
      <c r="AL43" s="27">
        <f t="shared" ref="AL43" si="24">SUM(K43,P43,U43,Z43,AE43,AJ43)</f>
        <v>-423536</v>
      </c>
      <c r="AN43" s="37">
        <f t="shared" si="8"/>
        <v>0</v>
      </c>
      <c r="AO43" s="51">
        <f t="shared" si="8"/>
        <v>-4096</v>
      </c>
      <c r="AP43" s="37">
        <f t="shared" si="8"/>
        <v>0</v>
      </c>
      <c r="AR43" s="33">
        <v>-232</v>
      </c>
      <c r="AS43" s="33">
        <v>-520</v>
      </c>
      <c r="AT43" s="33">
        <v>-1949</v>
      </c>
      <c r="AU43" s="33">
        <v>-1187</v>
      </c>
      <c r="AV43" s="33">
        <v>-208</v>
      </c>
    </row>
    <row r="44" spans="1:49" s="22" customFormat="1">
      <c r="A44" s="36"/>
      <c r="C44" s="22" t="s">
        <v>43</v>
      </c>
      <c r="E44" s="8">
        <f>SUM(E40:E43)</f>
        <v>1667816.926</v>
      </c>
      <c r="F44" s="8">
        <f>SUM(F40:F43)</f>
        <v>1717653.1380000003</v>
      </c>
      <c r="G44" s="8">
        <f>SUM(G40:G43)</f>
        <v>-13072.562193254988</v>
      </c>
      <c r="H44" s="8">
        <f>SUM(H40:H43)</f>
        <v>-15714.620821339173</v>
      </c>
      <c r="I44" s="33">
        <f>SUM(I40:I43)</f>
        <v>21049.028985405777</v>
      </c>
      <c r="J44"/>
      <c r="K44" s="8">
        <f>SUM(K40:K43)</f>
        <v>1688865.9549854058</v>
      </c>
      <c r="M44" s="8">
        <v>0</v>
      </c>
      <c r="N44" s="8">
        <v>10279.271860535622</v>
      </c>
      <c r="O44" s="8">
        <v>0</v>
      </c>
      <c r="P44" s="35">
        <f>SUM(P40:P43)</f>
        <v>10279.271860535624</v>
      </c>
      <c r="R44" s="8">
        <v>0</v>
      </c>
      <c r="S44" s="8">
        <v>18005.241761510471</v>
      </c>
      <c r="T44" s="8">
        <v>0</v>
      </c>
      <c r="U44" s="35">
        <f>SUM(U40:U43)</f>
        <v>18005.241761510471</v>
      </c>
      <c r="W44" s="8">
        <v>0</v>
      </c>
      <c r="X44" s="8">
        <v>47478.972248963233</v>
      </c>
      <c r="Y44" s="8">
        <v>0</v>
      </c>
      <c r="Z44" s="35">
        <f>SUM(Z40:Z43)</f>
        <v>47478.97224896324</v>
      </c>
      <c r="AB44" s="8">
        <v>0</v>
      </c>
      <c r="AC44" s="8">
        <v>36826.268053710111</v>
      </c>
      <c r="AD44" s="8">
        <v>0</v>
      </c>
      <c r="AE44" s="35">
        <f>SUM(AE40:AE43)</f>
        <v>36826.268053710111</v>
      </c>
      <c r="AG44" s="8">
        <v>0</v>
      </c>
      <c r="AH44" s="8">
        <v>10179.994043276689</v>
      </c>
      <c r="AI44" s="8">
        <v>0</v>
      </c>
      <c r="AJ44" s="35">
        <f>SUM(AJ40:AJ43)</f>
        <v>10179.994043276689</v>
      </c>
      <c r="AL44" s="8">
        <f>SUM(AL40:AL43)</f>
        <v>1811635.7029534024</v>
      </c>
      <c r="AN44" s="8">
        <f t="shared" si="8"/>
        <v>0</v>
      </c>
      <c r="AO44" s="8">
        <f t="shared" si="8"/>
        <v>122769.74796799613</v>
      </c>
      <c r="AP44" s="8">
        <f t="shared" si="8"/>
        <v>0</v>
      </c>
      <c r="AR44" s="35">
        <v>10279.271860535624</v>
      </c>
      <c r="AS44" s="35">
        <v>18005.241761510471</v>
      </c>
      <c r="AT44" s="35">
        <v>47478.97224896324</v>
      </c>
      <c r="AU44" s="35">
        <v>36826.268053710111</v>
      </c>
      <c r="AV44" s="35">
        <v>10179.994043276689</v>
      </c>
    </row>
    <row r="45" spans="1:49">
      <c r="E45" s="38"/>
      <c r="F45" s="38"/>
      <c r="G45" s="38"/>
      <c r="I45" s="39"/>
      <c r="K45" s="38"/>
      <c r="M45" s="38"/>
      <c r="P45" s="24"/>
      <c r="R45" s="38"/>
      <c r="U45" s="24"/>
      <c r="W45" s="38"/>
      <c r="Z45" s="24"/>
      <c r="AB45" s="38"/>
      <c r="AE45" s="24"/>
      <c r="AG45" s="38"/>
      <c r="AJ45" s="24"/>
      <c r="AL45" s="38"/>
      <c r="AN45" s="38"/>
      <c r="AO45" s="38"/>
      <c r="AP45" s="38"/>
      <c r="AR45" s="24"/>
      <c r="AS45" s="24"/>
      <c r="AT45" s="24"/>
      <c r="AU45" s="24"/>
      <c r="AV45" s="24"/>
    </row>
    <row r="46" spans="1:49" ht="13.8" thickBot="1">
      <c r="B46" s="32" t="s">
        <v>88</v>
      </c>
      <c r="C46" s="22"/>
      <c r="D46" s="22"/>
      <c r="E46" s="22"/>
      <c r="F46" s="38"/>
      <c r="G46" s="38"/>
      <c r="I46" s="64">
        <f>I44</f>
        <v>21049.028985405777</v>
      </c>
      <c r="K46" s="38"/>
      <c r="M46" s="38"/>
      <c r="P46" s="64">
        <f>P44</f>
        <v>10279.271860535624</v>
      </c>
      <c r="R46" s="38"/>
      <c r="U46" s="64">
        <f>U44</f>
        <v>18005.241761510471</v>
      </c>
      <c r="W46" s="38"/>
      <c r="Z46" s="64">
        <f>Z44</f>
        <v>47478.97224896324</v>
      </c>
      <c r="AB46" s="38"/>
      <c r="AE46" s="64">
        <f>AE44</f>
        <v>36826.268053710111</v>
      </c>
      <c r="AG46" s="38"/>
      <c r="AJ46" s="64">
        <f>AJ44</f>
        <v>10179.994043276689</v>
      </c>
      <c r="AL46" s="38"/>
      <c r="AN46" s="38"/>
      <c r="AO46" s="38"/>
      <c r="AP46" s="38"/>
      <c r="AR46" s="24">
        <v>10279.271860535624</v>
      </c>
      <c r="AS46" s="24">
        <v>18005.241761510471</v>
      </c>
      <c r="AT46" s="24">
        <v>47478.97224896324</v>
      </c>
      <c r="AU46" s="24">
        <v>36826.268053710111</v>
      </c>
      <c r="AV46" s="24">
        <v>10179.994043276689</v>
      </c>
    </row>
    <row r="47" spans="1:49" ht="13.8" thickTop="1">
      <c r="B47" s="2" t="s">
        <v>89</v>
      </c>
      <c r="C47" s="22"/>
      <c r="D47" s="22"/>
      <c r="E47" s="22"/>
      <c r="F47" s="38"/>
      <c r="G47" s="38"/>
      <c r="I47" s="24"/>
      <c r="K47" s="38"/>
      <c r="M47" s="38"/>
      <c r="P47" s="24"/>
      <c r="R47" s="38"/>
      <c r="U47" s="24"/>
      <c r="W47" s="38"/>
      <c r="Z47" s="24"/>
      <c r="AB47" s="38"/>
      <c r="AE47" s="24"/>
      <c r="AG47" s="38"/>
      <c r="AJ47" s="24"/>
      <c r="AL47" s="38"/>
      <c r="AN47" s="38"/>
      <c r="AO47" s="38"/>
      <c r="AP47" s="38"/>
      <c r="AR47" s="24"/>
      <c r="AS47" s="24"/>
      <c r="AT47" s="24"/>
      <c r="AU47" s="24"/>
      <c r="AV47" s="24"/>
    </row>
    <row r="48" spans="1:49">
      <c r="B48" s="2" t="s">
        <v>90</v>
      </c>
      <c r="C48" s="22"/>
      <c r="D48" s="22"/>
      <c r="E48" s="22"/>
      <c r="F48" s="38"/>
      <c r="G48" s="38"/>
      <c r="I48" s="24">
        <f>I53</f>
        <v>3866.6051854189845</v>
      </c>
      <c r="K48" s="38"/>
      <c r="M48" s="38"/>
      <c r="P48" s="24">
        <f>P53</f>
        <v>3075.8604087572921</v>
      </c>
      <c r="R48" s="38"/>
      <c r="U48" s="24">
        <f>U53</f>
        <v>1896.4631658741494</v>
      </c>
      <c r="W48" s="38"/>
      <c r="Z48" s="24">
        <f>Z53</f>
        <v>5230.2266231159929</v>
      </c>
      <c r="AB48" s="38"/>
      <c r="AE48" s="24">
        <f>AE53</f>
        <v>4068.3324933500876</v>
      </c>
      <c r="AG48" s="38"/>
      <c r="AJ48" s="24">
        <f>AJ53</f>
        <v>2941.4225375552401</v>
      </c>
      <c r="AL48" s="38"/>
      <c r="AN48" s="38"/>
      <c r="AO48" s="38"/>
      <c r="AP48" s="38"/>
      <c r="AR48" s="24">
        <v>3075.8604087572921</v>
      </c>
      <c r="AS48" s="24">
        <v>1896.4631658741494</v>
      </c>
      <c r="AT48" s="24">
        <v>5230.2266231159929</v>
      </c>
      <c r="AU48" s="24">
        <v>4068.3324933500876</v>
      </c>
      <c r="AV48" s="24">
        <v>2941.4225375552401</v>
      </c>
    </row>
    <row r="49" spans="2:48">
      <c r="B49" s="22"/>
      <c r="C49" s="22"/>
      <c r="D49" s="22"/>
      <c r="E49" s="22"/>
      <c r="F49" s="38"/>
      <c r="G49" s="38"/>
      <c r="I49" s="24"/>
      <c r="K49" s="38"/>
      <c r="M49" s="38"/>
      <c r="P49" s="24"/>
      <c r="R49" s="38"/>
      <c r="U49" s="24"/>
      <c r="W49" s="38"/>
      <c r="Z49" s="24"/>
      <c r="AB49" s="38"/>
      <c r="AE49" s="24"/>
      <c r="AG49" s="38"/>
      <c r="AJ49" s="24"/>
      <c r="AL49" s="38"/>
      <c r="AN49" s="38"/>
      <c r="AO49" s="38"/>
      <c r="AP49" s="38"/>
      <c r="AR49" s="24"/>
      <c r="AS49" s="24"/>
      <c r="AT49" s="24"/>
      <c r="AU49" s="24"/>
      <c r="AV49" s="24"/>
    </row>
    <row r="50" spans="2:48">
      <c r="B50" s="22"/>
      <c r="C50" s="22"/>
      <c r="E50" s="60">
        <v>7.4300000000000005E-2</v>
      </c>
      <c r="F50" s="38"/>
      <c r="G50" s="38"/>
      <c r="I50" s="24"/>
      <c r="K50" s="38"/>
      <c r="M50" s="38"/>
      <c r="P50" s="24"/>
      <c r="R50" s="38"/>
      <c r="U50" s="24"/>
      <c r="W50" s="38"/>
      <c r="Z50" s="24"/>
      <c r="AB50" s="38"/>
      <c r="AE50" s="24"/>
      <c r="AG50" s="38"/>
      <c r="AJ50" s="24"/>
      <c r="AL50" s="38"/>
      <c r="AN50" s="38"/>
      <c r="AO50" s="38"/>
      <c r="AP50" s="38"/>
      <c r="AR50" s="24"/>
      <c r="AS50" s="24"/>
      <c r="AT50" s="24"/>
      <c r="AU50" s="24"/>
      <c r="AV50" s="24"/>
    </row>
    <row r="51" spans="2:48">
      <c r="B51" s="22"/>
      <c r="C51" s="22"/>
      <c r="D51" s="2" t="s">
        <v>91</v>
      </c>
      <c r="E51" s="61">
        <v>0.75529000000000002</v>
      </c>
      <c r="F51" s="38"/>
      <c r="G51" s="38"/>
      <c r="I51" s="24"/>
      <c r="K51" s="38"/>
      <c r="M51" s="38"/>
      <c r="P51" s="24"/>
      <c r="R51" s="38"/>
      <c r="U51" s="24"/>
      <c r="W51" s="38"/>
      <c r="Z51" s="24"/>
      <c r="AB51" s="38"/>
      <c r="AE51" s="24"/>
      <c r="AG51" s="38"/>
      <c r="AJ51" s="24"/>
      <c r="AL51" s="38"/>
      <c r="AN51" s="38"/>
      <c r="AO51" s="38"/>
      <c r="AP51" s="38"/>
      <c r="AR51" s="24"/>
      <c r="AS51" s="24"/>
      <c r="AT51" s="24"/>
      <c r="AU51" s="24"/>
      <c r="AV51" s="24"/>
    </row>
    <row r="52" spans="2:48">
      <c r="B52" s="22"/>
      <c r="C52" s="22"/>
      <c r="D52" s="2" t="s">
        <v>92</v>
      </c>
      <c r="E52" s="2"/>
      <c r="F52" s="38"/>
      <c r="G52" s="38"/>
      <c r="I52" s="24">
        <f>I46*$E$50-I23</f>
        <v>2920.4082304951048</v>
      </c>
      <c r="K52" s="38"/>
      <c r="M52" s="38"/>
      <c r="P52" s="24">
        <f>P46*$E$50-P23</f>
        <v>2323.1666081302951</v>
      </c>
      <c r="R52" s="38"/>
      <c r="U52" s="24">
        <f>U46*$E$50-U23</f>
        <v>1432.3796645530863</v>
      </c>
      <c r="W52" s="38"/>
      <c r="Z52" s="24">
        <f>Z46*$E$50-Z23</f>
        <v>3950.3378661732786</v>
      </c>
      <c r="AB52" s="38"/>
      <c r="AE52" s="24">
        <f>AE46*$E$50-AE23</f>
        <v>3072.7708489023876</v>
      </c>
      <c r="AG52" s="38"/>
      <c r="AJ52" s="24">
        <f>AJ46*$E$50-AJ23</f>
        <v>2221.6270283900972</v>
      </c>
      <c r="AL52" s="38"/>
      <c r="AN52" s="38"/>
      <c r="AO52" s="38"/>
      <c r="AP52" s="38"/>
      <c r="AR52" s="24">
        <v>2323.1666081302951</v>
      </c>
      <c r="AS52" s="24">
        <v>1432.3796645530863</v>
      </c>
      <c r="AT52" s="24">
        <v>3950.3378661732786</v>
      </c>
      <c r="AU52" s="24">
        <v>3072.7708489023876</v>
      </c>
      <c r="AV52" s="24">
        <v>2221.6270283900972</v>
      </c>
    </row>
    <row r="53" spans="2:48">
      <c r="B53" s="22"/>
      <c r="C53" s="22"/>
      <c r="D53" s="2" t="s">
        <v>93</v>
      </c>
      <c r="E53" s="2"/>
      <c r="F53" s="38"/>
      <c r="G53" s="38"/>
      <c r="I53" s="24">
        <f>I52/$E$51</f>
        <v>3866.6051854189845</v>
      </c>
      <c r="K53" s="38"/>
      <c r="M53" s="38"/>
      <c r="P53" s="24">
        <f>P52/$E$51</f>
        <v>3075.8604087572921</v>
      </c>
      <c r="R53" s="38"/>
      <c r="U53" s="24">
        <f>U52/$E$51</f>
        <v>1896.4631658741494</v>
      </c>
      <c r="W53" s="38"/>
      <c r="Z53" s="24">
        <f>Z52/$E$51</f>
        <v>5230.2266231159929</v>
      </c>
      <c r="AB53" s="38"/>
      <c r="AE53" s="24">
        <f>AE52/$E$51</f>
        <v>4068.3324933500876</v>
      </c>
      <c r="AG53" s="38"/>
      <c r="AJ53" s="24">
        <f>AJ52/$E$51</f>
        <v>2941.4225375552401</v>
      </c>
      <c r="AL53" s="38"/>
      <c r="AN53" s="38"/>
      <c r="AO53" s="38"/>
      <c r="AP53" s="38"/>
      <c r="AR53" s="24">
        <v>3075.8604087572921</v>
      </c>
      <c r="AS53" s="24">
        <v>1896.4631658741494</v>
      </c>
      <c r="AT53" s="24">
        <v>5230.2266231159929</v>
      </c>
      <c r="AU53" s="24">
        <v>4068.3324933500876</v>
      </c>
      <c r="AV53" s="24">
        <v>2941.4225375552401</v>
      </c>
    </row>
    <row r="54" spans="2:48">
      <c r="E54" s="38"/>
      <c r="F54" s="38"/>
      <c r="G54" s="38"/>
      <c r="I54" s="39"/>
      <c r="K54" s="38"/>
      <c r="M54" s="38"/>
      <c r="P54" s="24"/>
      <c r="R54" s="38"/>
      <c r="U54" s="24"/>
      <c r="W54" s="38"/>
      <c r="Z54" s="24"/>
      <c r="AB54" s="38"/>
      <c r="AE54" s="24"/>
      <c r="AG54" s="38"/>
      <c r="AJ54" s="24"/>
      <c r="AL54" s="38"/>
      <c r="AN54" s="38"/>
      <c r="AO54" s="38"/>
      <c r="AP54" s="38"/>
      <c r="AR54" s="24"/>
      <c r="AS54" s="24"/>
      <c r="AT54" s="24"/>
      <c r="AU54" s="24"/>
      <c r="AV54" s="24"/>
    </row>
    <row r="55" spans="2:48">
      <c r="B55" s="40" t="s">
        <v>44</v>
      </c>
      <c r="C55" s="41"/>
      <c r="D55" s="41"/>
      <c r="I55" s="39"/>
      <c r="M55" s="8"/>
      <c r="P55" s="24"/>
      <c r="R55" s="8"/>
      <c r="U55" s="24"/>
      <c r="W55" s="8"/>
      <c r="Z55" s="24"/>
      <c r="AB55" s="8"/>
      <c r="AE55" s="24"/>
      <c r="AG55" s="8"/>
      <c r="AJ55" s="24"/>
      <c r="AR55" s="24"/>
      <c r="AS55" s="24"/>
      <c r="AT55" s="24"/>
      <c r="AU55" s="24"/>
      <c r="AV55" s="24"/>
    </row>
    <row r="56" spans="2:48">
      <c r="B56" s="22" t="s">
        <v>45</v>
      </c>
      <c r="C56" s="22"/>
      <c r="D56" s="22"/>
      <c r="E56" s="23" t="s">
        <v>20</v>
      </c>
      <c r="F56" s="23" t="s">
        <v>21</v>
      </c>
      <c r="G56" s="23"/>
      <c r="I56" s="39"/>
      <c r="K56" s="23"/>
      <c r="M56" s="23"/>
      <c r="P56" s="24"/>
      <c r="R56" s="23"/>
      <c r="U56" s="24"/>
      <c r="W56" s="23"/>
      <c r="Z56" s="24"/>
      <c r="AB56" s="23"/>
      <c r="AE56" s="24"/>
      <c r="AG56" s="23"/>
      <c r="AJ56" s="24"/>
      <c r="AL56" s="23"/>
      <c r="AN56" s="23"/>
      <c r="AO56" s="23"/>
      <c r="AP56" s="23"/>
      <c r="AR56" s="24"/>
      <c r="AS56" s="24"/>
      <c r="AT56" s="24"/>
      <c r="AU56" s="24"/>
      <c r="AV56" s="24"/>
    </row>
    <row r="57" spans="2:48">
      <c r="B57" s="22" t="s">
        <v>46</v>
      </c>
      <c r="C57" s="22"/>
      <c r="D57" s="22"/>
      <c r="E57" s="22">
        <f>2926.438+3113.36</f>
        <v>6039.7980000000007</v>
      </c>
      <c r="F57" s="25">
        <f>E57+(E77/1000)</f>
        <v>13115.995594858992</v>
      </c>
      <c r="G57" s="22"/>
      <c r="H57" s="22"/>
      <c r="I57" s="35">
        <f>SUM(-E57,F57,G57:H57)</f>
        <v>7076.1975948589916</v>
      </c>
      <c r="K57" s="22">
        <f t="shared" ref="K57:K59" si="25">E57+I57</f>
        <v>13115.995594858992</v>
      </c>
      <c r="M57" s="22">
        <v>0</v>
      </c>
      <c r="N57" s="22">
        <v>0</v>
      </c>
      <c r="O57" s="22">
        <v>0</v>
      </c>
      <c r="P57" s="24">
        <f>SUM(M57:O57)</f>
        <v>0</v>
      </c>
      <c r="R57" s="22">
        <v>-21.014852901577413</v>
      </c>
      <c r="S57" s="22">
        <v>0</v>
      </c>
      <c r="T57" s="22">
        <v>0</v>
      </c>
      <c r="U57" s="24">
        <f>SUM(R57:T57)</f>
        <v>-21.014852901577413</v>
      </c>
      <c r="W57" s="22">
        <v>0</v>
      </c>
      <c r="X57" s="22">
        <v>28</v>
      </c>
      <c r="Y57" s="22">
        <v>0</v>
      </c>
      <c r="Z57" s="24">
        <f>SUM(W57:Y57)</f>
        <v>28</v>
      </c>
      <c r="AB57" s="22">
        <v>0</v>
      </c>
      <c r="AC57" s="22">
        <v>0</v>
      </c>
      <c r="AD57" s="22">
        <v>0</v>
      </c>
      <c r="AE57" s="24">
        <f>SUM(AB57:AD57)</f>
        <v>0</v>
      </c>
      <c r="AG57" s="22">
        <v>0</v>
      </c>
      <c r="AH57" s="22">
        <v>0</v>
      </c>
      <c r="AI57" s="22">
        <v>0</v>
      </c>
      <c r="AJ57" s="24">
        <f>SUM(AG57:AI57)</f>
        <v>0</v>
      </c>
      <c r="AL57" s="22">
        <f>SUM(K57,P57,U57,Z57,AE57,AJ57)</f>
        <v>13122.980741957415</v>
      </c>
      <c r="AN57" s="22">
        <f t="shared" si="8"/>
        <v>-21.014852901577413</v>
      </c>
      <c r="AO57" s="22">
        <f t="shared" si="8"/>
        <v>28</v>
      </c>
      <c r="AP57" s="22">
        <f t="shared" si="8"/>
        <v>0</v>
      </c>
      <c r="AR57" s="24">
        <v>0</v>
      </c>
      <c r="AS57" s="24">
        <v>-21.014852901577413</v>
      </c>
      <c r="AT57" s="24">
        <v>28</v>
      </c>
      <c r="AU57" s="24">
        <v>0</v>
      </c>
      <c r="AV57" s="24">
        <v>0</v>
      </c>
    </row>
    <row r="58" spans="2:48">
      <c r="B58" s="22" t="s">
        <v>47</v>
      </c>
      <c r="C58" s="22"/>
      <c r="D58" s="22"/>
      <c r="E58" s="22">
        <v>8916</v>
      </c>
      <c r="F58" s="25">
        <f>E58+(E78/1000)</f>
        <v>4969.0476635172272</v>
      </c>
      <c r="G58" s="22"/>
      <c r="H58" s="22"/>
      <c r="I58" s="24">
        <f>SUM(-E58,F58,G58:H58)</f>
        <v>-3946.9523364827728</v>
      </c>
      <c r="K58" s="22">
        <f t="shared" si="25"/>
        <v>4969.0476635172272</v>
      </c>
      <c r="M58" s="22">
        <v>0</v>
      </c>
      <c r="N58" s="22">
        <v>0</v>
      </c>
      <c r="O58" s="22">
        <v>0</v>
      </c>
      <c r="P58" s="24">
        <f t="shared" ref="P58" si="26">SUM(M58:O58)</f>
        <v>0</v>
      </c>
      <c r="R58" s="22">
        <v>-12.037637342325608</v>
      </c>
      <c r="S58" s="22">
        <v>64</v>
      </c>
      <c r="T58" s="22">
        <v>0</v>
      </c>
      <c r="U58" s="24">
        <f t="shared" ref="U58" si="27">SUM(R58:T58)</f>
        <v>51.96236265767439</v>
      </c>
      <c r="W58" s="22">
        <v>-2.4295145665572639</v>
      </c>
      <c r="X58" s="22">
        <v>13</v>
      </c>
      <c r="Y58" s="22">
        <v>0</v>
      </c>
      <c r="Z58" s="24">
        <f t="shared" ref="Z58" si="28">SUM(W58:Y58)</f>
        <v>10.570485433442736</v>
      </c>
      <c r="AB58" s="22">
        <v>-5.9301841118760379</v>
      </c>
      <c r="AC58" s="22">
        <v>31</v>
      </c>
      <c r="AD58" s="22">
        <v>0</v>
      </c>
      <c r="AE58" s="24">
        <f t="shared" ref="AE58" si="29">SUM(AB58:AD58)</f>
        <v>25.069815888123962</v>
      </c>
      <c r="AG58" s="22">
        <v>0</v>
      </c>
      <c r="AH58" s="22">
        <v>0</v>
      </c>
      <c r="AI58" s="22">
        <v>0</v>
      </c>
      <c r="AJ58" s="24">
        <f t="shared" ref="AJ58" si="30">SUM(AG58:AI58)</f>
        <v>0</v>
      </c>
      <c r="AL58" s="22">
        <f t="shared" ref="AL58:AL59" si="31">SUM(K58,P58,U58,Z58,AE58,AJ58)</f>
        <v>5056.650327496468</v>
      </c>
      <c r="AN58" s="22">
        <f t="shared" si="8"/>
        <v>-20.39733602075891</v>
      </c>
      <c r="AO58" s="22">
        <f t="shared" si="8"/>
        <v>108</v>
      </c>
      <c r="AP58" s="22">
        <f t="shared" si="8"/>
        <v>0</v>
      </c>
      <c r="AR58" s="24">
        <v>0</v>
      </c>
      <c r="AS58" s="24">
        <v>51.96236265767439</v>
      </c>
      <c r="AT58" s="24">
        <v>10.570485433442736</v>
      </c>
      <c r="AU58" s="24">
        <v>25.069815888123962</v>
      </c>
      <c r="AV58" s="24">
        <v>0</v>
      </c>
    </row>
    <row r="59" spans="2:48">
      <c r="B59" s="22" t="s">
        <v>48</v>
      </c>
      <c r="C59" s="22"/>
      <c r="D59" s="22"/>
      <c r="E59" s="22">
        <v>6969</v>
      </c>
      <c r="F59" s="25">
        <f>E59+(E79/1000)</f>
        <v>6601.8020740222091</v>
      </c>
      <c r="G59" s="22"/>
      <c r="H59" s="22"/>
      <c r="I59" s="24">
        <f>SUM(-E59,F59,G59:H59)</f>
        <v>-367.19792597779087</v>
      </c>
      <c r="K59" s="22">
        <f t="shared" si="25"/>
        <v>6601.8020740222091</v>
      </c>
      <c r="M59" s="22">
        <v>0</v>
      </c>
      <c r="N59" s="22">
        <v>0</v>
      </c>
      <c r="O59" s="22">
        <v>0</v>
      </c>
      <c r="P59" s="33">
        <f>SUM(M59:O59)</f>
        <v>0</v>
      </c>
      <c r="R59" s="22">
        <v>-0.58776405768907369</v>
      </c>
      <c r="S59" s="22">
        <v>7</v>
      </c>
      <c r="T59" s="22">
        <v>0</v>
      </c>
      <c r="U59" s="33">
        <f>SUM(R59:T59)</f>
        <v>6.4122359423109261</v>
      </c>
      <c r="W59" s="22">
        <v>-1.4597492045451037</v>
      </c>
      <c r="X59" s="22">
        <v>17</v>
      </c>
      <c r="Y59" s="22">
        <v>0</v>
      </c>
      <c r="Z59" s="33">
        <f>SUM(W59:Y59)</f>
        <v>15.540250795454897</v>
      </c>
      <c r="AB59" s="22">
        <v>0</v>
      </c>
      <c r="AC59" s="22">
        <v>0</v>
      </c>
      <c r="AD59" s="22">
        <v>0</v>
      </c>
      <c r="AE59" s="33">
        <f>SUM(AB59:AD59)</f>
        <v>0</v>
      </c>
      <c r="AG59" s="22">
        <v>0</v>
      </c>
      <c r="AH59" s="22">
        <v>0</v>
      </c>
      <c r="AI59" s="22">
        <v>0</v>
      </c>
      <c r="AJ59" s="33">
        <f>SUM(AG59:AI59)</f>
        <v>0</v>
      </c>
      <c r="AL59" s="22">
        <f t="shared" si="31"/>
        <v>6623.754560759975</v>
      </c>
      <c r="AN59" s="22">
        <f t="shared" si="8"/>
        <v>-2.0475132622341774</v>
      </c>
      <c r="AO59" s="22">
        <f t="shared" si="8"/>
        <v>24</v>
      </c>
      <c r="AP59" s="22">
        <f t="shared" si="8"/>
        <v>0</v>
      </c>
      <c r="AR59" s="33">
        <v>0</v>
      </c>
      <c r="AS59" s="33">
        <v>6.4122359423109261</v>
      </c>
      <c r="AT59" s="33">
        <v>15.540250795454897</v>
      </c>
      <c r="AU59" s="33">
        <v>0</v>
      </c>
      <c r="AV59" s="33">
        <v>0</v>
      </c>
    </row>
    <row r="60" spans="2:48">
      <c r="B60" s="22" t="s">
        <v>49</v>
      </c>
      <c r="C60" s="22"/>
      <c r="D60" s="22"/>
      <c r="E60" s="42">
        <f>SUM(E57:E59)</f>
        <v>21924.798000000003</v>
      </c>
      <c r="F60" s="42">
        <f>SUM(F57:F59)</f>
        <v>24686.845332398429</v>
      </c>
      <c r="G60" s="42"/>
      <c r="H60" s="42"/>
      <c r="I60" s="30">
        <f>SUM(I57:I59)</f>
        <v>2762.0473323984279</v>
      </c>
      <c r="K60" s="42">
        <f>SUM(K57:K59)</f>
        <v>24686.845332398429</v>
      </c>
      <c r="M60" s="42">
        <v>0</v>
      </c>
      <c r="N60" s="42">
        <v>0</v>
      </c>
      <c r="O60" s="46">
        <v>0</v>
      </c>
      <c r="P60" s="30">
        <f>SUM(P57:P59)</f>
        <v>0</v>
      </c>
      <c r="R60" s="42">
        <v>-33.640254301592094</v>
      </c>
      <c r="S60" s="42">
        <v>71</v>
      </c>
      <c r="T60" s="46">
        <v>0</v>
      </c>
      <c r="U60" s="30">
        <f>SUM(U57:U59)</f>
        <v>37.359745698407906</v>
      </c>
      <c r="W60" s="42">
        <v>-3.8892637711023674</v>
      </c>
      <c r="X60" s="42">
        <v>58</v>
      </c>
      <c r="Y60" s="46">
        <v>0</v>
      </c>
      <c r="Z60" s="30">
        <f>SUM(Z57:Z59)</f>
        <v>54.110736228897629</v>
      </c>
      <c r="AB60" s="42">
        <v>-5.9301841118760379</v>
      </c>
      <c r="AC60" s="42">
        <v>31</v>
      </c>
      <c r="AD60" s="46">
        <v>0</v>
      </c>
      <c r="AE60" s="30">
        <f>SUM(AE57:AE59)</f>
        <v>25.069815888123962</v>
      </c>
      <c r="AG60" s="42">
        <v>0</v>
      </c>
      <c r="AH60" s="42">
        <v>0</v>
      </c>
      <c r="AI60" s="46">
        <v>0</v>
      </c>
      <c r="AJ60" s="30">
        <f>SUM(AJ57:AJ59)</f>
        <v>0</v>
      </c>
      <c r="AL60" s="42">
        <f>SUM(AL57:AL59)</f>
        <v>24803.385630213859</v>
      </c>
      <c r="AN60" s="42">
        <f t="shared" si="8"/>
        <v>-43.459702184570496</v>
      </c>
      <c r="AO60" s="42">
        <f t="shared" si="8"/>
        <v>160</v>
      </c>
      <c r="AP60" s="42">
        <f t="shared" si="8"/>
        <v>0</v>
      </c>
      <c r="AR60" s="30">
        <v>0</v>
      </c>
      <c r="AS60" s="30">
        <v>37.359745698407906</v>
      </c>
      <c r="AT60" s="30">
        <v>54.110736228897629</v>
      </c>
      <c r="AU60" s="30">
        <v>25.069815888123962</v>
      </c>
      <c r="AV60" s="30">
        <v>0</v>
      </c>
    </row>
    <row r="61" spans="2:48">
      <c r="B61" s="22"/>
      <c r="C61" s="22"/>
      <c r="D61" s="22"/>
      <c r="E61" s="23"/>
      <c r="F61" s="23"/>
      <c r="G61" s="23"/>
      <c r="H61" s="22"/>
      <c r="I61" s="24"/>
      <c r="K61" s="23"/>
      <c r="M61" s="23"/>
      <c r="N61" s="23"/>
      <c r="O61" s="23"/>
      <c r="P61" s="24"/>
      <c r="R61" s="23"/>
      <c r="S61" s="23"/>
      <c r="T61" s="23"/>
      <c r="U61" s="24"/>
      <c r="W61" s="23"/>
      <c r="X61" s="23"/>
      <c r="Y61" s="23"/>
      <c r="Z61" s="24"/>
      <c r="AB61" s="23"/>
      <c r="AC61" s="23"/>
      <c r="AD61" s="23"/>
      <c r="AE61" s="24"/>
      <c r="AG61" s="23"/>
      <c r="AH61" s="23"/>
      <c r="AI61" s="23"/>
      <c r="AJ61" s="24"/>
      <c r="AL61" s="23"/>
      <c r="AN61" s="23"/>
      <c r="AO61" s="23"/>
      <c r="AP61" s="23"/>
      <c r="AR61" s="24"/>
      <c r="AS61" s="24"/>
      <c r="AT61" s="24"/>
      <c r="AU61" s="24"/>
      <c r="AV61" s="24"/>
    </row>
    <row r="62" spans="2:48">
      <c r="B62" s="22" t="s">
        <v>50</v>
      </c>
      <c r="C62" s="22"/>
      <c r="E62" s="23" t="s">
        <v>20</v>
      </c>
      <c r="F62" s="23" t="s">
        <v>20</v>
      </c>
      <c r="G62" s="23"/>
      <c r="H62" s="22"/>
      <c r="I62" s="24"/>
      <c r="K62" s="23"/>
      <c r="M62" s="23"/>
      <c r="N62" s="23"/>
      <c r="O62" s="23"/>
      <c r="P62" s="24"/>
      <c r="R62" s="23"/>
      <c r="S62" s="23"/>
      <c r="T62" s="23"/>
      <c r="U62" s="24"/>
      <c r="W62" s="23"/>
      <c r="X62" s="23"/>
      <c r="Y62" s="23"/>
      <c r="Z62" s="24"/>
      <c r="AB62" s="23"/>
      <c r="AC62" s="23"/>
      <c r="AD62" s="23"/>
      <c r="AE62" s="24"/>
      <c r="AG62" s="23"/>
      <c r="AH62" s="23"/>
      <c r="AI62" s="23"/>
      <c r="AJ62" s="24"/>
      <c r="AL62" s="23"/>
      <c r="AN62" s="23"/>
      <c r="AO62" s="23"/>
      <c r="AP62" s="23"/>
      <c r="AR62" s="24"/>
      <c r="AS62" s="24"/>
      <c r="AT62" s="24"/>
      <c r="AU62" s="24"/>
      <c r="AV62" s="24"/>
    </row>
    <row r="63" spans="2:48">
      <c r="B63" s="22" t="s">
        <v>46</v>
      </c>
      <c r="C63" s="22"/>
      <c r="E63" s="22">
        <v>286545</v>
      </c>
      <c r="F63" s="22">
        <v>287448.49400000001</v>
      </c>
      <c r="G63" s="22"/>
      <c r="H63" s="22"/>
      <c r="I63" s="24">
        <f>SUM(-E63,F63,G63:H63)</f>
        <v>903.49400000000605</v>
      </c>
      <c r="K63" s="22">
        <f t="shared" ref="K63:K65" si="32">E63+I63</f>
        <v>287448.49400000001</v>
      </c>
      <c r="M63" s="22">
        <v>0</v>
      </c>
      <c r="N63" s="22">
        <v>0</v>
      </c>
      <c r="O63" s="22">
        <v>0</v>
      </c>
      <c r="P63" s="24">
        <f>SUM(M63:O63)</f>
        <v>0</v>
      </c>
      <c r="R63" s="22">
        <v>-801.05468510000003</v>
      </c>
      <c r="S63" s="22">
        <v>0</v>
      </c>
      <c r="T63" s="22">
        <v>0</v>
      </c>
      <c r="U63" s="24">
        <f>SUM(R63:T63)</f>
        <v>-801.05468510000003</v>
      </c>
      <c r="W63" s="22">
        <v>0</v>
      </c>
      <c r="X63" s="22">
        <v>936.853280208</v>
      </c>
      <c r="Y63" s="22">
        <v>0</v>
      </c>
      <c r="Z63" s="24">
        <f>SUM(W63:Y63)</f>
        <v>936.853280208</v>
      </c>
      <c r="AB63" s="22">
        <v>0</v>
      </c>
      <c r="AC63" s="22">
        <v>0</v>
      </c>
      <c r="AD63" s="22">
        <v>0</v>
      </c>
      <c r="AE63" s="24">
        <f>SUM(AB63:AD63)</f>
        <v>0</v>
      </c>
      <c r="AG63" s="22">
        <v>0</v>
      </c>
      <c r="AH63" s="22">
        <v>0</v>
      </c>
      <c r="AI63" s="22">
        <v>0</v>
      </c>
      <c r="AJ63" s="24">
        <f>SUM(AG63:AI63)</f>
        <v>0</v>
      </c>
      <c r="AL63" s="22">
        <f>SUM(K63,P63,U63,Z63,AE63,AJ63)</f>
        <v>287584.29259510804</v>
      </c>
      <c r="AN63" s="22">
        <f t="shared" si="8"/>
        <v>-801.05468510000003</v>
      </c>
      <c r="AO63" s="22">
        <f t="shared" si="8"/>
        <v>936.853280208</v>
      </c>
      <c r="AP63" s="22">
        <f t="shared" si="8"/>
        <v>0</v>
      </c>
      <c r="AR63" s="24">
        <v>0</v>
      </c>
      <c r="AS63" s="24">
        <v>-801.05468510000003</v>
      </c>
      <c r="AT63" s="24">
        <v>936.853280208</v>
      </c>
      <c r="AU63" s="24">
        <v>0</v>
      </c>
      <c r="AV63" s="24">
        <v>0</v>
      </c>
    </row>
    <row r="64" spans="2:48">
      <c r="B64" s="22" t="s">
        <v>47</v>
      </c>
      <c r="C64" s="22"/>
      <c r="E64" s="22">
        <v>442056</v>
      </c>
      <c r="F64" s="22">
        <v>444091.359</v>
      </c>
      <c r="G64" s="22"/>
      <c r="H64" s="22"/>
      <c r="I64" s="24">
        <f>SUM(-E64,F64,G64:H64)</f>
        <v>2035.3589999999967</v>
      </c>
      <c r="K64" s="22">
        <f t="shared" si="32"/>
        <v>444091.359</v>
      </c>
      <c r="M64" s="22">
        <v>0</v>
      </c>
      <c r="N64" s="22">
        <v>0</v>
      </c>
      <c r="O64" s="22">
        <v>0</v>
      </c>
      <c r="P64" s="24">
        <f>SUM(M64:O64)</f>
        <v>0</v>
      </c>
      <c r="R64" s="22">
        <v>-561.46347842917908</v>
      </c>
      <c r="S64" s="22">
        <v>2895.9456785519997</v>
      </c>
      <c r="T64" s="22">
        <v>0</v>
      </c>
      <c r="U64" s="24">
        <f>SUM(R64:T64)</f>
        <v>2334.4822001228204</v>
      </c>
      <c r="W64" s="22">
        <v>-113.31822521661604</v>
      </c>
      <c r="X64" s="22">
        <v>584.47866553200015</v>
      </c>
      <c r="Y64" s="22">
        <v>0</v>
      </c>
      <c r="Z64" s="24">
        <f>SUM(W64:Y64)</f>
        <v>471.16044031538411</v>
      </c>
      <c r="AB64" s="22">
        <v>-276.59761666620489</v>
      </c>
      <c r="AC64" s="22">
        <v>1426.6496458919999</v>
      </c>
      <c r="AD64" s="22">
        <v>0</v>
      </c>
      <c r="AE64" s="24">
        <f>SUM(AB64:AD64)</f>
        <v>1150.052029225795</v>
      </c>
      <c r="AG64" s="22">
        <v>0</v>
      </c>
      <c r="AH64" s="22">
        <v>0</v>
      </c>
      <c r="AI64" s="22">
        <v>0</v>
      </c>
      <c r="AJ64" s="24">
        <f>SUM(AG64:AI64)</f>
        <v>0</v>
      </c>
      <c r="AL64" s="22">
        <f t="shared" ref="AL64:AL65" si="33">SUM(K64,P64,U64,Z64,AE64,AJ64)</f>
        <v>448047.05366966402</v>
      </c>
      <c r="AN64" s="22">
        <f t="shared" si="8"/>
        <v>-951.379320312</v>
      </c>
      <c r="AO64" s="22">
        <f t="shared" si="8"/>
        <v>4907.0739899760001</v>
      </c>
      <c r="AP64" s="22">
        <f t="shared" si="8"/>
        <v>0</v>
      </c>
      <c r="AR64" s="24">
        <v>0</v>
      </c>
      <c r="AS64" s="24">
        <v>2334.4822001228204</v>
      </c>
      <c r="AT64" s="24">
        <v>471.16044031538411</v>
      </c>
      <c r="AU64" s="24">
        <v>1150.052029225795</v>
      </c>
      <c r="AV64" s="24">
        <v>0</v>
      </c>
    </row>
    <row r="65" spans="2:48">
      <c r="B65" s="22" t="s">
        <v>48</v>
      </c>
      <c r="C65" s="22"/>
      <c r="E65" s="22">
        <v>201559</v>
      </c>
      <c r="F65" s="22">
        <v>202599.448</v>
      </c>
      <c r="G65" s="22"/>
      <c r="H65" s="22"/>
      <c r="I65" s="24">
        <f>SUM(-E65,F65,G65:H65)</f>
        <v>1040.448000000004</v>
      </c>
      <c r="K65" s="22">
        <f t="shared" si="32"/>
        <v>202599.448</v>
      </c>
      <c r="M65" s="22">
        <v>0</v>
      </c>
      <c r="N65" s="22">
        <v>0</v>
      </c>
      <c r="O65" s="22">
        <v>0</v>
      </c>
      <c r="P65" s="24">
        <f>SUM(M65:O65)</f>
        <v>0</v>
      </c>
      <c r="R65" s="22">
        <v>-16.512489459547258</v>
      </c>
      <c r="S65" s="22">
        <v>186.92891590799996</v>
      </c>
      <c r="T65" s="22">
        <v>0</v>
      </c>
      <c r="U65" s="24">
        <f>SUM(R65:T65)</f>
        <v>170.41642644845271</v>
      </c>
      <c r="W65" s="22">
        <v>-41.009811740452747</v>
      </c>
      <c r="X65" s="22">
        <v>464.2497831120001</v>
      </c>
      <c r="Y65" s="22">
        <v>0</v>
      </c>
      <c r="Z65" s="24">
        <f>SUM(W65:Y65)</f>
        <v>423.23997137154737</v>
      </c>
      <c r="AB65" s="22">
        <v>0</v>
      </c>
      <c r="AC65" s="22">
        <v>0</v>
      </c>
      <c r="AD65" s="22">
        <v>0</v>
      </c>
      <c r="AE65" s="24">
        <f>SUM(AB65:AD65)</f>
        <v>0</v>
      </c>
      <c r="AG65" s="22">
        <v>0</v>
      </c>
      <c r="AH65" s="22">
        <v>0</v>
      </c>
      <c r="AI65" s="22">
        <v>0</v>
      </c>
      <c r="AJ65" s="24">
        <f>SUM(AG65:AI65)</f>
        <v>0</v>
      </c>
      <c r="AL65" s="22">
        <f t="shared" si="33"/>
        <v>203193.10439781999</v>
      </c>
      <c r="AN65" s="22">
        <f t="shared" si="8"/>
        <v>-57.522301200000001</v>
      </c>
      <c r="AO65" s="22">
        <f t="shared" si="8"/>
        <v>651.17869902000007</v>
      </c>
      <c r="AP65" s="22">
        <f t="shared" si="8"/>
        <v>0</v>
      </c>
      <c r="AR65" s="24">
        <v>0</v>
      </c>
      <c r="AS65" s="24">
        <v>170.41642644845271</v>
      </c>
      <c r="AT65" s="24">
        <v>423.23997137154737</v>
      </c>
      <c r="AU65" s="24">
        <v>0</v>
      </c>
      <c r="AV65" s="24">
        <v>0</v>
      </c>
    </row>
    <row r="66" spans="2:48">
      <c r="B66" s="22" t="s">
        <v>51</v>
      </c>
      <c r="C66" s="22"/>
      <c r="E66" s="42">
        <f>SUM(E63:E65)</f>
        <v>930160</v>
      </c>
      <c r="F66" s="42">
        <f>SUM(F63:F65)</f>
        <v>934139.30099999998</v>
      </c>
      <c r="G66" s="42"/>
      <c r="H66" s="42"/>
      <c r="I66" s="30">
        <f>SUM(I63:I65)</f>
        <v>3979.3010000000068</v>
      </c>
      <c r="K66" s="42">
        <f>SUM(K63:K65)</f>
        <v>934139.30099999998</v>
      </c>
      <c r="M66" s="42">
        <v>0</v>
      </c>
      <c r="N66" s="42">
        <v>0</v>
      </c>
      <c r="O66" s="46">
        <v>0</v>
      </c>
      <c r="P66" s="30">
        <f>SUM(P63:P65)</f>
        <v>0</v>
      </c>
      <c r="R66" s="42">
        <v>-1379.0306529887264</v>
      </c>
      <c r="S66" s="42">
        <v>3082.8745944599996</v>
      </c>
      <c r="T66" s="46">
        <v>0</v>
      </c>
      <c r="U66" s="30">
        <f>SUM(U63:U65)</f>
        <v>1703.8439414712732</v>
      </c>
      <c r="W66" s="42">
        <v>-154.32803695706878</v>
      </c>
      <c r="X66" s="42">
        <v>1985.5817288520004</v>
      </c>
      <c r="Y66" s="46">
        <v>0</v>
      </c>
      <c r="Z66" s="30">
        <f>SUM(Z63:Z65)</f>
        <v>1831.2536918949315</v>
      </c>
      <c r="AB66" s="42">
        <v>-276.59761666620489</v>
      </c>
      <c r="AC66" s="42">
        <v>1426.6496458919999</v>
      </c>
      <c r="AD66" s="46">
        <v>0</v>
      </c>
      <c r="AE66" s="30">
        <f>SUM(AE63:AE65)</f>
        <v>1150.052029225795</v>
      </c>
      <c r="AG66" s="42">
        <v>0</v>
      </c>
      <c r="AH66" s="42">
        <v>0</v>
      </c>
      <c r="AI66" s="46">
        <v>0</v>
      </c>
      <c r="AJ66" s="30">
        <f>SUM(AJ63:AJ65)</f>
        <v>0</v>
      </c>
      <c r="AL66" s="42">
        <f>SUM(AL63:AL65)</f>
        <v>938824.45066259208</v>
      </c>
      <c r="AN66" s="42">
        <f t="shared" si="8"/>
        <v>-1809.9563066119999</v>
      </c>
      <c r="AO66" s="42">
        <f t="shared" si="8"/>
        <v>6495.1059692039998</v>
      </c>
      <c r="AP66" s="42">
        <f t="shared" si="8"/>
        <v>0</v>
      </c>
      <c r="AR66" s="30">
        <v>0</v>
      </c>
      <c r="AS66" s="30">
        <v>1703.8439414712732</v>
      </c>
      <c r="AT66" s="30">
        <v>1831.2536918949315</v>
      </c>
      <c r="AU66" s="30">
        <v>1150.052029225795</v>
      </c>
      <c r="AV66" s="30">
        <v>0</v>
      </c>
    </row>
    <row r="67" spans="2:48">
      <c r="B67" s="22"/>
      <c r="C67" s="22"/>
      <c r="E67" s="23"/>
      <c r="F67" s="23"/>
      <c r="G67" s="23"/>
      <c r="H67" s="22"/>
      <c r="I67" s="24"/>
      <c r="K67" s="23"/>
      <c r="M67" s="23"/>
      <c r="N67" s="23"/>
      <c r="O67" s="23"/>
      <c r="P67" s="24"/>
      <c r="R67" s="23"/>
      <c r="S67" s="23"/>
      <c r="T67" s="23"/>
      <c r="U67" s="24"/>
      <c r="W67" s="23"/>
      <c r="X67" s="23"/>
      <c r="Y67" s="23"/>
      <c r="Z67" s="24"/>
      <c r="AB67" s="23"/>
      <c r="AC67" s="23"/>
      <c r="AD67" s="23"/>
      <c r="AE67" s="24"/>
      <c r="AG67" s="23"/>
      <c r="AH67" s="23"/>
      <c r="AI67" s="23"/>
      <c r="AJ67" s="24"/>
      <c r="AL67" s="23"/>
      <c r="AN67" s="23"/>
      <c r="AO67" s="23"/>
      <c r="AP67" s="23"/>
      <c r="AR67" s="24"/>
      <c r="AS67" s="24"/>
      <c r="AT67" s="24"/>
      <c r="AU67" s="24"/>
      <c r="AV67" s="24"/>
    </row>
    <row r="68" spans="2:48">
      <c r="B68" s="22" t="s">
        <v>52</v>
      </c>
      <c r="C68" s="22"/>
      <c r="E68" s="23" t="s">
        <v>20</v>
      </c>
      <c r="F68" s="23" t="s">
        <v>20</v>
      </c>
      <c r="G68" s="23"/>
      <c r="H68" s="22"/>
      <c r="I68" s="24"/>
      <c r="K68" s="23"/>
      <c r="M68" s="23"/>
      <c r="N68" s="23"/>
      <c r="O68" s="23"/>
      <c r="P68" s="24"/>
      <c r="R68" s="23"/>
      <c r="S68" s="23"/>
      <c r="T68" s="23"/>
      <c r="U68" s="24"/>
      <c r="W68" s="23"/>
      <c r="X68" s="23"/>
      <c r="Y68" s="23"/>
      <c r="Z68" s="24"/>
      <c r="AB68" s="23"/>
      <c r="AC68" s="23"/>
      <c r="AD68" s="23"/>
      <c r="AE68" s="24"/>
      <c r="AG68" s="23"/>
      <c r="AH68" s="23"/>
      <c r="AI68" s="23"/>
      <c r="AJ68" s="24"/>
      <c r="AL68" s="23"/>
      <c r="AN68" s="23"/>
      <c r="AO68" s="23"/>
      <c r="AP68" s="23"/>
      <c r="AR68" s="24"/>
      <c r="AS68" s="24"/>
      <c r="AT68" s="24"/>
      <c r="AU68" s="24"/>
      <c r="AV68" s="24"/>
    </row>
    <row r="69" spans="2:48">
      <c r="B69" s="22" t="s">
        <v>46</v>
      </c>
      <c r="C69" s="22"/>
      <c r="E69" s="22">
        <v>-202373</v>
      </c>
      <c r="F69" s="22">
        <v>-204605.17800000001</v>
      </c>
      <c r="G69" s="22"/>
      <c r="H69" s="22"/>
      <c r="I69" s="24">
        <f>SUM(-E69,F69,G69:H69)</f>
        <v>-2232.1780000000144</v>
      </c>
      <c r="K69" s="22">
        <f t="shared" ref="K69:K71" si="34">E69+I69</f>
        <v>-204605.17800000001</v>
      </c>
      <c r="M69" s="22">
        <v>0</v>
      </c>
      <c r="N69" s="22">
        <v>0</v>
      </c>
      <c r="O69" s="22">
        <v>0</v>
      </c>
      <c r="P69" s="24">
        <f>SUM(M69:O69)</f>
        <v>0</v>
      </c>
      <c r="R69" s="22">
        <v>801.05468510000003</v>
      </c>
      <c r="S69" s="22">
        <v>0</v>
      </c>
      <c r="T69" s="22">
        <v>0</v>
      </c>
      <c r="U69" s="24">
        <f>SUM(R69:T69)</f>
        <v>801.05468510000003</v>
      </c>
      <c r="W69" s="22">
        <v>0</v>
      </c>
      <c r="X69" s="22">
        <v>-14.927161459529787</v>
      </c>
      <c r="Y69" s="22">
        <v>0</v>
      </c>
      <c r="Z69" s="24">
        <f>SUM(W69:Y69)</f>
        <v>-14.927161459529787</v>
      </c>
      <c r="AB69" s="22">
        <v>0</v>
      </c>
      <c r="AC69" s="22">
        <v>0</v>
      </c>
      <c r="AD69" s="22">
        <v>0</v>
      </c>
      <c r="AE69" s="24">
        <f>SUM(AB69:AD69)</f>
        <v>0</v>
      </c>
      <c r="AG69" s="22">
        <v>0</v>
      </c>
      <c r="AH69" s="22">
        <v>0</v>
      </c>
      <c r="AI69" s="22">
        <v>0</v>
      </c>
      <c r="AJ69" s="24">
        <f>SUM(AG69:AI69)</f>
        <v>0</v>
      </c>
      <c r="AL69" s="22">
        <f>SUM(K69,P69,U69,Z69,AE69,AJ69)</f>
        <v>-203819.05047635952</v>
      </c>
      <c r="AN69" s="22">
        <f t="shared" si="8"/>
        <v>801.05468510000003</v>
      </c>
      <c r="AO69" s="22">
        <f t="shared" si="8"/>
        <v>-14.927161459529787</v>
      </c>
      <c r="AP69" s="22">
        <f t="shared" si="8"/>
        <v>0</v>
      </c>
      <c r="AR69" s="24">
        <v>0</v>
      </c>
      <c r="AS69" s="24">
        <v>801.05468510000003</v>
      </c>
      <c r="AT69" s="24">
        <v>-14.927161459529787</v>
      </c>
      <c r="AU69" s="24">
        <v>0</v>
      </c>
      <c r="AV69" s="24">
        <v>0</v>
      </c>
    </row>
    <row r="70" spans="2:48">
      <c r="B70" s="22" t="s">
        <v>47</v>
      </c>
      <c r="C70" s="22"/>
      <c r="E70" s="22">
        <v>-92485</v>
      </c>
      <c r="F70" s="22">
        <v>-94993.369000000006</v>
      </c>
      <c r="G70" s="22"/>
      <c r="H70" s="22"/>
      <c r="I70" s="24">
        <f>SUM(-E70,F70,G70:H70)</f>
        <v>-2508.3690000000061</v>
      </c>
      <c r="K70" s="22">
        <f t="shared" si="34"/>
        <v>-94993.369000000006</v>
      </c>
      <c r="M70" s="22">
        <v>0</v>
      </c>
      <c r="N70" s="22">
        <v>0</v>
      </c>
      <c r="O70" s="22">
        <v>0</v>
      </c>
      <c r="P70" s="24">
        <f>SUM(M70:O70)</f>
        <v>0</v>
      </c>
      <c r="R70" s="22">
        <v>561.46347842917908</v>
      </c>
      <c r="S70" s="22">
        <v>-46.222558956991989</v>
      </c>
      <c r="T70" s="22">
        <v>0</v>
      </c>
      <c r="U70" s="24">
        <f>SUM(R70:T70)</f>
        <v>515.2409194721871</v>
      </c>
      <c r="W70" s="22">
        <v>113.31822521661604</v>
      </c>
      <c r="X70" s="22">
        <v>-2.0790379506270025</v>
      </c>
      <c r="Y70" s="22">
        <v>0</v>
      </c>
      <c r="Z70" s="24">
        <f>SUM(W70:Y70)</f>
        <v>111.23918726598905</v>
      </c>
      <c r="AB70" s="22">
        <v>276.59761666620489</v>
      </c>
      <c r="AC70" s="22">
        <v>-13.909108041696998</v>
      </c>
      <c r="AD70" s="22">
        <v>0</v>
      </c>
      <c r="AE70" s="24">
        <f>SUM(AB70:AD70)</f>
        <v>262.6885086245079</v>
      </c>
      <c r="AG70" s="22">
        <v>0</v>
      </c>
      <c r="AH70" s="22">
        <v>0</v>
      </c>
      <c r="AI70" s="22">
        <v>0</v>
      </c>
      <c r="AJ70" s="24">
        <f>SUM(AG70:AI70)</f>
        <v>0</v>
      </c>
      <c r="AL70" s="22">
        <f t="shared" ref="AL70:AL71" si="35">SUM(K70,P70,U70,Z70,AE70,AJ70)</f>
        <v>-94104.200384637326</v>
      </c>
      <c r="AN70" s="22">
        <f t="shared" si="8"/>
        <v>951.379320312</v>
      </c>
      <c r="AO70" s="22">
        <f t="shared" si="8"/>
        <v>-62.210704949315989</v>
      </c>
      <c r="AP70" s="22">
        <f t="shared" si="8"/>
        <v>0</v>
      </c>
      <c r="AR70" s="24">
        <v>0</v>
      </c>
      <c r="AS70" s="24">
        <v>515.2409194721871</v>
      </c>
      <c r="AT70" s="24">
        <v>111.23918726598905</v>
      </c>
      <c r="AU70" s="24">
        <v>262.6885086245079</v>
      </c>
      <c r="AV70" s="24">
        <v>0</v>
      </c>
    </row>
    <row r="71" spans="2:48">
      <c r="B71" s="22" t="s">
        <v>48</v>
      </c>
      <c r="C71" s="22"/>
      <c r="E71" s="22">
        <v>-87579</v>
      </c>
      <c r="F71" s="22">
        <v>-91012.588000000003</v>
      </c>
      <c r="G71" s="22"/>
      <c r="H71" s="22"/>
      <c r="I71" s="24">
        <f>SUM(-E71,F71,G71:H71)</f>
        <v>-3433.5880000000034</v>
      </c>
      <c r="K71" s="22">
        <f t="shared" si="34"/>
        <v>-91012.588000000003</v>
      </c>
      <c r="M71" s="22">
        <v>0</v>
      </c>
      <c r="N71" s="22">
        <v>0</v>
      </c>
      <c r="O71" s="22">
        <v>0</v>
      </c>
      <c r="P71" s="24">
        <f>SUM(M71:O71)</f>
        <v>0</v>
      </c>
      <c r="R71" s="22">
        <v>16.512489459547258</v>
      </c>
      <c r="S71" s="22">
        <v>-0.83183367579059986</v>
      </c>
      <c r="T71" s="22">
        <v>0</v>
      </c>
      <c r="U71" s="24">
        <f>SUM(R71:T71)</f>
        <v>15.680655783756658</v>
      </c>
      <c r="W71" s="22">
        <v>41.009811740452747</v>
      </c>
      <c r="X71" s="22">
        <v>-7.8244770690184016</v>
      </c>
      <c r="Y71" s="22">
        <v>0</v>
      </c>
      <c r="Z71" s="24">
        <f>SUM(W71:Y71)</f>
        <v>33.185334671434347</v>
      </c>
      <c r="AB71" s="22">
        <v>0</v>
      </c>
      <c r="AC71" s="22">
        <v>0</v>
      </c>
      <c r="AD71" s="22">
        <v>0</v>
      </c>
      <c r="AE71" s="24">
        <f>SUM(AB71:AD71)</f>
        <v>0</v>
      </c>
      <c r="AG71" s="22">
        <v>0</v>
      </c>
      <c r="AH71" s="22">
        <v>0</v>
      </c>
      <c r="AI71" s="22">
        <v>0</v>
      </c>
      <c r="AJ71" s="24">
        <f>SUM(AG71:AI71)</f>
        <v>0</v>
      </c>
      <c r="AL71" s="22">
        <f t="shared" si="35"/>
        <v>-90963.722009544814</v>
      </c>
      <c r="AN71" s="22">
        <f t="shared" si="8"/>
        <v>57.522301200000001</v>
      </c>
      <c r="AO71" s="22">
        <f t="shared" si="8"/>
        <v>-8.6563107448090015</v>
      </c>
      <c r="AP71" s="22">
        <f t="shared" si="8"/>
        <v>0</v>
      </c>
      <c r="AR71" s="24">
        <v>0</v>
      </c>
      <c r="AS71" s="24">
        <v>15.680655783756658</v>
      </c>
      <c r="AT71" s="24">
        <v>33.185334671434347</v>
      </c>
      <c r="AU71" s="24">
        <v>0</v>
      </c>
      <c r="AV71" s="24">
        <v>0</v>
      </c>
    </row>
    <row r="72" spans="2:48">
      <c r="B72" s="22" t="s">
        <v>53</v>
      </c>
      <c r="C72" s="22"/>
      <c r="E72" s="42">
        <f>SUM(E69:E71)</f>
        <v>-382437</v>
      </c>
      <c r="F72" s="42">
        <f>SUM(F69:F71)</f>
        <v>-390611.13500000001</v>
      </c>
      <c r="G72" s="42"/>
      <c r="H72" s="42"/>
      <c r="I72" s="30">
        <f>SUM(I69:I71)</f>
        <v>-8174.1350000000239</v>
      </c>
      <c r="K72" s="42">
        <f>SUM(K69:K71)</f>
        <v>-390611.13500000001</v>
      </c>
      <c r="M72" s="42">
        <v>0</v>
      </c>
      <c r="N72" s="42">
        <v>0</v>
      </c>
      <c r="O72" s="46">
        <v>0</v>
      </c>
      <c r="P72" s="30">
        <f>SUM(P69:P71)</f>
        <v>0</v>
      </c>
      <c r="R72" s="42">
        <v>1379.0306529887264</v>
      </c>
      <c r="S72" s="42">
        <v>-47.054392632782587</v>
      </c>
      <c r="T72" s="46">
        <v>0</v>
      </c>
      <c r="U72" s="30">
        <f>SUM(U69:U71)</f>
        <v>1331.9762603559439</v>
      </c>
      <c r="W72" s="42">
        <v>154.32803695706878</v>
      </c>
      <c r="X72" s="42">
        <v>-24.830676479175189</v>
      </c>
      <c r="Y72" s="46">
        <v>0</v>
      </c>
      <c r="Z72" s="30">
        <f>SUM(Z69:Z71)</f>
        <v>129.49736047789361</v>
      </c>
      <c r="AB72" s="42">
        <v>276.59761666620489</v>
      </c>
      <c r="AC72" s="42">
        <v>-13.909108041696998</v>
      </c>
      <c r="AD72" s="46">
        <v>0</v>
      </c>
      <c r="AE72" s="30">
        <f>SUM(AE69:AE71)</f>
        <v>262.6885086245079</v>
      </c>
      <c r="AG72" s="42">
        <v>0</v>
      </c>
      <c r="AH72" s="42">
        <v>0</v>
      </c>
      <c r="AI72" s="46">
        <v>0</v>
      </c>
      <c r="AJ72" s="30">
        <f>SUM(AJ69:AJ71)</f>
        <v>0</v>
      </c>
      <c r="AL72" s="42">
        <f>SUM(AL69:AL71)</f>
        <v>-388886.97287054162</v>
      </c>
      <c r="AN72" s="42">
        <f t="shared" si="8"/>
        <v>1809.9563066119999</v>
      </c>
      <c r="AO72" s="42">
        <f t="shared" si="8"/>
        <v>-85.794177153654772</v>
      </c>
      <c r="AP72" s="42">
        <f t="shared" si="8"/>
        <v>0</v>
      </c>
      <c r="AR72" s="30">
        <v>0</v>
      </c>
      <c r="AS72" s="30">
        <v>1331.9762603559439</v>
      </c>
      <c r="AT72" s="30">
        <v>129.49736047789361</v>
      </c>
      <c r="AU72" s="30">
        <v>262.6885086245079</v>
      </c>
      <c r="AV72" s="30">
        <v>0</v>
      </c>
    </row>
    <row r="73" spans="2:48">
      <c r="B73" s="22"/>
      <c r="C73" s="22"/>
      <c r="E73" s="23"/>
      <c r="F73" s="23"/>
      <c r="G73" s="23"/>
      <c r="K73" s="23"/>
      <c r="AL73" s="23"/>
      <c r="AN73" s="23"/>
      <c r="AO73" s="23"/>
      <c r="AP73" s="23"/>
    </row>
    <row r="75" spans="2:48" ht="57">
      <c r="D75" s="43" t="s">
        <v>21</v>
      </c>
      <c r="E75" s="44" t="s">
        <v>54</v>
      </c>
      <c r="F75" s="44" t="s">
        <v>55</v>
      </c>
      <c r="K75" s="44"/>
      <c r="AL75" s="44"/>
      <c r="AN75" s="44"/>
      <c r="AO75" s="44"/>
      <c r="AP75" s="44"/>
    </row>
    <row r="76" spans="2:48">
      <c r="D76" s="2" t="s">
        <v>56</v>
      </c>
      <c r="E76" s="8">
        <v>920468.38000062644</v>
      </c>
      <c r="F76" s="8">
        <v>72288.396421350772</v>
      </c>
    </row>
    <row r="77" spans="2:48">
      <c r="D77" s="2" t="s">
        <v>57</v>
      </c>
      <c r="E77" s="8">
        <v>7076197.5948589919</v>
      </c>
      <c r="F77" s="8">
        <v>0</v>
      </c>
    </row>
    <row r="78" spans="2:48">
      <c r="D78" s="2" t="s">
        <v>58</v>
      </c>
      <c r="E78" s="8">
        <v>-3946952.3364827721</v>
      </c>
      <c r="F78" s="8">
        <v>0</v>
      </c>
    </row>
    <row r="79" spans="2:48">
      <c r="D79" s="2" t="s">
        <v>59</v>
      </c>
      <c r="E79" s="8">
        <v>-367197.92597779131</v>
      </c>
      <c r="F79" s="8">
        <v>0</v>
      </c>
    </row>
    <row r="80" spans="2:48">
      <c r="D80" s="2" t="s">
        <v>60</v>
      </c>
      <c r="E80" s="8">
        <v>804753.95845194266</v>
      </c>
      <c r="F80" s="8">
        <v>0</v>
      </c>
    </row>
    <row r="81" spans="4:42">
      <c r="D81" s="2" t="s">
        <v>61</v>
      </c>
      <c r="E81" s="8">
        <v>153137.90638528686</v>
      </c>
      <c r="F81" s="8">
        <v>1170472.5798063909</v>
      </c>
    </row>
    <row r="82" spans="4:42">
      <c r="D82" s="2" t="s">
        <v>62</v>
      </c>
      <c r="E82" s="8">
        <v>-438847.30648959009</v>
      </c>
      <c r="F82" s="8">
        <v>193844.57795641883</v>
      </c>
      <c r="K82"/>
      <c r="AL82"/>
      <c r="AN82"/>
      <c r="AO82"/>
      <c r="AP82"/>
    </row>
    <row r="83" spans="4:42">
      <c r="D83" s="2" t="s">
        <v>63</v>
      </c>
      <c r="E83" s="37">
        <v>-563460.13896242238</v>
      </c>
      <c r="F83" s="37">
        <v>0</v>
      </c>
      <c r="K83"/>
      <c r="AL83"/>
      <c r="AN83"/>
      <c r="AO83"/>
      <c r="AP83"/>
    </row>
    <row r="84" spans="4:42">
      <c r="E84" s="8">
        <f>SUM(E76:E83)</f>
        <v>3638100.1317842724</v>
      </c>
      <c r="F84" s="8">
        <f>SUM(F76:F83)</f>
        <v>1436605.5541841604</v>
      </c>
      <c r="K84"/>
      <c r="AL84"/>
      <c r="AN84"/>
      <c r="AO84"/>
      <c r="AP84"/>
    </row>
    <row r="85" spans="4:42">
      <c r="K85"/>
      <c r="AL85"/>
      <c r="AN85"/>
      <c r="AO85"/>
      <c r="AP85"/>
    </row>
    <row r="86" spans="4:42">
      <c r="K86"/>
      <c r="AL86"/>
      <c r="AN86"/>
      <c r="AO86"/>
      <c r="AP86"/>
    </row>
    <row r="87" spans="4:42">
      <c r="K87"/>
      <c r="AL87"/>
      <c r="AN87"/>
      <c r="AO87"/>
      <c r="AP87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0" firstPageNumber="4" orientation="landscape" r:id="rId1"/>
  <headerFooter scaleWithDoc="0" alignWithMargins="0">
    <oddHeader xml:space="preserve">&amp;L&amp;8Avista
</oddHeader>
    <oddFooter>&amp;L&amp;F&amp;R&amp;8Page &amp;P of &amp;N</oddFooter>
  </headerFooter>
  <colBreaks count="1" manualBreakCount="1">
    <brk id="27" max="6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FC29-788E-4079-A017-57E51ACB6327}">
  <dimension ref="A2:BL81"/>
  <sheetViews>
    <sheetView zoomScaleNormal="100" workbookViewId="0">
      <selection activeCell="B1" sqref="B1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4.5546875" style="8" bestFit="1" customWidth="1"/>
    <col min="9" max="9" width="14" style="5" bestFit="1" customWidth="1"/>
    <col min="10" max="10" width="2" style="6" customWidth="1"/>
    <col min="11" max="11" width="16.33203125" style="8" bestFit="1" customWidth="1"/>
    <col min="12" max="12" width="2.33203125" style="6" customWidth="1"/>
    <col min="13" max="15" width="10.33203125" style="8" customWidth="1"/>
    <col min="16" max="16" width="14.44140625" style="5" bestFit="1" customWidth="1"/>
    <col min="17" max="17" width="1.88671875" style="6" customWidth="1"/>
    <col min="18" max="20" width="10.33203125" style="8" customWidth="1"/>
    <col min="21" max="21" width="14.44140625" style="5" bestFit="1" customWidth="1"/>
    <col min="22" max="22" width="1.88671875" style="6" customWidth="1"/>
    <col min="23" max="25" width="10.33203125" style="8" customWidth="1"/>
    <col min="26" max="26" width="14.44140625" style="5" bestFit="1" customWidth="1"/>
    <col min="27" max="27" width="1.88671875" style="6" customWidth="1"/>
    <col min="28" max="30" width="10.33203125" style="8" customWidth="1"/>
    <col min="31" max="31" width="14.44140625" style="5" bestFit="1" customWidth="1"/>
    <col min="32" max="32" width="1.88671875" style="6" customWidth="1"/>
    <col min="33" max="35" width="10.33203125" style="8" customWidth="1"/>
    <col min="36" max="36" width="14.44140625" style="5" bestFit="1" customWidth="1"/>
    <col min="37" max="37" width="1.88671875" style="6" customWidth="1"/>
    <col min="38" max="38" width="17.44140625" style="6" bestFit="1" customWidth="1"/>
    <col min="39" max="39" width="10.6640625" style="2"/>
    <col min="40" max="42" width="17.44140625" style="6" bestFit="1" customWidth="1"/>
    <col min="43" max="43" width="10.6640625" style="2"/>
    <col min="44" max="48" width="14.44140625" style="5" bestFit="1" customWidth="1"/>
    <col min="49" max="16384" width="10.6640625" style="2"/>
  </cols>
  <sheetData>
    <row r="2" spans="1:64">
      <c r="A2" s="1" t="s">
        <v>0</v>
      </c>
      <c r="D2" s="3"/>
      <c r="E2" s="4"/>
      <c r="F2" s="4"/>
      <c r="G2" s="4"/>
      <c r="H2" s="4"/>
      <c r="K2" s="4"/>
      <c r="M2" s="4"/>
      <c r="N2" s="4"/>
      <c r="O2" s="4"/>
      <c r="R2" s="4"/>
      <c r="S2" s="4"/>
      <c r="T2" s="4"/>
      <c r="W2" s="4"/>
      <c r="X2" s="4"/>
      <c r="Y2" s="4"/>
      <c r="AB2" s="4"/>
      <c r="AC2" s="4"/>
      <c r="AD2" s="4"/>
      <c r="AG2" s="4"/>
      <c r="AH2" s="4"/>
      <c r="AI2" s="4"/>
    </row>
    <row r="3" spans="1:64" ht="12.75" customHeight="1">
      <c r="A3" s="1" t="s">
        <v>64</v>
      </c>
      <c r="D3" s="3"/>
      <c r="E3" s="7"/>
      <c r="F3" s="7"/>
      <c r="G3" s="7"/>
      <c r="H3" s="7"/>
      <c r="K3" s="7"/>
      <c r="M3" s="7"/>
      <c r="N3" s="7"/>
      <c r="O3" s="7"/>
      <c r="R3" s="7"/>
      <c r="S3" s="7"/>
      <c r="T3" s="7"/>
      <c r="W3" s="7"/>
      <c r="X3" s="7"/>
      <c r="Y3" s="7"/>
      <c r="AB3" s="7"/>
      <c r="AC3" s="7"/>
      <c r="AD3" s="7"/>
      <c r="AG3" s="7"/>
      <c r="AH3" s="7"/>
      <c r="AI3" s="7"/>
    </row>
    <row r="4" spans="1:64">
      <c r="A4" s="1" t="s">
        <v>2</v>
      </c>
      <c r="D4" s="3"/>
    </row>
    <row r="5" spans="1:64" ht="12.75" customHeight="1">
      <c r="A5" s="1" t="s">
        <v>3</v>
      </c>
      <c r="D5" s="3"/>
      <c r="E5" s="7"/>
      <c r="F5" s="7"/>
      <c r="G5" s="7"/>
      <c r="H5" s="7"/>
      <c r="K5" s="7"/>
      <c r="M5" s="7"/>
      <c r="N5" s="7"/>
      <c r="O5" s="7"/>
      <c r="R5" s="7"/>
      <c r="S5" s="7"/>
      <c r="T5" s="7"/>
      <c r="W5" s="7"/>
      <c r="X5" s="7"/>
      <c r="Y5" s="7"/>
      <c r="AB5" s="7"/>
      <c r="AC5" s="7"/>
      <c r="AD5" s="7"/>
      <c r="AG5" s="7"/>
      <c r="AH5" s="7"/>
      <c r="AI5" s="7"/>
    </row>
    <row r="6" spans="1:64" s="65" customFormat="1" ht="12.75" customHeight="1">
      <c r="E6" s="65" t="s">
        <v>4</v>
      </c>
      <c r="F6" s="65" t="s">
        <v>5</v>
      </c>
      <c r="G6" s="65" t="s">
        <v>6</v>
      </c>
      <c r="H6" s="65" t="s">
        <v>6</v>
      </c>
      <c r="I6" s="66" t="s">
        <v>7</v>
      </c>
      <c r="J6" s="68"/>
      <c r="K6" s="65" t="s">
        <v>8</v>
      </c>
      <c r="M6" s="72" t="s">
        <v>9</v>
      </c>
      <c r="N6" s="73"/>
      <c r="O6" s="73"/>
      <c r="P6" s="74"/>
      <c r="R6" s="72" t="s">
        <v>74</v>
      </c>
      <c r="S6" s="73"/>
      <c r="T6" s="73"/>
      <c r="U6" s="74"/>
      <c r="W6" s="72" t="s">
        <v>76</v>
      </c>
      <c r="X6" s="73"/>
      <c r="Y6" s="73"/>
      <c r="Z6" s="74"/>
      <c r="AB6" s="72" t="s">
        <v>78</v>
      </c>
      <c r="AC6" s="73"/>
      <c r="AD6" s="73"/>
      <c r="AE6" s="74"/>
      <c r="AG6" s="72" t="s">
        <v>80</v>
      </c>
      <c r="AH6" s="73"/>
      <c r="AI6" s="73"/>
      <c r="AJ6" s="74"/>
      <c r="AL6" s="66" t="s">
        <v>8</v>
      </c>
      <c r="AN6" s="66" t="s">
        <v>83</v>
      </c>
      <c r="AO6" s="66" t="s">
        <v>83</v>
      </c>
      <c r="AP6" s="66" t="s">
        <v>83</v>
      </c>
    </row>
    <row r="7" spans="1:64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49" t="s">
        <v>18</v>
      </c>
      <c r="AN7" s="49" t="s">
        <v>82</v>
      </c>
      <c r="AO7" s="49" t="s">
        <v>17</v>
      </c>
      <c r="AP7" s="49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64" s="17" customFormat="1">
      <c r="B8" s="18"/>
      <c r="E8" s="19"/>
      <c r="F8" s="19"/>
      <c r="G8" s="19"/>
      <c r="H8" s="19"/>
      <c r="I8" s="20"/>
      <c r="J8" s="6"/>
      <c r="K8" s="19"/>
      <c r="M8" s="52" t="s">
        <v>84</v>
      </c>
      <c r="N8" s="19"/>
      <c r="O8" s="19"/>
      <c r="P8" s="20"/>
      <c r="R8" s="52" t="s">
        <v>84</v>
      </c>
      <c r="S8" s="19"/>
      <c r="T8" s="19"/>
      <c r="U8" s="20"/>
      <c r="W8" s="52" t="s">
        <v>84</v>
      </c>
      <c r="X8" s="19"/>
      <c r="Y8" s="19"/>
      <c r="Z8" s="20"/>
      <c r="AB8" s="52" t="s">
        <v>84</v>
      </c>
      <c r="AC8" s="19"/>
      <c r="AD8" s="19"/>
      <c r="AE8" s="20"/>
      <c r="AG8" s="52" t="s">
        <v>84</v>
      </c>
      <c r="AH8" s="19"/>
      <c r="AI8" s="19"/>
      <c r="AJ8" s="20"/>
      <c r="AN8" s="52" t="s">
        <v>84</v>
      </c>
      <c r="AP8" s="52" t="s">
        <v>84</v>
      </c>
      <c r="AR8" s="20"/>
      <c r="AS8" s="20"/>
      <c r="AT8" s="20"/>
      <c r="AU8" s="20"/>
      <c r="AV8" s="20"/>
    </row>
    <row r="9" spans="1:64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 s="6"/>
      <c r="K9" s="23"/>
      <c r="M9" s="23"/>
      <c r="N9" s="23"/>
      <c r="O9" s="23"/>
      <c r="P9" s="24"/>
      <c r="R9" s="23"/>
      <c r="S9" s="23"/>
      <c r="T9" s="23"/>
      <c r="U9" s="24"/>
      <c r="W9" s="23"/>
      <c r="X9" s="23"/>
      <c r="Y9" s="23"/>
      <c r="Z9" s="24"/>
      <c r="AB9" s="23"/>
      <c r="AC9" s="23"/>
      <c r="AD9" s="23"/>
      <c r="AE9" s="24"/>
      <c r="AG9" s="23"/>
      <c r="AH9" s="23"/>
      <c r="AI9" s="23"/>
      <c r="AJ9" s="24"/>
      <c r="AR9" s="24"/>
      <c r="AS9" s="24"/>
      <c r="AT9" s="24"/>
      <c r="AU9" s="24"/>
      <c r="AV9" s="24"/>
    </row>
    <row r="10" spans="1:64" s="22" customFormat="1">
      <c r="A10" s="21"/>
      <c r="C10" s="22" t="s">
        <v>22</v>
      </c>
      <c r="E10" s="22">
        <v>5477</v>
      </c>
      <c r="F10" s="25">
        <f>E10+(E53/1000)</f>
        <v>5753.333988015981</v>
      </c>
      <c r="H10" s="25">
        <f>-(F53/1000)</f>
        <v>22.48676223963114</v>
      </c>
      <c r="I10" s="24">
        <f>SUM(-E10,F10,G10:H10)</f>
        <v>298.82075025561221</v>
      </c>
      <c r="J10" s="6"/>
      <c r="K10" s="22">
        <f>E10+I10</f>
        <v>5775.8207502556124</v>
      </c>
      <c r="M10" s="22">
        <v>-67.760120055372369</v>
      </c>
      <c r="N10" s="22">
        <v>647</v>
      </c>
      <c r="O10" s="22">
        <v>0</v>
      </c>
      <c r="P10" s="24">
        <f>SUM(M10:O10)</f>
        <v>579.23987994462766</v>
      </c>
      <c r="R10" s="22">
        <v>0</v>
      </c>
      <c r="S10" s="22">
        <v>0</v>
      </c>
      <c r="T10" s="22">
        <v>0</v>
      </c>
      <c r="U10" s="24">
        <f>SUM(R10:T10)</f>
        <v>0</v>
      </c>
      <c r="W10" s="22">
        <v>-0.12927156293178246</v>
      </c>
      <c r="X10" s="22">
        <v>1</v>
      </c>
      <c r="Y10" s="22">
        <v>0</v>
      </c>
      <c r="Z10" s="24">
        <f>SUM(W10:Y10)</f>
        <v>0.87072843706821756</v>
      </c>
      <c r="AB10" s="22">
        <v>0</v>
      </c>
      <c r="AC10" s="22">
        <v>0</v>
      </c>
      <c r="AD10" s="22">
        <v>0</v>
      </c>
      <c r="AE10" s="24">
        <f>SUM(AB10:AD10)</f>
        <v>0</v>
      </c>
      <c r="AG10" s="22">
        <v>-51.183514181665565</v>
      </c>
      <c r="AH10" s="22">
        <v>489</v>
      </c>
      <c r="AI10" s="22">
        <v>0</v>
      </c>
      <c r="AJ10" s="24">
        <f>SUM(AG10:AI10)</f>
        <v>437.81648581833446</v>
      </c>
      <c r="AL10" s="22">
        <f>SUM(K10,P10,U10,Z10,AE10,AJ10)</f>
        <v>6793.7478444556427</v>
      </c>
      <c r="AN10" s="22">
        <f>SUM(M10,R10,W10,AB10,AG10)</f>
        <v>-119.0729057999697</v>
      </c>
      <c r="AO10" s="22">
        <f t="shared" ref="AO10:AP13" si="0">SUM(N10,S10,X10,AC10,AH10)</f>
        <v>1137</v>
      </c>
      <c r="AP10" s="22">
        <f t="shared" si="0"/>
        <v>0</v>
      </c>
      <c r="AR10" s="24">
        <v>579.23987994462766</v>
      </c>
      <c r="AS10" s="24">
        <v>0</v>
      </c>
      <c r="AT10" s="24">
        <v>0.87072843706821756</v>
      </c>
      <c r="AU10" s="24">
        <v>0</v>
      </c>
      <c r="AV10" s="24">
        <v>437.81648581833446</v>
      </c>
    </row>
    <row r="11" spans="1:64" s="22" customFormat="1">
      <c r="A11" s="21"/>
      <c r="C11" s="22" t="s">
        <v>65</v>
      </c>
      <c r="E11" s="22">
        <v>494.267</v>
      </c>
      <c r="F11" s="25">
        <f>E11+(E54/1000)</f>
        <v>330.26042605467478</v>
      </c>
      <c r="H11" s="25">
        <f>-(F54/1000)</f>
        <v>0</v>
      </c>
      <c r="I11" s="24">
        <f>SUM(-E11,F11,G11:H11)</f>
        <v>-164.00657394532521</v>
      </c>
      <c r="J11" s="6"/>
      <c r="K11" s="22">
        <f t="shared" ref="K11:K13" si="1">E11+I11</f>
        <v>330.26042605467478</v>
      </c>
      <c r="M11" s="22">
        <v>0</v>
      </c>
      <c r="N11" s="22">
        <v>0</v>
      </c>
      <c r="O11" s="22">
        <v>0</v>
      </c>
      <c r="P11" s="24">
        <f t="shared" ref="P11:P13" si="2">SUM(M11:O11)</f>
        <v>0</v>
      </c>
      <c r="R11" s="22">
        <v>0</v>
      </c>
      <c r="S11" s="22">
        <v>21</v>
      </c>
      <c r="T11" s="22">
        <v>0</v>
      </c>
      <c r="U11" s="24">
        <f t="shared" ref="U11:U13" si="3">SUM(R11:T11)</f>
        <v>21</v>
      </c>
      <c r="W11" s="22">
        <v>0</v>
      </c>
      <c r="X11" s="22">
        <v>0</v>
      </c>
      <c r="Y11" s="22">
        <v>0</v>
      </c>
      <c r="Z11" s="24">
        <f t="shared" ref="Z11:Z13" si="4">SUM(W11:Y11)</f>
        <v>0</v>
      </c>
      <c r="AB11" s="22">
        <v>0</v>
      </c>
      <c r="AC11" s="22">
        <v>0</v>
      </c>
      <c r="AD11" s="22">
        <v>0</v>
      </c>
      <c r="AE11" s="24">
        <f t="shared" ref="AE11:AE13" si="5">SUM(AB11:AD11)</f>
        <v>0</v>
      </c>
      <c r="AG11" s="22">
        <v>0</v>
      </c>
      <c r="AH11" s="22">
        <v>0</v>
      </c>
      <c r="AI11" s="22">
        <v>0</v>
      </c>
      <c r="AJ11" s="24">
        <f t="shared" ref="AJ11:AJ13" si="6">SUM(AG11:AI11)</f>
        <v>0</v>
      </c>
      <c r="AL11" s="22">
        <f t="shared" ref="AL11:AL13" si="7">SUM(K11,P11,U11,Z11,AE11,AJ11)</f>
        <v>351.26042605467478</v>
      </c>
      <c r="AN11" s="22">
        <f t="shared" ref="AN11:AP37" si="8">SUM(M11,R11,W11,AB11,AG11)</f>
        <v>0</v>
      </c>
      <c r="AO11" s="22">
        <f t="shared" si="0"/>
        <v>21</v>
      </c>
      <c r="AP11" s="22">
        <f t="shared" si="0"/>
        <v>0</v>
      </c>
      <c r="AR11" s="24">
        <v>0</v>
      </c>
      <c r="AS11" s="24">
        <v>21</v>
      </c>
      <c r="AT11" s="24">
        <v>0</v>
      </c>
      <c r="AU11" s="24">
        <v>0</v>
      </c>
      <c r="AV11" s="24">
        <v>0</v>
      </c>
    </row>
    <row r="12" spans="1:64" s="22" customFormat="1">
      <c r="A12" s="21"/>
      <c r="C12" s="22" t="s">
        <v>25</v>
      </c>
      <c r="E12" s="22">
        <v>12468.481</v>
      </c>
      <c r="F12" s="25">
        <f>E12+(E55/1000)</f>
        <v>13089.279890452981</v>
      </c>
      <c r="G12" s="22">
        <v>-238.18748793304985</v>
      </c>
      <c r="H12" s="25">
        <f>-(F55/1000)</f>
        <v>-494.86848358814746</v>
      </c>
      <c r="I12" s="24">
        <f>SUM(-E12,F12,G12:H12)</f>
        <v>-112.25708106821617</v>
      </c>
      <c r="J12" s="6"/>
      <c r="K12" s="22">
        <f t="shared" si="1"/>
        <v>12356.223918931784</v>
      </c>
      <c r="M12" s="22">
        <v>0</v>
      </c>
      <c r="N12" s="22">
        <v>0</v>
      </c>
      <c r="O12" s="22">
        <v>0</v>
      </c>
      <c r="P12" s="24">
        <f t="shared" si="2"/>
        <v>0</v>
      </c>
      <c r="R12" s="22">
        <v>-21.447817997639941</v>
      </c>
      <c r="S12" s="22">
        <v>115</v>
      </c>
      <c r="T12" s="22">
        <v>0</v>
      </c>
      <c r="U12" s="24">
        <f t="shared" si="3"/>
        <v>93.552182002360055</v>
      </c>
      <c r="W12" s="22">
        <v>-20.088917582953101</v>
      </c>
      <c r="X12" s="22">
        <v>108</v>
      </c>
      <c r="Y12" s="22">
        <v>0</v>
      </c>
      <c r="Z12" s="24">
        <f t="shared" si="4"/>
        <v>87.911082417046899</v>
      </c>
      <c r="AB12" s="22">
        <v>-46.81879290673087</v>
      </c>
      <c r="AC12" s="22">
        <v>251</v>
      </c>
      <c r="AD12" s="22">
        <v>0</v>
      </c>
      <c r="AE12" s="24">
        <f t="shared" si="5"/>
        <v>204.18120709326914</v>
      </c>
      <c r="AG12" s="22">
        <v>0</v>
      </c>
      <c r="AH12" s="22">
        <v>0</v>
      </c>
      <c r="AI12" s="22">
        <v>0</v>
      </c>
      <c r="AJ12" s="24">
        <f t="shared" si="6"/>
        <v>0</v>
      </c>
      <c r="AL12" s="22">
        <f t="shared" si="7"/>
        <v>12741.868390444461</v>
      </c>
      <c r="AN12" s="22">
        <f t="shared" si="8"/>
        <v>-88.355528487323909</v>
      </c>
      <c r="AO12" s="22">
        <f t="shared" si="0"/>
        <v>474</v>
      </c>
      <c r="AP12" s="22">
        <f t="shared" si="0"/>
        <v>0</v>
      </c>
      <c r="AR12" s="24">
        <v>0</v>
      </c>
      <c r="AS12" s="24">
        <v>93.552182002360055</v>
      </c>
      <c r="AT12" s="24">
        <v>87.911082417046899</v>
      </c>
      <c r="AU12" s="24">
        <v>204.18120709326914</v>
      </c>
      <c r="AV12" s="24">
        <v>0</v>
      </c>
    </row>
    <row r="13" spans="1:64" s="22" customFormat="1">
      <c r="A13" s="21"/>
      <c r="C13" s="22" t="s">
        <v>26</v>
      </c>
      <c r="E13" s="27">
        <v>5200.7920000000004</v>
      </c>
      <c r="F13" s="25">
        <f>E13+(SUM(E56:E57)/1000)</f>
        <v>4972.4318243303351</v>
      </c>
      <c r="G13" s="27"/>
      <c r="H13" s="25">
        <f>-(SUM(F56:F57)/1000)</f>
        <v>-56.639823581020998</v>
      </c>
      <c r="I13" s="24">
        <f>SUM(-E13,F13,G13:H13)</f>
        <v>-284.9999992506863</v>
      </c>
      <c r="J13" s="6"/>
      <c r="K13" s="27">
        <f t="shared" si="1"/>
        <v>4915.792000749314</v>
      </c>
      <c r="M13" s="27">
        <v>-3.135732073259319</v>
      </c>
      <c r="N13" s="27">
        <v>12</v>
      </c>
      <c r="O13" s="27">
        <v>0</v>
      </c>
      <c r="P13" s="24">
        <f t="shared" si="2"/>
        <v>8.8642679267406805</v>
      </c>
      <c r="R13" s="27">
        <v>-44.974515748341176</v>
      </c>
      <c r="S13" s="27">
        <v>48</v>
      </c>
      <c r="T13" s="27">
        <v>0</v>
      </c>
      <c r="U13" s="24">
        <f t="shared" si="3"/>
        <v>3.0254842516588241</v>
      </c>
      <c r="W13" s="27">
        <v>-68.54151354067038</v>
      </c>
      <c r="X13" s="27">
        <v>124</v>
      </c>
      <c r="Y13" s="27">
        <v>0</v>
      </c>
      <c r="Z13" s="24">
        <f t="shared" si="4"/>
        <v>55.45848645932962</v>
      </c>
      <c r="AB13" s="27">
        <v>-14.065050585958513</v>
      </c>
      <c r="AC13" s="27">
        <v>10</v>
      </c>
      <c r="AD13" s="27">
        <v>0</v>
      </c>
      <c r="AE13" s="24">
        <f t="shared" si="5"/>
        <v>-4.0650505859585131</v>
      </c>
      <c r="AG13" s="27">
        <v>-44.97389443492537</v>
      </c>
      <c r="AH13" s="27">
        <v>164</v>
      </c>
      <c r="AI13" s="27">
        <v>0</v>
      </c>
      <c r="AJ13" s="24">
        <f t="shared" si="6"/>
        <v>119.02610556507463</v>
      </c>
      <c r="AL13" s="27">
        <f t="shared" si="7"/>
        <v>5098.101294366159</v>
      </c>
      <c r="AN13" s="27">
        <f t="shared" si="8"/>
        <v>-175.69070638315475</v>
      </c>
      <c r="AO13" s="27">
        <f t="shared" si="0"/>
        <v>358</v>
      </c>
      <c r="AP13" s="27">
        <f t="shared" si="0"/>
        <v>0</v>
      </c>
      <c r="AR13" s="24">
        <v>8.8642679267406805</v>
      </c>
      <c r="AS13" s="24">
        <v>3.0254842516588241</v>
      </c>
      <c r="AT13" s="24">
        <v>55.45848645932962</v>
      </c>
      <c r="AU13" s="24">
        <v>-4.0650505859585131</v>
      </c>
      <c r="AV13" s="24">
        <v>119.02610556507463</v>
      </c>
    </row>
    <row r="14" spans="1:64" s="22" customFormat="1" ht="18" customHeight="1" thickBot="1">
      <c r="A14" s="21"/>
      <c r="B14" s="22" t="s">
        <v>66</v>
      </c>
      <c r="E14" s="27">
        <f>SUM(E10:E13)</f>
        <v>23640.54</v>
      </c>
      <c r="F14" s="27">
        <f>SUM(F10:F13)</f>
        <v>24145.306128853972</v>
      </c>
      <c r="G14" s="29">
        <f>SUM(G10:G13)</f>
        <v>-238.18748793304985</v>
      </c>
      <c r="H14" s="27">
        <f>SUM(H10:H13)</f>
        <v>-529.0215449295373</v>
      </c>
      <c r="I14" s="30">
        <f>SUM(I10:I13)</f>
        <v>-262.44290400861547</v>
      </c>
      <c r="J14" s="6"/>
      <c r="K14" s="27">
        <f>SUM(K10:K13)</f>
        <v>23378.097095991383</v>
      </c>
      <c r="M14" s="27">
        <v>-70.895852128631688</v>
      </c>
      <c r="N14" s="27">
        <v>659</v>
      </c>
      <c r="O14" s="45">
        <v>0</v>
      </c>
      <c r="P14" s="30">
        <f>SUM(P10:P13)</f>
        <v>588.10414787136835</v>
      </c>
      <c r="R14" s="27">
        <v>-66.422333745981121</v>
      </c>
      <c r="S14" s="27">
        <v>184</v>
      </c>
      <c r="T14" s="45">
        <v>0</v>
      </c>
      <c r="U14" s="30">
        <f>SUM(U10:U13)</f>
        <v>117.57766625401888</v>
      </c>
      <c r="W14" s="27">
        <v>-88.759702686555272</v>
      </c>
      <c r="X14" s="27">
        <v>233</v>
      </c>
      <c r="Y14" s="45">
        <v>0</v>
      </c>
      <c r="Z14" s="30">
        <f>SUM(Z10:Z13)</f>
        <v>144.24029731344473</v>
      </c>
      <c r="AB14" s="27">
        <v>-60.88384349268938</v>
      </c>
      <c r="AC14" s="27">
        <v>261</v>
      </c>
      <c r="AD14" s="45">
        <v>0</v>
      </c>
      <c r="AE14" s="30">
        <f>SUM(AE10:AE13)</f>
        <v>200.11615650731062</v>
      </c>
      <c r="AG14" s="27">
        <v>-96.157408616590942</v>
      </c>
      <c r="AH14" s="27">
        <v>653</v>
      </c>
      <c r="AI14" s="45">
        <v>0</v>
      </c>
      <c r="AJ14" s="30">
        <f>SUM(AJ10:AJ13)</f>
        <v>556.84259138340906</v>
      </c>
      <c r="AL14" s="27">
        <f>SUM(AL10:AL13)</f>
        <v>24984.977955320937</v>
      </c>
      <c r="AN14" s="27">
        <f>SUM(AN10:AN13)</f>
        <v>-383.11914067044836</v>
      </c>
      <c r="AO14" s="27">
        <f t="shared" ref="AO14:AP14" si="9">SUM(AO10:AO13)</f>
        <v>1990</v>
      </c>
      <c r="AP14" s="27">
        <f t="shared" si="9"/>
        <v>0</v>
      </c>
      <c r="AR14" s="30">
        <v>588.10414787136835</v>
      </c>
      <c r="AS14" s="30">
        <v>117.57766625401888</v>
      </c>
      <c r="AT14" s="30">
        <v>144.24029731344473</v>
      </c>
      <c r="AU14" s="30">
        <v>200.11615650731062</v>
      </c>
      <c r="AV14" s="30">
        <v>556.84259138340906</v>
      </c>
    </row>
    <row r="15" spans="1:64" s="6" customFormat="1" ht="13.8" thickBot="1">
      <c r="A15" s="31"/>
      <c r="B15" s="2"/>
      <c r="C15" s="2"/>
      <c r="D15" s="2"/>
      <c r="E15" s="8"/>
      <c r="F15" s="8"/>
      <c r="G15" s="8"/>
      <c r="H15" s="8"/>
      <c r="I15" s="24"/>
      <c r="K15" s="8"/>
      <c r="M15" s="8"/>
      <c r="N15" s="8"/>
      <c r="O15" s="22"/>
      <c r="P15" s="24"/>
      <c r="R15" s="8"/>
      <c r="S15" s="8"/>
      <c r="T15" s="22"/>
      <c r="U15" s="24"/>
      <c r="W15" s="8"/>
      <c r="X15" s="8"/>
      <c r="Y15" s="22"/>
      <c r="Z15" s="24"/>
      <c r="AB15" s="8"/>
      <c r="AC15" s="8"/>
      <c r="AD15" s="22"/>
      <c r="AE15" s="24"/>
      <c r="AG15" s="8"/>
      <c r="AH15" s="8"/>
      <c r="AI15" s="22"/>
      <c r="AJ15" s="24"/>
      <c r="AL15" s="8"/>
      <c r="AM15" s="2"/>
      <c r="AN15" s="54" t="s">
        <v>85</v>
      </c>
      <c r="AO15" s="55">
        <f>(AN14+AP14)/AO14</f>
        <v>-0.19252218124143133</v>
      </c>
      <c r="AP15" s="8"/>
      <c r="AQ15" s="2"/>
      <c r="AR15" s="24"/>
      <c r="AS15" s="24"/>
      <c r="AT15" s="24"/>
      <c r="AU15" s="24"/>
      <c r="AV15" s="2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6" customFormat="1">
      <c r="A16" s="31"/>
      <c r="B16" s="22" t="s">
        <v>94</v>
      </c>
      <c r="C16" s="22"/>
      <c r="D16" s="22"/>
      <c r="E16" s="22"/>
      <c r="F16" s="8"/>
      <c r="G16" s="8"/>
      <c r="H16" s="8"/>
      <c r="I16" s="24">
        <f>-I14</f>
        <v>262.44290400861547</v>
      </c>
      <c r="K16" s="8"/>
      <c r="M16" s="8"/>
      <c r="N16" s="8"/>
      <c r="O16" s="22"/>
      <c r="P16" s="24">
        <f>-P14</f>
        <v>-588.10414787136835</v>
      </c>
      <c r="R16" s="8"/>
      <c r="S16" s="8"/>
      <c r="T16" s="22"/>
      <c r="U16" s="24">
        <f>-U14</f>
        <v>-117.57766625401888</v>
      </c>
      <c r="W16" s="8"/>
      <c r="X16" s="8"/>
      <c r="Y16" s="22"/>
      <c r="Z16" s="24">
        <f>-Z14</f>
        <v>-144.24029731344473</v>
      </c>
      <c r="AB16" s="8"/>
      <c r="AC16" s="8"/>
      <c r="AD16" s="22"/>
      <c r="AE16" s="24">
        <f>-AE14</f>
        <v>-200.11615650731062</v>
      </c>
      <c r="AG16" s="8"/>
      <c r="AH16" s="8"/>
      <c r="AI16" s="22"/>
      <c r="AJ16" s="24">
        <f>-AJ14</f>
        <v>-556.84259138340906</v>
      </c>
      <c r="AL16" s="8"/>
      <c r="AM16" s="2"/>
      <c r="AN16" s="58"/>
      <c r="AO16" s="59"/>
      <c r="AP16" s="8"/>
      <c r="AQ16" s="2"/>
      <c r="AR16" s="24">
        <v>-588.10414787136835</v>
      </c>
      <c r="AS16" s="24">
        <v>-117.57766625401888</v>
      </c>
      <c r="AT16" s="24">
        <v>-144.24029731344473</v>
      </c>
      <c r="AU16" s="24">
        <v>-200.11615650731062</v>
      </c>
      <c r="AV16" s="24">
        <v>-556.84259138340906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6" customFormat="1">
      <c r="A17" s="31"/>
      <c r="B17" s="22"/>
      <c r="C17" s="22"/>
      <c r="D17" s="22"/>
      <c r="E17" s="22"/>
      <c r="F17" s="8"/>
      <c r="G17" s="8"/>
      <c r="H17" s="8"/>
      <c r="I17" s="24"/>
      <c r="K17" s="8"/>
      <c r="M17" s="8"/>
      <c r="N17" s="8"/>
      <c r="O17" s="22"/>
      <c r="P17" s="24"/>
      <c r="R17" s="8"/>
      <c r="S17" s="8"/>
      <c r="T17" s="22"/>
      <c r="U17" s="24"/>
      <c r="W17" s="8"/>
      <c r="X17" s="8"/>
      <c r="Y17" s="22"/>
      <c r="Z17" s="24"/>
      <c r="AB17" s="8"/>
      <c r="AC17" s="8"/>
      <c r="AD17" s="22"/>
      <c r="AE17" s="24"/>
      <c r="AG17" s="8"/>
      <c r="AH17" s="8"/>
      <c r="AI17" s="22"/>
      <c r="AJ17" s="24"/>
      <c r="AL17" s="8"/>
      <c r="AM17" s="2"/>
      <c r="AN17" s="58"/>
      <c r="AO17" s="59"/>
      <c r="AP17" s="8"/>
      <c r="AQ17" s="2"/>
      <c r="AR17" s="24"/>
      <c r="AS17" s="24"/>
      <c r="AT17" s="24"/>
      <c r="AU17" s="24"/>
      <c r="AV17" s="2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6" customFormat="1">
      <c r="A18" s="31"/>
      <c r="B18" s="22" t="s">
        <v>95</v>
      </c>
      <c r="C18" s="22"/>
      <c r="D18" s="22"/>
      <c r="E18" s="22"/>
      <c r="F18" s="8"/>
      <c r="G18" s="8"/>
      <c r="H18" s="8"/>
      <c r="I18" s="24"/>
      <c r="K18" s="8"/>
      <c r="M18" s="8"/>
      <c r="N18" s="8"/>
      <c r="O18" s="22"/>
      <c r="P18" s="24"/>
      <c r="R18" s="8"/>
      <c r="S18" s="8"/>
      <c r="T18" s="22"/>
      <c r="U18" s="24"/>
      <c r="W18" s="8"/>
      <c r="X18" s="8"/>
      <c r="Y18" s="22"/>
      <c r="Z18" s="24"/>
      <c r="AB18" s="8"/>
      <c r="AC18" s="8"/>
      <c r="AD18" s="22"/>
      <c r="AE18" s="24"/>
      <c r="AG18" s="8"/>
      <c r="AH18" s="8"/>
      <c r="AI18" s="22"/>
      <c r="AJ18" s="24"/>
      <c r="AL18" s="8"/>
      <c r="AM18" s="2"/>
      <c r="AN18" s="58"/>
      <c r="AO18" s="59"/>
      <c r="AP18" s="8"/>
      <c r="AQ18" s="2"/>
      <c r="AR18" s="24"/>
      <c r="AS18" s="24"/>
      <c r="AT18" s="24"/>
      <c r="AU18" s="24"/>
      <c r="AV18" s="2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s="6" customFormat="1">
      <c r="A19" s="31"/>
      <c r="B19" s="22" t="s">
        <v>96</v>
      </c>
      <c r="C19" s="22"/>
      <c r="D19" s="22"/>
      <c r="E19" s="62">
        <v>0.21</v>
      </c>
      <c r="F19" s="8"/>
      <c r="G19" s="8"/>
      <c r="H19" s="8"/>
      <c r="I19" s="24">
        <f>$E$19*I16</f>
        <v>55.113009841809244</v>
      </c>
      <c r="K19" s="8"/>
      <c r="M19" s="8"/>
      <c r="N19" s="8"/>
      <c r="O19" s="22"/>
      <c r="P19" s="24">
        <f>$E$19*P16</f>
        <v>-123.50187105298735</v>
      </c>
      <c r="R19" s="8"/>
      <c r="S19" s="8"/>
      <c r="T19" s="22"/>
      <c r="U19" s="24">
        <f>$E$19*U16</f>
        <v>-24.691309913343964</v>
      </c>
      <c r="W19" s="8"/>
      <c r="X19" s="8"/>
      <c r="Y19" s="22"/>
      <c r="Z19" s="24">
        <f>$E$19*Z16</f>
        <v>-30.290462435823393</v>
      </c>
      <c r="AB19" s="8"/>
      <c r="AC19" s="8"/>
      <c r="AD19" s="22"/>
      <c r="AE19" s="24">
        <f>$E$19*AE16</f>
        <v>-42.02439286653523</v>
      </c>
      <c r="AG19" s="8"/>
      <c r="AH19" s="8"/>
      <c r="AI19" s="22"/>
      <c r="AJ19" s="24">
        <f>$E$19*AJ16</f>
        <v>-116.9369441905159</v>
      </c>
      <c r="AL19" s="8"/>
      <c r="AM19" s="2"/>
      <c r="AN19" s="58"/>
      <c r="AO19" s="59"/>
      <c r="AP19" s="8"/>
      <c r="AQ19" s="2"/>
      <c r="AR19" s="24">
        <v>-123.50187105298735</v>
      </c>
      <c r="AS19" s="24">
        <v>-24.691309913343964</v>
      </c>
      <c r="AT19" s="24">
        <v>-30.290462435823393</v>
      </c>
      <c r="AU19" s="24">
        <v>-42.02439286653523</v>
      </c>
      <c r="AV19" s="24">
        <v>-116.9369441905159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s="6" customFormat="1">
      <c r="A20" s="31"/>
      <c r="B20" s="22" t="s">
        <v>97</v>
      </c>
      <c r="C20" s="22"/>
      <c r="D20" s="22"/>
      <c r="E20" s="63">
        <v>2.4799999999999999E-2</v>
      </c>
      <c r="F20" s="8"/>
      <c r="G20" s="8"/>
      <c r="H20" s="8"/>
      <c r="I20" s="33">
        <f>-(I43*$E$20)*$E$19</f>
        <v>-66.301360027831507</v>
      </c>
      <c r="K20" s="8"/>
      <c r="M20" s="8"/>
      <c r="N20" s="8"/>
      <c r="O20" s="22"/>
      <c r="P20" s="33">
        <f>-(P43*$E$20)*$E$19</f>
        <v>-15.593017836294354</v>
      </c>
      <c r="R20" s="8"/>
      <c r="S20" s="8"/>
      <c r="T20" s="22"/>
      <c r="U20" s="33">
        <f>-(U43*$E$20)*$E$19</f>
        <v>-37.765085518516912</v>
      </c>
      <c r="W20" s="8"/>
      <c r="X20" s="8"/>
      <c r="Y20" s="22"/>
      <c r="Z20" s="33">
        <f>-(Z43*$E$20)*$E$19</f>
        <v>-34.526040525036926</v>
      </c>
      <c r="AB20" s="8"/>
      <c r="AC20" s="8"/>
      <c r="AD20" s="22"/>
      <c r="AE20" s="33">
        <f>-(AE43*$E$20)*$E$19</f>
        <v>-54.522518228942765</v>
      </c>
      <c r="AG20" s="8"/>
      <c r="AH20" s="8"/>
      <c r="AI20" s="22"/>
      <c r="AJ20" s="33">
        <f>-(AJ43*$E$20)*$E$19</f>
        <v>-15.452355314212925</v>
      </c>
      <c r="AL20" s="8"/>
      <c r="AM20" s="2"/>
      <c r="AN20" s="58"/>
      <c r="AO20" s="59"/>
      <c r="AP20" s="8"/>
      <c r="AQ20" s="2"/>
      <c r="AR20" s="24">
        <v>-15.593017836294354</v>
      </c>
      <c r="AS20" s="24">
        <v>-37.765085518516912</v>
      </c>
      <c r="AT20" s="24">
        <v>-34.526040525036926</v>
      </c>
      <c r="AU20" s="24">
        <v>-54.522518228942765</v>
      </c>
      <c r="AV20" s="24">
        <v>-15.452355314212925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s="6" customFormat="1">
      <c r="A21" s="31"/>
      <c r="B21" s="2"/>
      <c r="C21" s="2"/>
      <c r="D21" s="2"/>
      <c r="E21" s="2"/>
      <c r="F21" s="8"/>
      <c r="G21" s="8"/>
      <c r="H21" s="8"/>
      <c r="I21" s="24"/>
      <c r="K21" s="8"/>
      <c r="M21" s="8"/>
      <c r="N21" s="8"/>
      <c r="O21" s="22"/>
      <c r="P21" s="24"/>
      <c r="R21" s="8"/>
      <c r="S21" s="8"/>
      <c r="T21" s="22"/>
      <c r="U21" s="24"/>
      <c r="W21" s="8"/>
      <c r="X21" s="8"/>
      <c r="Y21" s="22"/>
      <c r="Z21" s="24"/>
      <c r="AB21" s="8"/>
      <c r="AC21" s="8"/>
      <c r="AD21" s="22"/>
      <c r="AE21" s="24"/>
      <c r="AG21" s="8"/>
      <c r="AH21" s="8"/>
      <c r="AI21" s="22"/>
      <c r="AJ21" s="24"/>
      <c r="AL21" s="8"/>
      <c r="AM21" s="2"/>
      <c r="AN21" s="58"/>
      <c r="AO21" s="59"/>
      <c r="AP21" s="8"/>
      <c r="AQ21" s="2"/>
      <c r="AR21" s="24"/>
      <c r="AS21" s="24"/>
      <c r="AT21" s="24"/>
      <c r="AU21" s="24"/>
      <c r="AV21" s="2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s="6" customFormat="1" ht="13.8" thickBot="1">
      <c r="A22" s="31"/>
      <c r="B22" s="32" t="s">
        <v>98</v>
      </c>
      <c r="C22" s="2"/>
      <c r="D22" s="2"/>
      <c r="E22" s="2"/>
      <c r="F22" s="8"/>
      <c r="G22" s="8"/>
      <c r="H22" s="8"/>
      <c r="I22" s="64">
        <f>-SUM(I14,I19:I20)</f>
        <v>273.63125419463773</v>
      </c>
      <c r="K22" s="8"/>
      <c r="M22" s="8"/>
      <c r="N22" s="8"/>
      <c r="O22" s="22"/>
      <c r="P22" s="64">
        <f>-SUM(P14,P19:P20)</f>
        <v>-449.00925898208669</v>
      </c>
      <c r="R22" s="8"/>
      <c r="S22" s="8"/>
      <c r="T22" s="22"/>
      <c r="U22" s="64">
        <f>-SUM(U14,U19:U20)</f>
        <v>-55.12127082215801</v>
      </c>
      <c r="W22" s="8"/>
      <c r="X22" s="8"/>
      <c r="Y22" s="22"/>
      <c r="Z22" s="64">
        <f>-SUM(Z14,Z19:Z20)</f>
        <v>-79.423794352584395</v>
      </c>
      <c r="AB22" s="8"/>
      <c r="AC22" s="8"/>
      <c r="AD22" s="22"/>
      <c r="AE22" s="64">
        <f>-SUM(AE14,AE19:AE20)</f>
        <v>-103.56924541183261</v>
      </c>
      <c r="AG22" s="8"/>
      <c r="AH22" s="8"/>
      <c r="AI22" s="22"/>
      <c r="AJ22" s="64">
        <f>-SUM(AJ14,AJ19:AJ20)</f>
        <v>-424.45329187868026</v>
      </c>
      <c r="AL22" s="8"/>
      <c r="AM22" s="2"/>
      <c r="AN22" s="58"/>
      <c r="AO22" s="59"/>
      <c r="AP22" s="8"/>
      <c r="AQ22" s="2"/>
      <c r="AR22" s="24">
        <v>-449.00925898208669</v>
      </c>
      <c r="AS22" s="24">
        <v>-55.12127082215801</v>
      </c>
      <c r="AT22" s="24">
        <v>-79.423794352584395</v>
      </c>
      <c r="AU22" s="24">
        <v>-103.56924541183261</v>
      </c>
      <c r="AV22" s="24">
        <v>-424.45329187868026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s="6" customFormat="1" ht="13.8" thickTop="1">
      <c r="A23" s="31"/>
      <c r="B23" s="2"/>
      <c r="C23" s="2"/>
      <c r="D23" s="2"/>
      <c r="E23" s="8"/>
      <c r="F23" s="8"/>
      <c r="G23" s="8"/>
      <c r="H23" s="8"/>
      <c r="I23" s="24"/>
      <c r="K23" s="8"/>
      <c r="M23" s="8"/>
      <c r="N23" s="8"/>
      <c r="O23" s="22"/>
      <c r="P23" s="24"/>
      <c r="R23" s="8"/>
      <c r="S23" s="8"/>
      <c r="T23" s="22"/>
      <c r="U23" s="24"/>
      <c r="W23" s="8"/>
      <c r="X23" s="8"/>
      <c r="Y23" s="22"/>
      <c r="Z23" s="24"/>
      <c r="AB23" s="8"/>
      <c r="AC23" s="8"/>
      <c r="AD23" s="22"/>
      <c r="AE23" s="24"/>
      <c r="AG23" s="8"/>
      <c r="AH23" s="8"/>
      <c r="AI23" s="22"/>
      <c r="AJ23" s="24"/>
      <c r="AL23" s="8"/>
      <c r="AM23" s="2"/>
      <c r="AN23" s="58"/>
      <c r="AO23" s="59"/>
      <c r="AP23" s="8"/>
      <c r="AQ23" s="2"/>
      <c r="AR23" s="24"/>
      <c r="AS23" s="24"/>
      <c r="AT23" s="24"/>
      <c r="AU23" s="24"/>
      <c r="AV23" s="2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s="6" customFormat="1">
      <c r="A24" s="31"/>
      <c r="B24" s="2" t="s">
        <v>28</v>
      </c>
      <c r="C24" s="2"/>
      <c r="D24" s="2"/>
      <c r="E24" s="8"/>
      <c r="F24" s="8"/>
      <c r="G24" s="8"/>
      <c r="H24" s="8"/>
      <c r="I24" s="24"/>
      <c r="K24" s="8"/>
      <c r="M24" s="8"/>
      <c r="N24" s="8"/>
      <c r="O24" s="8"/>
      <c r="P24" s="24"/>
      <c r="R24" s="8"/>
      <c r="S24" s="8"/>
      <c r="T24" s="8"/>
      <c r="U24" s="24"/>
      <c r="W24" s="8"/>
      <c r="X24" s="8"/>
      <c r="Y24" s="8"/>
      <c r="Z24" s="24"/>
      <c r="AB24" s="8"/>
      <c r="AC24" s="8"/>
      <c r="AD24" s="8"/>
      <c r="AE24" s="24"/>
      <c r="AG24" s="8"/>
      <c r="AH24" s="8"/>
      <c r="AI24" s="8"/>
      <c r="AJ24" s="24"/>
      <c r="AL24" s="8"/>
      <c r="AM24" s="2"/>
      <c r="AN24" s="8"/>
      <c r="AO24" s="8"/>
      <c r="AP24" s="8"/>
      <c r="AQ24" s="2"/>
      <c r="AR24" s="24"/>
      <c r="AS24" s="24"/>
      <c r="AT24" s="24"/>
      <c r="AU24" s="24"/>
      <c r="AV24" s="24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s="6" customFormat="1">
      <c r="A25" s="3"/>
      <c r="B25" s="2" t="s">
        <v>29</v>
      </c>
      <c r="C25" s="2"/>
      <c r="D25" s="2"/>
      <c r="E25" s="23" t="s">
        <v>20</v>
      </c>
      <c r="F25" s="23" t="s">
        <v>20</v>
      </c>
      <c r="G25" s="23" t="s">
        <v>67</v>
      </c>
      <c r="H25" s="23" t="s">
        <v>68</v>
      </c>
      <c r="I25" s="24"/>
      <c r="K25" s="23"/>
      <c r="M25" s="23"/>
      <c r="N25" s="23"/>
      <c r="O25" s="23"/>
      <c r="P25" s="24"/>
      <c r="R25" s="23"/>
      <c r="S25" s="23"/>
      <c r="T25" s="23"/>
      <c r="U25" s="24"/>
      <c r="W25" s="23"/>
      <c r="X25" s="23"/>
      <c r="Y25" s="23"/>
      <c r="Z25" s="24"/>
      <c r="AB25" s="23"/>
      <c r="AC25" s="23"/>
      <c r="AD25" s="23"/>
      <c r="AE25" s="24"/>
      <c r="AG25" s="23"/>
      <c r="AH25" s="23"/>
      <c r="AI25" s="23"/>
      <c r="AJ25" s="24"/>
      <c r="AL25" s="23"/>
      <c r="AM25" s="2"/>
      <c r="AN25" s="23"/>
      <c r="AO25" s="23"/>
      <c r="AP25" s="23"/>
      <c r="AQ25" s="2"/>
      <c r="AR25" s="24"/>
      <c r="AS25" s="24"/>
      <c r="AT25" s="24"/>
      <c r="AU25" s="24"/>
      <c r="AV25" s="24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s="32" customFormat="1">
      <c r="A26" s="31"/>
      <c r="C26" s="32" t="s">
        <v>32</v>
      </c>
      <c r="E26" s="22">
        <v>42432</v>
      </c>
      <c r="F26" s="22">
        <v>43483.326000000001</v>
      </c>
      <c r="G26" s="22"/>
      <c r="H26" s="22">
        <v>225.88669159506821</v>
      </c>
      <c r="I26" s="24">
        <f>SUM(-E26,F26,G26:H26)</f>
        <v>1277.2126915950691</v>
      </c>
      <c r="J26" s="6"/>
      <c r="K26" s="22">
        <f>E26+I26</f>
        <v>43709.212691595072</v>
      </c>
      <c r="M26" s="22">
        <v>-872.67328625016626</v>
      </c>
      <c r="N26" s="22">
        <v>3235.034342405042</v>
      </c>
      <c r="O26" s="22">
        <v>0</v>
      </c>
      <c r="P26" s="24">
        <f>SUM(M26:O26)</f>
        <v>2362.3610561548758</v>
      </c>
      <c r="R26" s="22">
        <v>0</v>
      </c>
      <c r="S26" s="22">
        <v>0</v>
      </c>
      <c r="T26" s="22">
        <v>0</v>
      </c>
      <c r="U26" s="24">
        <f>SUM(R26:T26)</f>
        <v>0</v>
      </c>
      <c r="W26" s="22">
        <v>-1.6648707167311085</v>
      </c>
      <c r="X26" s="22">
        <v>6.171741508706698</v>
      </c>
      <c r="Y26" s="22">
        <v>0</v>
      </c>
      <c r="Z26" s="24">
        <f>SUM(W26:Y26)</f>
        <v>4.5068707919755893</v>
      </c>
      <c r="AB26" s="22">
        <v>0</v>
      </c>
      <c r="AC26" s="22">
        <v>0</v>
      </c>
      <c r="AD26" s="22">
        <v>0</v>
      </c>
      <c r="AE26" s="24">
        <f>SUM(AB26:AD26)</f>
        <v>0</v>
      </c>
      <c r="AG26" s="22">
        <v>-659.18545430919266</v>
      </c>
      <c r="AH26" s="22">
        <v>2443.6265167085626</v>
      </c>
      <c r="AI26" s="22">
        <v>0</v>
      </c>
      <c r="AJ26" s="24">
        <f>SUM(AG26:AI26)</f>
        <v>1784.4410623993699</v>
      </c>
      <c r="AL26" s="22">
        <f t="shared" ref="AL26:AL29" si="10">SUM(K26,P26,U26,Z26,AE26,AJ26)</f>
        <v>47860.521680941296</v>
      </c>
      <c r="AN26" s="22">
        <f>SUM(M26,R26,W26,AB26,AG26)</f>
        <v>-1533.5236112760899</v>
      </c>
      <c r="AO26" s="22">
        <f t="shared" ref="AO26:AP29" si="11">SUM(N26,S26,X26,AC26,AH26)</f>
        <v>5684.8326006223115</v>
      </c>
      <c r="AP26" s="22">
        <f t="shared" si="11"/>
        <v>0</v>
      </c>
      <c r="AR26" s="24">
        <v>2362.3610561548758</v>
      </c>
      <c r="AS26" s="24">
        <v>0</v>
      </c>
      <c r="AT26" s="24">
        <v>4.5068707919755893</v>
      </c>
      <c r="AU26" s="24">
        <v>0</v>
      </c>
      <c r="AV26" s="24">
        <v>1784.4410623993699</v>
      </c>
    </row>
    <row r="27" spans="1:64" s="22" customFormat="1">
      <c r="A27" s="31"/>
      <c r="C27" s="22" t="s">
        <v>65</v>
      </c>
      <c r="E27" s="22">
        <v>29714</v>
      </c>
      <c r="F27" s="22">
        <v>30414.37</v>
      </c>
      <c r="I27" s="24">
        <f>SUM(-E27,F27,G27:H27)</f>
        <v>700.36999999999898</v>
      </c>
      <c r="J27" s="6"/>
      <c r="K27" s="22">
        <f t="shared" ref="K27:K29" si="12">E27+I27</f>
        <v>30414.37</v>
      </c>
      <c r="M27" s="22">
        <v>0</v>
      </c>
      <c r="N27" s="22">
        <v>0</v>
      </c>
      <c r="O27" s="22">
        <v>0</v>
      </c>
      <c r="P27" s="24">
        <f t="shared" ref="P27:P29" si="13">SUM(M27:O27)</f>
        <v>0</v>
      </c>
      <c r="R27" s="22">
        <v>0</v>
      </c>
      <c r="S27" s="22">
        <v>1463.6252082959998</v>
      </c>
      <c r="T27" s="22">
        <v>0</v>
      </c>
      <c r="U27" s="24">
        <f t="shared" ref="U27:U29" si="14">SUM(R27:T27)</f>
        <v>1463.6252082959998</v>
      </c>
      <c r="W27" s="22">
        <v>0</v>
      </c>
      <c r="X27" s="22">
        <v>0</v>
      </c>
      <c r="Y27" s="22">
        <v>0</v>
      </c>
      <c r="Z27" s="24">
        <f t="shared" ref="Z27:Z29" si="15">SUM(W27:Y27)</f>
        <v>0</v>
      </c>
      <c r="AB27" s="22">
        <v>0</v>
      </c>
      <c r="AC27" s="22">
        <v>0</v>
      </c>
      <c r="AD27" s="22">
        <v>0</v>
      </c>
      <c r="AE27" s="24">
        <f t="shared" ref="AE27:AE29" si="16">SUM(AB27:AD27)</f>
        <v>0</v>
      </c>
      <c r="AG27" s="22">
        <v>0</v>
      </c>
      <c r="AH27" s="22">
        <v>0</v>
      </c>
      <c r="AI27" s="22">
        <v>0</v>
      </c>
      <c r="AJ27" s="24">
        <f t="shared" ref="AJ27:AJ29" si="17">SUM(AG27:AI27)</f>
        <v>0</v>
      </c>
      <c r="AL27" s="22">
        <f t="shared" si="10"/>
        <v>31877.995208295997</v>
      </c>
      <c r="AN27" s="22">
        <f t="shared" ref="AN27:AN29" si="18">SUM(M27,R27,W27,AB27,AG27)</f>
        <v>0</v>
      </c>
      <c r="AO27" s="22">
        <f t="shared" si="11"/>
        <v>1463.6252082959998</v>
      </c>
      <c r="AP27" s="22">
        <f t="shared" si="11"/>
        <v>0</v>
      </c>
      <c r="AR27" s="24">
        <v>0</v>
      </c>
      <c r="AS27" s="24">
        <v>1463.6252082959998</v>
      </c>
      <c r="AT27" s="24">
        <v>0</v>
      </c>
      <c r="AU27" s="24">
        <v>0</v>
      </c>
      <c r="AV27" s="24">
        <v>0</v>
      </c>
    </row>
    <row r="28" spans="1:64" s="22" customFormat="1">
      <c r="A28" s="31"/>
      <c r="C28" s="22" t="s">
        <v>25</v>
      </c>
      <c r="E28" s="22">
        <v>505864</v>
      </c>
      <c r="F28" s="22">
        <v>527450.27599999995</v>
      </c>
      <c r="G28" s="22">
        <v>-9733.4155956191426</v>
      </c>
      <c r="H28" s="22">
        <v>-7444.0854637500006</v>
      </c>
      <c r="I28" s="24">
        <f>SUM(-E28,F28,G28:H28)</f>
        <v>4408.7749406308112</v>
      </c>
      <c r="J28" s="6"/>
      <c r="K28" s="22">
        <f t="shared" si="12"/>
        <v>510272.77494063083</v>
      </c>
      <c r="M28" s="22">
        <v>0</v>
      </c>
      <c r="N28" s="22">
        <v>0</v>
      </c>
      <c r="O28" s="22">
        <v>0</v>
      </c>
      <c r="P28" s="24">
        <f t="shared" si="13"/>
        <v>0</v>
      </c>
      <c r="R28" s="22">
        <v>-1026.2075646587082</v>
      </c>
      <c r="S28" s="22">
        <v>4847.4877500000002</v>
      </c>
      <c r="T28" s="22">
        <v>0</v>
      </c>
      <c r="U28" s="24">
        <f t="shared" si="14"/>
        <v>3821.2801853412921</v>
      </c>
      <c r="W28" s="22">
        <v>-961.18864826716958</v>
      </c>
      <c r="X28" s="22">
        <v>4540.3584600000004</v>
      </c>
      <c r="Y28" s="22">
        <v>0</v>
      </c>
      <c r="Z28" s="24">
        <f t="shared" si="15"/>
        <v>3579.1698117328306</v>
      </c>
      <c r="AB28" s="22">
        <v>-2240.1252870741223</v>
      </c>
      <c r="AC28" s="22">
        <v>10581.660340000002</v>
      </c>
      <c r="AD28" s="22">
        <v>0</v>
      </c>
      <c r="AE28" s="24">
        <f t="shared" si="16"/>
        <v>8341.5350529258794</v>
      </c>
      <c r="AG28" s="22">
        <v>0</v>
      </c>
      <c r="AH28" s="22">
        <v>0</v>
      </c>
      <c r="AI28" s="22">
        <v>0</v>
      </c>
      <c r="AJ28" s="24">
        <f t="shared" si="17"/>
        <v>0</v>
      </c>
      <c r="AL28" s="22">
        <f t="shared" si="10"/>
        <v>526014.7599906309</v>
      </c>
      <c r="AN28" s="22">
        <f t="shared" si="18"/>
        <v>-4227.5214999999998</v>
      </c>
      <c r="AO28" s="22">
        <f t="shared" si="11"/>
        <v>19969.506550000002</v>
      </c>
      <c r="AP28" s="22">
        <f t="shared" si="11"/>
        <v>0</v>
      </c>
      <c r="AR28" s="24">
        <v>0</v>
      </c>
      <c r="AS28" s="24">
        <v>3821.2801853412921</v>
      </c>
      <c r="AT28" s="24">
        <v>3579.1698117328306</v>
      </c>
      <c r="AU28" s="24">
        <v>8341.5350529258794</v>
      </c>
      <c r="AV28" s="24">
        <v>0</v>
      </c>
    </row>
    <row r="29" spans="1:64" s="22" customFormat="1">
      <c r="A29" s="31"/>
      <c r="C29" s="22" t="s">
        <v>35</v>
      </c>
      <c r="E29" s="27">
        <v>99229</v>
      </c>
      <c r="F29" s="27">
        <v>106856.891</v>
      </c>
      <c r="G29" s="27"/>
      <c r="H29" s="27">
        <v>-413.05758772797088</v>
      </c>
      <c r="I29" s="33">
        <f>SUM(-E29,F29,G29:H29)</f>
        <v>7214.8334122720325</v>
      </c>
      <c r="J29" s="6"/>
      <c r="K29" s="27">
        <f t="shared" si="12"/>
        <v>106443.83341227203</v>
      </c>
      <c r="M29" s="27">
        <v>-54.89857778834277</v>
      </c>
      <c r="N29" s="27">
        <v>60.988090005230845</v>
      </c>
      <c r="O29" s="27">
        <v>0</v>
      </c>
      <c r="P29" s="33">
        <f t="shared" si="13"/>
        <v>6.0895122168880746</v>
      </c>
      <c r="R29" s="27">
        <v>-789.60037016570482</v>
      </c>
      <c r="S29" s="27">
        <v>1200.091247677268</v>
      </c>
      <c r="T29" s="27">
        <v>0</v>
      </c>
      <c r="U29" s="33">
        <f t="shared" si="14"/>
        <v>410.49087751156321</v>
      </c>
      <c r="W29" s="27">
        <v>-1255.4066878975589</v>
      </c>
      <c r="X29" s="27">
        <v>2366.4829580307837</v>
      </c>
      <c r="Y29" s="27">
        <v>0</v>
      </c>
      <c r="Z29" s="33">
        <f t="shared" si="15"/>
        <v>1111.0762701332249</v>
      </c>
      <c r="AB29" s="27">
        <v>-246.24274512319414</v>
      </c>
      <c r="AC29" s="27">
        <v>273.55671690820003</v>
      </c>
      <c r="AD29" s="27">
        <v>0</v>
      </c>
      <c r="AE29" s="33">
        <f t="shared" si="16"/>
        <v>27.31397178500589</v>
      </c>
      <c r="AG29" s="27">
        <v>-787.3768499341702</v>
      </c>
      <c r="AH29" s="27">
        <v>874.71501314587897</v>
      </c>
      <c r="AI29" s="27">
        <v>0</v>
      </c>
      <c r="AJ29" s="33">
        <f t="shared" si="17"/>
        <v>87.338163211708775</v>
      </c>
      <c r="AL29" s="27">
        <f t="shared" si="10"/>
        <v>108086.14220713041</v>
      </c>
      <c r="AN29" s="27">
        <f t="shared" si="18"/>
        <v>-3133.525230908971</v>
      </c>
      <c r="AO29" s="27">
        <f t="shared" si="11"/>
        <v>4775.8340257673617</v>
      </c>
      <c r="AP29" s="27">
        <f t="shared" si="11"/>
        <v>0</v>
      </c>
      <c r="AR29" s="33">
        <v>6.0895122168880746</v>
      </c>
      <c r="AS29" s="33">
        <v>410.49087751156321</v>
      </c>
      <c r="AT29" s="33">
        <v>1111.0762701332249</v>
      </c>
      <c r="AU29" s="33">
        <v>27.31397178500589</v>
      </c>
      <c r="AV29" s="33">
        <v>87.338163211708775</v>
      </c>
    </row>
    <row r="30" spans="1:64" s="22" customFormat="1">
      <c r="A30" s="31"/>
      <c r="B30" s="22" t="s">
        <v>36</v>
      </c>
      <c r="E30" s="8">
        <f>SUM(E26:E29)</f>
        <v>677239</v>
      </c>
      <c r="F30" s="8">
        <f>SUM(F26:F29)</f>
        <v>708204.8629999999</v>
      </c>
      <c r="G30" s="8">
        <f>SUM(G26:G29)</f>
        <v>-9733.4155956191426</v>
      </c>
      <c r="H30" s="8">
        <f>SUM(H26:H29)</f>
        <v>-7631.2563598829029</v>
      </c>
      <c r="I30" s="24">
        <f>SUM(I26:I29)</f>
        <v>13601.191044497911</v>
      </c>
      <c r="J30" s="6"/>
      <c r="K30" s="8">
        <f>SUM(K26:K29)</f>
        <v>690840.19104449789</v>
      </c>
      <c r="M30" s="8">
        <v>-927.57186403850903</v>
      </c>
      <c r="N30" s="8">
        <v>3296.0224324102728</v>
      </c>
      <c r="O30" s="47">
        <v>0</v>
      </c>
      <c r="P30" s="24">
        <f>SUM(P26:P29)</f>
        <v>2368.4505683717639</v>
      </c>
      <c r="R30" s="8">
        <v>-1815.807934824413</v>
      </c>
      <c r="S30" s="8">
        <v>7511.2042059732685</v>
      </c>
      <c r="T30" s="47">
        <v>0</v>
      </c>
      <c r="U30" s="24">
        <f>SUM(U26:U29)</f>
        <v>5695.3962711488548</v>
      </c>
      <c r="W30" s="8">
        <v>-2218.2602068814595</v>
      </c>
      <c r="X30" s="8">
        <v>6913.0131595394905</v>
      </c>
      <c r="Y30" s="47">
        <v>0</v>
      </c>
      <c r="Z30" s="24">
        <f>SUM(Z26:Z29)</f>
        <v>4694.7529526580311</v>
      </c>
      <c r="AB30" s="8">
        <v>-2486.3680321973166</v>
      </c>
      <c r="AC30" s="8">
        <v>10855.217056908203</v>
      </c>
      <c r="AD30" s="47">
        <v>0</v>
      </c>
      <c r="AE30" s="24">
        <f>SUM(AE26:AE29)</f>
        <v>8368.8490247108857</v>
      </c>
      <c r="AG30" s="8">
        <v>-1446.5623042433629</v>
      </c>
      <c r="AH30" s="8">
        <v>3318.3415298544414</v>
      </c>
      <c r="AI30" s="47">
        <v>0</v>
      </c>
      <c r="AJ30" s="24">
        <f>SUM(AJ26:AJ29)</f>
        <v>1871.7792256110788</v>
      </c>
      <c r="AL30" s="8">
        <f>SUM(AL26:AL29)</f>
        <v>713839.41908699868</v>
      </c>
      <c r="AN30" s="27">
        <f>SUM(AN26:AN29)</f>
        <v>-8894.5703421850594</v>
      </c>
      <c r="AO30" s="27">
        <f t="shared" ref="AO30:AP30" si="19">SUM(AO26:AO29)</f>
        <v>31893.798384685677</v>
      </c>
      <c r="AP30" s="27">
        <f t="shared" si="19"/>
        <v>0</v>
      </c>
      <c r="AR30" s="24">
        <v>2368.4505683717639</v>
      </c>
      <c r="AS30" s="24">
        <v>5695.3962711488548</v>
      </c>
      <c r="AT30" s="24">
        <v>4694.7529526580311</v>
      </c>
      <c r="AU30" s="24">
        <v>8368.8490247108857</v>
      </c>
      <c r="AV30" s="24">
        <v>1871.7792256110788</v>
      </c>
      <c r="AW30" s="22">
        <f>SUM(AR30:AV30)</f>
        <v>22999.22804250061</v>
      </c>
    </row>
    <row r="31" spans="1:64" s="22" customFormat="1" ht="18" customHeight="1">
      <c r="A31" s="31"/>
      <c r="B31" s="22" t="s">
        <v>37</v>
      </c>
      <c r="E31" s="23" t="s">
        <v>20</v>
      </c>
      <c r="F31" s="23" t="s">
        <v>20</v>
      </c>
      <c r="G31" s="23" t="s">
        <v>67</v>
      </c>
      <c r="H31" s="23" t="s">
        <v>68</v>
      </c>
      <c r="I31" s="24"/>
      <c r="J31" s="6"/>
      <c r="K31" s="23"/>
      <c r="M31" s="23"/>
      <c r="N31" s="23"/>
      <c r="O31" s="23"/>
      <c r="P31" s="24"/>
      <c r="R31" s="23"/>
      <c r="S31" s="23"/>
      <c r="T31" s="23"/>
      <c r="U31" s="24"/>
      <c r="W31" s="23"/>
      <c r="X31" s="23"/>
      <c r="Y31" s="23"/>
      <c r="Z31" s="24"/>
      <c r="AB31" s="23"/>
      <c r="AC31" s="23"/>
      <c r="AD31" s="23"/>
      <c r="AE31" s="24"/>
      <c r="AG31" s="23"/>
      <c r="AH31" s="23"/>
      <c r="AI31" s="23"/>
      <c r="AJ31" s="24"/>
      <c r="AL31" s="23"/>
      <c r="AN31" s="23"/>
      <c r="AO31" s="23"/>
      <c r="AP31" s="23"/>
      <c r="AR31" s="24"/>
      <c r="AS31" s="24"/>
      <c r="AT31" s="24"/>
      <c r="AU31" s="24"/>
      <c r="AV31" s="24"/>
    </row>
    <row r="32" spans="1:64" s="22" customFormat="1">
      <c r="A32" s="31"/>
      <c r="C32" s="32" t="s">
        <v>32</v>
      </c>
      <c r="E32" s="22">
        <v>-13395.27</v>
      </c>
      <c r="F32" s="22">
        <v>-15758.276</v>
      </c>
      <c r="H32" s="22">
        <v>579.39673953057547</v>
      </c>
      <c r="I32" s="24">
        <f>SUM(-E32,F32,G32:H32)</f>
        <v>-1783.609260469424</v>
      </c>
      <c r="J32" s="6"/>
      <c r="K32" s="22">
        <f t="shared" ref="K32:K35" si="20">E32+I32</f>
        <v>-15178.879260469424</v>
      </c>
      <c r="M32" s="22">
        <v>872.67328625016626</v>
      </c>
      <c r="N32" s="22">
        <v>-219.17827632505174</v>
      </c>
      <c r="O32" s="22">
        <v>0</v>
      </c>
      <c r="P32" s="24">
        <f>SUM(M32:O32)</f>
        <v>653.49500992511457</v>
      </c>
      <c r="R32" s="22">
        <v>0</v>
      </c>
      <c r="S32" s="22">
        <v>0</v>
      </c>
      <c r="T32" s="22">
        <v>0</v>
      </c>
      <c r="U32" s="24">
        <f>SUM(R32:T32)</f>
        <v>0</v>
      </c>
      <c r="W32" s="22">
        <v>1.6648707167311085</v>
      </c>
      <c r="X32" s="22">
        <v>-0.46429710851966455</v>
      </c>
      <c r="Y32" s="22">
        <v>0</v>
      </c>
      <c r="Z32" s="24">
        <f>SUM(W32:Y32)</f>
        <v>1.200573608211444</v>
      </c>
      <c r="AB32" s="22">
        <v>0</v>
      </c>
      <c r="AC32" s="22">
        <v>0</v>
      </c>
      <c r="AD32" s="22">
        <v>0</v>
      </c>
      <c r="AE32" s="24">
        <f>SUM(AB32:AD32)</f>
        <v>0</v>
      </c>
      <c r="AG32" s="22">
        <v>659.18545430919266</v>
      </c>
      <c r="AH32" s="22">
        <v>-190.78026003614619</v>
      </c>
      <c r="AI32" s="22">
        <v>0</v>
      </c>
      <c r="AJ32" s="24">
        <f>SUM(AG32:AI32)</f>
        <v>468.4051942730465</v>
      </c>
      <c r="AL32" s="22">
        <f t="shared" ref="AL32:AL35" si="21">SUM(K32,P32,U32,Z32,AE32,AJ32)</f>
        <v>-14055.778482663052</v>
      </c>
      <c r="AN32" s="22">
        <f>SUM(M32,R32,W32,AB32,AG32)</f>
        <v>1533.5236112760899</v>
      </c>
      <c r="AO32" s="22">
        <f t="shared" ref="AO32:AP35" si="22">SUM(N32,S32,X32,AC32,AH32)</f>
        <v>-410.4228334697176</v>
      </c>
      <c r="AP32" s="22">
        <f t="shared" si="22"/>
        <v>0</v>
      </c>
      <c r="AR32" s="24">
        <v>653.49500992511457</v>
      </c>
      <c r="AS32" s="24">
        <v>0</v>
      </c>
      <c r="AT32" s="24">
        <v>1.200573608211444</v>
      </c>
      <c r="AU32" s="24">
        <v>0</v>
      </c>
      <c r="AV32" s="24">
        <v>468.4051942730465</v>
      </c>
    </row>
    <row r="33" spans="1:49" s="22" customFormat="1">
      <c r="A33" s="31"/>
      <c r="C33" s="22" t="s">
        <v>65</v>
      </c>
      <c r="E33" s="22">
        <v>-11565.386</v>
      </c>
      <c r="F33" s="22">
        <v>-11788.674000000001</v>
      </c>
      <c r="I33" s="24">
        <f>SUM(-E33,F33,G33:H33)</f>
        <v>-223.28800000000047</v>
      </c>
      <c r="J33" s="6"/>
      <c r="K33" s="22">
        <f t="shared" si="20"/>
        <v>-11788.674000000001</v>
      </c>
      <c r="M33" s="22">
        <v>0</v>
      </c>
      <c r="N33" s="22">
        <v>0</v>
      </c>
      <c r="O33" s="22">
        <v>0</v>
      </c>
      <c r="P33" s="24">
        <f t="shared" ref="P33:P35" si="23">SUM(M33:O33)</f>
        <v>0</v>
      </c>
      <c r="R33" s="22">
        <v>0</v>
      </c>
      <c r="S33" s="22">
        <v>-9.1680518943599321</v>
      </c>
      <c r="T33" s="22">
        <v>0</v>
      </c>
      <c r="U33" s="24">
        <f t="shared" ref="U33:U35" si="24">SUM(R33:T33)</f>
        <v>-9.1680518943599321</v>
      </c>
      <c r="W33" s="22">
        <v>0</v>
      </c>
      <c r="X33" s="22">
        <v>0</v>
      </c>
      <c r="Y33" s="22">
        <v>0</v>
      </c>
      <c r="Z33" s="24">
        <f t="shared" ref="Z33:Z35" si="25">SUM(W33:Y33)</f>
        <v>0</v>
      </c>
      <c r="AB33" s="22">
        <v>0</v>
      </c>
      <c r="AC33" s="22">
        <v>0</v>
      </c>
      <c r="AD33" s="22">
        <v>0</v>
      </c>
      <c r="AE33" s="24">
        <f t="shared" ref="AE33:AE35" si="26">SUM(AB33:AD33)</f>
        <v>0</v>
      </c>
      <c r="AG33" s="22">
        <v>0</v>
      </c>
      <c r="AH33" s="22">
        <v>0</v>
      </c>
      <c r="AI33" s="22">
        <v>0</v>
      </c>
      <c r="AJ33" s="24">
        <f t="shared" ref="AJ33:AJ35" si="27">SUM(AG33:AI33)</f>
        <v>0</v>
      </c>
      <c r="AL33" s="22">
        <f t="shared" si="21"/>
        <v>-11797.84205189436</v>
      </c>
      <c r="AN33" s="22">
        <f t="shared" ref="AN33:AN35" si="28">SUM(M33,R33,W33,AB33,AG33)</f>
        <v>0</v>
      </c>
      <c r="AO33" s="22">
        <f t="shared" si="22"/>
        <v>-9.1680518943599321</v>
      </c>
      <c r="AP33" s="22">
        <f t="shared" si="22"/>
        <v>0</v>
      </c>
      <c r="AR33" s="24">
        <v>0</v>
      </c>
      <c r="AS33" s="24">
        <v>-9.1680518943599321</v>
      </c>
      <c r="AT33" s="24">
        <v>0</v>
      </c>
      <c r="AU33" s="24">
        <v>0</v>
      </c>
      <c r="AV33" s="24">
        <v>0</v>
      </c>
    </row>
    <row r="34" spans="1:49" s="22" customFormat="1">
      <c r="A34" s="31"/>
      <c r="C34" s="22" t="s">
        <v>25</v>
      </c>
      <c r="E34" s="22">
        <v>-151240</v>
      </c>
      <c r="F34" s="22">
        <v>-149848.99400000001</v>
      </c>
      <c r="G34" s="22">
        <v>238.18748793304985</v>
      </c>
      <c r="H34" s="22">
        <v>399.47284124999987</v>
      </c>
      <c r="I34" s="24">
        <f>SUM(-E34,F34,G34:H34)</f>
        <v>2028.6663291830437</v>
      </c>
      <c r="J34" s="6"/>
      <c r="K34" s="22">
        <f t="shared" si="20"/>
        <v>-149211.33367081697</v>
      </c>
      <c r="M34" s="22">
        <v>0</v>
      </c>
      <c r="N34" s="22">
        <v>0</v>
      </c>
      <c r="O34" s="22">
        <v>0</v>
      </c>
      <c r="P34" s="24">
        <f t="shared" si="23"/>
        <v>0</v>
      </c>
      <c r="R34" s="22">
        <v>1026.2075646587082</v>
      </c>
      <c r="S34" s="22">
        <v>-61.442285500624997</v>
      </c>
      <c r="T34" s="22">
        <v>0</v>
      </c>
      <c r="U34" s="24">
        <f t="shared" si="24"/>
        <v>964.76527915808322</v>
      </c>
      <c r="W34" s="22">
        <v>961.18864826716958</v>
      </c>
      <c r="X34" s="22">
        <v>-47.508272798250005</v>
      </c>
      <c r="Y34" s="22">
        <v>0</v>
      </c>
      <c r="Z34" s="24">
        <f t="shared" si="25"/>
        <v>913.68037546891958</v>
      </c>
      <c r="AB34" s="22">
        <v>2240.1252870741223</v>
      </c>
      <c r="AC34" s="22">
        <v>-100.08269602999999</v>
      </c>
      <c r="AD34" s="22">
        <v>0</v>
      </c>
      <c r="AE34" s="24">
        <f t="shared" si="26"/>
        <v>2140.0425910441222</v>
      </c>
      <c r="AG34" s="22">
        <v>0</v>
      </c>
      <c r="AH34" s="22">
        <v>0</v>
      </c>
      <c r="AI34" s="22">
        <v>0</v>
      </c>
      <c r="AJ34" s="24">
        <f t="shared" si="27"/>
        <v>0</v>
      </c>
      <c r="AL34" s="22">
        <f t="shared" si="21"/>
        <v>-145192.84542514585</v>
      </c>
      <c r="AN34" s="22">
        <f t="shared" si="28"/>
        <v>4227.5214999999998</v>
      </c>
      <c r="AO34" s="22">
        <f t="shared" si="22"/>
        <v>-209.03325432887499</v>
      </c>
      <c r="AP34" s="22">
        <f t="shared" si="22"/>
        <v>0</v>
      </c>
      <c r="AR34" s="24">
        <v>0</v>
      </c>
      <c r="AS34" s="24">
        <v>964.76527915808322</v>
      </c>
      <c r="AT34" s="24">
        <v>913.68037546891958</v>
      </c>
      <c r="AU34" s="24">
        <v>2140.0425910441222</v>
      </c>
      <c r="AV34" s="24">
        <v>0</v>
      </c>
    </row>
    <row r="35" spans="1:49" s="22" customFormat="1">
      <c r="A35" s="31"/>
      <c r="C35" s="22" t="s">
        <v>35</v>
      </c>
      <c r="E35" s="22">
        <v>-25355</v>
      </c>
      <c r="F35" s="22">
        <v>-26536.932000000001</v>
      </c>
      <c r="H35" s="22">
        <v>166.64777538899165</v>
      </c>
      <c r="I35" s="24">
        <f>SUM(-E35,F35,G35:H35)</f>
        <v>-1015.284224611009</v>
      </c>
      <c r="J35" s="6"/>
      <c r="K35" s="22">
        <f t="shared" si="20"/>
        <v>-26370.284224611009</v>
      </c>
      <c r="M35" s="22">
        <v>54.89857778834277</v>
      </c>
      <c r="N35" s="22">
        <v>-16.793112249899615</v>
      </c>
      <c r="O35" s="22">
        <v>0</v>
      </c>
      <c r="P35" s="24">
        <f t="shared" si="23"/>
        <v>38.105465538443156</v>
      </c>
      <c r="R35" s="22">
        <v>789.60037016570482</v>
      </c>
      <c r="S35" s="22">
        <v>-25.233361950611464</v>
      </c>
      <c r="T35" s="22">
        <v>0</v>
      </c>
      <c r="U35" s="24">
        <f t="shared" si="24"/>
        <v>764.36700821509339</v>
      </c>
      <c r="W35" s="22">
        <v>1255.4066878975589</v>
      </c>
      <c r="X35" s="22">
        <v>-43.616525685537958</v>
      </c>
      <c r="Y35" s="22">
        <v>0</v>
      </c>
      <c r="Z35" s="24">
        <f t="shared" si="25"/>
        <v>1211.790162212021</v>
      </c>
      <c r="AB35" s="22">
        <v>246.24274512319414</v>
      </c>
      <c r="AC35" s="22">
        <v>-2.1408453361970126</v>
      </c>
      <c r="AD35" s="22">
        <v>0</v>
      </c>
      <c r="AE35" s="24">
        <f t="shared" si="26"/>
        <v>244.10189978699714</v>
      </c>
      <c r="AG35" s="22">
        <v>787.3768499341702</v>
      </c>
      <c r="AH35" s="22">
        <v>-100.51915879430813</v>
      </c>
      <c r="AI35" s="22">
        <v>0</v>
      </c>
      <c r="AJ35" s="24">
        <f t="shared" si="27"/>
        <v>686.85769113986203</v>
      </c>
      <c r="AL35" s="22">
        <f t="shared" si="21"/>
        <v>-23425.061997718589</v>
      </c>
      <c r="AN35" s="27">
        <f t="shared" si="28"/>
        <v>3133.525230908971</v>
      </c>
      <c r="AO35" s="27">
        <f t="shared" si="22"/>
        <v>-188.30300401655418</v>
      </c>
      <c r="AP35" s="27">
        <f t="shared" si="22"/>
        <v>0</v>
      </c>
      <c r="AR35" s="24">
        <v>38.105465538443156</v>
      </c>
      <c r="AS35" s="24">
        <v>764.36700821509339</v>
      </c>
      <c r="AT35" s="24">
        <v>1211.790162212021</v>
      </c>
      <c r="AU35" s="24">
        <v>244.10189978699714</v>
      </c>
      <c r="AV35" s="24">
        <v>686.85769113986203</v>
      </c>
    </row>
    <row r="36" spans="1:49" s="22" customFormat="1">
      <c r="A36" s="31"/>
      <c r="B36" s="22" t="s">
        <v>38</v>
      </c>
      <c r="E36" s="34">
        <f>SUM(E32:E35)</f>
        <v>-201555.65600000002</v>
      </c>
      <c r="F36" s="34">
        <f>SUM(F32:F35)</f>
        <v>-203932.87600000002</v>
      </c>
      <c r="G36" s="34">
        <f>SUM(G32:G35)</f>
        <v>238.18748793304985</v>
      </c>
      <c r="H36" s="34">
        <f>SUM(H32:H35)</f>
        <v>1145.5173561695669</v>
      </c>
      <c r="I36" s="35">
        <f>SUM(I32:I35)</f>
        <v>-993.51515589738983</v>
      </c>
      <c r="J36" s="6"/>
      <c r="K36" s="34">
        <f>SUM(K32:K35)</f>
        <v>-202549.17115589741</v>
      </c>
      <c r="M36" s="34">
        <v>927.57186403850903</v>
      </c>
      <c r="N36" s="34">
        <v>-235.97138857495136</v>
      </c>
      <c r="O36" s="48">
        <v>0</v>
      </c>
      <c r="P36" s="35">
        <f>SUM(P32:P35)</f>
        <v>691.6004754635577</v>
      </c>
      <c r="R36" s="34">
        <v>1815.807934824413</v>
      </c>
      <c r="S36" s="34">
        <v>-95.843699345596391</v>
      </c>
      <c r="T36" s="48">
        <v>0</v>
      </c>
      <c r="U36" s="35">
        <f>SUM(U32:U35)</f>
        <v>1719.9642354788166</v>
      </c>
      <c r="W36" s="34">
        <v>2218.2602068814595</v>
      </c>
      <c r="X36" s="34">
        <v>-91.589095592307629</v>
      </c>
      <c r="Y36" s="48">
        <v>0</v>
      </c>
      <c r="Z36" s="35">
        <f>SUM(Z32:Z35)</f>
        <v>2126.6711112891521</v>
      </c>
      <c r="AB36" s="34">
        <v>2486.3680321973166</v>
      </c>
      <c r="AC36" s="34">
        <v>-102.22354136619701</v>
      </c>
      <c r="AD36" s="48">
        <v>0</v>
      </c>
      <c r="AE36" s="35">
        <f>SUM(AE32:AE35)</f>
        <v>2384.1444908311196</v>
      </c>
      <c r="AG36" s="34">
        <v>1446.5623042433629</v>
      </c>
      <c r="AH36" s="34">
        <v>-291.29941883045433</v>
      </c>
      <c r="AI36" s="48">
        <v>0</v>
      </c>
      <c r="AJ36" s="35">
        <f>SUM(AJ32:AJ35)</f>
        <v>1155.2628854129084</v>
      </c>
      <c r="AL36" s="34">
        <f>SUM(AL32:AL35)</f>
        <v>-194471.52795742184</v>
      </c>
      <c r="AN36" s="27">
        <f>SUM(AN32:AN35)</f>
        <v>8894.5703421850594</v>
      </c>
      <c r="AO36" s="27">
        <f t="shared" ref="AO36:AP36" si="29">SUM(AO32:AO35)</f>
        <v>-816.92714370950659</v>
      </c>
      <c r="AP36" s="27">
        <f t="shared" si="29"/>
        <v>0</v>
      </c>
      <c r="AR36" s="35">
        <v>691.6004754635577</v>
      </c>
      <c r="AS36" s="35">
        <v>1719.9642354788166</v>
      </c>
      <c r="AT36" s="35">
        <v>2126.6711112891521</v>
      </c>
      <c r="AU36" s="35">
        <v>2384.1444908311196</v>
      </c>
      <c r="AV36" s="35">
        <v>1155.2628854129084</v>
      </c>
      <c r="AW36" s="22">
        <f>SUM(AR36:AV36)</f>
        <v>8077.6431984755545</v>
      </c>
    </row>
    <row r="37" spans="1:49" s="22" customFormat="1">
      <c r="A37" s="31"/>
      <c r="B37" s="22" t="s">
        <v>39</v>
      </c>
      <c r="E37" s="34">
        <f>E30+E36</f>
        <v>475683.34399999998</v>
      </c>
      <c r="F37" s="34">
        <f>F30+F36</f>
        <v>504271.98699999985</v>
      </c>
      <c r="G37" s="34">
        <f>G30+G36</f>
        <v>-9495.2281076860927</v>
      </c>
      <c r="H37" s="34">
        <f>H30+H36</f>
        <v>-6485.7390037133355</v>
      </c>
      <c r="I37" s="35">
        <f>I30+I36</f>
        <v>12607.675888600521</v>
      </c>
      <c r="J37" s="6"/>
      <c r="K37" s="34">
        <f>K30+K36</f>
        <v>488291.01988860045</v>
      </c>
      <c r="M37" s="34">
        <v>0</v>
      </c>
      <c r="N37" s="34">
        <v>3060.0510438353213</v>
      </c>
      <c r="O37" s="48">
        <v>0</v>
      </c>
      <c r="P37" s="35">
        <f>P30+P36</f>
        <v>3060.0510438353217</v>
      </c>
      <c r="R37" s="34">
        <v>0</v>
      </c>
      <c r="S37" s="34">
        <v>7415.3605066276723</v>
      </c>
      <c r="T37" s="48">
        <v>0</v>
      </c>
      <c r="U37" s="35">
        <f>U30+U36</f>
        <v>7415.3605066276714</v>
      </c>
      <c r="W37" s="34">
        <v>0</v>
      </c>
      <c r="X37" s="34">
        <v>6821.4240639471827</v>
      </c>
      <c r="Y37" s="48">
        <v>0</v>
      </c>
      <c r="Z37" s="35">
        <f>Z30+Z36</f>
        <v>6821.4240639471827</v>
      </c>
      <c r="AB37" s="34">
        <v>0</v>
      </c>
      <c r="AC37" s="34">
        <v>10752.993515542006</v>
      </c>
      <c r="AD37" s="48">
        <v>0</v>
      </c>
      <c r="AE37" s="35">
        <f>AE30+AE36</f>
        <v>10752.993515542006</v>
      </c>
      <c r="AG37" s="34">
        <v>0</v>
      </c>
      <c r="AH37" s="34">
        <v>3027.0421110239872</v>
      </c>
      <c r="AI37" s="48">
        <v>0</v>
      </c>
      <c r="AJ37" s="35">
        <f>AJ30+AJ36</f>
        <v>3027.0421110239872</v>
      </c>
      <c r="AL37" s="34">
        <f>AL30+AL36</f>
        <v>519367.89112957683</v>
      </c>
      <c r="AN37" s="34">
        <f t="shared" si="8"/>
        <v>0</v>
      </c>
      <c r="AO37" s="34">
        <f t="shared" si="8"/>
        <v>31076.871240976172</v>
      </c>
      <c r="AP37" s="34">
        <f t="shared" si="8"/>
        <v>0</v>
      </c>
      <c r="AR37" s="35">
        <v>3060.0510438353217</v>
      </c>
      <c r="AS37" s="35">
        <v>7415.3605066276714</v>
      </c>
      <c r="AT37" s="35">
        <v>6821.4240639471827</v>
      </c>
      <c r="AU37" s="35">
        <v>10752.993515542006</v>
      </c>
      <c r="AV37" s="35">
        <v>3027.0421110239872</v>
      </c>
      <c r="AW37" s="22">
        <f>SUM(AR37:AV37)</f>
        <v>31076.871240976172</v>
      </c>
    </row>
    <row r="38" spans="1:49" s="22" customFormat="1">
      <c r="A38" s="31"/>
      <c r="E38" s="23"/>
      <c r="F38" s="23"/>
      <c r="G38" s="23"/>
      <c r="H38" s="8"/>
      <c r="I38" s="24"/>
      <c r="J38" s="6"/>
      <c r="K38" s="23"/>
      <c r="M38" s="23"/>
      <c r="N38" s="23"/>
      <c r="O38" s="23"/>
      <c r="P38" s="24"/>
      <c r="R38" s="23"/>
      <c r="S38" s="23"/>
      <c r="T38" s="23"/>
      <c r="U38" s="24"/>
      <c r="W38" s="23"/>
      <c r="X38" s="23"/>
      <c r="Y38" s="23"/>
      <c r="Z38" s="24"/>
      <c r="AB38" s="23"/>
      <c r="AC38" s="23"/>
      <c r="AD38" s="23"/>
      <c r="AE38" s="24"/>
      <c r="AG38" s="23"/>
      <c r="AH38" s="23"/>
      <c r="AI38" s="23"/>
      <c r="AJ38" s="24"/>
      <c r="AL38" s="23"/>
      <c r="AN38" s="23"/>
      <c r="AO38" s="23"/>
      <c r="AP38" s="23"/>
      <c r="AR38" s="24"/>
      <c r="AS38" s="24"/>
      <c r="AT38" s="24"/>
      <c r="AU38" s="24"/>
      <c r="AV38" s="24"/>
    </row>
    <row r="39" spans="1:49" s="22" customFormat="1">
      <c r="A39" s="31"/>
      <c r="E39" s="23" t="s">
        <v>40</v>
      </c>
      <c r="F39" s="23" t="s">
        <v>41</v>
      </c>
      <c r="G39" s="23" t="s">
        <v>67</v>
      </c>
      <c r="H39" s="8"/>
      <c r="I39" s="24"/>
      <c r="J39" s="6"/>
      <c r="K39" s="23"/>
      <c r="M39" s="23"/>
      <c r="N39" s="23"/>
      <c r="O39" s="23"/>
      <c r="P39" s="24"/>
      <c r="R39" s="23"/>
      <c r="S39" s="23"/>
      <c r="T39" s="23"/>
      <c r="U39" s="24"/>
      <c r="W39" s="23"/>
      <c r="X39" s="23"/>
      <c r="Y39" s="23"/>
      <c r="Z39" s="24"/>
      <c r="AB39" s="23"/>
      <c r="AC39" s="23"/>
      <c r="AD39" s="23"/>
      <c r="AE39" s="24"/>
      <c r="AG39" s="23"/>
      <c r="AH39" s="23"/>
      <c r="AI39" s="23"/>
      <c r="AJ39" s="24"/>
      <c r="AL39" s="23"/>
      <c r="AN39" s="23"/>
      <c r="AO39" s="23"/>
      <c r="AP39" s="23"/>
      <c r="AR39" s="24"/>
      <c r="AS39" s="24"/>
      <c r="AT39" s="24"/>
      <c r="AU39" s="24"/>
      <c r="AV39" s="24"/>
    </row>
    <row r="40" spans="1:49" s="22" customFormat="1">
      <c r="A40" s="36"/>
      <c r="B40" s="22" t="s">
        <v>42</v>
      </c>
      <c r="E40" s="37">
        <v>-92008</v>
      </c>
      <c r="F40" s="37">
        <v>-92332</v>
      </c>
      <c r="G40" s="37">
        <v>447</v>
      </c>
      <c r="H40" s="37"/>
      <c r="I40" s="33">
        <f>SUM(-E40,F40,G40:H40)</f>
        <v>123</v>
      </c>
      <c r="J40" s="6"/>
      <c r="K40" s="37">
        <f>E40+I40</f>
        <v>-91885</v>
      </c>
      <c r="M40" s="37">
        <v>0</v>
      </c>
      <c r="N40" s="37">
        <v>-66</v>
      </c>
      <c r="O40" s="37">
        <v>0</v>
      </c>
      <c r="P40" s="33">
        <f>SUM(M40:O40)</f>
        <v>-66</v>
      </c>
      <c r="R40" s="37">
        <v>0</v>
      </c>
      <c r="S40" s="37">
        <v>-164</v>
      </c>
      <c r="T40" s="37">
        <v>0</v>
      </c>
      <c r="U40" s="33">
        <f>SUM(R40:T40)</f>
        <v>-164</v>
      </c>
      <c r="W40" s="37">
        <v>0</v>
      </c>
      <c r="X40" s="37">
        <v>-192</v>
      </c>
      <c r="Y40" s="37">
        <v>0</v>
      </c>
      <c r="Z40" s="33">
        <f>SUM(W40:Y40)</f>
        <v>-192</v>
      </c>
      <c r="AB40" s="37">
        <v>0</v>
      </c>
      <c r="AC40" s="37">
        <v>-284</v>
      </c>
      <c r="AD40" s="37">
        <v>0</v>
      </c>
      <c r="AE40" s="33">
        <f>SUM(AB40:AD40)</f>
        <v>-284</v>
      </c>
      <c r="AG40" s="37">
        <v>0</v>
      </c>
      <c r="AH40" s="37">
        <v>-60</v>
      </c>
      <c r="AI40" s="37">
        <v>0</v>
      </c>
      <c r="AJ40" s="33">
        <f>SUM(AG40:AI40)</f>
        <v>-60</v>
      </c>
      <c r="AL40" s="27">
        <f t="shared" ref="AL40" si="30">SUM(K40,P40,U40,Z40,AE40,AJ40)</f>
        <v>-92651</v>
      </c>
      <c r="AN40" s="27">
        <f t="shared" ref="AN40:AP40" si="31">SUM(M40,R40,W40,AB40,AG40)</f>
        <v>0</v>
      </c>
      <c r="AO40" s="27">
        <f t="shared" si="31"/>
        <v>-766</v>
      </c>
      <c r="AP40" s="27">
        <f t="shared" si="31"/>
        <v>0</v>
      </c>
      <c r="AR40" s="33">
        <v>-66</v>
      </c>
      <c r="AS40" s="33">
        <v>-164</v>
      </c>
      <c r="AT40" s="33">
        <v>-192</v>
      </c>
      <c r="AU40" s="33">
        <v>-284</v>
      </c>
      <c r="AV40" s="33">
        <v>-60</v>
      </c>
    </row>
    <row r="41" spans="1:49" s="22" customFormat="1">
      <c r="A41" s="36"/>
      <c r="C41" s="22" t="s">
        <v>43</v>
      </c>
      <c r="E41" s="8">
        <f>SUM(E37:E40)</f>
        <v>383675.34399999998</v>
      </c>
      <c r="F41" s="8">
        <f>SUM(F37:F40)</f>
        <v>411939.98699999985</v>
      </c>
      <c r="G41" s="8">
        <f>SUM(G37:G40)</f>
        <v>-9048.2281076860927</v>
      </c>
      <c r="H41" s="8">
        <f>SUM(H37:H40)</f>
        <v>-6485.7390037133355</v>
      </c>
      <c r="I41" s="33">
        <f>SUM(I37:I40)</f>
        <v>12730.675888600521</v>
      </c>
      <c r="J41" s="6"/>
      <c r="K41" s="8">
        <f>SUM(K37:K40)</f>
        <v>396406.01988860045</v>
      </c>
      <c r="M41" s="8">
        <v>0</v>
      </c>
      <c r="N41" s="8">
        <v>2994.0510438353213</v>
      </c>
      <c r="O41" s="47">
        <v>0</v>
      </c>
      <c r="P41" s="33">
        <f>SUM(P37:P40)</f>
        <v>2994.0510438353217</v>
      </c>
      <c r="R41" s="8">
        <v>0</v>
      </c>
      <c r="S41" s="8">
        <v>7251.3605066276723</v>
      </c>
      <c r="T41" s="47">
        <v>0</v>
      </c>
      <c r="U41" s="33">
        <f>SUM(U37:U40)</f>
        <v>7251.3605066276714</v>
      </c>
      <c r="W41" s="8">
        <v>0</v>
      </c>
      <c r="X41" s="8">
        <v>6629.4240639471827</v>
      </c>
      <c r="Y41" s="47">
        <v>0</v>
      </c>
      <c r="Z41" s="33">
        <f>SUM(Z37:Z40)</f>
        <v>6629.4240639471827</v>
      </c>
      <c r="AB41" s="8">
        <v>0</v>
      </c>
      <c r="AC41" s="8">
        <v>10468.993515542006</v>
      </c>
      <c r="AD41" s="47">
        <v>0</v>
      </c>
      <c r="AE41" s="33">
        <f>SUM(AE37:AE40)</f>
        <v>10468.993515542006</v>
      </c>
      <c r="AG41" s="8">
        <v>0</v>
      </c>
      <c r="AH41" s="8">
        <v>2967.0421110239872</v>
      </c>
      <c r="AI41" s="47">
        <v>0</v>
      </c>
      <c r="AJ41" s="33">
        <f>SUM(AJ37:AJ40)</f>
        <v>2967.0421110239872</v>
      </c>
      <c r="AL41" s="8">
        <f>SUM(AL37:AL40)</f>
        <v>426716.89112957683</v>
      </c>
      <c r="AN41" s="50">
        <f>SUM(AN37:AN40)</f>
        <v>0</v>
      </c>
      <c r="AO41" s="50">
        <f t="shared" ref="AO41:AP41" si="32">SUM(AO37:AO40)</f>
        <v>30310.871240976172</v>
      </c>
      <c r="AP41" s="50">
        <f t="shared" si="32"/>
        <v>0</v>
      </c>
      <c r="AR41" s="33">
        <v>2994.0510438353217</v>
      </c>
      <c r="AS41" s="33">
        <v>7251.3605066276714</v>
      </c>
      <c r="AT41" s="33">
        <v>6629.4240639471827</v>
      </c>
      <c r="AU41" s="33">
        <v>10468.993515542006</v>
      </c>
      <c r="AV41" s="33">
        <v>2967.0421110239872</v>
      </c>
    </row>
    <row r="43" spans="1:49" ht="13.8" thickBot="1">
      <c r="B43" s="32" t="s">
        <v>88</v>
      </c>
      <c r="C43" s="22"/>
      <c r="D43" s="22"/>
      <c r="E43" s="22"/>
      <c r="I43" s="64">
        <f>I41</f>
        <v>12730.675888600521</v>
      </c>
      <c r="P43" s="64">
        <f>P41</f>
        <v>2994.0510438353217</v>
      </c>
      <c r="U43" s="64">
        <f>U41</f>
        <v>7251.3605066276714</v>
      </c>
      <c r="Z43" s="64">
        <f>Z41</f>
        <v>6629.4240639471827</v>
      </c>
      <c r="AE43" s="64">
        <f>AE41</f>
        <v>10468.993515542006</v>
      </c>
      <c r="AJ43" s="64">
        <f>AJ41</f>
        <v>2967.0421110239872</v>
      </c>
      <c r="AR43" s="5">
        <v>2994.0510438353217</v>
      </c>
      <c r="AS43" s="5">
        <v>7251.3605066276714</v>
      </c>
      <c r="AT43" s="5">
        <v>6629.4240639471827</v>
      </c>
      <c r="AU43" s="5">
        <v>10468.993515542006</v>
      </c>
      <c r="AV43" s="5">
        <v>2967.0421110239872</v>
      </c>
    </row>
    <row r="44" spans="1:49" ht="13.8" thickTop="1">
      <c r="B44" s="2" t="s">
        <v>89</v>
      </c>
      <c r="C44" s="22"/>
      <c r="D44" s="22"/>
      <c r="E44" s="22"/>
      <c r="I44" s="24"/>
      <c r="P44" s="24"/>
      <c r="U44" s="24"/>
      <c r="Z44" s="24"/>
      <c r="AE44" s="24"/>
      <c r="AJ44" s="24"/>
    </row>
    <row r="45" spans="1:49">
      <c r="B45" s="2" t="s">
        <v>90</v>
      </c>
      <c r="C45" s="22"/>
      <c r="D45" s="22"/>
      <c r="E45" s="22"/>
      <c r="I45" s="24">
        <f>I50</f>
        <v>890.0660201093367</v>
      </c>
      <c r="P45" s="24">
        <f>P50</f>
        <v>889.01912052198645</v>
      </c>
      <c r="U45" s="24">
        <f>U50</f>
        <v>786.31698614385721</v>
      </c>
      <c r="Z45" s="24">
        <f>Z50</f>
        <v>757.31176409572504</v>
      </c>
      <c r="AE45" s="24">
        <f>AE50</f>
        <v>1166.9894525501513</v>
      </c>
      <c r="AJ45" s="24">
        <f>AJ50</f>
        <v>853.8502041967489</v>
      </c>
      <c r="AR45" s="5">
        <v>889.01912052198645</v>
      </c>
      <c r="AS45" s="5">
        <v>786.31698614385721</v>
      </c>
      <c r="AT45" s="5">
        <v>757.31176409572504</v>
      </c>
      <c r="AU45" s="5">
        <v>1166.9894525501513</v>
      </c>
      <c r="AV45" s="5">
        <v>853.8502041967489</v>
      </c>
    </row>
    <row r="46" spans="1:49">
      <c r="B46" s="22"/>
      <c r="C46" s="22"/>
      <c r="D46" s="22"/>
      <c r="E46" s="22"/>
      <c r="I46" s="24"/>
      <c r="P46" s="24"/>
      <c r="U46" s="24"/>
      <c r="Z46" s="24"/>
      <c r="AE46" s="24"/>
      <c r="AJ46" s="24"/>
    </row>
    <row r="47" spans="1:49">
      <c r="B47" s="22"/>
      <c r="C47" s="22"/>
      <c r="E47" s="60">
        <v>7.4300000000000005E-2</v>
      </c>
      <c r="I47" s="24"/>
      <c r="P47" s="24"/>
      <c r="U47" s="24"/>
      <c r="Z47" s="24"/>
      <c r="AE47" s="24"/>
      <c r="AJ47" s="24"/>
    </row>
    <row r="48" spans="1:49">
      <c r="B48" s="22"/>
      <c r="C48" s="22"/>
      <c r="D48" s="2" t="s">
        <v>91</v>
      </c>
      <c r="E48" s="61">
        <v>0.75529000000000002</v>
      </c>
      <c r="I48" s="24"/>
      <c r="P48" s="24"/>
      <c r="U48" s="24"/>
      <c r="Z48" s="24"/>
      <c r="AE48" s="24"/>
      <c r="AJ48" s="24"/>
    </row>
    <row r="49" spans="1:64">
      <c r="B49" s="22"/>
      <c r="C49" s="22"/>
      <c r="D49" s="2" t="s">
        <v>92</v>
      </c>
      <c r="E49" s="2"/>
      <c r="I49" s="24">
        <f>I43*$E$47-I22</f>
        <v>672.25796432838092</v>
      </c>
      <c r="P49" s="24">
        <f>P43*$E$47-P22</f>
        <v>671.46725153905118</v>
      </c>
      <c r="U49" s="24">
        <f>U43*$E$47-U22</f>
        <v>593.89735646459394</v>
      </c>
      <c r="Z49" s="24">
        <f>Z43*$E$47-Z22</f>
        <v>571.99000230386014</v>
      </c>
      <c r="AE49" s="24">
        <f>AE43*$E$47-AE22</f>
        <v>881.4154636166038</v>
      </c>
      <c r="AJ49" s="24">
        <f>AJ43*$E$47-AJ22</f>
        <v>644.90452072776247</v>
      </c>
      <c r="AR49" s="5">
        <v>671.46725153905118</v>
      </c>
      <c r="AS49" s="5">
        <v>593.89735646459394</v>
      </c>
      <c r="AT49" s="5">
        <v>571.99000230386014</v>
      </c>
      <c r="AU49" s="5">
        <v>881.4154636166038</v>
      </c>
      <c r="AV49" s="5">
        <v>644.90452072776247</v>
      </c>
    </row>
    <row r="50" spans="1:64">
      <c r="B50" s="22"/>
      <c r="C50" s="22"/>
      <c r="D50" s="2" t="s">
        <v>93</v>
      </c>
      <c r="E50" s="2"/>
      <c r="I50" s="24">
        <f>I49/$E$48</f>
        <v>890.0660201093367</v>
      </c>
      <c r="P50" s="24">
        <f>P49/$E$48</f>
        <v>889.01912052198645</v>
      </c>
      <c r="U50" s="24">
        <f>U49/$E$48</f>
        <v>786.31698614385721</v>
      </c>
      <c r="Z50" s="24">
        <f>Z49/$E$48</f>
        <v>757.31176409572504</v>
      </c>
      <c r="AE50" s="24">
        <f>AE49/$E$48</f>
        <v>1166.9894525501513</v>
      </c>
      <c r="AJ50" s="24">
        <f>AJ49/$E$48</f>
        <v>853.8502041967489</v>
      </c>
      <c r="AR50" s="5">
        <v>889.01912052198645</v>
      </c>
      <c r="AS50" s="5">
        <v>786.31698614385721</v>
      </c>
      <c r="AT50" s="5">
        <v>757.31176409572504</v>
      </c>
      <c r="AU50" s="5">
        <v>1166.9894525501513</v>
      </c>
      <c r="AV50" s="5">
        <v>853.8502041967489</v>
      </c>
    </row>
    <row r="52" spans="1:64" s="6" customFormat="1" ht="57">
      <c r="A52" s="3"/>
      <c r="B52" s="2"/>
      <c r="C52" s="2"/>
      <c r="D52" s="43" t="s">
        <v>21</v>
      </c>
      <c r="E52" s="44" t="s">
        <v>69</v>
      </c>
      <c r="F52" s="44" t="s">
        <v>70</v>
      </c>
      <c r="G52" s="8"/>
      <c r="H52" s="8"/>
      <c r="I52" s="5"/>
      <c r="K52" s="44"/>
      <c r="M52"/>
      <c r="N52"/>
      <c r="O52"/>
      <c r="P52" s="5"/>
      <c r="R52"/>
      <c r="S52"/>
      <c r="T52"/>
      <c r="U52" s="5"/>
      <c r="W52"/>
      <c r="X52"/>
      <c r="Y52"/>
      <c r="Z52" s="5"/>
      <c r="AB52"/>
      <c r="AC52"/>
      <c r="AD52"/>
      <c r="AE52" s="5"/>
      <c r="AG52"/>
      <c r="AH52"/>
      <c r="AI52"/>
      <c r="AJ52" s="5"/>
      <c r="AM52"/>
      <c r="AQ52"/>
      <c r="AR52" s="5"/>
      <c r="AS52" s="5"/>
      <c r="AT52" s="5"/>
      <c r="AU52" s="5"/>
      <c r="AV52" s="5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s="6" customFormat="1">
      <c r="A53" s="3"/>
      <c r="B53" s="2"/>
      <c r="C53" s="2"/>
      <c r="D53" s="2" t="s">
        <v>56</v>
      </c>
      <c r="E53" s="8">
        <v>276333.98801598139</v>
      </c>
      <c r="F53" s="8">
        <v>-22486.762239631142</v>
      </c>
      <c r="G53" s="8"/>
      <c r="H53" s="8"/>
      <c r="I53" s="5"/>
      <c r="K53" s="8"/>
      <c r="M53" s="8"/>
      <c r="N53" s="8"/>
      <c r="O53" s="8"/>
      <c r="P53" s="5"/>
      <c r="R53" s="8"/>
      <c r="S53" s="8"/>
      <c r="T53" s="8"/>
      <c r="U53" s="5"/>
      <c r="W53" s="8"/>
      <c r="X53" s="8"/>
      <c r="Y53" s="8"/>
      <c r="Z53" s="5"/>
      <c r="AB53" s="8"/>
      <c r="AC53" s="8"/>
      <c r="AD53" s="8"/>
      <c r="AE53" s="5"/>
      <c r="AG53" s="8"/>
      <c r="AH53" s="8"/>
      <c r="AI53" s="8"/>
      <c r="AJ53" s="5"/>
      <c r="AM53"/>
      <c r="AQ53"/>
      <c r="AR53" s="5"/>
      <c r="AS53" s="5"/>
      <c r="AT53" s="5"/>
      <c r="AU53" s="5"/>
      <c r="AV53" s="5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s="6" customFormat="1">
      <c r="A54" s="3"/>
      <c r="B54" s="2"/>
      <c r="C54" s="2"/>
      <c r="D54" s="2" t="s">
        <v>71</v>
      </c>
      <c r="E54" s="8">
        <v>-164006.57394532522</v>
      </c>
      <c r="F54" s="8">
        <v>0</v>
      </c>
      <c r="G54" s="8"/>
      <c r="H54" s="8"/>
      <c r="I54" s="5"/>
      <c r="K54" s="8"/>
      <c r="M54" s="8"/>
      <c r="N54" s="8"/>
      <c r="O54" s="8"/>
      <c r="P54" s="5"/>
      <c r="R54" s="8"/>
      <c r="S54" s="8"/>
      <c r="T54" s="8"/>
      <c r="U54" s="5"/>
      <c r="W54" s="8"/>
      <c r="X54" s="8"/>
      <c r="Y54" s="8"/>
      <c r="Z54" s="5"/>
      <c r="AB54" s="8"/>
      <c r="AC54" s="8"/>
      <c r="AD54" s="8"/>
      <c r="AE54" s="5"/>
      <c r="AG54" s="8"/>
      <c r="AH54" s="8"/>
      <c r="AI54" s="8"/>
      <c r="AJ54" s="5"/>
      <c r="AM54"/>
      <c r="AQ54"/>
      <c r="AR54" s="5"/>
      <c r="AS54" s="5"/>
      <c r="AT54" s="5"/>
      <c r="AU54" s="5"/>
      <c r="AV54" s="5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s="6" customFormat="1">
      <c r="A55" s="3"/>
      <c r="B55" s="2"/>
      <c r="C55" s="2"/>
      <c r="D55" s="2" t="s">
        <v>61</v>
      </c>
      <c r="E55" s="8">
        <v>620798.89045298169</v>
      </c>
      <c r="F55" s="8">
        <v>494868.48358814744</v>
      </c>
      <c r="G55" s="8"/>
      <c r="H55" s="8"/>
      <c r="I55" s="5"/>
      <c r="K55" s="8"/>
      <c r="M55" s="8"/>
      <c r="N55" s="8"/>
      <c r="O55" s="8"/>
      <c r="P55" s="5"/>
      <c r="R55" s="8"/>
      <c r="S55" s="8"/>
      <c r="T55" s="8"/>
      <c r="U55" s="5"/>
      <c r="W55" s="8"/>
      <c r="X55" s="8"/>
      <c r="Y55" s="8"/>
      <c r="Z55" s="5"/>
      <c r="AB55" s="8"/>
      <c r="AC55" s="8"/>
      <c r="AD55" s="8"/>
      <c r="AE55" s="5"/>
      <c r="AG55" s="8"/>
      <c r="AH55" s="8"/>
      <c r="AI55" s="8"/>
      <c r="AJ55" s="5"/>
      <c r="AM55"/>
      <c r="AQ55"/>
      <c r="AR55" s="5"/>
      <c r="AS55" s="5"/>
      <c r="AT55" s="5"/>
      <c r="AU55" s="5"/>
      <c r="AV55" s="5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s="8" customFormat="1">
      <c r="A56" s="3"/>
      <c r="B56" s="2"/>
      <c r="C56" s="2"/>
      <c r="D56" s="2" t="s">
        <v>62</v>
      </c>
      <c r="E56" s="8">
        <v>91267.113663593947</v>
      </c>
      <c r="F56" s="8">
        <v>56639.823581020995</v>
      </c>
      <c r="I56" s="5"/>
      <c r="J56" s="6"/>
      <c r="K56"/>
      <c r="L56" s="6"/>
      <c r="P56" s="5"/>
      <c r="Q56" s="6"/>
      <c r="U56" s="5"/>
      <c r="V56" s="6"/>
      <c r="Z56" s="5"/>
      <c r="AA56" s="6"/>
      <c r="AE56" s="5"/>
      <c r="AF56" s="6"/>
      <c r="AJ56" s="5"/>
      <c r="AK56" s="6"/>
      <c r="AL56" s="6"/>
      <c r="AM56"/>
      <c r="AN56" s="6"/>
      <c r="AO56" s="6"/>
      <c r="AP56" s="6"/>
      <c r="AQ56"/>
      <c r="AR56" s="5"/>
      <c r="AS56" s="5"/>
      <c r="AT56" s="5"/>
      <c r="AU56" s="5"/>
      <c r="AV56" s="5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s="8" customFormat="1">
      <c r="A57" s="3"/>
      <c r="B57" s="2"/>
      <c r="C57" s="2"/>
      <c r="D57" s="2" t="s">
        <v>63</v>
      </c>
      <c r="E57" s="37">
        <v>-319627.28933325945</v>
      </c>
      <c r="F57" s="37">
        <v>0</v>
      </c>
      <c r="I57" s="5"/>
      <c r="J57" s="6"/>
      <c r="K57"/>
      <c r="L57" s="6"/>
      <c r="P57" s="5"/>
      <c r="Q57" s="6"/>
      <c r="U57" s="5"/>
      <c r="V57" s="6"/>
      <c r="Z57" s="5"/>
      <c r="AA57" s="6"/>
      <c r="AE57" s="5"/>
      <c r="AF57" s="6"/>
      <c r="AJ57" s="5"/>
      <c r="AK57" s="6"/>
      <c r="AL57" s="6"/>
      <c r="AM57"/>
      <c r="AN57" s="6"/>
      <c r="AO57" s="6"/>
      <c r="AP57" s="6"/>
      <c r="AQ57"/>
      <c r="AR57" s="5"/>
      <c r="AS57" s="5"/>
      <c r="AT57" s="5"/>
      <c r="AU57" s="5"/>
      <c r="AV57" s="5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s="8" customFormat="1">
      <c r="A58" s="3"/>
      <c r="B58" s="2"/>
      <c r="C58" s="2"/>
      <c r="D58" s="2"/>
      <c r="E58" s="8">
        <f>SUM(E53:E57)</f>
        <v>504766.1288539723</v>
      </c>
      <c r="F58" s="8">
        <f>SUM(F53:F57)</f>
        <v>529021.54492953734</v>
      </c>
      <c r="I58" s="5"/>
      <c r="J58" s="6"/>
      <c r="K58"/>
      <c r="L58" s="6"/>
      <c r="P58" s="5"/>
      <c r="Q58" s="6"/>
      <c r="U58" s="5"/>
      <c r="V58" s="6"/>
      <c r="Z58" s="5"/>
      <c r="AA58" s="6"/>
      <c r="AE58" s="5"/>
      <c r="AF58" s="6"/>
      <c r="AJ58" s="5"/>
      <c r="AK58" s="6"/>
      <c r="AL58" s="6"/>
      <c r="AM58"/>
      <c r="AN58" s="6"/>
      <c r="AO58" s="6"/>
      <c r="AP58" s="6"/>
      <c r="AQ58"/>
      <c r="AR58" s="5"/>
      <c r="AS58" s="5"/>
      <c r="AT58" s="5"/>
      <c r="AU58" s="5"/>
      <c r="AV58" s="5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>
      <c r="K59"/>
      <c r="AM59"/>
      <c r="AQ59"/>
    </row>
    <row r="60" spans="1:64">
      <c r="K60"/>
      <c r="AM60"/>
      <c r="AQ60"/>
    </row>
    <row r="61" spans="1:64">
      <c r="AM61"/>
      <c r="AQ61"/>
    </row>
    <row r="62" spans="1:64">
      <c r="AM62"/>
      <c r="AQ62"/>
    </row>
    <row r="63" spans="1:64">
      <c r="AM63"/>
      <c r="AQ63"/>
    </row>
    <row r="64" spans="1:64">
      <c r="AM64"/>
      <c r="AQ64"/>
    </row>
    <row r="65" spans="1:64" s="5" customFormat="1">
      <c r="A65" s="3"/>
      <c r="B65" s="2"/>
      <c r="C65" s="2"/>
      <c r="D65" s="2"/>
      <c r="E65" s="8"/>
      <c r="F65" s="8"/>
      <c r="G65" s="8"/>
      <c r="H65" s="8"/>
      <c r="J65" s="6"/>
      <c r="K65" s="8"/>
      <c r="L65" s="6"/>
      <c r="M65" s="8"/>
      <c r="N65" s="8"/>
      <c r="O65" s="8"/>
      <c r="Q65" s="6"/>
      <c r="R65" s="8"/>
      <c r="S65" s="8"/>
      <c r="T65" s="8"/>
      <c r="V65" s="6"/>
      <c r="W65" s="8"/>
      <c r="X65" s="8"/>
      <c r="Y65" s="8"/>
      <c r="AA65" s="6"/>
      <c r="AB65" s="8"/>
      <c r="AC65" s="8"/>
      <c r="AD65" s="8"/>
      <c r="AF65" s="6"/>
      <c r="AG65" s="8"/>
      <c r="AH65" s="8"/>
      <c r="AI65" s="8"/>
      <c r="AK65" s="6"/>
      <c r="AL65" s="6"/>
      <c r="AM65"/>
      <c r="AN65" s="6"/>
      <c r="AO65" s="6"/>
      <c r="AP65" s="6"/>
      <c r="AQ65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s="5" customFormat="1">
      <c r="A66" s="3"/>
      <c r="B66" s="2"/>
      <c r="C66" s="2"/>
      <c r="D66" s="2"/>
      <c r="E66" s="8"/>
      <c r="F66" s="8"/>
      <c r="G66" s="8"/>
      <c r="H66" s="8"/>
      <c r="J66" s="6"/>
      <c r="K66" s="8"/>
      <c r="L66" s="6"/>
      <c r="M66" s="8"/>
      <c r="N66" s="8"/>
      <c r="O66" s="8"/>
      <c r="Q66" s="6"/>
      <c r="R66" s="8"/>
      <c r="S66" s="8"/>
      <c r="T66" s="8"/>
      <c r="V66" s="6"/>
      <c r="W66" s="8"/>
      <c r="X66" s="8"/>
      <c r="Y66" s="8"/>
      <c r="AA66" s="6"/>
      <c r="AB66" s="8"/>
      <c r="AC66" s="8"/>
      <c r="AD66" s="8"/>
      <c r="AF66" s="6"/>
      <c r="AG66" s="8"/>
      <c r="AH66" s="8"/>
      <c r="AI66" s="8"/>
      <c r="AK66" s="6"/>
      <c r="AL66" s="6"/>
      <c r="AM66"/>
      <c r="AN66" s="6"/>
      <c r="AO66" s="6"/>
      <c r="AP66" s="6"/>
      <c r="AQ66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s="5" customFormat="1">
      <c r="A67" s="3"/>
      <c r="B67" s="2"/>
      <c r="C67" s="2"/>
      <c r="D67" s="2"/>
      <c r="E67" s="8"/>
      <c r="F67" s="8"/>
      <c r="G67" s="8"/>
      <c r="H67" s="8"/>
      <c r="J67" s="6"/>
      <c r="K67" s="8"/>
      <c r="L67" s="6"/>
      <c r="M67" s="8"/>
      <c r="N67" s="8"/>
      <c r="O67" s="8"/>
      <c r="Q67" s="6"/>
      <c r="R67" s="8"/>
      <c r="S67" s="8"/>
      <c r="T67" s="8"/>
      <c r="V67" s="6"/>
      <c r="W67" s="8"/>
      <c r="X67" s="8"/>
      <c r="Y67" s="8"/>
      <c r="AA67" s="6"/>
      <c r="AB67" s="8"/>
      <c r="AC67" s="8"/>
      <c r="AD67" s="8"/>
      <c r="AF67" s="6"/>
      <c r="AG67" s="8"/>
      <c r="AH67" s="8"/>
      <c r="AI67" s="8"/>
      <c r="AK67" s="6"/>
      <c r="AL67" s="6"/>
      <c r="AM67"/>
      <c r="AN67" s="6"/>
      <c r="AO67" s="6"/>
      <c r="AP67" s="6"/>
      <c r="AQ67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s="5" customFormat="1">
      <c r="A68" s="3"/>
      <c r="B68" s="2"/>
      <c r="C68" s="2"/>
      <c r="D68" s="2"/>
      <c r="E68" s="8"/>
      <c r="F68" s="8"/>
      <c r="G68" s="8"/>
      <c r="H68" s="8"/>
      <c r="J68" s="6"/>
      <c r="K68" s="8"/>
      <c r="L68" s="6"/>
      <c r="M68" s="8"/>
      <c r="N68" s="8"/>
      <c r="O68" s="8"/>
      <c r="Q68" s="6"/>
      <c r="R68" s="8"/>
      <c r="S68" s="8"/>
      <c r="T68" s="8"/>
      <c r="V68" s="6"/>
      <c r="W68" s="8"/>
      <c r="X68" s="8"/>
      <c r="Y68" s="8"/>
      <c r="AA68" s="6"/>
      <c r="AB68" s="8"/>
      <c r="AC68" s="8"/>
      <c r="AD68" s="8"/>
      <c r="AF68" s="6"/>
      <c r="AG68" s="8"/>
      <c r="AH68" s="8"/>
      <c r="AI68" s="8"/>
      <c r="AK68" s="6"/>
      <c r="AL68" s="6"/>
      <c r="AM68"/>
      <c r="AN68" s="6"/>
      <c r="AO68" s="6"/>
      <c r="AP68" s="6"/>
      <c r="AQ68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s="5" customFormat="1">
      <c r="A69" s="3"/>
      <c r="B69" s="2"/>
      <c r="C69" s="2"/>
      <c r="D69" s="2"/>
      <c r="E69" s="8"/>
      <c r="F69" s="8"/>
      <c r="G69" s="8"/>
      <c r="H69" s="8"/>
      <c r="J69" s="6"/>
      <c r="K69" s="8"/>
      <c r="L69" s="6"/>
      <c r="M69" s="8"/>
      <c r="N69" s="8"/>
      <c r="O69" s="8"/>
      <c r="Q69" s="6"/>
      <c r="R69" s="8"/>
      <c r="S69" s="8"/>
      <c r="T69" s="8"/>
      <c r="V69" s="6"/>
      <c r="W69" s="8"/>
      <c r="X69" s="8"/>
      <c r="Y69" s="8"/>
      <c r="AA69" s="6"/>
      <c r="AB69" s="8"/>
      <c r="AC69" s="8"/>
      <c r="AD69" s="8"/>
      <c r="AF69" s="6"/>
      <c r="AG69" s="8"/>
      <c r="AH69" s="8"/>
      <c r="AI69" s="8"/>
      <c r="AK69" s="6"/>
      <c r="AL69" s="6"/>
      <c r="AM69"/>
      <c r="AN69" s="6"/>
      <c r="AO69" s="6"/>
      <c r="AP69" s="6"/>
      <c r="AQ69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s="5" customFormat="1">
      <c r="A70" s="3"/>
      <c r="B70" s="2"/>
      <c r="C70" s="2"/>
      <c r="D70" s="2"/>
      <c r="E70" s="8"/>
      <c r="F70" s="8"/>
      <c r="G70" s="8"/>
      <c r="H70" s="8"/>
      <c r="J70" s="6"/>
      <c r="K70" s="8"/>
      <c r="L70" s="6"/>
      <c r="M70" s="8"/>
      <c r="N70" s="8"/>
      <c r="O70" s="8"/>
      <c r="Q70" s="6"/>
      <c r="R70" s="8"/>
      <c r="S70" s="8"/>
      <c r="T70" s="8"/>
      <c r="V70" s="6"/>
      <c r="W70" s="8"/>
      <c r="X70" s="8"/>
      <c r="Y70" s="8"/>
      <c r="AA70" s="6"/>
      <c r="AB70" s="8"/>
      <c r="AC70" s="8"/>
      <c r="AD70" s="8"/>
      <c r="AF70" s="6"/>
      <c r="AG70" s="8"/>
      <c r="AH70" s="8"/>
      <c r="AI70" s="8"/>
      <c r="AK70" s="6"/>
      <c r="AL70" s="6"/>
      <c r="AM70"/>
      <c r="AN70" s="6"/>
      <c r="AO70" s="6"/>
      <c r="AP70" s="6"/>
      <c r="AQ70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s="5" customFormat="1">
      <c r="A71" s="3"/>
      <c r="B71" s="2"/>
      <c r="C71" s="2"/>
      <c r="D71" s="2"/>
      <c r="E71" s="8"/>
      <c r="F71" s="8"/>
      <c r="G71" s="8"/>
      <c r="H71" s="8"/>
      <c r="J71" s="6"/>
      <c r="K71" s="8"/>
      <c r="L71" s="6"/>
      <c r="M71" s="8"/>
      <c r="N71" s="8"/>
      <c r="O71" s="8"/>
      <c r="Q71" s="6"/>
      <c r="R71" s="8"/>
      <c r="S71" s="8"/>
      <c r="T71" s="8"/>
      <c r="V71" s="6"/>
      <c r="W71" s="8"/>
      <c r="X71" s="8"/>
      <c r="Y71" s="8"/>
      <c r="AA71" s="6"/>
      <c r="AB71" s="8"/>
      <c r="AC71" s="8"/>
      <c r="AD71" s="8"/>
      <c r="AF71" s="6"/>
      <c r="AG71" s="8"/>
      <c r="AH71" s="8"/>
      <c r="AI71" s="8"/>
      <c r="AK71" s="6"/>
      <c r="AL71" s="6"/>
      <c r="AM71"/>
      <c r="AN71" s="6"/>
      <c r="AO71" s="6"/>
      <c r="AP71" s="6"/>
      <c r="AQ7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s="5" customFormat="1">
      <c r="A72" s="3"/>
      <c r="B72" s="2"/>
      <c r="C72" s="2"/>
      <c r="D72" s="2"/>
      <c r="E72" s="8"/>
      <c r="F72" s="8"/>
      <c r="G72" s="8"/>
      <c r="H72" s="8"/>
      <c r="J72" s="6"/>
      <c r="K72" s="8"/>
      <c r="L72" s="6"/>
      <c r="M72" s="8"/>
      <c r="N72" s="8"/>
      <c r="O72" s="8"/>
      <c r="Q72" s="6"/>
      <c r="R72" s="8"/>
      <c r="S72" s="8"/>
      <c r="T72" s="8"/>
      <c r="V72" s="6"/>
      <c r="W72" s="8"/>
      <c r="X72" s="8"/>
      <c r="Y72" s="8"/>
      <c r="AA72" s="6"/>
      <c r="AB72" s="8"/>
      <c r="AC72" s="8"/>
      <c r="AD72" s="8"/>
      <c r="AF72" s="6"/>
      <c r="AG72" s="8"/>
      <c r="AH72" s="8"/>
      <c r="AI72" s="8"/>
      <c r="AK72" s="6"/>
      <c r="AL72" s="6"/>
      <c r="AM72"/>
      <c r="AN72" s="6"/>
      <c r="AO72" s="6"/>
      <c r="AP72" s="6"/>
      <c r="AQ7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s="5" customFormat="1">
      <c r="A73" s="3"/>
      <c r="B73" s="2"/>
      <c r="C73" s="2"/>
      <c r="D73" s="2"/>
      <c r="E73" s="8"/>
      <c r="F73" s="8"/>
      <c r="G73" s="8"/>
      <c r="H73" s="8"/>
      <c r="J73" s="6"/>
      <c r="K73" s="8"/>
      <c r="L73" s="6"/>
      <c r="M73" s="8"/>
      <c r="N73" s="8"/>
      <c r="O73" s="8"/>
      <c r="Q73" s="6"/>
      <c r="R73" s="8"/>
      <c r="S73" s="8"/>
      <c r="T73" s="8"/>
      <c r="V73" s="6"/>
      <c r="W73" s="8"/>
      <c r="X73" s="8"/>
      <c r="Y73" s="8"/>
      <c r="AA73" s="6"/>
      <c r="AB73" s="8"/>
      <c r="AC73" s="8"/>
      <c r="AD73" s="8"/>
      <c r="AF73" s="6"/>
      <c r="AG73" s="8"/>
      <c r="AH73" s="8"/>
      <c r="AI73" s="8"/>
      <c r="AK73" s="6"/>
      <c r="AL73" s="6"/>
      <c r="AM73"/>
      <c r="AN73" s="6"/>
      <c r="AO73" s="6"/>
      <c r="AP73" s="6"/>
      <c r="AQ73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s="5" customFormat="1">
      <c r="A74" s="3"/>
      <c r="B74" s="2"/>
      <c r="C74" s="2"/>
      <c r="D74" s="2"/>
      <c r="E74" s="8"/>
      <c r="F74" s="8"/>
      <c r="G74" s="8"/>
      <c r="H74" s="8"/>
      <c r="J74" s="6"/>
      <c r="K74" s="8"/>
      <c r="L74" s="6"/>
      <c r="M74" s="8"/>
      <c r="N74" s="8"/>
      <c r="O74" s="8"/>
      <c r="Q74" s="6"/>
      <c r="R74" s="8"/>
      <c r="S74" s="8"/>
      <c r="T74" s="8"/>
      <c r="V74" s="6"/>
      <c r="W74" s="8"/>
      <c r="X74" s="8"/>
      <c r="Y74" s="8"/>
      <c r="AA74" s="6"/>
      <c r="AB74" s="8"/>
      <c r="AC74" s="8"/>
      <c r="AD74" s="8"/>
      <c r="AF74" s="6"/>
      <c r="AG74" s="8"/>
      <c r="AH74" s="8"/>
      <c r="AI74" s="8"/>
      <c r="AK74" s="6"/>
      <c r="AL74" s="6"/>
      <c r="AM74"/>
      <c r="AN74" s="6"/>
      <c r="AO74" s="6"/>
      <c r="AP74" s="6"/>
      <c r="AQ74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s="5" customFormat="1">
      <c r="A75" s="3"/>
      <c r="B75" s="2"/>
      <c r="C75" s="2"/>
      <c r="D75" s="2"/>
      <c r="E75" s="8"/>
      <c r="F75" s="8"/>
      <c r="G75" s="8"/>
      <c r="H75" s="8"/>
      <c r="J75" s="6"/>
      <c r="K75" s="8"/>
      <c r="L75" s="6"/>
      <c r="M75" s="8"/>
      <c r="N75" s="8"/>
      <c r="O75" s="8"/>
      <c r="Q75" s="6"/>
      <c r="R75" s="8"/>
      <c r="S75" s="8"/>
      <c r="T75" s="8"/>
      <c r="V75" s="6"/>
      <c r="W75" s="8"/>
      <c r="X75" s="8"/>
      <c r="Y75" s="8"/>
      <c r="AA75" s="6"/>
      <c r="AB75" s="8"/>
      <c r="AC75" s="8"/>
      <c r="AD75" s="8"/>
      <c r="AF75" s="6"/>
      <c r="AG75" s="8"/>
      <c r="AH75" s="8"/>
      <c r="AI75" s="8"/>
      <c r="AK75" s="6"/>
      <c r="AL75" s="6"/>
      <c r="AM75"/>
      <c r="AN75" s="6"/>
      <c r="AO75" s="6"/>
      <c r="AP75" s="6"/>
      <c r="AQ75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s="5" customFormat="1">
      <c r="A76" s="3"/>
      <c r="B76" s="2"/>
      <c r="C76" s="2"/>
      <c r="D76" s="2"/>
      <c r="E76" s="8"/>
      <c r="F76" s="8"/>
      <c r="G76" s="8"/>
      <c r="H76" s="8"/>
      <c r="J76" s="6"/>
      <c r="K76" s="8"/>
      <c r="L76" s="6"/>
      <c r="M76" s="8"/>
      <c r="N76" s="8"/>
      <c r="O76" s="8"/>
      <c r="Q76" s="6"/>
      <c r="R76" s="8"/>
      <c r="S76" s="8"/>
      <c r="T76" s="8"/>
      <c r="V76" s="6"/>
      <c r="W76" s="8"/>
      <c r="X76" s="8"/>
      <c r="Y76" s="8"/>
      <c r="AA76" s="6"/>
      <c r="AB76" s="8"/>
      <c r="AC76" s="8"/>
      <c r="AD76" s="8"/>
      <c r="AF76" s="6"/>
      <c r="AG76" s="8"/>
      <c r="AH76" s="8"/>
      <c r="AI76" s="8"/>
      <c r="AK76" s="6"/>
      <c r="AL76" s="6"/>
      <c r="AM76"/>
      <c r="AN76" s="6"/>
      <c r="AO76" s="6"/>
      <c r="AP76" s="6"/>
      <c r="AQ76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s="5" customFormat="1">
      <c r="A77" s="3"/>
      <c r="B77" s="2"/>
      <c r="C77" s="2"/>
      <c r="D77" s="2"/>
      <c r="E77" s="8"/>
      <c r="F77" s="8"/>
      <c r="G77" s="8"/>
      <c r="H77" s="8"/>
      <c r="J77" s="6"/>
      <c r="K77" s="8"/>
      <c r="L77" s="6"/>
      <c r="M77" s="8"/>
      <c r="N77" s="8"/>
      <c r="O77" s="8"/>
      <c r="Q77" s="6"/>
      <c r="R77" s="8"/>
      <c r="S77" s="8"/>
      <c r="T77" s="8"/>
      <c r="V77" s="6"/>
      <c r="W77" s="8"/>
      <c r="X77" s="8"/>
      <c r="Y77" s="8"/>
      <c r="AA77" s="6"/>
      <c r="AB77" s="8"/>
      <c r="AC77" s="8"/>
      <c r="AD77" s="8"/>
      <c r="AF77" s="6"/>
      <c r="AG77" s="8"/>
      <c r="AH77" s="8"/>
      <c r="AI77" s="8"/>
      <c r="AK77" s="6"/>
      <c r="AL77" s="6"/>
      <c r="AM77"/>
      <c r="AN77" s="6"/>
      <c r="AO77" s="6"/>
      <c r="AP77" s="6"/>
      <c r="AQ77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s="5" customFormat="1">
      <c r="A78" s="3"/>
      <c r="B78" s="2"/>
      <c r="C78" s="2"/>
      <c r="D78" s="2"/>
      <c r="E78" s="8"/>
      <c r="F78" s="8"/>
      <c r="G78" s="8"/>
      <c r="H78" s="8"/>
      <c r="J78" s="6"/>
      <c r="K78" s="8"/>
      <c r="L78" s="6"/>
      <c r="M78" s="8"/>
      <c r="N78" s="8"/>
      <c r="O78" s="8"/>
      <c r="Q78" s="6"/>
      <c r="R78" s="8"/>
      <c r="S78" s="8"/>
      <c r="T78" s="8"/>
      <c r="V78" s="6"/>
      <c r="W78" s="8"/>
      <c r="X78" s="8"/>
      <c r="Y78" s="8"/>
      <c r="AA78" s="6"/>
      <c r="AB78" s="8"/>
      <c r="AC78" s="8"/>
      <c r="AD78" s="8"/>
      <c r="AF78" s="6"/>
      <c r="AG78" s="8"/>
      <c r="AH78" s="8"/>
      <c r="AI78" s="8"/>
      <c r="AK78" s="6"/>
      <c r="AL78" s="6"/>
      <c r="AM78"/>
      <c r="AN78" s="6"/>
      <c r="AO78" s="6"/>
      <c r="AP78" s="6"/>
      <c r="AQ78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s="5" customFormat="1">
      <c r="A79" s="3"/>
      <c r="B79" s="2"/>
      <c r="C79" s="2"/>
      <c r="D79" s="2"/>
      <c r="E79" s="8"/>
      <c r="F79" s="8"/>
      <c r="G79" s="8"/>
      <c r="H79" s="8"/>
      <c r="J79" s="6"/>
      <c r="K79" s="8"/>
      <c r="L79" s="6"/>
      <c r="M79" s="8"/>
      <c r="N79" s="8"/>
      <c r="O79" s="8"/>
      <c r="Q79" s="6"/>
      <c r="R79" s="8"/>
      <c r="S79" s="8"/>
      <c r="T79" s="8"/>
      <c r="V79" s="6"/>
      <c r="W79" s="8"/>
      <c r="X79" s="8"/>
      <c r="Y79" s="8"/>
      <c r="AA79" s="6"/>
      <c r="AB79" s="8"/>
      <c r="AC79" s="8"/>
      <c r="AD79" s="8"/>
      <c r="AF79" s="6"/>
      <c r="AG79" s="8"/>
      <c r="AH79" s="8"/>
      <c r="AI79" s="8"/>
      <c r="AK79" s="6"/>
      <c r="AL79" s="6"/>
      <c r="AM79"/>
      <c r="AN79" s="6"/>
      <c r="AO79" s="6"/>
      <c r="AP79" s="6"/>
      <c r="AQ79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s="5" customFormat="1">
      <c r="A80" s="3"/>
      <c r="B80" s="2"/>
      <c r="C80" s="2"/>
      <c r="D80" s="2"/>
      <c r="E80" s="8"/>
      <c r="F80" s="8"/>
      <c r="G80" s="8"/>
      <c r="H80" s="8"/>
      <c r="J80" s="6"/>
      <c r="K80" s="8"/>
      <c r="L80" s="6"/>
      <c r="M80" s="8"/>
      <c r="N80" s="8"/>
      <c r="O80" s="8"/>
      <c r="Q80" s="6"/>
      <c r="R80" s="8"/>
      <c r="S80" s="8"/>
      <c r="T80" s="8"/>
      <c r="V80" s="6"/>
      <c r="W80" s="8"/>
      <c r="X80" s="8"/>
      <c r="Y80" s="8"/>
      <c r="AA80" s="6"/>
      <c r="AB80" s="8"/>
      <c r="AC80" s="8"/>
      <c r="AD80" s="8"/>
      <c r="AF80" s="6"/>
      <c r="AG80" s="8"/>
      <c r="AH80" s="8"/>
      <c r="AI80" s="8"/>
      <c r="AK80" s="6"/>
      <c r="AL80" s="6"/>
      <c r="AM80"/>
      <c r="AN80" s="6"/>
      <c r="AO80" s="6"/>
      <c r="AP80" s="6"/>
      <c r="AQ80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s="5" customFormat="1">
      <c r="A81" s="3"/>
      <c r="B81" s="2"/>
      <c r="C81" s="2"/>
      <c r="D81" s="2"/>
      <c r="E81" s="8"/>
      <c r="F81" s="8"/>
      <c r="G81" s="8"/>
      <c r="H81" s="8"/>
      <c r="J81" s="6"/>
      <c r="K81" s="8"/>
      <c r="L81" s="6"/>
      <c r="M81" s="8"/>
      <c r="N81" s="8"/>
      <c r="O81" s="8"/>
      <c r="Q81" s="6"/>
      <c r="R81" s="8"/>
      <c r="S81" s="8"/>
      <c r="T81" s="8"/>
      <c r="V81" s="6"/>
      <c r="W81" s="8"/>
      <c r="X81" s="8"/>
      <c r="Y81" s="8"/>
      <c r="AA81" s="6"/>
      <c r="AB81" s="8"/>
      <c r="AC81" s="8"/>
      <c r="AD81" s="8"/>
      <c r="AF81" s="6"/>
      <c r="AG81" s="8"/>
      <c r="AH81" s="8"/>
      <c r="AI81" s="8"/>
      <c r="AK81" s="6"/>
      <c r="AL81" s="6"/>
      <c r="AM81"/>
      <c r="AN81" s="6"/>
      <c r="AO81" s="6"/>
      <c r="AP81" s="6"/>
      <c r="AQ8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3" firstPageNumber="4" fitToWidth="2" orientation="landscape" r:id="rId1"/>
  <headerFooter scaleWithDoc="0" alignWithMargins="0">
    <oddHeader xml:space="preserve">&amp;L&amp;8Avista
</oddHeader>
    <oddFooter>&amp;L&amp;F&amp;R&amp;8Page &amp;P of &amp;N</oddFooter>
  </headerFooter>
  <colBreaks count="1" manualBreakCount="1">
    <brk id="26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7F9E-4EC9-49BC-B2E6-0B546C0C676D}">
  <dimension ref="A2:AW71"/>
  <sheetViews>
    <sheetView zoomScaleNormal="100" workbookViewId="0">
      <selection activeCell="D1" sqref="D1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2.44140625" style="8" bestFit="1" customWidth="1"/>
    <col min="9" max="9" width="14" style="5" bestFit="1" customWidth="1"/>
    <col min="10" max="10" width="1.6640625" customWidth="1"/>
    <col min="11" max="11" width="17.44140625" style="8" customWidth="1"/>
    <col min="12" max="12" width="1.44140625" style="6" customWidth="1"/>
    <col min="13" max="13" width="10.33203125" style="6" customWidth="1"/>
    <col min="14" max="15" width="10.6640625" style="6"/>
    <col min="16" max="16" width="14" style="5" bestFit="1" customWidth="1"/>
    <col min="17" max="17" width="1.88671875" style="6" customWidth="1"/>
    <col min="18" max="18" width="10.33203125" style="6" customWidth="1"/>
    <col min="19" max="20" width="10.6640625" style="6"/>
    <col min="21" max="21" width="14" style="5" bestFit="1" customWidth="1"/>
    <col min="22" max="22" width="1.88671875" style="6" customWidth="1"/>
    <col min="23" max="23" width="10.33203125" style="6" customWidth="1"/>
    <col min="24" max="25" width="10.6640625" style="6"/>
    <col min="26" max="26" width="14" style="5" bestFit="1" customWidth="1"/>
    <col min="27" max="27" width="1.88671875" style="6" customWidth="1"/>
    <col min="28" max="28" width="10.33203125" style="6" customWidth="1"/>
    <col min="29" max="30" width="10.6640625" style="6"/>
    <col min="31" max="31" width="14" style="5" bestFit="1" customWidth="1"/>
    <col min="32" max="32" width="1.88671875" style="6" customWidth="1"/>
    <col min="33" max="33" width="10.33203125" style="6" customWidth="1"/>
    <col min="34" max="35" width="10.6640625" style="6"/>
    <col min="36" max="36" width="14" style="5" bestFit="1" customWidth="1"/>
    <col min="37" max="37" width="1.88671875" style="6" customWidth="1"/>
    <col min="38" max="38" width="17.44140625" style="8" bestFit="1" customWidth="1"/>
    <col min="39" max="39" width="10.6640625" style="2"/>
    <col min="40" max="40" width="11.109375" style="8" customWidth="1"/>
    <col min="41" max="41" width="16.33203125" style="8" bestFit="1" customWidth="1"/>
    <col min="42" max="42" width="10.109375" style="8" bestFit="1" customWidth="1"/>
    <col min="43" max="43" width="10.6640625" style="2"/>
    <col min="44" max="48" width="14" style="5" bestFit="1" customWidth="1"/>
    <col min="49" max="16384" width="10.6640625" style="2"/>
  </cols>
  <sheetData>
    <row r="2" spans="1:48">
      <c r="A2" s="1" t="s">
        <v>0</v>
      </c>
      <c r="D2" s="3"/>
      <c r="E2" s="4"/>
      <c r="F2" s="4"/>
      <c r="G2" s="4"/>
      <c r="H2" s="4"/>
      <c r="K2" s="4"/>
      <c r="AL2" s="4"/>
      <c r="AN2" s="4"/>
      <c r="AO2" s="4"/>
      <c r="AP2" s="4"/>
    </row>
    <row r="3" spans="1:48" ht="12.75" customHeight="1">
      <c r="A3" s="1" t="s">
        <v>1</v>
      </c>
      <c r="D3" s="3"/>
      <c r="E3" s="7"/>
      <c r="F3" s="7"/>
      <c r="G3" s="7"/>
      <c r="H3" s="7"/>
      <c r="K3" s="7"/>
      <c r="AL3" s="7"/>
      <c r="AN3" s="7"/>
      <c r="AO3" s="7"/>
      <c r="AP3" s="7"/>
    </row>
    <row r="4" spans="1:48">
      <c r="A4" s="1" t="s">
        <v>2</v>
      </c>
      <c r="D4" s="3"/>
    </row>
    <row r="5" spans="1:48" ht="12.75" customHeight="1">
      <c r="A5" s="1" t="s">
        <v>3</v>
      </c>
      <c r="D5" s="3"/>
      <c r="E5" s="7"/>
      <c r="F5" s="7"/>
      <c r="G5" s="7"/>
      <c r="H5" s="7"/>
      <c r="K5" s="7"/>
      <c r="AL5" s="7"/>
      <c r="AN5" s="7"/>
      <c r="AO5" s="7"/>
      <c r="AP5" s="7"/>
    </row>
    <row r="6" spans="1:48" s="9" customFormat="1">
      <c r="E6" s="9" t="s">
        <v>4</v>
      </c>
      <c r="F6" s="9" t="s">
        <v>5</v>
      </c>
      <c r="G6" s="9" t="s">
        <v>6</v>
      </c>
      <c r="H6" s="9" t="s">
        <v>6</v>
      </c>
      <c r="I6" s="10" t="s">
        <v>7</v>
      </c>
      <c r="J6"/>
      <c r="K6" s="10" t="s">
        <v>8</v>
      </c>
      <c r="M6" s="75" t="s">
        <v>9</v>
      </c>
      <c r="N6" s="76"/>
      <c r="O6" s="76"/>
      <c r="P6" s="77"/>
      <c r="R6" s="75" t="s">
        <v>74</v>
      </c>
      <c r="S6" s="76"/>
      <c r="T6" s="76"/>
      <c r="U6" s="77"/>
      <c r="W6" s="75" t="s">
        <v>76</v>
      </c>
      <c r="X6" s="76"/>
      <c r="Y6" s="76"/>
      <c r="Z6" s="77"/>
      <c r="AB6" s="75" t="s">
        <v>78</v>
      </c>
      <c r="AC6" s="76"/>
      <c r="AD6" s="76"/>
      <c r="AE6" s="77"/>
      <c r="AG6" s="75" t="s">
        <v>80</v>
      </c>
      <c r="AH6" s="76"/>
      <c r="AI6" s="76"/>
      <c r="AJ6" s="77"/>
      <c r="AL6" s="10" t="s">
        <v>8</v>
      </c>
      <c r="AN6" s="10" t="s">
        <v>83</v>
      </c>
      <c r="AO6" s="10" t="s">
        <v>83</v>
      </c>
      <c r="AP6" s="10" t="s">
        <v>83</v>
      </c>
    </row>
    <row r="7" spans="1:48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15" t="s">
        <v>18</v>
      </c>
      <c r="AN7" s="15" t="s">
        <v>82</v>
      </c>
      <c r="AO7" s="15" t="s">
        <v>17</v>
      </c>
      <c r="AP7" s="15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48" s="17" customFormat="1">
      <c r="B8" s="18"/>
      <c r="E8" s="19"/>
      <c r="F8" s="19"/>
      <c r="G8" s="19"/>
      <c r="H8" s="19"/>
      <c r="I8" s="20"/>
      <c r="J8"/>
      <c r="K8" s="19"/>
      <c r="M8" s="52" t="s">
        <v>84</v>
      </c>
      <c r="P8" s="20"/>
      <c r="R8" s="52" t="s">
        <v>84</v>
      </c>
      <c r="U8" s="20"/>
      <c r="W8" s="52" t="s">
        <v>84</v>
      </c>
      <c r="Z8" s="20"/>
      <c r="AB8" s="52" t="s">
        <v>84</v>
      </c>
      <c r="AE8" s="20"/>
      <c r="AG8" s="52" t="s">
        <v>84</v>
      </c>
      <c r="AJ8" s="20"/>
      <c r="AL8" s="19"/>
      <c r="AN8" s="52" t="s">
        <v>84</v>
      </c>
      <c r="AO8" s="19"/>
      <c r="AP8" s="52" t="s">
        <v>84</v>
      </c>
      <c r="AR8" s="20"/>
      <c r="AS8" s="20"/>
      <c r="AT8" s="20"/>
      <c r="AU8" s="20"/>
      <c r="AV8" s="20"/>
    </row>
    <row r="9" spans="1:48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/>
      <c r="K9" s="23"/>
      <c r="P9" s="24"/>
      <c r="U9" s="24"/>
      <c r="Z9" s="24"/>
      <c r="AE9" s="24"/>
      <c r="AJ9" s="24"/>
      <c r="AL9" s="23"/>
      <c r="AN9" s="23"/>
      <c r="AO9" s="23"/>
      <c r="AP9" s="23"/>
      <c r="AR9" s="24"/>
      <c r="AS9" s="24"/>
      <c r="AT9" s="24"/>
      <c r="AU9" s="24"/>
      <c r="AV9" s="24"/>
    </row>
    <row r="10" spans="1:48" s="22" customFormat="1">
      <c r="A10" s="21"/>
      <c r="C10" s="22" t="s">
        <v>22</v>
      </c>
      <c r="E10" s="22">
        <v>20791</v>
      </c>
      <c r="F10" s="25">
        <f>E10+(E60/1000)</f>
        <v>21711.468380000628</v>
      </c>
      <c r="H10" s="25">
        <f>-(F60/1000)</f>
        <v>-72.288396421350768</v>
      </c>
      <c r="I10" s="24">
        <f>SUM(-E10,F10,G10:H10)</f>
        <v>848.17998357927706</v>
      </c>
      <c r="J10"/>
      <c r="K10" s="22">
        <f>E10+I10</f>
        <v>21639.179983579277</v>
      </c>
      <c r="M10" s="22">
        <v>-319.23670891392527</v>
      </c>
      <c r="N10" s="22">
        <v>2153</v>
      </c>
      <c r="P10" s="24">
        <f>SUM(M10:O10)</f>
        <v>1833.7632910860748</v>
      </c>
      <c r="R10" s="22">
        <v>0</v>
      </c>
      <c r="S10" s="22">
        <v>178</v>
      </c>
      <c r="T10" s="22">
        <v>0</v>
      </c>
      <c r="U10" s="24">
        <f>SUM(R10:T10)</f>
        <v>178</v>
      </c>
      <c r="W10" s="22">
        <v>0</v>
      </c>
      <c r="X10" s="22">
        <v>133</v>
      </c>
      <c r="Z10" s="24">
        <f>SUM(W10:Y10)</f>
        <v>133</v>
      </c>
      <c r="AB10" s="22">
        <v>0</v>
      </c>
      <c r="AC10" s="22">
        <v>0</v>
      </c>
      <c r="AE10" s="24">
        <f>SUM(AB10:AD10)</f>
        <v>0</v>
      </c>
      <c r="AG10" s="22">
        <v>-60.514282519240687</v>
      </c>
      <c r="AH10" s="22">
        <v>1669</v>
      </c>
      <c r="AJ10" s="24">
        <f>SUM(AG10:AI10)</f>
        <v>1608.4857174807594</v>
      </c>
      <c r="AL10" s="22">
        <f>SUM(K10,P10,U10,Z10,AE10,AJ10)</f>
        <v>25392.42899214611</v>
      </c>
      <c r="AN10" s="22">
        <f>SUM(M10,R10,W10,AB10,AG10)</f>
        <v>-379.75099143316595</v>
      </c>
      <c r="AO10" s="22">
        <f t="shared" ref="AO10:AP10" si="0">SUM(N10,S10,X10,AC10,AH10)</f>
        <v>4133</v>
      </c>
      <c r="AP10" s="22">
        <f t="shared" si="0"/>
        <v>0</v>
      </c>
      <c r="AR10" s="24">
        <v>1833.7632910860748</v>
      </c>
      <c r="AS10" s="24">
        <v>178</v>
      </c>
      <c r="AT10" s="24">
        <v>133</v>
      </c>
      <c r="AU10" s="24">
        <v>0</v>
      </c>
      <c r="AV10" s="24">
        <v>1608.4857174807594</v>
      </c>
    </row>
    <row r="11" spans="1:48" s="22" customFormat="1">
      <c r="A11" s="21"/>
      <c r="C11" s="22" t="s">
        <v>23</v>
      </c>
      <c r="E11" s="22">
        <f>E44</f>
        <v>21924.798000000003</v>
      </c>
      <c r="F11" s="25">
        <f>F44</f>
        <v>24686.845332398429</v>
      </c>
      <c r="H11" s="25"/>
      <c r="I11" s="24">
        <f>SUM(-E11,F11,G11:H11)</f>
        <v>2762.0473323984261</v>
      </c>
      <c r="J11"/>
      <c r="K11" s="22">
        <f t="shared" ref="K11:K14" si="1">E11+I11</f>
        <v>24686.845332398429</v>
      </c>
      <c r="M11" s="22">
        <v>0</v>
      </c>
      <c r="N11" s="22">
        <v>0</v>
      </c>
      <c r="P11" s="24">
        <f t="shared" ref="P11:P14" si="2">SUM(M11:O11)</f>
        <v>0</v>
      </c>
      <c r="R11" s="22">
        <v>-67.928207855887763</v>
      </c>
      <c r="S11" s="22">
        <v>79</v>
      </c>
      <c r="T11" s="22">
        <v>0</v>
      </c>
      <c r="U11" s="24">
        <f t="shared" ref="U11:U14" si="3">SUM(R11:T11)</f>
        <v>11.071792144112237</v>
      </c>
      <c r="W11" s="22">
        <v>-13.06960515804961</v>
      </c>
      <c r="X11" s="22">
        <v>78</v>
      </c>
      <c r="Z11" s="24">
        <f t="shared" ref="Z11:Z14" si="4">SUM(W11:Y11)</f>
        <v>64.930394841950388</v>
      </c>
      <c r="AB11" s="22">
        <v>-7.5625967531832741</v>
      </c>
      <c r="AC11" s="22">
        <v>45</v>
      </c>
      <c r="AE11" s="24">
        <f t="shared" ref="AE11:AE14" si="5">SUM(AB11:AD11)</f>
        <v>37.437403246816729</v>
      </c>
      <c r="AG11" s="22">
        <v>0</v>
      </c>
      <c r="AH11" s="22">
        <v>0</v>
      </c>
      <c r="AJ11" s="24">
        <f t="shared" ref="AJ11:AJ14" si="6">SUM(AG11:AI11)</f>
        <v>0</v>
      </c>
      <c r="AL11" s="22">
        <f t="shared" ref="AL11:AL14" si="7">SUM(K11,P11,U11,Z11,AE11,AJ11)</f>
        <v>24800.284922631308</v>
      </c>
      <c r="AN11" s="22">
        <f t="shared" ref="AN11:AN56" si="8">SUM(M11,R11,W11,AB11,AG11)</f>
        <v>-88.560409767120646</v>
      </c>
      <c r="AO11" s="22">
        <f t="shared" ref="AO11:AO56" si="9">SUM(N11,S11,X11,AC11,AH11)</f>
        <v>202</v>
      </c>
      <c r="AP11" s="22">
        <f t="shared" ref="AP11:AP56" si="10">SUM(O11,T11,Y11,AD11,AI11)</f>
        <v>0</v>
      </c>
      <c r="AR11" s="24">
        <v>0</v>
      </c>
      <c r="AS11" s="24">
        <v>11.071792144112237</v>
      </c>
      <c r="AT11" s="24">
        <v>64.930394841950388</v>
      </c>
      <c r="AU11" s="24">
        <v>37.437403246816729</v>
      </c>
      <c r="AV11" s="24">
        <v>0</v>
      </c>
    </row>
    <row r="12" spans="1:48" s="22" customFormat="1">
      <c r="A12" s="21"/>
      <c r="C12" s="22" t="s">
        <v>24</v>
      </c>
      <c r="E12" s="22">
        <v>9925</v>
      </c>
      <c r="F12" s="25">
        <f>E12+(E64/1000)</f>
        <v>10729.753958451944</v>
      </c>
      <c r="H12" s="26">
        <f>-(F64/1000)</f>
        <v>0</v>
      </c>
      <c r="I12" s="24">
        <f>SUM(-E12,F12,G12:H12)</f>
        <v>804.75395845194362</v>
      </c>
      <c r="J12"/>
      <c r="K12" s="22">
        <f t="shared" si="1"/>
        <v>10729.753958451944</v>
      </c>
      <c r="M12" s="22">
        <v>0</v>
      </c>
      <c r="N12" s="22">
        <v>0</v>
      </c>
      <c r="P12" s="24">
        <f t="shared" si="2"/>
        <v>0</v>
      </c>
      <c r="R12" s="22">
        <v>-76.736619527139027</v>
      </c>
      <c r="S12" s="22">
        <v>293</v>
      </c>
      <c r="T12" s="22">
        <v>0</v>
      </c>
      <c r="U12" s="24">
        <f t="shared" si="3"/>
        <v>216.26338047286097</v>
      </c>
      <c r="W12" s="22">
        <v>-17.255510656785255</v>
      </c>
      <c r="X12" s="22">
        <v>156</v>
      </c>
      <c r="Z12" s="24">
        <f t="shared" si="4"/>
        <v>138.74448934321475</v>
      </c>
      <c r="AB12" s="22">
        <v>-46.303546597830895</v>
      </c>
      <c r="AC12" s="22">
        <v>638</v>
      </c>
      <c r="AE12" s="24">
        <f t="shared" si="5"/>
        <v>591.69645340216914</v>
      </c>
      <c r="AG12" s="22">
        <v>0</v>
      </c>
      <c r="AH12" s="22">
        <v>0</v>
      </c>
      <c r="AJ12" s="24">
        <f t="shared" si="6"/>
        <v>0</v>
      </c>
      <c r="AL12" s="22">
        <f t="shared" si="7"/>
        <v>11676.45828167019</v>
      </c>
      <c r="AN12" s="22">
        <f t="shared" si="8"/>
        <v>-140.29567678175516</v>
      </c>
      <c r="AO12" s="22">
        <f t="shared" si="9"/>
        <v>1087</v>
      </c>
      <c r="AP12" s="22">
        <f t="shared" si="10"/>
        <v>0</v>
      </c>
      <c r="AR12" s="24">
        <v>0</v>
      </c>
      <c r="AS12" s="24">
        <v>216.26338047286097</v>
      </c>
      <c r="AT12" s="24">
        <v>138.74448934321475</v>
      </c>
      <c r="AU12" s="24">
        <v>591.69645340216914</v>
      </c>
      <c r="AV12" s="24">
        <v>0</v>
      </c>
    </row>
    <row r="13" spans="1:48" s="22" customFormat="1">
      <c r="A13" s="21"/>
      <c r="C13" s="22" t="s">
        <v>25</v>
      </c>
      <c r="E13" s="22">
        <v>31102</v>
      </c>
      <c r="F13" s="25">
        <f>E13+(E65/1000)</f>
        <v>31255.137906385287</v>
      </c>
      <c r="G13" s="22">
        <v>-345.68607147929077</v>
      </c>
      <c r="H13" s="25">
        <f>-(F65/1000)</f>
        <v>-1170.472579806391</v>
      </c>
      <c r="I13" s="24">
        <f>SUM(-E13,F13,G13:H13)</f>
        <v>-1363.0207449003944</v>
      </c>
      <c r="J13"/>
      <c r="K13" s="22">
        <f t="shared" si="1"/>
        <v>29738.979255099606</v>
      </c>
      <c r="M13" s="22">
        <v>0</v>
      </c>
      <c r="N13" s="22">
        <v>0</v>
      </c>
      <c r="P13" s="24">
        <f t="shared" si="2"/>
        <v>0</v>
      </c>
      <c r="R13" s="22">
        <v>-34.242107703207431</v>
      </c>
      <c r="S13" s="22">
        <v>68</v>
      </c>
      <c r="T13" s="22">
        <v>0</v>
      </c>
      <c r="U13" s="24">
        <f t="shared" si="3"/>
        <v>33.757892296792569</v>
      </c>
      <c r="W13" s="22">
        <v>-117.12207499469316</v>
      </c>
      <c r="X13" s="22">
        <v>819</v>
      </c>
      <c r="Y13" s="56">
        <v>-166</v>
      </c>
      <c r="Z13" s="24">
        <f t="shared" si="4"/>
        <v>535.87792500530679</v>
      </c>
      <c r="AB13" s="22">
        <v>-13.469352402702878</v>
      </c>
      <c r="AC13" s="22">
        <v>94</v>
      </c>
      <c r="AE13" s="24">
        <f t="shared" si="5"/>
        <v>80.530647597297119</v>
      </c>
      <c r="AG13" s="22">
        <v>0</v>
      </c>
      <c r="AH13" s="22">
        <v>0</v>
      </c>
      <c r="AJ13" s="24">
        <f t="shared" si="6"/>
        <v>0</v>
      </c>
      <c r="AL13" s="22">
        <f t="shared" si="7"/>
        <v>30389.145719999004</v>
      </c>
      <c r="AN13" s="22">
        <f t="shared" si="8"/>
        <v>-164.83353510060346</v>
      </c>
      <c r="AO13" s="22">
        <f t="shared" si="9"/>
        <v>981</v>
      </c>
      <c r="AP13" s="22">
        <f t="shared" si="10"/>
        <v>-166</v>
      </c>
      <c r="AR13" s="24">
        <v>0</v>
      </c>
      <c r="AS13" s="24">
        <v>33.757892296792569</v>
      </c>
      <c r="AT13" s="24">
        <v>535.87792500530679</v>
      </c>
      <c r="AU13" s="24">
        <v>80.530647597297119</v>
      </c>
      <c r="AV13" s="24">
        <v>0</v>
      </c>
    </row>
    <row r="14" spans="1:48" s="22" customFormat="1">
      <c r="A14" s="21"/>
      <c r="C14" s="22" t="s">
        <v>26</v>
      </c>
      <c r="E14" s="27">
        <v>15583</v>
      </c>
      <c r="F14" s="28">
        <f>E14+(SUM(E66:E67)/1000)</f>
        <v>14580.692554547988</v>
      </c>
      <c r="G14" s="27"/>
      <c r="H14" s="28">
        <f>-(SUM(F66:F67)/1000)</f>
        <v>-193.84457795641882</v>
      </c>
      <c r="I14" s="24">
        <f>SUM(-E14,F14,G14:H14)</f>
        <v>-1196.1520234084308</v>
      </c>
      <c r="J14"/>
      <c r="K14" s="27">
        <f t="shared" si="1"/>
        <v>14386.847976591569</v>
      </c>
      <c r="M14" s="27">
        <v>0</v>
      </c>
      <c r="N14" s="27">
        <v>4</v>
      </c>
      <c r="O14" s="27"/>
      <c r="P14" s="24">
        <f t="shared" si="2"/>
        <v>4</v>
      </c>
      <c r="R14" s="27">
        <v>-89.225860624275782</v>
      </c>
      <c r="S14" s="27">
        <v>105</v>
      </c>
      <c r="T14" s="27">
        <v>0</v>
      </c>
      <c r="U14" s="24">
        <f t="shared" si="3"/>
        <v>15.774139375724218</v>
      </c>
      <c r="W14" s="27">
        <v>-262.75768467690364</v>
      </c>
      <c r="X14" s="27">
        <v>678</v>
      </c>
      <c r="Y14" s="27"/>
      <c r="Z14" s="24">
        <f t="shared" si="4"/>
        <v>415.24231532309636</v>
      </c>
      <c r="AB14" s="27">
        <v>0</v>
      </c>
      <c r="AC14" s="27">
        <v>0</v>
      </c>
      <c r="AD14" s="27"/>
      <c r="AE14" s="24">
        <f t="shared" si="5"/>
        <v>0</v>
      </c>
      <c r="AG14" s="27">
        <v>-397.83495374825333</v>
      </c>
      <c r="AH14" s="27">
        <v>755</v>
      </c>
      <c r="AI14" s="27"/>
      <c r="AJ14" s="24">
        <f t="shared" si="6"/>
        <v>357.16504625174667</v>
      </c>
      <c r="AL14" s="27">
        <f t="shared" si="7"/>
        <v>15179.029477542135</v>
      </c>
      <c r="AN14" s="27">
        <f t="shared" si="8"/>
        <v>-749.81849904943283</v>
      </c>
      <c r="AO14" s="27">
        <f t="shared" si="9"/>
        <v>1542</v>
      </c>
      <c r="AP14" s="27">
        <f t="shared" si="10"/>
        <v>0</v>
      </c>
      <c r="AR14" s="24">
        <v>4</v>
      </c>
      <c r="AS14" s="24">
        <v>15.774139375724218</v>
      </c>
      <c r="AT14" s="24">
        <v>415.24231532309636</v>
      </c>
      <c r="AU14" s="24">
        <v>0</v>
      </c>
      <c r="AV14" s="24">
        <v>357.16504625174667</v>
      </c>
    </row>
    <row r="15" spans="1:48" s="22" customFormat="1" ht="18" customHeight="1" thickBot="1">
      <c r="A15" s="21"/>
      <c r="B15" s="22" t="s">
        <v>27</v>
      </c>
      <c r="E15" s="27">
        <f>SUM(E10:E14)</f>
        <v>99325.79800000001</v>
      </c>
      <c r="F15" s="27">
        <f>SUM(F10:F14)</f>
        <v>102963.89813178427</v>
      </c>
      <c r="G15" s="29">
        <f>SUM(G10:G14)</f>
        <v>-345.68607147929077</v>
      </c>
      <c r="H15" s="27">
        <f>SUM(H10:H14)</f>
        <v>-1436.6055541841606</v>
      </c>
      <c r="I15" s="30">
        <f>SUM(I10:I14)</f>
        <v>1855.8085061208214</v>
      </c>
      <c r="J15"/>
      <c r="K15" s="27">
        <f>SUM(K10:K14)</f>
        <v>101181.60650612082</v>
      </c>
      <c r="M15" s="27">
        <v>-319.23670891392527</v>
      </c>
      <c r="N15" s="27">
        <v>2157</v>
      </c>
      <c r="O15" s="45">
        <v>0</v>
      </c>
      <c r="P15" s="30">
        <f>SUM(P10:P14)</f>
        <v>1837.7632910860748</v>
      </c>
      <c r="R15" s="27">
        <v>-268.13279571050998</v>
      </c>
      <c r="S15" s="27">
        <v>723</v>
      </c>
      <c r="T15" s="45">
        <v>0</v>
      </c>
      <c r="U15" s="30">
        <f>SUM(U10:U14)</f>
        <v>454.86720428949002</v>
      </c>
      <c r="W15" s="27">
        <v>-410.20487548643166</v>
      </c>
      <c r="X15" s="27">
        <v>1864</v>
      </c>
      <c r="Y15" s="45">
        <f>Y13</f>
        <v>-166</v>
      </c>
      <c r="Z15" s="30">
        <f>SUM(Z10:Z14)</f>
        <v>1287.7951245135682</v>
      </c>
      <c r="AB15" s="27">
        <v>-67.335495753717041</v>
      </c>
      <c r="AC15" s="27">
        <v>777</v>
      </c>
      <c r="AD15" s="45">
        <v>0</v>
      </c>
      <c r="AE15" s="30">
        <f>SUM(AE10:AE14)</f>
        <v>709.66450424628306</v>
      </c>
      <c r="AG15" s="27">
        <v>-458.34923626749401</v>
      </c>
      <c r="AH15" s="27">
        <v>2424</v>
      </c>
      <c r="AI15" s="45">
        <v>0</v>
      </c>
      <c r="AJ15" s="30">
        <f>SUM(AJ10:AJ14)</f>
        <v>1965.650763732506</v>
      </c>
      <c r="AL15" s="27">
        <f>SUM(AL10:AL14)</f>
        <v>107437.34739398873</v>
      </c>
      <c r="AN15" s="53">
        <f t="shared" si="8"/>
        <v>-1523.2591121320779</v>
      </c>
      <c r="AO15" s="53">
        <f t="shared" si="9"/>
        <v>7945</v>
      </c>
      <c r="AP15" s="27">
        <f>SUM(O15,T15,Y15,AD15,AI15)</f>
        <v>-166</v>
      </c>
      <c r="AR15" s="30">
        <v>1837.7632910860748</v>
      </c>
      <c r="AS15" s="30">
        <v>454.86720428949002</v>
      </c>
      <c r="AT15" s="30">
        <v>1287.7951245135682</v>
      </c>
      <c r="AU15" s="30">
        <v>709.66450424628306</v>
      </c>
      <c r="AV15" s="30">
        <v>1965.650763732506</v>
      </c>
    </row>
    <row r="16" spans="1:48" s="22" customFormat="1" ht="13.8" thickBot="1">
      <c r="E16" s="23"/>
      <c r="F16" s="23"/>
      <c r="G16" s="23"/>
      <c r="I16" s="24"/>
      <c r="J16"/>
      <c r="K16" s="23"/>
      <c r="M16" s="23"/>
      <c r="N16" s="23"/>
      <c r="O16" s="23"/>
      <c r="P16" s="24"/>
      <c r="R16" s="23"/>
      <c r="S16" s="23"/>
      <c r="T16" s="23"/>
      <c r="U16" s="24"/>
      <c r="W16" s="23"/>
      <c r="X16" s="23"/>
      <c r="Y16" s="23"/>
      <c r="Z16" s="24"/>
      <c r="AB16" s="23"/>
      <c r="AC16" s="23"/>
      <c r="AD16" s="23"/>
      <c r="AE16" s="24"/>
      <c r="AG16" s="23"/>
      <c r="AH16" s="23"/>
      <c r="AI16" s="23"/>
      <c r="AJ16" s="24"/>
      <c r="AL16" s="23"/>
      <c r="AN16" s="54" t="s">
        <v>85</v>
      </c>
      <c r="AO16" s="55">
        <f>(AN15+AP15)/AO15</f>
        <v>-0.21261914564280401</v>
      </c>
      <c r="AP16" s="23"/>
      <c r="AR16" s="24"/>
      <c r="AS16" s="24"/>
      <c r="AT16" s="24"/>
      <c r="AU16" s="24"/>
      <c r="AV16" s="24"/>
    </row>
    <row r="17" spans="1:49" s="6" customFormat="1">
      <c r="A17" s="31"/>
      <c r="B17" s="2"/>
      <c r="C17" s="2"/>
      <c r="D17" s="2"/>
      <c r="E17" s="8"/>
      <c r="F17" s="8"/>
      <c r="G17" s="8"/>
      <c r="H17" s="8"/>
      <c r="I17" s="24"/>
      <c r="J17"/>
      <c r="K17" s="8"/>
      <c r="M17" s="8"/>
      <c r="N17" s="8"/>
      <c r="O17" s="8"/>
      <c r="P17" s="24"/>
      <c r="R17" s="8"/>
      <c r="S17" s="8"/>
      <c r="T17" s="8"/>
      <c r="U17" s="24"/>
      <c r="W17" s="8"/>
      <c r="X17" s="8"/>
      <c r="Y17" s="8"/>
      <c r="Z17" s="24"/>
      <c r="AB17" s="8"/>
      <c r="AC17" s="8"/>
      <c r="AD17" s="8"/>
      <c r="AE17" s="24"/>
      <c r="AG17" s="8"/>
      <c r="AH17" s="8"/>
      <c r="AI17" s="8"/>
      <c r="AJ17" s="24"/>
      <c r="AL17" s="8"/>
      <c r="AM17" s="2"/>
      <c r="AN17" s="8"/>
      <c r="AO17" s="57">
        <f>AN15/AO15</f>
        <v>-0.19172550184167123</v>
      </c>
      <c r="AP17" s="8" t="s">
        <v>86</v>
      </c>
      <c r="AQ17" s="2"/>
      <c r="AR17" s="24"/>
      <c r="AS17" s="24"/>
      <c r="AT17" s="24"/>
      <c r="AU17" s="24"/>
      <c r="AV17" s="24"/>
    </row>
    <row r="18" spans="1:49" s="6" customFormat="1">
      <c r="A18" s="31"/>
      <c r="B18" s="2" t="s">
        <v>28</v>
      </c>
      <c r="C18" s="2"/>
      <c r="D18" s="2"/>
      <c r="E18" s="8"/>
      <c r="F18" s="8"/>
      <c r="G18" s="8"/>
      <c r="H18" s="8"/>
      <c r="I18" s="24"/>
      <c r="J18"/>
      <c r="K18" s="8"/>
      <c r="M18" s="8"/>
      <c r="N18" s="8"/>
      <c r="O18" s="8"/>
      <c r="P18" s="24"/>
      <c r="R18" s="8"/>
      <c r="S18" s="8"/>
      <c r="T18" s="8"/>
      <c r="U18" s="24"/>
      <c r="W18" s="8"/>
      <c r="X18" s="8"/>
      <c r="Y18" s="8"/>
      <c r="Z18" s="24"/>
      <c r="AB18" s="8"/>
      <c r="AC18" s="8"/>
      <c r="AD18" s="8"/>
      <c r="AE18" s="24"/>
      <c r="AG18" s="8"/>
      <c r="AH18" s="8"/>
      <c r="AI18" s="8"/>
      <c r="AJ18" s="24"/>
      <c r="AL18" s="8"/>
      <c r="AM18" s="2"/>
      <c r="AN18" s="8"/>
      <c r="AO18" s="57">
        <f>AP15/AO15</f>
        <v>-2.0893643801132789E-2</v>
      </c>
      <c r="AP18" s="8" t="s">
        <v>87</v>
      </c>
      <c r="AQ18" s="2"/>
      <c r="AR18" s="24"/>
      <c r="AS18" s="24"/>
      <c r="AT18" s="24"/>
      <c r="AU18" s="24"/>
      <c r="AV18" s="24"/>
    </row>
    <row r="19" spans="1:49" s="6" customFormat="1">
      <c r="A19" s="3"/>
      <c r="B19" s="2" t="s">
        <v>29</v>
      </c>
      <c r="C19" s="2"/>
      <c r="D19" s="2"/>
      <c r="E19" s="23" t="s">
        <v>20</v>
      </c>
      <c r="F19" s="23" t="s">
        <v>20</v>
      </c>
      <c r="G19" s="23" t="s">
        <v>30</v>
      </c>
      <c r="H19" s="23" t="s">
        <v>31</v>
      </c>
      <c r="I19" s="24"/>
      <c r="J19"/>
      <c r="K19" s="23"/>
      <c r="M19" s="23"/>
      <c r="N19" s="23"/>
      <c r="O19" s="23"/>
      <c r="P19" s="24"/>
      <c r="R19" s="23"/>
      <c r="S19" s="23"/>
      <c r="T19" s="23"/>
      <c r="U19" s="24"/>
      <c r="W19" s="23"/>
      <c r="X19" s="23"/>
      <c r="Y19" s="23"/>
      <c r="Z19" s="24"/>
      <c r="AB19" s="23"/>
      <c r="AC19" s="23"/>
      <c r="AD19" s="23"/>
      <c r="AE19" s="24"/>
      <c r="AG19" s="23"/>
      <c r="AH19" s="23"/>
      <c r="AI19" s="23"/>
      <c r="AJ19" s="24"/>
      <c r="AL19" s="23"/>
      <c r="AM19" s="2"/>
      <c r="AN19" s="23"/>
      <c r="AO19" s="23"/>
      <c r="AP19" s="23"/>
      <c r="AQ19" s="2"/>
      <c r="AR19" s="24"/>
      <c r="AS19" s="24"/>
      <c r="AT19" s="24"/>
      <c r="AU19" s="24"/>
      <c r="AV19" s="24"/>
    </row>
    <row r="20" spans="1:49" s="32" customFormat="1">
      <c r="A20" s="31"/>
      <c r="C20" s="32" t="s">
        <v>32</v>
      </c>
      <c r="E20" s="22">
        <v>211035.28899999999</v>
      </c>
      <c r="F20" s="22">
        <v>213102</v>
      </c>
      <c r="G20" s="22"/>
      <c r="H20" s="22">
        <v>12.401530738737435</v>
      </c>
      <c r="I20" s="24">
        <f>SUM(-E20,F20,G20:H20)</f>
        <v>2079.1125307387479</v>
      </c>
      <c r="J20"/>
      <c r="K20" s="22">
        <f t="shared" ref="K20:K24" si="11">E20+I20</f>
        <v>213114.40153073875</v>
      </c>
      <c r="M20" s="22">
        <v>-7060.3866540053968</v>
      </c>
      <c r="N20" s="22">
        <v>10767.392543292306</v>
      </c>
      <c r="O20" s="22"/>
      <c r="P20" s="24">
        <f>SUM(M20:O20)</f>
        <v>3707.0058892869092</v>
      </c>
      <c r="R20" s="22">
        <v>0</v>
      </c>
      <c r="S20" s="22">
        <v>889.83781946026181</v>
      </c>
      <c r="T20" s="22">
        <v>0</v>
      </c>
      <c r="U20" s="24">
        <f>SUM(R20:T20)</f>
        <v>889.83781946026181</v>
      </c>
      <c r="W20" s="22">
        <v>0</v>
      </c>
      <c r="X20" s="22">
        <v>666.54174046459934</v>
      </c>
      <c r="Y20" s="22"/>
      <c r="Z20" s="24">
        <f>SUM(W20:Y20)</f>
        <v>666.54174046459934</v>
      </c>
      <c r="AB20" s="22">
        <v>0</v>
      </c>
      <c r="AC20" s="22">
        <v>0</v>
      </c>
      <c r="AD20" s="22"/>
      <c r="AE20" s="24">
        <f>SUM(AB20:AD20)</f>
        <v>0</v>
      </c>
      <c r="AG20" s="22">
        <v>-1338.3618510826027</v>
      </c>
      <c r="AH20" s="22">
        <v>8344.6148859225887</v>
      </c>
      <c r="AI20" s="22"/>
      <c r="AJ20" s="24">
        <f>SUM(AG20:AI20)</f>
        <v>7006.253034839986</v>
      </c>
      <c r="AL20" s="22">
        <f>SUM(K20,P20,U20,Z20,AE20,AJ20)</f>
        <v>225384.04001479049</v>
      </c>
      <c r="AN20" s="22">
        <f t="shared" si="8"/>
        <v>-8398.7485050879986</v>
      </c>
      <c r="AO20" s="22">
        <f t="shared" si="9"/>
        <v>20668.386989139755</v>
      </c>
      <c r="AP20" s="22">
        <f t="shared" si="10"/>
        <v>0</v>
      </c>
      <c r="AR20" s="24">
        <v>3707.0058892869092</v>
      </c>
      <c r="AS20" s="24">
        <v>889.83781946026181</v>
      </c>
      <c r="AT20" s="24">
        <v>666.54174046459934</v>
      </c>
      <c r="AU20" s="24">
        <v>0</v>
      </c>
      <c r="AV20" s="24">
        <v>7006.253034839986</v>
      </c>
    </row>
    <row r="21" spans="1:49" s="22" customFormat="1">
      <c r="A21" s="31"/>
      <c r="C21" s="22" t="s">
        <v>33</v>
      </c>
      <c r="E21" s="22">
        <f>E50</f>
        <v>930160</v>
      </c>
      <c r="F21" s="22">
        <f>F50</f>
        <v>934139.30099999998</v>
      </c>
      <c r="I21" s="24">
        <f>SUM(-E21,F21,G21:H21)</f>
        <v>3979.3009999999776</v>
      </c>
      <c r="J21"/>
      <c r="K21" s="22">
        <f t="shared" si="11"/>
        <v>934139.30099999998</v>
      </c>
      <c r="M21" s="22">
        <v>0</v>
      </c>
      <c r="N21" s="22">
        <v>0</v>
      </c>
      <c r="P21" s="24">
        <f t="shared" ref="P21:P23" si="12">SUM(M21:O21)</f>
        <v>0</v>
      </c>
      <c r="R21" s="22">
        <v>-2706.288536560829</v>
      </c>
      <c r="S21" s="22">
        <v>3599.2505916</v>
      </c>
      <c r="T21" s="22">
        <v>0</v>
      </c>
      <c r="U21" s="24">
        <f t="shared" ref="U21:U23" si="13">SUM(R21:T21)</f>
        <v>892.96205503917099</v>
      </c>
      <c r="W21" s="22">
        <v>-441.54383284789719</v>
      </c>
      <c r="X21" s="22">
        <v>2592.8062559999998</v>
      </c>
      <c r="Z21" s="24">
        <f t="shared" ref="Z21:Z23" si="14">SUM(W21:Y21)</f>
        <v>2151.2624231521027</v>
      </c>
      <c r="AB21" s="22">
        <v>-352.73714918040287</v>
      </c>
      <c r="AC21" s="22">
        <v>2038.3642115999999</v>
      </c>
      <c r="AE21" s="24">
        <f t="shared" ref="AE21:AE23" si="15">SUM(AB21:AD21)</f>
        <v>1685.627062419597</v>
      </c>
      <c r="AG21" s="22">
        <v>0</v>
      </c>
      <c r="AH21" s="22">
        <v>0</v>
      </c>
      <c r="AJ21" s="24">
        <f t="shared" ref="AJ21:AJ23" si="16">SUM(AG21:AI21)</f>
        <v>0</v>
      </c>
      <c r="AL21" s="22">
        <f t="shared" ref="AL21:AL24" si="17">SUM(K21,P21,U21,Z21,AE21,AJ21)</f>
        <v>938869.15254061075</v>
      </c>
      <c r="AN21" s="22">
        <f t="shared" si="8"/>
        <v>-3500.5695185891291</v>
      </c>
      <c r="AO21" s="22">
        <f t="shared" si="9"/>
        <v>8230.4210591999999</v>
      </c>
      <c r="AP21" s="22">
        <f t="shared" si="10"/>
        <v>0</v>
      </c>
      <c r="AR21" s="24">
        <v>0</v>
      </c>
      <c r="AS21" s="24">
        <v>892.96205503917099</v>
      </c>
      <c r="AT21" s="24">
        <v>2151.2624231521027</v>
      </c>
      <c r="AU21" s="24">
        <v>1685.627062419597</v>
      </c>
      <c r="AV21" s="24">
        <v>0</v>
      </c>
    </row>
    <row r="22" spans="1:49" s="22" customFormat="1">
      <c r="A22" s="31"/>
      <c r="C22" s="22" t="s">
        <v>34</v>
      </c>
      <c r="E22" s="22">
        <v>509896.91200000001</v>
      </c>
      <c r="F22" s="22">
        <v>527864</v>
      </c>
      <c r="I22" s="24">
        <f>SUM(-E22,F22,G22:H22)</f>
        <v>17967.087999999989</v>
      </c>
      <c r="J22"/>
      <c r="K22" s="22">
        <f t="shared" si="11"/>
        <v>527864</v>
      </c>
      <c r="M22" s="22">
        <v>0</v>
      </c>
      <c r="N22" s="22">
        <v>0</v>
      </c>
      <c r="P22" s="24">
        <f t="shared" si="12"/>
        <v>0</v>
      </c>
      <c r="R22" s="22">
        <v>-2767.2418215741232</v>
      </c>
      <c r="S22" s="22">
        <v>14227.268485199998</v>
      </c>
      <c r="T22" s="22">
        <v>0</v>
      </c>
      <c r="U22" s="24">
        <f t="shared" si="13"/>
        <v>11460.026663625875</v>
      </c>
      <c r="W22" s="22">
        <v>-827.8228962481121</v>
      </c>
      <c r="X22" s="22">
        <v>7586.5021179239984</v>
      </c>
      <c r="Z22" s="24">
        <f t="shared" si="14"/>
        <v>6758.6792216758859</v>
      </c>
      <c r="AB22" s="22">
        <v>-2221.3852034627043</v>
      </c>
      <c r="AC22" s="22">
        <v>30957.796481999998</v>
      </c>
      <c r="AE22" s="24">
        <f t="shared" si="15"/>
        <v>28736.411278537293</v>
      </c>
      <c r="AG22" s="22">
        <v>0</v>
      </c>
      <c r="AH22" s="22">
        <v>0</v>
      </c>
      <c r="AJ22" s="24">
        <f t="shared" si="16"/>
        <v>0</v>
      </c>
      <c r="AL22" s="22">
        <f t="shared" si="17"/>
        <v>574819.11716383894</v>
      </c>
      <c r="AN22" s="22">
        <f t="shared" si="8"/>
        <v>-5816.4499212849396</v>
      </c>
      <c r="AO22" s="22">
        <f t="shared" si="9"/>
        <v>52771.567085123999</v>
      </c>
      <c r="AP22" s="22">
        <f t="shared" si="10"/>
        <v>0</v>
      </c>
      <c r="AR22" s="24">
        <v>0</v>
      </c>
      <c r="AS22" s="24">
        <v>11460.026663625875</v>
      </c>
      <c r="AT22" s="24">
        <v>6758.6792216758859</v>
      </c>
      <c r="AU22" s="24">
        <v>28736.411278537293</v>
      </c>
      <c r="AV22" s="24">
        <v>0</v>
      </c>
    </row>
    <row r="23" spans="1:49" s="22" customFormat="1">
      <c r="A23" s="31"/>
      <c r="C23" s="22" t="s">
        <v>25</v>
      </c>
      <c r="E23" s="22">
        <v>1194476.476</v>
      </c>
      <c r="F23" s="22">
        <v>1233690</v>
      </c>
      <c r="G23" s="22">
        <v>-14111.248264734279</v>
      </c>
      <c r="H23" s="22">
        <v>-17592.489930833341</v>
      </c>
      <c r="I23" s="24">
        <f>SUM(-E23,F23,G23:H23)</f>
        <v>7509.7858044323584</v>
      </c>
      <c r="J23"/>
      <c r="K23" s="22">
        <f t="shared" si="11"/>
        <v>1201986.2618044324</v>
      </c>
      <c r="M23" s="22">
        <v>0</v>
      </c>
      <c r="N23" s="22">
        <v>0</v>
      </c>
      <c r="P23" s="24">
        <f t="shared" si="12"/>
        <v>0</v>
      </c>
      <c r="R23" s="22">
        <v>-1368.9719080119571</v>
      </c>
      <c r="S23" s="22">
        <v>2763.76</v>
      </c>
      <c r="T23" s="22">
        <v>0</v>
      </c>
      <c r="U23" s="24">
        <f t="shared" si="13"/>
        <v>1394.7880919880431</v>
      </c>
      <c r="W23" s="22">
        <v>-4682.4462987360439</v>
      </c>
      <c r="X23" s="22">
        <v>33503.850157900008</v>
      </c>
      <c r="Z23" s="24">
        <f t="shared" si="14"/>
        <v>28821.403859163962</v>
      </c>
      <c r="AB23" s="22">
        <v>-538.49386895907742</v>
      </c>
      <c r="AC23" s="22">
        <v>3853.0325273399999</v>
      </c>
      <c r="AE23" s="24">
        <f t="shared" si="15"/>
        <v>3314.5386583809222</v>
      </c>
      <c r="AG23" s="22">
        <v>0</v>
      </c>
      <c r="AH23" s="22">
        <v>0</v>
      </c>
      <c r="AJ23" s="24">
        <f t="shared" si="16"/>
        <v>0</v>
      </c>
      <c r="AL23" s="22">
        <f t="shared" si="17"/>
        <v>1235516.9924139653</v>
      </c>
      <c r="AN23" s="22">
        <f t="shared" si="8"/>
        <v>-6589.9120757070787</v>
      </c>
      <c r="AO23" s="22">
        <f t="shared" si="9"/>
        <v>40120.642685240011</v>
      </c>
      <c r="AP23" s="22">
        <f t="shared" si="10"/>
        <v>0</v>
      </c>
      <c r="AR23" s="24">
        <v>0</v>
      </c>
      <c r="AS23" s="24">
        <v>1394.7880919880431</v>
      </c>
      <c r="AT23" s="24">
        <v>28821.403859163962</v>
      </c>
      <c r="AU23" s="24">
        <v>3314.5386583809222</v>
      </c>
      <c r="AV23" s="24">
        <v>0</v>
      </c>
    </row>
    <row r="24" spans="1:49" s="22" customFormat="1">
      <c r="A24" s="31"/>
      <c r="C24" s="22" t="s">
        <v>35</v>
      </c>
      <c r="E24" s="27">
        <v>279556.24900000001</v>
      </c>
      <c r="F24" s="27">
        <v>286687</v>
      </c>
      <c r="G24" s="27"/>
      <c r="H24" s="27">
        <v>-1517.7501680260859</v>
      </c>
      <c r="I24" s="33">
        <f>SUM(-E24,F24,G24:H24)</f>
        <v>5613.0008319739036</v>
      </c>
      <c r="J24"/>
      <c r="K24" s="27">
        <f t="shared" si="11"/>
        <v>285169.24983197392</v>
      </c>
      <c r="M24" s="27">
        <v>0</v>
      </c>
      <c r="N24" s="27">
        <v>19.45854221586136</v>
      </c>
      <c r="O24" s="27"/>
      <c r="P24" s="33">
        <f>SUM(M24:O24)</f>
        <v>19.45854221586136</v>
      </c>
      <c r="R24" s="27">
        <v>-1764.5320022538681</v>
      </c>
      <c r="S24" s="27">
        <v>2759.9097654543293</v>
      </c>
      <c r="T24" s="27">
        <v>0</v>
      </c>
      <c r="U24" s="33">
        <f>SUM(R24:T24)</f>
        <v>995.37776320046123</v>
      </c>
      <c r="W24" s="27">
        <v>-5219.7246165775477</v>
      </c>
      <c r="X24" s="27">
        <v>10140.857837570027</v>
      </c>
      <c r="Y24" s="27"/>
      <c r="Z24" s="33">
        <f>SUM(W24:Y24)</f>
        <v>4921.1332209924794</v>
      </c>
      <c r="AB24" s="27">
        <v>0</v>
      </c>
      <c r="AC24" s="27">
        <v>0</v>
      </c>
      <c r="AD24" s="27"/>
      <c r="AE24" s="33">
        <f>SUM(AB24:AD24)</f>
        <v>0</v>
      </c>
      <c r="AG24" s="27">
        <v>-7430.1745228458549</v>
      </c>
      <c r="AH24" s="27">
        <v>4131.1447160003754</v>
      </c>
      <c r="AI24" s="27"/>
      <c r="AJ24" s="33">
        <f>SUM(AG24:AI24)</f>
        <v>-3299.0298068454795</v>
      </c>
      <c r="AL24" s="27">
        <f t="shared" si="17"/>
        <v>287806.18955153722</v>
      </c>
      <c r="AN24" s="27">
        <f t="shared" si="8"/>
        <v>-14414.431141677271</v>
      </c>
      <c r="AO24" s="27">
        <f t="shared" si="9"/>
        <v>17051.370861240594</v>
      </c>
      <c r="AP24" s="27">
        <f t="shared" si="10"/>
        <v>0</v>
      </c>
      <c r="AR24" s="33">
        <v>19.45854221586136</v>
      </c>
      <c r="AS24" s="33">
        <v>995.37776320046123</v>
      </c>
      <c r="AT24" s="33">
        <v>4921.1332209924794</v>
      </c>
      <c r="AU24" s="33">
        <v>0</v>
      </c>
      <c r="AV24" s="33">
        <v>-3299.0298068454795</v>
      </c>
    </row>
    <row r="25" spans="1:49" s="22" customFormat="1">
      <c r="A25" s="31"/>
      <c r="B25" s="22" t="s">
        <v>36</v>
      </c>
      <c r="E25" s="8">
        <f>SUM(E20:E24)</f>
        <v>3125124.926</v>
      </c>
      <c r="F25" s="8">
        <f>SUM(F20:F24)</f>
        <v>3195482.301</v>
      </c>
      <c r="G25" s="8">
        <f>SUM(G20:G24)</f>
        <v>-14111.248264734279</v>
      </c>
      <c r="H25" s="8">
        <f>SUM(H20:H24)</f>
        <v>-19097.838568120689</v>
      </c>
      <c r="I25" s="24">
        <f>SUM(I20:I24)</f>
        <v>37148.28816714498</v>
      </c>
      <c r="J25"/>
      <c r="K25" s="8">
        <f>SUM(K20:K24)</f>
        <v>3162273.2141671451</v>
      </c>
      <c r="M25" s="8">
        <v>-7060.3866540053968</v>
      </c>
      <c r="N25" s="8">
        <v>10786.851085508168</v>
      </c>
      <c r="O25" s="8">
        <v>0</v>
      </c>
      <c r="P25" s="24">
        <f>SUM(P20:P24)</f>
        <v>3726.4644315027704</v>
      </c>
      <c r="R25" s="8">
        <v>-8607.0342684007774</v>
      </c>
      <c r="S25" s="8">
        <v>24240.02666171459</v>
      </c>
      <c r="T25" s="8">
        <v>0</v>
      </c>
      <c r="U25" s="24">
        <f>SUM(U20:U24)</f>
        <v>15632.992393313812</v>
      </c>
      <c r="W25" s="8">
        <v>-11171.5376444096</v>
      </c>
      <c r="X25" s="8">
        <v>54490.558109858641</v>
      </c>
      <c r="Y25" s="8">
        <v>0</v>
      </c>
      <c r="Z25" s="24">
        <f>SUM(Z20:Z24)</f>
        <v>43319.02046544903</v>
      </c>
      <c r="AB25" s="8">
        <v>-3112.6162216021849</v>
      </c>
      <c r="AC25" s="8">
        <v>36849.193220939997</v>
      </c>
      <c r="AD25" s="8">
        <v>0</v>
      </c>
      <c r="AE25" s="24">
        <f>SUM(AE20:AE24)</f>
        <v>33736.576999337813</v>
      </c>
      <c r="AG25" s="8">
        <v>-8768.5363739284585</v>
      </c>
      <c r="AH25" s="8">
        <v>12475.759601922964</v>
      </c>
      <c r="AI25" s="8">
        <v>0</v>
      </c>
      <c r="AJ25" s="24">
        <f>SUM(AJ20:AJ24)</f>
        <v>3707.2232279945065</v>
      </c>
      <c r="AL25" s="8">
        <f>SUM(AL20:AL24)</f>
        <v>3262395.4916847427</v>
      </c>
      <c r="AN25" s="8">
        <f t="shared" si="8"/>
        <v>-38720.111162346417</v>
      </c>
      <c r="AO25" s="8">
        <f t="shared" si="9"/>
        <v>138842.38867994436</v>
      </c>
      <c r="AP25" s="8">
        <f t="shared" si="10"/>
        <v>0</v>
      </c>
      <c r="AR25" s="24">
        <v>3726.4644315027704</v>
      </c>
      <c r="AS25" s="24">
        <v>15632.992393313812</v>
      </c>
      <c r="AT25" s="24">
        <v>43319.02046544903</v>
      </c>
      <c r="AU25" s="24">
        <v>33736.576999337813</v>
      </c>
      <c r="AV25" s="24">
        <v>3707.2232279945065</v>
      </c>
      <c r="AW25" s="22">
        <f>SUM(AR25:AV25)</f>
        <v>100122.27751759793</v>
      </c>
    </row>
    <row r="26" spans="1:49" s="22" customFormat="1" ht="18" customHeight="1">
      <c r="A26" s="31"/>
      <c r="B26" s="22" t="s">
        <v>37</v>
      </c>
      <c r="E26" s="23" t="s">
        <v>20</v>
      </c>
      <c r="F26" s="23" t="s">
        <v>20</v>
      </c>
      <c r="G26" s="23" t="s">
        <v>30</v>
      </c>
      <c r="H26" s="23" t="s">
        <v>31</v>
      </c>
      <c r="I26" s="24"/>
      <c r="J26"/>
      <c r="K26" s="23"/>
      <c r="M26" s="23"/>
      <c r="N26" s="23"/>
      <c r="O26" s="23"/>
      <c r="P26" s="24"/>
      <c r="R26" s="23"/>
      <c r="S26" s="23"/>
      <c r="T26" s="23"/>
      <c r="U26" s="24"/>
      <c r="W26" s="23"/>
      <c r="X26" s="23"/>
      <c r="Y26" s="23"/>
      <c r="Z26" s="24"/>
      <c r="AB26" s="23"/>
      <c r="AC26" s="23"/>
      <c r="AD26" s="23"/>
      <c r="AE26" s="24"/>
      <c r="AG26" s="23"/>
      <c r="AH26" s="23"/>
      <c r="AI26" s="23"/>
      <c r="AJ26" s="24"/>
      <c r="AL26" s="23"/>
      <c r="AN26" s="23"/>
      <c r="AO26" s="23"/>
      <c r="AP26" s="23"/>
      <c r="AR26" s="24"/>
      <c r="AS26" s="24"/>
      <c r="AT26" s="24"/>
      <c r="AU26" s="24"/>
      <c r="AV26" s="24"/>
    </row>
    <row r="27" spans="1:49" s="22" customFormat="1">
      <c r="A27" s="31"/>
      <c r="C27" s="32" t="s">
        <v>32</v>
      </c>
      <c r="E27" s="22">
        <v>-57195</v>
      </c>
      <c r="F27" s="22">
        <v>-64518.855000000003</v>
      </c>
      <c r="H27" s="22">
        <v>2010.2032951567835</v>
      </c>
      <c r="I27" s="24">
        <f>SUM(-E27,F27,G27:H27)</f>
        <v>-5313.6517048432197</v>
      </c>
      <c r="J27"/>
      <c r="K27" s="22">
        <f t="shared" ref="K27:K31" si="18">E27+I27</f>
        <v>-62508.651704843222</v>
      </c>
      <c r="M27" s="22">
        <v>7060.3866540053968</v>
      </c>
      <c r="N27" s="22">
        <v>-904.73982205376092</v>
      </c>
      <c r="P27" s="24">
        <f>SUM(M27:O27)</f>
        <v>6155.6468319516362</v>
      </c>
      <c r="R27" s="22">
        <v>0</v>
      </c>
      <c r="S27" s="22">
        <v>-27.054455046030782</v>
      </c>
      <c r="T27" s="22">
        <v>0</v>
      </c>
      <c r="U27" s="24">
        <f>SUM(R27:T27)</f>
        <v>-27.054455046030782</v>
      </c>
      <c r="W27" s="22">
        <v>0</v>
      </c>
      <c r="X27" s="22">
        <v>-36.683300378007807</v>
      </c>
      <c r="Z27" s="24">
        <f>SUM(W27:Y27)</f>
        <v>-36.683300378007807</v>
      </c>
      <c r="AB27" s="22">
        <v>0</v>
      </c>
      <c r="AC27" s="22">
        <v>0</v>
      </c>
      <c r="AE27" s="24">
        <f>SUM(AB27:AD27)</f>
        <v>0</v>
      </c>
      <c r="AG27" s="22">
        <v>1338.3618510826027</v>
      </c>
      <c r="AH27" s="22">
        <v>-635.42506078074132</v>
      </c>
      <c r="AJ27" s="24">
        <f>SUM(AG27:AI27)</f>
        <v>702.93679030186138</v>
      </c>
      <c r="AL27" s="22">
        <f>SUM(K27,P27,U27,Z27,AE27,AJ27)</f>
        <v>-55713.805838013759</v>
      </c>
      <c r="AN27" s="22">
        <f t="shared" si="8"/>
        <v>8398.7485050879986</v>
      </c>
      <c r="AO27" s="22">
        <f t="shared" si="9"/>
        <v>-1603.9026382585407</v>
      </c>
      <c r="AP27" s="22">
        <f t="shared" si="10"/>
        <v>0</v>
      </c>
      <c r="AR27" s="24">
        <v>6155.6468319516362</v>
      </c>
      <c r="AS27" s="24">
        <v>-27.054455046030782</v>
      </c>
      <c r="AT27" s="24">
        <v>-36.683300378007807</v>
      </c>
      <c r="AU27" s="24">
        <v>0</v>
      </c>
      <c r="AV27" s="24">
        <v>702.93679030186138</v>
      </c>
    </row>
    <row r="28" spans="1:49" s="22" customFormat="1">
      <c r="A28" s="31"/>
      <c r="C28" s="22" t="s">
        <v>33</v>
      </c>
      <c r="E28" s="22">
        <f>E56</f>
        <v>-382437</v>
      </c>
      <c r="F28" s="22">
        <f>F56</f>
        <v>-390611.13500000001</v>
      </c>
      <c r="I28" s="24">
        <f>SUM(-E28,F28,G28:H28)</f>
        <v>-8174.1350000000093</v>
      </c>
      <c r="J28"/>
      <c r="K28" s="22">
        <f t="shared" si="18"/>
        <v>-390611.13500000001</v>
      </c>
      <c r="M28" s="22">
        <v>0</v>
      </c>
      <c r="N28" s="22">
        <v>0</v>
      </c>
      <c r="P28" s="24">
        <f t="shared" ref="P28:P31" si="19">SUM(M28:O28)</f>
        <v>0</v>
      </c>
      <c r="R28" s="22">
        <v>2706.288536560829</v>
      </c>
      <c r="S28" s="22">
        <v>-47.044025814499996</v>
      </c>
      <c r="T28" s="22">
        <v>0</v>
      </c>
      <c r="U28" s="24">
        <f t="shared" ref="U28:U31" si="20">SUM(R28:T28)</f>
        <v>2659.2445107463291</v>
      </c>
      <c r="W28" s="22">
        <v>441.54383284789719</v>
      </c>
      <c r="X28" s="22">
        <v>-34.633886023399995</v>
      </c>
      <c r="Z28" s="24">
        <f t="shared" ref="Z28:Z31" si="21">SUM(W28:Y28)</f>
        <v>406.90994682449718</v>
      </c>
      <c r="AB28" s="22">
        <v>352.73714918040287</v>
      </c>
      <c r="AC28" s="22">
        <v>-15.419244226099998</v>
      </c>
      <c r="AE28" s="24">
        <f t="shared" ref="AE28:AE31" si="22">SUM(AB28:AD28)</f>
        <v>337.31790495430289</v>
      </c>
      <c r="AG28" s="22">
        <v>0</v>
      </c>
      <c r="AH28" s="22">
        <v>0</v>
      </c>
      <c r="AJ28" s="24">
        <f t="shared" ref="AJ28:AJ31" si="23">SUM(AG28:AI28)</f>
        <v>0</v>
      </c>
      <c r="AL28" s="22">
        <f t="shared" ref="AL28:AL31" si="24">SUM(K28,P28,U28,Z28,AE28,AJ28)</f>
        <v>-387207.66263747489</v>
      </c>
      <c r="AN28" s="22">
        <f t="shared" si="8"/>
        <v>3500.5695185891291</v>
      </c>
      <c r="AO28" s="22">
        <f t="shared" si="9"/>
        <v>-97.097156063999989</v>
      </c>
      <c r="AP28" s="22">
        <f t="shared" si="10"/>
        <v>0</v>
      </c>
      <c r="AR28" s="24">
        <v>0</v>
      </c>
      <c r="AS28" s="24">
        <v>2659.2445107463291</v>
      </c>
      <c r="AT28" s="24">
        <v>406.90994682449718</v>
      </c>
      <c r="AU28" s="24">
        <v>337.31790495430289</v>
      </c>
      <c r="AV28" s="24">
        <v>0</v>
      </c>
    </row>
    <row r="29" spans="1:49" s="22" customFormat="1">
      <c r="A29" s="31"/>
      <c r="C29" s="22" t="s">
        <v>34</v>
      </c>
      <c r="E29" s="22">
        <v>-147016</v>
      </c>
      <c r="F29" s="22">
        <v>-150786.728</v>
      </c>
      <c r="I29" s="24">
        <f>SUM(-E29,F29,G29:H29)</f>
        <v>-3770.7280000000028</v>
      </c>
      <c r="J29"/>
      <c r="K29" s="22">
        <f t="shared" si="18"/>
        <v>-150786.728</v>
      </c>
      <c r="M29" s="22">
        <v>0</v>
      </c>
      <c r="N29" s="22">
        <v>0</v>
      </c>
      <c r="P29" s="24">
        <f t="shared" si="19"/>
        <v>0</v>
      </c>
      <c r="R29" s="22">
        <v>2767.2418215741232</v>
      </c>
      <c r="S29" s="22">
        <v>-82.000346135170005</v>
      </c>
      <c r="T29" s="22">
        <v>0</v>
      </c>
      <c r="U29" s="24">
        <f t="shared" si="20"/>
        <v>2685.2414754389533</v>
      </c>
      <c r="W29" s="22">
        <v>827.8228962481121</v>
      </c>
      <c r="X29" s="22">
        <v>-67.730959453458297</v>
      </c>
      <c r="Z29" s="24">
        <f t="shared" si="21"/>
        <v>760.09193679465375</v>
      </c>
      <c r="AB29" s="22">
        <v>2221.3852034627043</v>
      </c>
      <c r="AC29" s="22">
        <v>-137.02634381471003</v>
      </c>
      <c r="AE29" s="24">
        <f t="shared" si="22"/>
        <v>2084.3588596479944</v>
      </c>
      <c r="AG29" s="22">
        <v>0</v>
      </c>
      <c r="AH29" s="22">
        <v>0</v>
      </c>
      <c r="AJ29" s="24">
        <f t="shared" si="23"/>
        <v>0</v>
      </c>
      <c r="AL29" s="22">
        <f t="shared" si="24"/>
        <v>-145257.03572811838</v>
      </c>
      <c r="AN29" s="22">
        <f t="shared" si="8"/>
        <v>5816.4499212849396</v>
      </c>
      <c r="AO29" s="22">
        <f t="shared" si="9"/>
        <v>-286.75764940333829</v>
      </c>
      <c r="AP29" s="22">
        <f t="shared" si="10"/>
        <v>0</v>
      </c>
      <c r="AR29" s="24">
        <v>0</v>
      </c>
      <c r="AS29" s="24">
        <v>2685.2414754389533</v>
      </c>
      <c r="AT29" s="24">
        <v>760.09193679465375</v>
      </c>
      <c r="AU29" s="24">
        <v>2084.3588596479944</v>
      </c>
      <c r="AV29" s="24">
        <v>0</v>
      </c>
    </row>
    <row r="30" spans="1:49" s="22" customFormat="1">
      <c r="A30" s="31"/>
      <c r="C30" s="22" t="s">
        <v>25</v>
      </c>
      <c r="E30" s="22">
        <v>-358989</v>
      </c>
      <c r="F30" s="22">
        <v>-359566.21799999999</v>
      </c>
      <c r="G30" s="22">
        <v>345.68607147929077</v>
      </c>
      <c r="H30" s="22">
        <v>789.68742583333324</v>
      </c>
      <c r="I30" s="24">
        <f>SUM(-E30,F30,G30:H30)</f>
        <v>558.15549731263059</v>
      </c>
      <c r="J30"/>
      <c r="K30" s="22">
        <f t="shared" si="18"/>
        <v>-358430.8445026874</v>
      </c>
      <c r="M30" s="22">
        <v>0</v>
      </c>
      <c r="N30" s="22">
        <v>0</v>
      </c>
      <c r="P30" s="24">
        <f t="shared" si="19"/>
        <v>0</v>
      </c>
      <c r="R30" s="22">
        <v>1368.9719080119571</v>
      </c>
      <c r="S30" s="22">
        <v>-2.8166656980352132</v>
      </c>
      <c r="T30" s="22">
        <v>0</v>
      </c>
      <c r="U30" s="24">
        <f t="shared" si="20"/>
        <v>1366.1552423139219</v>
      </c>
      <c r="W30" s="22">
        <v>4682.4462987360439</v>
      </c>
      <c r="X30" s="22">
        <v>-464.79635825400976</v>
      </c>
      <c r="Z30" s="24">
        <f t="shared" si="21"/>
        <v>4217.6499404820343</v>
      </c>
      <c r="AB30" s="22">
        <v>538.49386895907742</v>
      </c>
      <c r="AC30" s="22">
        <v>-54.847964163285255</v>
      </c>
      <c r="AE30" s="24">
        <f t="shared" si="22"/>
        <v>483.64590479579215</v>
      </c>
      <c r="AG30" s="22">
        <v>0</v>
      </c>
      <c r="AH30" s="22">
        <v>0</v>
      </c>
      <c r="AJ30" s="24">
        <f t="shared" si="23"/>
        <v>0</v>
      </c>
      <c r="AL30" s="22">
        <f t="shared" si="24"/>
        <v>-352363.39341509563</v>
      </c>
      <c r="AN30" s="22">
        <f t="shared" si="8"/>
        <v>6589.9120757070787</v>
      </c>
      <c r="AO30" s="22">
        <f t="shared" si="9"/>
        <v>-522.46098811533022</v>
      </c>
      <c r="AP30" s="22">
        <f t="shared" si="10"/>
        <v>0</v>
      </c>
      <c r="AR30" s="24">
        <v>0</v>
      </c>
      <c r="AS30" s="24">
        <v>1366.1552423139219</v>
      </c>
      <c r="AT30" s="24">
        <v>4217.6499404820343</v>
      </c>
      <c r="AU30" s="24">
        <v>483.64590479579215</v>
      </c>
      <c r="AV30" s="24">
        <v>0</v>
      </c>
    </row>
    <row r="31" spans="1:49" s="22" customFormat="1">
      <c r="A31" s="31"/>
      <c r="C31" s="22" t="s">
        <v>35</v>
      </c>
      <c r="E31" s="22">
        <v>-92748</v>
      </c>
      <c r="F31" s="22">
        <v>-92213.226999999999</v>
      </c>
      <c r="H31" s="22">
        <v>583.32702579139959</v>
      </c>
      <c r="I31" s="24">
        <f>SUM(-E31,F31,G31:H31)</f>
        <v>1118.1000257914006</v>
      </c>
      <c r="J31"/>
      <c r="K31" s="22">
        <f t="shared" si="18"/>
        <v>-91629.899974208602</v>
      </c>
      <c r="M31" s="22">
        <v>0</v>
      </c>
      <c r="N31" s="22">
        <v>-2.0442844086844922</v>
      </c>
      <c r="P31" s="24">
        <f t="shared" si="19"/>
        <v>-2.0442844086844922</v>
      </c>
      <c r="R31" s="22">
        <v>1764.5320022538681</v>
      </c>
      <c r="S31" s="22">
        <v>-63.586907179565252</v>
      </c>
      <c r="T31" s="22">
        <v>0</v>
      </c>
      <c r="U31" s="24">
        <f t="shared" si="20"/>
        <v>1700.9450950743028</v>
      </c>
      <c r="W31" s="22">
        <v>5219.7246165775477</v>
      </c>
      <c r="X31" s="22">
        <v>-230.03716206023216</v>
      </c>
      <c r="Z31" s="24">
        <f t="shared" si="21"/>
        <v>4989.6874545173159</v>
      </c>
      <c r="AB31" s="22">
        <v>0</v>
      </c>
      <c r="AC31" s="22">
        <v>0</v>
      </c>
      <c r="AE31" s="24">
        <f t="shared" si="22"/>
        <v>0</v>
      </c>
      <c r="AG31" s="22">
        <v>7430.1745228458549</v>
      </c>
      <c r="AH31" s="22">
        <v>-423.57806023251896</v>
      </c>
      <c r="AJ31" s="24">
        <f t="shared" si="23"/>
        <v>7006.5964626133355</v>
      </c>
      <c r="AL31" s="22">
        <f t="shared" si="24"/>
        <v>-77934.715246412321</v>
      </c>
      <c r="AN31" s="22">
        <f t="shared" si="8"/>
        <v>14414.431141677271</v>
      </c>
      <c r="AO31" s="22">
        <f t="shared" si="9"/>
        <v>-719.24641388100088</v>
      </c>
      <c r="AP31" s="22">
        <f t="shared" si="10"/>
        <v>0</v>
      </c>
      <c r="AR31" s="24">
        <v>-2.0442844086844922</v>
      </c>
      <c r="AS31" s="24">
        <v>1700.9450950743028</v>
      </c>
      <c r="AT31" s="24">
        <v>4989.6874545173159</v>
      </c>
      <c r="AU31" s="24">
        <v>0</v>
      </c>
      <c r="AV31" s="24">
        <v>7006.5964626133355</v>
      </c>
    </row>
    <row r="32" spans="1:49" s="22" customFormat="1">
      <c r="A32" s="31"/>
      <c r="B32" s="22" t="s">
        <v>38</v>
      </c>
      <c r="E32" s="34">
        <f>SUM(E27:E31)</f>
        <v>-1038385</v>
      </c>
      <c r="F32" s="34">
        <f>SUM(F27:F31)</f>
        <v>-1057696.1629999999</v>
      </c>
      <c r="G32" s="34">
        <f>SUM(G27:G31)</f>
        <v>345.68607147929077</v>
      </c>
      <c r="H32" s="34">
        <f>SUM(H27:H31)</f>
        <v>3383.2177467815163</v>
      </c>
      <c r="I32" s="35">
        <f>SUM(I27:I31)</f>
        <v>-15582.259181739204</v>
      </c>
      <c r="J32"/>
      <c r="K32" s="34">
        <f>SUM(K27:K31)</f>
        <v>-1053967.2591817393</v>
      </c>
      <c r="M32" s="34">
        <v>7060.3866540053968</v>
      </c>
      <c r="N32" s="34">
        <v>-906.78410646244538</v>
      </c>
      <c r="O32" s="34">
        <v>0</v>
      </c>
      <c r="P32" s="30">
        <f>SUM(P27:P31)</f>
        <v>6153.6025475429515</v>
      </c>
      <c r="R32" s="34">
        <v>8607.0342684007774</v>
      </c>
      <c r="S32" s="34">
        <v>-222.50239987330127</v>
      </c>
      <c r="T32" s="34">
        <v>0</v>
      </c>
      <c r="U32" s="30">
        <f>SUM(U27:U31)</f>
        <v>8384.531868527476</v>
      </c>
      <c r="W32" s="34">
        <v>11171.5376444096</v>
      </c>
      <c r="X32" s="34">
        <v>-833.88166616910803</v>
      </c>
      <c r="Y32" s="34">
        <v>0</v>
      </c>
      <c r="Z32" s="30">
        <f>SUM(Z27:Z31)</f>
        <v>10337.655978240493</v>
      </c>
      <c r="AB32" s="34">
        <v>3112.6162216021849</v>
      </c>
      <c r="AC32" s="34">
        <v>-207.29355220409531</v>
      </c>
      <c r="AD32" s="34">
        <v>0</v>
      </c>
      <c r="AE32" s="30">
        <f>SUM(AE27:AE31)</f>
        <v>2905.3226693980896</v>
      </c>
      <c r="AG32" s="34">
        <v>8768.5363739284585</v>
      </c>
      <c r="AH32" s="34">
        <v>-1059.0031210132602</v>
      </c>
      <c r="AI32" s="34">
        <v>0</v>
      </c>
      <c r="AJ32" s="30">
        <f>SUM(AJ27:AJ31)</f>
        <v>7709.5332529151965</v>
      </c>
      <c r="AL32" s="34">
        <f>SUM(AL27:AL31)</f>
        <v>-1018476.6128651151</v>
      </c>
      <c r="AN32" s="34">
        <f t="shared" si="8"/>
        <v>38720.111162346417</v>
      </c>
      <c r="AO32" s="34">
        <f t="shared" si="9"/>
        <v>-3229.4648457222102</v>
      </c>
      <c r="AP32" s="34">
        <f t="shared" si="10"/>
        <v>0</v>
      </c>
      <c r="AR32" s="30">
        <v>6153.6025475429515</v>
      </c>
      <c r="AS32" s="30">
        <v>8384.531868527476</v>
      </c>
      <c r="AT32" s="30">
        <v>10337.655978240493</v>
      </c>
      <c r="AU32" s="30">
        <v>2905.3226693980896</v>
      </c>
      <c r="AV32" s="30">
        <v>7709.5332529151965</v>
      </c>
      <c r="AW32" s="22">
        <f>SUM(AR32:AV32)</f>
        <v>35490.646316624203</v>
      </c>
    </row>
    <row r="33" spans="1:49" s="22" customFormat="1">
      <c r="A33" s="31"/>
      <c r="B33" s="22" t="s">
        <v>39</v>
      </c>
      <c r="E33" s="34">
        <f>E25+E32</f>
        <v>2086739.926</v>
      </c>
      <c r="F33" s="34">
        <f>F25+F32</f>
        <v>2137786.1380000003</v>
      </c>
      <c r="G33" s="34">
        <f>G25+G32</f>
        <v>-13765.562193254988</v>
      </c>
      <c r="H33" s="34">
        <f>H25+H32</f>
        <v>-15714.620821339173</v>
      </c>
      <c r="I33" s="35">
        <f>I25+I32</f>
        <v>21566.028985405777</v>
      </c>
      <c r="J33"/>
      <c r="K33" s="34">
        <f>K25+K32</f>
        <v>2108305.9549854058</v>
      </c>
      <c r="M33" s="34">
        <v>0</v>
      </c>
      <c r="N33" s="34">
        <v>9880.0669790457214</v>
      </c>
      <c r="O33" s="34">
        <v>0</v>
      </c>
      <c r="P33" s="35">
        <f>P25+P32</f>
        <v>9880.0669790457214</v>
      </c>
      <c r="R33" s="34">
        <v>0</v>
      </c>
      <c r="S33" s="34">
        <v>24017.524261841289</v>
      </c>
      <c r="T33" s="34">
        <v>0</v>
      </c>
      <c r="U33" s="35">
        <f>U25+U32</f>
        <v>24017.524261841289</v>
      </c>
      <c r="W33" s="34">
        <v>0</v>
      </c>
      <c r="X33" s="34">
        <v>53656.676443689532</v>
      </c>
      <c r="Y33" s="34">
        <v>0</v>
      </c>
      <c r="Z33" s="35">
        <f>Z25+Z32</f>
        <v>53656.676443689525</v>
      </c>
      <c r="AB33" s="34">
        <v>0</v>
      </c>
      <c r="AC33" s="34">
        <v>36641.899668735903</v>
      </c>
      <c r="AD33" s="34">
        <v>0</v>
      </c>
      <c r="AE33" s="35">
        <f>AE25+AE32</f>
        <v>36641.899668735903</v>
      </c>
      <c r="AG33" s="34">
        <v>0</v>
      </c>
      <c r="AH33" s="34">
        <v>11416.756480909704</v>
      </c>
      <c r="AI33" s="34">
        <v>0</v>
      </c>
      <c r="AJ33" s="35">
        <f>AJ25+AJ32</f>
        <v>11416.756480909702</v>
      </c>
      <c r="AL33" s="34">
        <f>AL25+AL32</f>
        <v>2243918.8788196277</v>
      </c>
      <c r="AN33" s="34">
        <f t="shared" si="8"/>
        <v>0</v>
      </c>
      <c r="AO33" s="34">
        <f>SUM(N33,S33,X33,AC33,AH33)</f>
        <v>135612.92383422214</v>
      </c>
      <c r="AP33" s="34">
        <f t="shared" si="10"/>
        <v>0</v>
      </c>
      <c r="AR33" s="35">
        <v>9880.0669790457214</v>
      </c>
      <c r="AS33" s="35">
        <v>24017.524261841289</v>
      </c>
      <c r="AT33" s="35">
        <v>53656.676443689525</v>
      </c>
      <c r="AU33" s="35">
        <v>36641.899668735903</v>
      </c>
      <c r="AV33" s="35">
        <v>11416.756480909702</v>
      </c>
      <c r="AW33" s="22">
        <f>SUM(AR33:AV33)</f>
        <v>135612.92383422214</v>
      </c>
    </row>
    <row r="34" spans="1:49" s="22" customFormat="1">
      <c r="A34" s="31"/>
      <c r="E34" s="23"/>
      <c r="F34" s="23"/>
      <c r="G34" s="23"/>
      <c r="H34" s="8"/>
      <c r="I34" s="24"/>
      <c r="J34"/>
      <c r="K34" s="23"/>
      <c r="M34" s="23"/>
      <c r="N34" s="23"/>
      <c r="O34" s="23"/>
      <c r="P34" s="24"/>
      <c r="R34" s="23"/>
      <c r="S34" s="23"/>
      <c r="T34" s="23"/>
      <c r="U34" s="24"/>
      <c r="W34" s="23"/>
      <c r="X34" s="23"/>
      <c r="Y34" s="23"/>
      <c r="Z34" s="24"/>
      <c r="AB34" s="23"/>
      <c r="AC34" s="23"/>
      <c r="AD34" s="23"/>
      <c r="AE34" s="24"/>
      <c r="AG34" s="23"/>
      <c r="AH34" s="23"/>
      <c r="AI34" s="23"/>
      <c r="AJ34" s="24"/>
      <c r="AL34" s="23"/>
      <c r="AN34" s="23"/>
      <c r="AO34" s="23"/>
      <c r="AP34" s="23"/>
      <c r="AR34" s="24"/>
      <c r="AS34" s="24"/>
      <c r="AT34" s="24"/>
      <c r="AU34" s="24"/>
      <c r="AV34" s="24"/>
    </row>
    <row r="35" spans="1:49" s="22" customFormat="1">
      <c r="A35" s="31"/>
      <c r="E35" s="23" t="s">
        <v>40</v>
      </c>
      <c r="F35" s="23" t="s">
        <v>41</v>
      </c>
      <c r="G35" s="23" t="s">
        <v>30</v>
      </c>
      <c r="H35" s="8"/>
      <c r="I35" s="24"/>
      <c r="J35"/>
      <c r="K35" s="23"/>
      <c r="M35" s="23"/>
      <c r="N35" s="23"/>
      <c r="O35" s="23"/>
      <c r="P35" s="24"/>
      <c r="R35" s="23"/>
      <c r="S35" s="23"/>
      <c r="T35" s="23"/>
      <c r="U35" s="24"/>
      <c r="W35" s="23"/>
      <c r="X35" s="23"/>
      <c r="Y35" s="23"/>
      <c r="Z35" s="24"/>
      <c r="AB35" s="23"/>
      <c r="AC35" s="23"/>
      <c r="AD35" s="23"/>
      <c r="AE35" s="24"/>
      <c r="AG35" s="23"/>
      <c r="AH35" s="23"/>
      <c r="AI35" s="23"/>
      <c r="AJ35" s="24"/>
      <c r="AL35" s="23"/>
      <c r="AN35" s="23"/>
      <c r="AO35" s="23"/>
      <c r="AP35" s="23"/>
      <c r="AR35" s="24"/>
      <c r="AS35" s="24"/>
      <c r="AT35" s="24"/>
      <c r="AU35" s="24"/>
      <c r="AV35" s="24"/>
    </row>
    <row r="36" spans="1:49" s="22" customFormat="1">
      <c r="A36" s="36"/>
      <c r="B36" s="22" t="s">
        <v>42</v>
      </c>
      <c r="E36" s="37">
        <v>-418923</v>
      </c>
      <c r="F36" s="37">
        <v>-420133</v>
      </c>
      <c r="G36" s="37">
        <v>693</v>
      </c>
      <c r="H36" s="37">
        <v>0</v>
      </c>
      <c r="I36" s="33">
        <f>SUM(-E36,F36,G36:H36)</f>
        <v>-517</v>
      </c>
      <c r="J36"/>
      <c r="K36" s="37">
        <f t="shared" ref="K36" si="25">E36+I36</f>
        <v>-419440</v>
      </c>
      <c r="M36" s="37">
        <v>0</v>
      </c>
      <c r="N36" s="37">
        <v>-564</v>
      </c>
      <c r="O36" s="37"/>
      <c r="P36" s="33">
        <f>SUM(M36:O36)</f>
        <v>-564</v>
      </c>
      <c r="R36" s="37">
        <v>0</v>
      </c>
      <c r="S36" s="37">
        <v>-710</v>
      </c>
      <c r="T36" s="37">
        <v>0</v>
      </c>
      <c r="U36" s="33">
        <f>SUM(R36:T36)</f>
        <v>-710</v>
      </c>
      <c r="W36" s="37">
        <v>0</v>
      </c>
      <c r="X36" s="37">
        <v>-2119</v>
      </c>
      <c r="Y36" s="37"/>
      <c r="Z36" s="33">
        <f>SUM(W36:Y36)</f>
        <v>-2119</v>
      </c>
      <c r="AB36" s="37">
        <v>0</v>
      </c>
      <c r="AC36" s="37">
        <v>-1058</v>
      </c>
      <c r="AD36" s="37"/>
      <c r="AE36" s="33">
        <f>SUM(AB36:AD36)</f>
        <v>-1058</v>
      </c>
      <c r="AG36" s="37">
        <v>0</v>
      </c>
      <c r="AH36" s="37">
        <v>-531</v>
      </c>
      <c r="AI36" s="37"/>
      <c r="AJ36" s="33">
        <f>SUM(AG36:AI36)</f>
        <v>-531</v>
      </c>
      <c r="AL36" s="27">
        <f t="shared" ref="AL36" si="26">SUM(K36,P36,U36,Z36,AE36,AJ36)</f>
        <v>-424422</v>
      </c>
      <c r="AN36" s="37">
        <f t="shared" si="8"/>
        <v>0</v>
      </c>
      <c r="AO36" s="51">
        <f t="shared" si="9"/>
        <v>-4982</v>
      </c>
      <c r="AP36" s="37">
        <f t="shared" si="10"/>
        <v>0</v>
      </c>
      <c r="AR36" s="33">
        <v>-564</v>
      </c>
      <c r="AS36" s="33">
        <v>-710</v>
      </c>
      <c r="AT36" s="33">
        <v>-2119</v>
      </c>
      <c r="AU36" s="33">
        <v>-1058</v>
      </c>
      <c r="AV36" s="33">
        <v>-531</v>
      </c>
    </row>
    <row r="37" spans="1:49" s="22" customFormat="1">
      <c r="A37" s="36"/>
      <c r="C37" s="22" t="s">
        <v>43</v>
      </c>
      <c r="E37" s="8">
        <f>SUM(E33:E36)</f>
        <v>1667816.926</v>
      </c>
      <c r="F37" s="8">
        <f>SUM(F33:F36)</f>
        <v>1717653.1380000003</v>
      </c>
      <c r="G37" s="8">
        <f>SUM(G33:G36)</f>
        <v>-13072.562193254988</v>
      </c>
      <c r="H37" s="8">
        <f>SUM(H33:H36)</f>
        <v>-15714.620821339173</v>
      </c>
      <c r="I37" s="33">
        <f>SUM(I33:I36)</f>
        <v>21049.028985405777</v>
      </c>
      <c r="J37"/>
      <c r="K37" s="8">
        <f>SUM(K33:K36)</f>
        <v>1688865.9549854058</v>
      </c>
      <c r="M37" s="8">
        <v>0</v>
      </c>
      <c r="N37" s="8">
        <v>9316.0669790457214</v>
      </c>
      <c r="O37" s="8">
        <v>0</v>
      </c>
      <c r="P37" s="35">
        <f>SUM(P33:P36)</f>
        <v>9316.0669790457214</v>
      </c>
      <c r="R37" s="8">
        <v>0</v>
      </c>
      <c r="S37" s="8">
        <v>23307.524261841289</v>
      </c>
      <c r="T37" s="8">
        <v>0</v>
      </c>
      <c r="U37" s="35">
        <f>SUM(U33:U36)</f>
        <v>23307.524261841289</v>
      </c>
      <c r="W37" s="8">
        <v>0</v>
      </c>
      <c r="X37" s="8">
        <v>51537.676443689532</v>
      </c>
      <c r="Y37" s="8">
        <v>0</v>
      </c>
      <c r="Z37" s="35">
        <f>SUM(Z33:Z36)</f>
        <v>51537.676443689525</v>
      </c>
      <c r="AB37" s="8">
        <v>0</v>
      </c>
      <c r="AC37" s="8">
        <v>35583.899668735903</v>
      </c>
      <c r="AD37" s="8">
        <v>0</v>
      </c>
      <c r="AE37" s="35">
        <f>SUM(AE33:AE36)</f>
        <v>35583.899668735903</v>
      </c>
      <c r="AG37" s="8">
        <v>0</v>
      </c>
      <c r="AH37" s="8">
        <v>10885.756480909704</v>
      </c>
      <c r="AI37" s="8">
        <v>0</v>
      </c>
      <c r="AJ37" s="35">
        <f>SUM(AJ33:AJ36)</f>
        <v>10885.756480909702</v>
      </c>
      <c r="AL37" s="8">
        <f>SUM(AL33:AL36)</f>
        <v>1819496.8788196277</v>
      </c>
      <c r="AN37" s="8">
        <f t="shared" si="8"/>
        <v>0</v>
      </c>
      <c r="AO37" s="8">
        <f t="shared" si="9"/>
        <v>130630.92383422215</v>
      </c>
      <c r="AP37" s="8">
        <f t="shared" si="10"/>
        <v>0</v>
      </c>
      <c r="AR37" s="35">
        <v>9316.0669790457214</v>
      </c>
      <c r="AS37" s="35">
        <v>23307.524261841289</v>
      </c>
      <c r="AT37" s="35">
        <v>51537.676443689525</v>
      </c>
      <c r="AU37" s="35">
        <v>35583.899668735903</v>
      </c>
      <c r="AV37" s="35">
        <v>10885.756480909702</v>
      </c>
    </row>
    <row r="38" spans="1:49">
      <c r="E38" s="38"/>
      <c r="F38" s="38"/>
      <c r="G38" s="38"/>
      <c r="I38" s="39"/>
      <c r="K38" s="38"/>
      <c r="M38" s="38"/>
      <c r="P38" s="24"/>
      <c r="R38" s="38"/>
      <c r="U38" s="24"/>
      <c r="W38" s="38"/>
      <c r="Z38" s="24"/>
      <c r="AB38" s="38"/>
      <c r="AE38" s="24"/>
      <c r="AG38" s="38"/>
      <c r="AJ38" s="24"/>
      <c r="AL38" s="38"/>
      <c r="AN38" s="38"/>
      <c r="AO38" s="38"/>
      <c r="AP38" s="38"/>
      <c r="AR38" s="24"/>
      <c r="AS38" s="24"/>
      <c r="AT38" s="24"/>
      <c r="AU38" s="24"/>
      <c r="AV38" s="24"/>
    </row>
    <row r="39" spans="1:49">
      <c r="B39" s="40" t="s">
        <v>44</v>
      </c>
      <c r="C39" s="41"/>
      <c r="D39" s="41"/>
      <c r="I39" s="39"/>
      <c r="M39" s="8"/>
      <c r="P39" s="24"/>
      <c r="R39" s="8"/>
      <c r="U39" s="24"/>
      <c r="W39" s="8"/>
      <c r="Z39" s="24"/>
      <c r="AB39" s="8"/>
      <c r="AE39" s="24"/>
      <c r="AG39" s="8"/>
      <c r="AJ39" s="24"/>
      <c r="AR39" s="24"/>
      <c r="AS39" s="24"/>
      <c r="AT39" s="24"/>
      <c r="AU39" s="24"/>
      <c r="AV39" s="24"/>
    </row>
    <row r="40" spans="1:49">
      <c r="B40" s="22" t="s">
        <v>45</v>
      </c>
      <c r="C40" s="22"/>
      <c r="D40" s="22"/>
      <c r="E40" s="23" t="s">
        <v>20</v>
      </c>
      <c r="F40" s="23" t="s">
        <v>21</v>
      </c>
      <c r="G40" s="23"/>
      <c r="I40" s="39"/>
      <c r="K40" s="23"/>
      <c r="M40" s="23"/>
      <c r="P40" s="24"/>
      <c r="R40" s="23"/>
      <c r="U40" s="24"/>
      <c r="W40" s="23"/>
      <c r="Z40" s="24"/>
      <c r="AB40" s="23"/>
      <c r="AE40" s="24"/>
      <c r="AG40" s="23"/>
      <c r="AJ40" s="24"/>
      <c r="AL40" s="23"/>
      <c r="AN40" s="23"/>
      <c r="AO40" s="23"/>
      <c r="AP40" s="23"/>
      <c r="AR40" s="24"/>
      <c r="AS40" s="24"/>
      <c r="AT40" s="24"/>
      <c r="AU40" s="24"/>
      <c r="AV40" s="24"/>
    </row>
    <row r="41" spans="1:49">
      <c r="B41" s="22" t="s">
        <v>46</v>
      </c>
      <c r="C41" s="22"/>
      <c r="D41" s="22"/>
      <c r="E41" s="22">
        <f>2926.438+3113.36</f>
        <v>6039.7980000000007</v>
      </c>
      <c r="F41" s="25">
        <f>E41+(E61/1000)</f>
        <v>13115.995594858992</v>
      </c>
      <c r="G41" s="22"/>
      <c r="H41" s="22"/>
      <c r="I41" s="35">
        <f>SUM(-E41,F41,G41:H41)</f>
        <v>7076.1975948589916</v>
      </c>
      <c r="K41" s="22">
        <f t="shared" ref="K41:K43" si="27">E41+I41</f>
        <v>13115.995594858992</v>
      </c>
      <c r="M41" s="22">
        <v>0</v>
      </c>
      <c r="N41" s="22">
        <v>0</v>
      </c>
      <c r="O41" s="22"/>
      <c r="P41" s="24">
        <f>SUM(M41:O41)</f>
        <v>0</v>
      </c>
      <c r="R41" s="22">
        <v>-54.574519303555284</v>
      </c>
      <c r="S41" s="22">
        <v>0</v>
      </c>
      <c r="T41" s="22">
        <v>0</v>
      </c>
      <c r="U41" s="24">
        <f>SUM(R41:T41)</f>
        <v>-54.574519303555284</v>
      </c>
      <c r="W41" s="22">
        <v>0</v>
      </c>
      <c r="X41" s="22">
        <v>0</v>
      </c>
      <c r="Y41" s="22">
        <v>0</v>
      </c>
      <c r="Z41" s="24">
        <f>SUM(W41:Y41)</f>
        <v>0</v>
      </c>
      <c r="AB41" s="22">
        <v>0</v>
      </c>
      <c r="AC41" s="22">
        <v>0</v>
      </c>
      <c r="AD41" s="22"/>
      <c r="AE41" s="24">
        <f>SUM(AB41:AD41)</f>
        <v>0</v>
      </c>
      <c r="AG41" s="22">
        <v>0</v>
      </c>
      <c r="AH41" s="22">
        <v>0</v>
      </c>
      <c r="AI41" s="22"/>
      <c r="AJ41" s="24">
        <f>SUM(AG41:AI41)</f>
        <v>0</v>
      </c>
      <c r="AL41" s="22">
        <f>SUM(K41,P41,U41,Z41,AE41,AJ41)</f>
        <v>13061.421075555438</v>
      </c>
      <c r="AN41" s="22">
        <f t="shared" si="8"/>
        <v>-54.574519303555284</v>
      </c>
      <c r="AO41" s="22">
        <f t="shared" si="9"/>
        <v>0</v>
      </c>
      <c r="AP41" s="22">
        <f t="shared" si="10"/>
        <v>0</v>
      </c>
      <c r="AR41" s="24">
        <v>0</v>
      </c>
      <c r="AS41" s="24">
        <v>-54.574519303555284</v>
      </c>
      <c r="AT41" s="24">
        <v>0</v>
      </c>
      <c r="AU41" s="24">
        <v>0</v>
      </c>
      <c r="AV41" s="24">
        <v>0</v>
      </c>
    </row>
    <row r="42" spans="1:49">
      <c r="B42" s="22" t="s">
        <v>47</v>
      </c>
      <c r="C42" s="22"/>
      <c r="D42" s="22"/>
      <c r="E42" s="22">
        <v>8916</v>
      </c>
      <c r="F42" s="25">
        <f>E42+(E62/1000)</f>
        <v>4969.0476635172272</v>
      </c>
      <c r="G42" s="22"/>
      <c r="H42" s="22"/>
      <c r="I42" s="24">
        <f>SUM(-E42,F42,G42:H42)</f>
        <v>-3946.9523364827728</v>
      </c>
      <c r="K42" s="22">
        <f t="shared" si="27"/>
        <v>4969.0476635172272</v>
      </c>
      <c r="M42" s="22">
        <v>0</v>
      </c>
      <c r="N42" s="22">
        <v>0</v>
      </c>
      <c r="O42" s="22"/>
      <c r="P42" s="24">
        <f t="shared" ref="P42" si="28">SUM(M42:O42)</f>
        <v>0</v>
      </c>
      <c r="R42" s="22">
        <v>-13.35368855233248</v>
      </c>
      <c r="S42" s="22">
        <v>79</v>
      </c>
      <c r="T42" s="22">
        <v>0</v>
      </c>
      <c r="U42" s="24">
        <f t="shared" ref="U42" si="29">SUM(R42:T42)</f>
        <v>65.646311447667514</v>
      </c>
      <c r="W42" s="22">
        <v>-4.0094558743695519</v>
      </c>
      <c r="X42" s="22">
        <v>24</v>
      </c>
      <c r="Y42" s="22">
        <v>0</v>
      </c>
      <c r="Z42" s="24">
        <f t="shared" ref="Z42" si="30">SUM(W42:Y42)</f>
        <v>19.99054412563045</v>
      </c>
      <c r="AB42" s="22">
        <v>-7.5625967531832741</v>
      </c>
      <c r="AC42" s="22">
        <v>45</v>
      </c>
      <c r="AD42" s="22"/>
      <c r="AE42" s="24">
        <f t="shared" ref="AE42" si="31">SUM(AB42:AD42)</f>
        <v>37.437403246816729</v>
      </c>
      <c r="AG42" s="22">
        <v>0</v>
      </c>
      <c r="AH42" s="22">
        <v>0</v>
      </c>
      <c r="AI42" s="22"/>
      <c r="AJ42" s="24">
        <f t="shared" ref="AJ42" si="32">SUM(AG42:AI42)</f>
        <v>0</v>
      </c>
      <c r="AL42" s="22">
        <f t="shared" ref="AL42:AL43" si="33">SUM(K42,P42,U42,Z42,AE42,AJ42)</f>
        <v>5092.1219223373419</v>
      </c>
      <c r="AN42" s="22">
        <f t="shared" si="8"/>
        <v>-24.925741179885307</v>
      </c>
      <c r="AO42" s="22">
        <f t="shared" si="9"/>
        <v>148</v>
      </c>
      <c r="AP42" s="22">
        <f t="shared" si="10"/>
        <v>0</v>
      </c>
      <c r="AR42" s="24">
        <v>0</v>
      </c>
      <c r="AS42" s="24">
        <v>65.646311447667514</v>
      </c>
      <c r="AT42" s="24">
        <v>19.99054412563045</v>
      </c>
      <c r="AU42" s="24">
        <v>37.437403246816729</v>
      </c>
      <c r="AV42" s="24">
        <v>0</v>
      </c>
    </row>
    <row r="43" spans="1:49">
      <c r="B43" s="22" t="s">
        <v>48</v>
      </c>
      <c r="C43" s="22"/>
      <c r="D43" s="22"/>
      <c r="E43" s="22">
        <v>6969</v>
      </c>
      <c r="F43" s="25">
        <f>E43+(E63/1000)</f>
        <v>6601.8020740222091</v>
      </c>
      <c r="G43" s="22"/>
      <c r="H43" s="22"/>
      <c r="I43" s="24">
        <f>SUM(-E43,F43,G43:H43)</f>
        <v>-367.19792597779087</v>
      </c>
      <c r="K43" s="22">
        <f t="shared" si="27"/>
        <v>6601.8020740222091</v>
      </c>
      <c r="M43" s="22">
        <v>0</v>
      </c>
      <c r="N43" s="22">
        <v>0</v>
      </c>
      <c r="O43" s="22"/>
      <c r="P43" s="33">
        <f>SUM(M43:O43)</f>
        <v>0</v>
      </c>
      <c r="R43" s="22">
        <v>0</v>
      </c>
      <c r="S43" s="22">
        <v>0</v>
      </c>
      <c r="T43" s="22">
        <v>0</v>
      </c>
      <c r="U43" s="33">
        <f>SUM(R43:T43)</f>
        <v>0</v>
      </c>
      <c r="W43" s="22">
        <v>-9.0601492836800581</v>
      </c>
      <c r="X43" s="22">
        <v>54</v>
      </c>
      <c r="Y43" s="22">
        <v>0</v>
      </c>
      <c r="Z43" s="33">
        <f>SUM(W43:Y43)</f>
        <v>44.939850716319938</v>
      </c>
      <c r="AB43" s="22">
        <v>0</v>
      </c>
      <c r="AC43" s="22">
        <v>0</v>
      </c>
      <c r="AD43" s="22"/>
      <c r="AE43" s="33">
        <f>SUM(AB43:AD43)</f>
        <v>0</v>
      </c>
      <c r="AG43" s="22">
        <v>0</v>
      </c>
      <c r="AH43" s="22">
        <v>0</v>
      </c>
      <c r="AI43" s="22"/>
      <c r="AJ43" s="33">
        <f>SUM(AG43:AI43)</f>
        <v>0</v>
      </c>
      <c r="AL43" s="22">
        <f t="shared" si="33"/>
        <v>6646.7419247385287</v>
      </c>
      <c r="AN43" s="22">
        <f t="shared" si="8"/>
        <v>-9.0601492836800581</v>
      </c>
      <c r="AO43" s="22">
        <f t="shared" si="9"/>
        <v>54</v>
      </c>
      <c r="AP43" s="22">
        <f t="shared" si="10"/>
        <v>0</v>
      </c>
      <c r="AR43" s="33">
        <v>0</v>
      </c>
      <c r="AS43" s="33">
        <v>0</v>
      </c>
      <c r="AT43" s="33">
        <v>44.939850716319938</v>
      </c>
      <c r="AU43" s="33">
        <v>0</v>
      </c>
      <c r="AV43" s="33">
        <v>0</v>
      </c>
    </row>
    <row r="44" spans="1:49">
      <c r="B44" s="22" t="s">
        <v>49</v>
      </c>
      <c r="C44" s="22"/>
      <c r="D44" s="22"/>
      <c r="E44" s="42">
        <f>SUM(E41:E43)</f>
        <v>21924.798000000003</v>
      </c>
      <c r="F44" s="42">
        <f>SUM(F41:F43)</f>
        <v>24686.845332398429</v>
      </c>
      <c r="G44" s="42"/>
      <c r="H44" s="42"/>
      <c r="I44" s="30">
        <f>SUM(I41:I43)</f>
        <v>2762.0473323984279</v>
      </c>
      <c r="K44" s="42">
        <f>SUM(K41:K43)</f>
        <v>24686.845332398429</v>
      </c>
      <c r="M44" s="42">
        <v>0</v>
      </c>
      <c r="N44" s="42">
        <v>0</v>
      </c>
      <c r="O44" s="46">
        <v>0</v>
      </c>
      <c r="P44" s="30">
        <f>SUM(P41:P43)</f>
        <v>0</v>
      </c>
      <c r="R44" s="42">
        <v>-67.928207855887763</v>
      </c>
      <c r="S44" s="42">
        <v>79</v>
      </c>
      <c r="T44" s="46">
        <v>0</v>
      </c>
      <c r="U44" s="30">
        <f>SUM(U41:U43)</f>
        <v>11.07179214411223</v>
      </c>
      <c r="W44" s="42">
        <v>-13.06960515804961</v>
      </c>
      <c r="X44" s="42">
        <v>78</v>
      </c>
      <c r="Y44" s="46">
        <v>0</v>
      </c>
      <c r="Z44" s="30">
        <f>SUM(Z41:Z43)</f>
        <v>64.930394841950388</v>
      </c>
      <c r="AB44" s="42">
        <v>-7.5625967531832741</v>
      </c>
      <c r="AC44" s="42">
        <v>45</v>
      </c>
      <c r="AD44" s="46">
        <v>0</v>
      </c>
      <c r="AE44" s="30">
        <f>SUM(AE41:AE43)</f>
        <v>37.437403246816729</v>
      </c>
      <c r="AG44" s="42">
        <v>0</v>
      </c>
      <c r="AH44" s="42">
        <v>0</v>
      </c>
      <c r="AI44" s="46">
        <v>0</v>
      </c>
      <c r="AJ44" s="30">
        <f>SUM(AJ41:AJ43)</f>
        <v>0</v>
      </c>
      <c r="AL44" s="42">
        <f>SUM(AL41:AL43)</f>
        <v>24800.284922631308</v>
      </c>
      <c r="AN44" s="42">
        <f t="shared" si="8"/>
        <v>-88.560409767120646</v>
      </c>
      <c r="AO44" s="42">
        <f t="shared" si="9"/>
        <v>202</v>
      </c>
      <c r="AP44" s="42">
        <f t="shared" si="10"/>
        <v>0</v>
      </c>
      <c r="AR44" s="30">
        <v>0</v>
      </c>
      <c r="AS44" s="30">
        <v>11.07179214411223</v>
      </c>
      <c r="AT44" s="30">
        <v>64.930394841950388</v>
      </c>
      <c r="AU44" s="30">
        <v>37.437403246816729</v>
      </c>
      <c r="AV44" s="30">
        <v>0</v>
      </c>
    </row>
    <row r="45" spans="1:49">
      <c r="B45" s="22"/>
      <c r="C45" s="22"/>
      <c r="D45" s="22"/>
      <c r="E45" s="23"/>
      <c r="F45" s="23"/>
      <c r="G45" s="23"/>
      <c r="H45" s="22"/>
      <c r="I45" s="24"/>
      <c r="K45" s="23"/>
      <c r="M45" s="23"/>
      <c r="N45" s="23"/>
      <c r="O45" s="23"/>
      <c r="P45" s="24"/>
      <c r="R45" s="23"/>
      <c r="S45" s="23"/>
      <c r="T45" s="23"/>
      <c r="U45" s="24"/>
      <c r="W45" s="23"/>
      <c r="X45" s="23"/>
      <c r="Y45" s="23"/>
      <c r="Z45" s="24"/>
      <c r="AB45" s="23"/>
      <c r="AC45" s="23"/>
      <c r="AD45" s="23"/>
      <c r="AE45" s="24"/>
      <c r="AG45" s="23"/>
      <c r="AH45" s="23"/>
      <c r="AI45" s="23"/>
      <c r="AJ45" s="24"/>
      <c r="AL45" s="23"/>
      <c r="AN45" s="23"/>
      <c r="AO45" s="23"/>
      <c r="AP45" s="23"/>
      <c r="AR45" s="24"/>
      <c r="AS45" s="24"/>
      <c r="AT45" s="24"/>
      <c r="AU45" s="24"/>
      <c r="AV45" s="24"/>
    </row>
    <row r="46" spans="1:49">
      <c r="B46" s="22" t="s">
        <v>50</v>
      </c>
      <c r="C46" s="22"/>
      <c r="E46" s="23" t="s">
        <v>20</v>
      </c>
      <c r="F46" s="23" t="s">
        <v>20</v>
      </c>
      <c r="G46" s="23"/>
      <c r="H46" s="22"/>
      <c r="I46" s="24"/>
      <c r="K46" s="23"/>
      <c r="M46" s="23"/>
      <c r="N46" s="23"/>
      <c r="O46" s="23"/>
      <c r="P46" s="24"/>
      <c r="R46" s="23"/>
      <c r="S46" s="23"/>
      <c r="T46" s="23"/>
      <c r="U46" s="24"/>
      <c r="W46" s="23"/>
      <c r="X46" s="23"/>
      <c r="Y46" s="23"/>
      <c r="Z46" s="24"/>
      <c r="AB46" s="23"/>
      <c r="AC46" s="23"/>
      <c r="AD46" s="23"/>
      <c r="AE46" s="24"/>
      <c r="AG46" s="23"/>
      <c r="AH46" s="23"/>
      <c r="AI46" s="23"/>
      <c r="AJ46" s="24"/>
      <c r="AL46" s="23"/>
      <c r="AN46" s="23"/>
      <c r="AO46" s="23"/>
      <c r="AP46" s="23"/>
      <c r="AR46" s="24"/>
      <c r="AS46" s="24"/>
      <c r="AT46" s="24"/>
      <c r="AU46" s="24"/>
      <c r="AV46" s="24"/>
    </row>
    <row r="47" spans="1:49">
      <c r="B47" s="22" t="s">
        <v>46</v>
      </c>
      <c r="C47" s="22"/>
      <c r="E47" s="22">
        <v>286545</v>
      </c>
      <c r="F47" s="22">
        <v>287448.49400000001</v>
      </c>
      <c r="G47" s="22"/>
      <c r="H47" s="22"/>
      <c r="I47" s="24">
        <f>SUM(-E47,F47,G47:H47)</f>
        <v>903.49400000000605</v>
      </c>
      <c r="K47" s="22">
        <f t="shared" ref="K47:K49" si="34">E47+I47</f>
        <v>287448.49400000001</v>
      </c>
      <c r="M47" s="22">
        <v>0</v>
      </c>
      <c r="N47" s="22">
        <v>0</v>
      </c>
      <c r="O47" s="22"/>
      <c r="P47" s="24">
        <f>SUM(M47:O47)</f>
        <v>0</v>
      </c>
      <c r="R47" s="22">
        <v>-2083.441360554777</v>
      </c>
      <c r="S47" s="22">
        <v>0</v>
      </c>
      <c r="T47" s="22">
        <v>0</v>
      </c>
      <c r="U47" s="24">
        <f>SUM(R47:T47)</f>
        <v>-2083.441360554777</v>
      </c>
      <c r="W47" s="22">
        <v>0</v>
      </c>
      <c r="X47" s="22">
        <v>0</v>
      </c>
      <c r="Y47" s="22">
        <v>0</v>
      </c>
      <c r="Z47" s="24">
        <f>SUM(W47:Y47)</f>
        <v>0</v>
      </c>
      <c r="AB47" s="22">
        <v>0</v>
      </c>
      <c r="AC47" s="22">
        <v>0</v>
      </c>
      <c r="AD47" s="22"/>
      <c r="AE47" s="24">
        <f>SUM(AB47:AD47)</f>
        <v>0</v>
      </c>
      <c r="AG47" s="22">
        <v>0</v>
      </c>
      <c r="AH47" s="22">
        <v>0</v>
      </c>
      <c r="AI47" s="22"/>
      <c r="AJ47" s="24">
        <f>SUM(AG47:AI47)</f>
        <v>0</v>
      </c>
      <c r="AL47" s="22">
        <f>SUM(K47,P47,U47,Z47,AE47,AJ47)</f>
        <v>285365.05263944523</v>
      </c>
      <c r="AN47" s="22">
        <f t="shared" si="8"/>
        <v>-2083.441360554777</v>
      </c>
      <c r="AO47" s="22">
        <f t="shared" si="9"/>
        <v>0</v>
      </c>
      <c r="AP47" s="22">
        <f t="shared" si="10"/>
        <v>0</v>
      </c>
      <c r="AR47" s="24">
        <v>0</v>
      </c>
      <c r="AS47" s="24">
        <v>-2083.441360554777</v>
      </c>
      <c r="AT47" s="24">
        <v>0</v>
      </c>
      <c r="AU47" s="24">
        <v>0</v>
      </c>
      <c r="AV47" s="24">
        <v>0</v>
      </c>
    </row>
    <row r="48" spans="1:49">
      <c r="B48" s="22" t="s">
        <v>47</v>
      </c>
      <c r="C48" s="22"/>
      <c r="E48" s="22">
        <v>442056</v>
      </c>
      <c r="F48" s="22">
        <v>444091.359</v>
      </c>
      <c r="G48" s="22"/>
      <c r="H48" s="22"/>
      <c r="I48" s="24">
        <f>SUM(-E48,F48,G48:H48)</f>
        <v>2035.3589999999967</v>
      </c>
      <c r="K48" s="22">
        <f t="shared" si="34"/>
        <v>444091.359</v>
      </c>
      <c r="M48" s="22">
        <v>0</v>
      </c>
      <c r="N48" s="22">
        <v>0</v>
      </c>
      <c r="O48" s="22"/>
      <c r="P48" s="24">
        <f>SUM(M48:O48)</f>
        <v>0</v>
      </c>
      <c r="R48" s="22">
        <v>-622.84717600605211</v>
      </c>
      <c r="S48" s="22">
        <v>3599.2505916</v>
      </c>
      <c r="T48" s="22">
        <v>0</v>
      </c>
      <c r="U48" s="24">
        <f>SUM(R48:T48)</f>
        <v>2976.403415593948</v>
      </c>
      <c r="W48" s="22">
        <v>-187.01037236904506</v>
      </c>
      <c r="X48" s="22">
        <v>1080.6779243999999</v>
      </c>
      <c r="Y48" s="22">
        <v>0</v>
      </c>
      <c r="Z48" s="24">
        <f>SUM(W48:Y48)</f>
        <v>893.66755203095488</v>
      </c>
      <c r="AB48" s="22">
        <v>-352.73714918040287</v>
      </c>
      <c r="AC48" s="22">
        <v>2038.3642115999999</v>
      </c>
      <c r="AD48" s="22"/>
      <c r="AE48" s="24">
        <f>SUM(AB48:AD48)</f>
        <v>1685.627062419597</v>
      </c>
      <c r="AG48" s="22">
        <v>0</v>
      </c>
      <c r="AH48" s="22">
        <v>0</v>
      </c>
      <c r="AI48" s="22"/>
      <c r="AJ48" s="24">
        <f>SUM(AG48:AI48)</f>
        <v>0</v>
      </c>
      <c r="AL48" s="22">
        <f t="shared" ref="AL48:AL49" si="35">SUM(K48,P48,U48,Z48,AE48,AJ48)</f>
        <v>449647.0570300445</v>
      </c>
      <c r="AN48" s="22">
        <f t="shared" si="8"/>
        <v>-1162.5946975555</v>
      </c>
      <c r="AO48" s="22">
        <f t="shared" si="9"/>
        <v>6718.2927276</v>
      </c>
      <c r="AP48" s="22">
        <f t="shared" si="10"/>
        <v>0</v>
      </c>
      <c r="AR48" s="24">
        <v>0</v>
      </c>
      <c r="AS48" s="24">
        <v>2976.403415593948</v>
      </c>
      <c r="AT48" s="24">
        <v>893.66755203095488</v>
      </c>
      <c r="AU48" s="24">
        <v>1685.627062419597</v>
      </c>
      <c r="AV48" s="24">
        <v>0</v>
      </c>
    </row>
    <row r="49" spans="2:48">
      <c r="B49" s="22" t="s">
        <v>48</v>
      </c>
      <c r="C49" s="22"/>
      <c r="E49" s="22">
        <v>201559</v>
      </c>
      <c r="F49" s="22">
        <v>202599.448</v>
      </c>
      <c r="G49" s="22"/>
      <c r="H49" s="22"/>
      <c r="I49" s="24">
        <f>SUM(-E49,F49,G49:H49)</f>
        <v>1040.448000000004</v>
      </c>
      <c r="K49" s="22">
        <f t="shared" si="34"/>
        <v>202599.448</v>
      </c>
      <c r="M49" s="22">
        <v>0</v>
      </c>
      <c r="N49" s="22">
        <v>0</v>
      </c>
      <c r="O49" s="22"/>
      <c r="P49" s="24">
        <f>SUM(M49:O49)</f>
        <v>0</v>
      </c>
      <c r="R49" s="22">
        <v>0</v>
      </c>
      <c r="S49" s="22">
        <v>0</v>
      </c>
      <c r="T49" s="22">
        <v>0</v>
      </c>
      <c r="U49" s="24">
        <f>SUM(R49:T49)</f>
        <v>0</v>
      </c>
      <c r="W49" s="22">
        <v>-254.53346047885213</v>
      </c>
      <c r="X49" s="22">
        <v>1512.1283316000001</v>
      </c>
      <c r="Y49" s="22">
        <v>0</v>
      </c>
      <c r="Z49" s="24">
        <f>SUM(W49:Y49)</f>
        <v>1257.5948711211481</v>
      </c>
      <c r="AB49" s="22">
        <v>0</v>
      </c>
      <c r="AC49" s="22">
        <v>0</v>
      </c>
      <c r="AD49" s="22"/>
      <c r="AE49" s="24">
        <f>SUM(AB49:AD49)</f>
        <v>0</v>
      </c>
      <c r="AG49" s="22">
        <v>0</v>
      </c>
      <c r="AH49" s="22">
        <v>0</v>
      </c>
      <c r="AI49" s="22"/>
      <c r="AJ49" s="24">
        <f>SUM(AG49:AI49)</f>
        <v>0</v>
      </c>
      <c r="AL49" s="22">
        <f t="shared" si="35"/>
        <v>203857.04287112114</v>
      </c>
      <c r="AN49" s="22">
        <f t="shared" si="8"/>
        <v>-254.53346047885213</v>
      </c>
      <c r="AO49" s="22">
        <f t="shared" si="9"/>
        <v>1512.1283316000001</v>
      </c>
      <c r="AP49" s="22">
        <f t="shared" si="10"/>
        <v>0</v>
      </c>
      <c r="AR49" s="24">
        <v>0</v>
      </c>
      <c r="AS49" s="24">
        <v>0</v>
      </c>
      <c r="AT49" s="24">
        <v>1257.5948711211481</v>
      </c>
      <c r="AU49" s="24">
        <v>0</v>
      </c>
      <c r="AV49" s="24">
        <v>0</v>
      </c>
    </row>
    <row r="50" spans="2:48">
      <c r="B50" s="22" t="s">
        <v>51</v>
      </c>
      <c r="C50" s="22"/>
      <c r="E50" s="42">
        <f>SUM(E47:E49)</f>
        <v>930160</v>
      </c>
      <c r="F50" s="42">
        <f>SUM(F47:F49)</f>
        <v>934139.30099999998</v>
      </c>
      <c r="G50" s="42"/>
      <c r="H50" s="42"/>
      <c r="I50" s="30">
        <f>SUM(I47:I49)</f>
        <v>3979.3010000000068</v>
      </c>
      <c r="K50" s="42">
        <f>SUM(K47:K49)</f>
        <v>934139.30099999998</v>
      </c>
      <c r="M50" s="42">
        <v>0</v>
      </c>
      <c r="N50" s="42">
        <v>0</v>
      </c>
      <c r="O50" s="46">
        <v>0</v>
      </c>
      <c r="P50" s="30">
        <f>SUM(P47:P49)</f>
        <v>0</v>
      </c>
      <c r="R50" s="42">
        <v>-2706.288536560829</v>
      </c>
      <c r="S50" s="42">
        <v>3599.2505916</v>
      </c>
      <c r="T50" s="46">
        <v>0</v>
      </c>
      <c r="U50" s="30">
        <f>SUM(U47:U49)</f>
        <v>892.96205503917099</v>
      </c>
      <c r="W50" s="42">
        <v>-441.54383284789719</v>
      </c>
      <c r="X50" s="42">
        <v>2592.8062559999998</v>
      </c>
      <c r="Y50" s="46">
        <v>0</v>
      </c>
      <c r="Z50" s="30">
        <f>SUM(Z47:Z49)</f>
        <v>2151.2624231521031</v>
      </c>
      <c r="AB50" s="42">
        <v>-352.73714918040287</v>
      </c>
      <c r="AC50" s="42">
        <v>2038.3642115999999</v>
      </c>
      <c r="AD50" s="46">
        <v>0</v>
      </c>
      <c r="AE50" s="30">
        <f>SUM(AE47:AE49)</f>
        <v>1685.627062419597</v>
      </c>
      <c r="AG50" s="42">
        <v>0</v>
      </c>
      <c r="AH50" s="42">
        <v>0</v>
      </c>
      <c r="AI50" s="46">
        <v>0</v>
      </c>
      <c r="AJ50" s="30">
        <f>SUM(AJ47:AJ49)</f>
        <v>0</v>
      </c>
      <c r="AL50" s="42">
        <f>SUM(AL47:AL49)</f>
        <v>938869.15254061087</v>
      </c>
      <c r="AN50" s="42">
        <f t="shared" si="8"/>
        <v>-3500.5695185891291</v>
      </c>
      <c r="AO50" s="42">
        <f t="shared" si="9"/>
        <v>8230.4210591999999</v>
      </c>
      <c r="AP50" s="42">
        <f t="shared" si="10"/>
        <v>0</v>
      </c>
      <c r="AR50" s="30">
        <v>0</v>
      </c>
      <c r="AS50" s="30">
        <v>892.96205503917099</v>
      </c>
      <c r="AT50" s="30">
        <v>2151.2624231521031</v>
      </c>
      <c r="AU50" s="30">
        <v>1685.627062419597</v>
      </c>
      <c r="AV50" s="30">
        <v>0</v>
      </c>
    </row>
    <row r="51" spans="2:48">
      <c r="B51" s="22"/>
      <c r="C51" s="22"/>
      <c r="E51" s="23"/>
      <c r="F51" s="23"/>
      <c r="G51" s="23"/>
      <c r="H51" s="22"/>
      <c r="I51" s="24"/>
      <c r="K51" s="23"/>
      <c r="M51" s="23"/>
      <c r="N51" s="23"/>
      <c r="O51" s="23"/>
      <c r="P51" s="24"/>
      <c r="R51" s="23"/>
      <c r="S51" s="23"/>
      <c r="T51" s="23"/>
      <c r="U51" s="24"/>
      <c r="W51" s="23"/>
      <c r="X51" s="23"/>
      <c r="Y51" s="23"/>
      <c r="Z51" s="24"/>
      <c r="AB51" s="23"/>
      <c r="AC51" s="23"/>
      <c r="AD51" s="23"/>
      <c r="AE51" s="24"/>
      <c r="AG51" s="23"/>
      <c r="AH51" s="23"/>
      <c r="AI51" s="23"/>
      <c r="AJ51" s="24"/>
      <c r="AL51" s="23"/>
      <c r="AN51" s="23"/>
      <c r="AO51" s="23"/>
      <c r="AP51" s="23"/>
      <c r="AR51" s="24"/>
      <c r="AS51" s="24"/>
      <c r="AT51" s="24"/>
      <c r="AU51" s="24"/>
      <c r="AV51" s="24"/>
    </row>
    <row r="52" spans="2:48">
      <c r="B52" s="22" t="s">
        <v>52</v>
      </c>
      <c r="C52" s="22"/>
      <c r="E52" s="23" t="s">
        <v>20</v>
      </c>
      <c r="F52" s="23" t="s">
        <v>20</v>
      </c>
      <c r="G52" s="23"/>
      <c r="H52" s="22"/>
      <c r="I52" s="24"/>
      <c r="K52" s="23"/>
      <c r="M52" s="23"/>
      <c r="N52" s="23"/>
      <c r="O52" s="23"/>
      <c r="P52" s="24"/>
      <c r="R52" s="23"/>
      <c r="S52" s="23"/>
      <c r="T52" s="23"/>
      <c r="U52" s="24"/>
      <c r="W52" s="23"/>
      <c r="X52" s="23"/>
      <c r="Y52" s="23"/>
      <c r="Z52" s="24"/>
      <c r="AB52" s="23"/>
      <c r="AC52" s="23"/>
      <c r="AD52" s="23"/>
      <c r="AE52" s="24"/>
      <c r="AG52" s="23"/>
      <c r="AH52" s="23"/>
      <c r="AI52" s="23"/>
      <c r="AJ52" s="24"/>
      <c r="AL52" s="23"/>
      <c r="AN52" s="23"/>
      <c r="AO52" s="23"/>
      <c r="AP52" s="23"/>
      <c r="AR52" s="24"/>
      <c r="AS52" s="24"/>
      <c r="AT52" s="24"/>
      <c r="AU52" s="24"/>
      <c r="AV52" s="24"/>
    </row>
    <row r="53" spans="2:48">
      <c r="B53" s="22" t="s">
        <v>46</v>
      </c>
      <c r="C53" s="22"/>
      <c r="E53" s="22">
        <v>-202373</v>
      </c>
      <c r="F53" s="22">
        <v>-204605.17800000001</v>
      </c>
      <c r="G53" s="22"/>
      <c r="H53" s="22"/>
      <c r="I53" s="24">
        <f>SUM(-E53,F53,G53:H53)</f>
        <v>-2232.1780000000144</v>
      </c>
      <c r="K53" s="22">
        <f t="shared" ref="K53:K55" si="36">E53+I53</f>
        <v>-204605.17800000001</v>
      </c>
      <c r="M53" s="22">
        <v>0</v>
      </c>
      <c r="N53" s="22">
        <v>0</v>
      </c>
      <c r="O53" s="22"/>
      <c r="P53" s="24">
        <f>SUM(M53:O53)</f>
        <v>0</v>
      </c>
      <c r="R53" s="22">
        <v>2083.441360554777</v>
      </c>
      <c r="S53" s="22">
        <v>0</v>
      </c>
      <c r="T53" s="22">
        <v>0</v>
      </c>
      <c r="U53" s="24">
        <f>SUM(R53:T53)</f>
        <v>2083.441360554777</v>
      </c>
      <c r="W53" s="22">
        <v>0</v>
      </c>
      <c r="X53" s="22">
        <v>0</v>
      </c>
      <c r="Y53" s="22">
        <v>0</v>
      </c>
      <c r="Z53" s="24">
        <f>SUM(W53:Y53)</f>
        <v>0</v>
      </c>
      <c r="AB53" s="22">
        <v>0</v>
      </c>
      <c r="AC53" s="22">
        <v>0</v>
      </c>
      <c r="AD53" s="22"/>
      <c r="AE53" s="24">
        <f>SUM(AB53:AD53)</f>
        <v>0</v>
      </c>
      <c r="AG53" s="22">
        <v>0</v>
      </c>
      <c r="AH53" s="22">
        <v>0</v>
      </c>
      <c r="AI53" s="22"/>
      <c r="AJ53" s="24">
        <f>SUM(AG53:AI53)</f>
        <v>0</v>
      </c>
      <c r="AL53" s="22">
        <f>SUM(K53,P53,U53,Z53,AE53,AJ53)</f>
        <v>-202521.73663944524</v>
      </c>
      <c r="AN53" s="22">
        <f t="shared" si="8"/>
        <v>2083.441360554777</v>
      </c>
      <c r="AO53" s="22">
        <f t="shared" si="9"/>
        <v>0</v>
      </c>
      <c r="AP53" s="22">
        <f t="shared" si="10"/>
        <v>0</v>
      </c>
      <c r="AR53" s="24">
        <v>0</v>
      </c>
      <c r="AS53" s="24">
        <v>2083.441360554777</v>
      </c>
      <c r="AT53" s="24">
        <v>0</v>
      </c>
      <c r="AU53" s="24">
        <v>0</v>
      </c>
      <c r="AV53" s="24">
        <v>0</v>
      </c>
    </row>
    <row r="54" spans="2:48">
      <c r="B54" s="22" t="s">
        <v>47</v>
      </c>
      <c r="C54" s="22"/>
      <c r="E54" s="22">
        <v>-92485</v>
      </c>
      <c r="F54" s="22">
        <v>-94993.369000000006</v>
      </c>
      <c r="G54" s="22"/>
      <c r="H54" s="22"/>
      <c r="I54" s="24">
        <f>SUM(-E54,F54,G54:H54)</f>
        <v>-2508.3690000000061</v>
      </c>
      <c r="K54" s="22">
        <f t="shared" si="36"/>
        <v>-94993.369000000006</v>
      </c>
      <c r="M54" s="22">
        <v>0</v>
      </c>
      <c r="N54" s="22">
        <v>0</v>
      </c>
      <c r="O54" s="22"/>
      <c r="P54" s="24">
        <f>SUM(M54:O54)</f>
        <v>0</v>
      </c>
      <c r="R54" s="22">
        <v>622.84717600605211</v>
      </c>
      <c r="S54" s="22">
        <v>-47.044025814499996</v>
      </c>
      <c r="T54" s="22">
        <v>0</v>
      </c>
      <c r="U54" s="24">
        <f>SUM(R54:T54)</f>
        <v>575.80315019155216</v>
      </c>
      <c r="W54" s="22">
        <v>187.01037236904506</v>
      </c>
      <c r="X54" s="22">
        <v>-5.1723413621000001</v>
      </c>
      <c r="Y54" s="22">
        <v>0</v>
      </c>
      <c r="Z54" s="24">
        <f>SUM(W54:Y54)</f>
        <v>181.83803100694504</v>
      </c>
      <c r="AB54" s="22">
        <v>352.73714918040287</v>
      </c>
      <c r="AC54" s="22">
        <v>-15.419244226099998</v>
      </c>
      <c r="AD54" s="22"/>
      <c r="AE54" s="24">
        <f>SUM(AB54:AD54)</f>
        <v>337.31790495430289</v>
      </c>
      <c r="AG54" s="22">
        <v>0</v>
      </c>
      <c r="AH54" s="22">
        <v>0</v>
      </c>
      <c r="AI54" s="22"/>
      <c r="AJ54" s="24">
        <f>SUM(AG54:AI54)</f>
        <v>0</v>
      </c>
      <c r="AL54" s="22">
        <f t="shared" ref="AL54:AL55" si="37">SUM(K54,P54,U54,Z54,AE54,AJ54)</f>
        <v>-93898.409913847208</v>
      </c>
      <c r="AN54" s="22">
        <f t="shared" si="8"/>
        <v>1162.5946975555</v>
      </c>
      <c r="AO54" s="22">
        <f t="shared" si="9"/>
        <v>-67.635611402699993</v>
      </c>
      <c r="AP54" s="22">
        <f t="shared" si="10"/>
        <v>0</v>
      </c>
      <c r="AR54" s="24">
        <v>0</v>
      </c>
      <c r="AS54" s="24">
        <v>575.80315019155216</v>
      </c>
      <c r="AT54" s="24">
        <v>181.83803100694504</v>
      </c>
      <c r="AU54" s="24">
        <v>337.31790495430289</v>
      </c>
      <c r="AV54" s="24">
        <v>0</v>
      </c>
    </row>
    <row r="55" spans="2:48">
      <c r="B55" s="22" t="s">
        <v>48</v>
      </c>
      <c r="C55" s="22"/>
      <c r="E55" s="22">
        <v>-87579</v>
      </c>
      <c r="F55" s="22">
        <v>-91012.588000000003</v>
      </c>
      <c r="G55" s="22"/>
      <c r="H55" s="22"/>
      <c r="I55" s="24">
        <f>SUM(-E55,F55,G55:H55)</f>
        <v>-3433.5880000000034</v>
      </c>
      <c r="K55" s="22">
        <f t="shared" si="36"/>
        <v>-91012.588000000003</v>
      </c>
      <c r="M55" s="22">
        <v>0</v>
      </c>
      <c r="N55" s="22">
        <v>0</v>
      </c>
      <c r="O55" s="22"/>
      <c r="P55" s="24">
        <f>SUM(M55:O55)</f>
        <v>0</v>
      </c>
      <c r="R55" s="22">
        <v>0</v>
      </c>
      <c r="S55" s="22">
        <v>0</v>
      </c>
      <c r="T55" s="22">
        <v>0</v>
      </c>
      <c r="U55" s="24">
        <f>SUM(R55:T55)</f>
        <v>0</v>
      </c>
      <c r="W55" s="22">
        <v>254.53346047885213</v>
      </c>
      <c r="X55" s="22">
        <v>-29.461544661299992</v>
      </c>
      <c r="Y55" s="22">
        <v>0</v>
      </c>
      <c r="Z55" s="24">
        <f>SUM(W55:Y55)</f>
        <v>225.07191581755214</v>
      </c>
      <c r="AB55" s="22">
        <v>0</v>
      </c>
      <c r="AC55" s="22">
        <v>0</v>
      </c>
      <c r="AD55" s="22"/>
      <c r="AE55" s="24">
        <f>SUM(AB55:AD55)</f>
        <v>0</v>
      </c>
      <c r="AG55" s="22">
        <v>0</v>
      </c>
      <c r="AH55" s="22">
        <v>0</v>
      </c>
      <c r="AI55" s="22"/>
      <c r="AJ55" s="24">
        <f>SUM(AG55:AI55)</f>
        <v>0</v>
      </c>
      <c r="AL55" s="22">
        <f t="shared" si="37"/>
        <v>-90787.516084182455</v>
      </c>
      <c r="AN55" s="22">
        <f t="shared" si="8"/>
        <v>254.53346047885213</v>
      </c>
      <c r="AO55" s="22">
        <f t="shared" si="9"/>
        <v>-29.461544661299992</v>
      </c>
      <c r="AP55" s="22">
        <f t="shared" si="10"/>
        <v>0</v>
      </c>
      <c r="AR55" s="24">
        <v>0</v>
      </c>
      <c r="AS55" s="24">
        <v>0</v>
      </c>
      <c r="AT55" s="24">
        <v>225.07191581755214</v>
      </c>
      <c r="AU55" s="24">
        <v>0</v>
      </c>
      <c r="AV55" s="24">
        <v>0</v>
      </c>
    </row>
    <row r="56" spans="2:48">
      <c r="B56" s="22" t="s">
        <v>53</v>
      </c>
      <c r="C56" s="22"/>
      <c r="E56" s="42">
        <f>SUM(E53:E55)</f>
        <v>-382437</v>
      </c>
      <c r="F56" s="42">
        <f>SUM(F53:F55)</f>
        <v>-390611.13500000001</v>
      </c>
      <c r="G56" s="42"/>
      <c r="H56" s="42"/>
      <c r="I56" s="30">
        <f>SUM(I53:I55)</f>
        <v>-8174.1350000000239</v>
      </c>
      <c r="K56" s="42">
        <f>SUM(K53:K55)</f>
        <v>-390611.13500000001</v>
      </c>
      <c r="M56" s="42">
        <v>0</v>
      </c>
      <c r="N56" s="42">
        <v>0</v>
      </c>
      <c r="O56" s="46">
        <v>0</v>
      </c>
      <c r="P56" s="30">
        <f>SUM(P53:P55)</f>
        <v>0</v>
      </c>
      <c r="R56" s="42">
        <v>2706.288536560829</v>
      </c>
      <c r="S56" s="42">
        <v>-47.044025814499996</v>
      </c>
      <c r="T56" s="46">
        <v>0</v>
      </c>
      <c r="U56" s="30">
        <f>SUM(U53:U55)</f>
        <v>2659.2445107463291</v>
      </c>
      <c r="W56" s="42">
        <v>441.54383284789719</v>
      </c>
      <c r="X56" s="42">
        <v>-34.633886023399995</v>
      </c>
      <c r="Y56" s="46">
        <v>0</v>
      </c>
      <c r="Z56" s="30">
        <f>SUM(Z53:Z55)</f>
        <v>406.90994682449718</v>
      </c>
      <c r="AB56" s="42">
        <v>352.73714918040287</v>
      </c>
      <c r="AC56" s="42">
        <v>-15.419244226099998</v>
      </c>
      <c r="AD56" s="46">
        <v>0</v>
      </c>
      <c r="AE56" s="30">
        <f>SUM(AE53:AE55)</f>
        <v>337.31790495430289</v>
      </c>
      <c r="AG56" s="42">
        <v>0</v>
      </c>
      <c r="AH56" s="42">
        <v>0</v>
      </c>
      <c r="AI56" s="46">
        <v>0</v>
      </c>
      <c r="AJ56" s="30">
        <f>SUM(AJ53:AJ55)</f>
        <v>0</v>
      </c>
      <c r="AL56" s="42">
        <f>SUM(AL53:AL55)</f>
        <v>-387207.66263747495</v>
      </c>
      <c r="AN56" s="42">
        <f t="shared" si="8"/>
        <v>3500.5695185891291</v>
      </c>
      <c r="AO56" s="42">
        <f t="shared" si="9"/>
        <v>-97.097156063999989</v>
      </c>
      <c r="AP56" s="42">
        <f t="shared" si="10"/>
        <v>0</v>
      </c>
      <c r="AR56" s="30">
        <v>0</v>
      </c>
      <c r="AS56" s="30">
        <v>2659.2445107463291</v>
      </c>
      <c r="AT56" s="30">
        <v>406.90994682449718</v>
      </c>
      <c r="AU56" s="30">
        <v>337.31790495430289</v>
      </c>
      <c r="AV56" s="30">
        <v>0</v>
      </c>
    </row>
    <row r="57" spans="2:48">
      <c r="B57" s="22"/>
      <c r="C57" s="22"/>
      <c r="E57" s="23"/>
      <c r="F57" s="23"/>
      <c r="G57" s="23"/>
      <c r="K57" s="23"/>
      <c r="AL57" s="23"/>
      <c r="AN57" s="23"/>
      <c r="AO57" s="23"/>
      <c r="AP57" s="23"/>
    </row>
    <row r="59" spans="2:48" ht="57">
      <c r="D59" s="43" t="s">
        <v>21</v>
      </c>
      <c r="E59" s="44" t="s">
        <v>54</v>
      </c>
      <c r="F59" s="44" t="s">
        <v>55</v>
      </c>
      <c r="K59" s="44"/>
      <c r="AL59" s="44"/>
      <c r="AN59" s="44"/>
      <c r="AO59" s="44"/>
      <c r="AP59" s="44"/>
    </row>
    <row r="60" spans="2:48">
      <c r="D60" s="2" t="s">
        <v>56</v>
      </c>
      <c r="E60" s="8">
        <v>920468.38000062644</v>
      </c>
      <c r="F60" s="8">
        <v>72288.396421350772</v>
      </c>
    </row>
    <row r="61" spans="2:48">
      <c r="D61" s="2" t="s">
        <v>57</v>
      </c>
      <c r="E61" s="8">
        <v>7076197.5948589919</v>
      </c>
      <c r="F61" s="8">
        <v>0</v>
      </c>
    </row>
    <row r="62" spans="2:48">
      <c r="D62" s="2" t="s">
        <v>58</v>
      </c>
      <c r="E62" s="8">
        <v>-3946952.3364827721</v>
      </c>
      <c r="F62" s="8">
        <v>0</v>
      </c>
    </row>
    <row r="63" spans="2:48">
      <c r="D63" s="2" t="s">
        <v>59</v>
      </c>
      <c r="E63" s="8">
        <v>-367197.92597779131</v>
      </c>
      <c r="F63" s="8">
        <v>0</v>
      </c>
    </row>
    <row r="64" spans="2:48">
      <c r="D64" s="2" t="s">
        <v>60</v>
      </c>
      <c r="E64" s="8">
        <v>804753.95845194266</v>
      </c>
      <c r="F64" s="8">
        <v>0</v>
      </c>
    </row>
    <row r="65" spans="4:42">
      <c r="D65" s="2" t="s">
        <v>61</v>
      </c>
      <c r="E65" s="8">
        <v>153137.90638528686</v>
      </c>
      <c r="F65" s="8">
        <v>1170472.5798063909</v>
      </c>
    </row>
    <row r="66" spans="4:42">
      <c r="D66" s="2" t="s">
        <v>62</v>
      </c>
      <c r="E66" s="8">
        <v>-438847.30648959009</v>
      </c>
      <c r="F66" s="8">
        <v>193844.57795641883</v>
      </c>
      <c r="K66"/>
      <c r="AL66"/>
      <c r="AN66"/>
      <c r="AO66"/>
      <c r="AP66"/>
    </row>
    <row r="67" spans="4:42">
      <c r="D67" s="2" t="s">
        <v>63</v>
      </c>
      <c r="E67" s="37">
        <v>-563460.13896242238</v>
      </c>
      <c r="F67" s="37">
        <v>0</v>
      </c>
      <c r="K67"/>
      <c r="AL67"/>
      <c r="AN67"/>
      <c r="AO67"/>
      <c r="AP67"/>
    </row>
    <row r="68" spans="4:42">
      <c r="E68" s="8">
        <f>SUM(E60:E67)</f>
        <v>3638100.1317842724</v>
      </c>
      <c r="F68" s="8">
        <f>SUM(F60:F67)</f>
        <v>1436605.5541841604</v>
      </c>
      <c r="K68"/>
      <c r="AL68"/>
      <c r="AN68"/>
      <c r="AO68"/>
      <c r="AP68"/>
    </row>
    <row r="69" spans="4:42">
      <c r="K69"/>
      <c r="AL69"/>
      <c r="AN69"/>
      <c r="AO69"/>
      <c r="AP69"/>
    </row>
    <row r="70" spans="4:42">
      <c r="K70"/>
      <c r="AL70"/>
      <c r="AN70"/>
      <c r="AO70"/>
      <c r="AP70"/>
    </row>
    <row r="71" spans="4:42">
      <c r="K71"/>
      <c r="AL71"/>
      <c r="AN71"/>
      <c r="AO71"/>
      <c r="AP71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6" firstPageNumber="4" orientation="landscape" r:id="rId1"/>
  <headerFooter scaleWithDoc="0" alignWithMargins="0">
    <oddHeader xml:space="preserve">&amp;L&amp;8Avista
</oddHeader>
    <oddFooter>&amp;L&amp;F&amp;R&amp;8Page &amp;P of &amp;N</oddFooter>
  </headerFooter>
  <colBreaks count="1" manualBreakCount="1">
    <brk id="27" max="6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6E0B-BD48-40E8-AC7B-82AA066ED402}">
  <dimension ref="A2:BL65"/>
  <sheetViews>
    <sheetView zoomScale="115" zoomScaleNormal="115" workbookViewId="0">
      <selection activeCell="D1" sqref="D1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4.5546875" style="8" bestFit="1" customWidth="1"/>
    <col min="9" max="9" width="14" style="5" bestFit="1" customWidth="1"/>
    <col min="10" max="10" width="2" style="6" customWidth="1"/>
    <col min="11" max="11" width="16.33203125" style="8" bestFit="1" customWidth="1"/>
    <col min="12" max="12" width="2.33203125" style="6" customWidth="1"/>
    <col min="13" max="15" width="10.33203125" style="8" customWidth="1"/>
    <col min="16" max="16" width="14.44140625" style="5" bestFit="1" customWidth="1"/>
    <col min="17" max="17" width="1.88671875" style="6" customWidth="1"/>
    <col min="18" max="20" width="10.33203125" style="8" customWidth="1"/>
    <col min="21" max="21" width="14.44140625" style="5" bestFit="1" customWidth="1"/>
    <col min="22" max="22" width="1.88671875" style="6" customWidth="1"/>
    <col min="23" max="25" width="10.33203125" style="8" customWidth="1"/>
    <col min="26" max="26" width="14.44140625" style="5" bestFit="1" customWidth="1"/>
    <col min="27" max="27" width="1.88671875" style="6" customWidth="1"/>
    <col min="28" max="30" width="10.33203125" style="8" customWidth="1"/>
    <col min="31" max="31" width="14.44140625" style="5" bestFit="1" customWidth="1"/>
    <col min="32" max="32" width="1.88671875" style="6" customWidth="1"/>
    <col min="33" max="35" width="10.33203125" style="8" customWidth="1"/>
    <col min="36" max="36" width="14.44140625" style="5" bestFit="1" customWidth="1"/>
    <col min="37" max="37" width="1.88671875" style="6" customWidth="1"/>
    <col min="38" max="38" width="17.44140625" style="6" bestFit="1" customWidth="1"/>
    <col min="39" max="39" width="10.6640625" style="2"/>
    <col min="40" max="42" width="17.44140625" style="6" bestFit="1" customWidth="1"/>
    <col min="43" max="43" width="10.6640625" style="2"/>
    <col min="44" max="48" width="14.44140625" style="5" bestFit="1" customWidth="1"/>
    <col min="49" max="16384" width="10.6640625" style="2"/>
  </cols>
  <sheetData>
    <row r="2" spans="1:64">
      <c r="A2" s="1" t="s">
        <v>0</v>
      </c>
      <c r="D2" s="3"/>
      <c r="E2" s="4"/>
      <c r="F2" s="4"/>
      <c r="G2" s="4"/>
      <c r="H2" s="4"/>
      <c r="K2" s="4"/>
      <c r="M2" s="4"/>
      <c r="N2" s="4"/>
      <c r="O2" s="4"/>
      <c r="R2" s="4"/>
      <c r="S2" s="4"/>
      <c r="T2" s="4"/>
      <c r="W2" s="4"/>
      <c r="X2" s="4"/>
      <c r="Y2" s="4"/>
      <c r="AB2" s="4"/>
      <c r="AC2" s="4"/>
      <c r="AD2" s="4"/>
      <c r="AG2" s="4"/>
      <c r="AH2" s="4"/>
      <c r="AI2" s="4"/>
    </row>
    <row r="3" spans="1:64" ht="12.75" customHeight="1">
      <c r="A3" s="1" t="s">
        <v>64</v>
      </c>
      <c r="D3" s="3"/>
      <c r="E3" s="7"/>
      <c r="F3" s="7"/>
      <c r="G3" s="7"/>
      <c r="H3" s="7"/>
      <c r="K3" s="7"/>
      <c r="M3" s="7"/>
      <c r="N3" s="7"/>
      <c r="O3" s="7"/>
      <c r="R3" s="7"/>
      <c r="S3" s="7"/>
      <c r="T3" s="7"/>
      <c r="W3" s="7"/>
      <c r="X3" s="7"/>
      <c r="Y3" s="7"/>
      <c r="AB3" s="7"/>
      <c r="AC3" s="7"/>
      <c r="AD3" s="7"/>
      <c r="AG3" s="7"/>
      <c r="AH3" s="7"/>
      <c r="AI3" s="7"/>
    </row>
    <row r="4" spans="1:64">
      <c r="A4" s="1" t="s">
        <v>2</v>
      </c>
      <c r="D4" s="3"/>
    </row>
    <row r="5" spans="1:64" ht="12.75" customHeight="1">
      <c r="A5" s="1" t="s">
        <v>3</v>
      </c>
      <c r="D5" s="3"/>
      <c r="E5" s="7"/>
      <c r="F5" s="7"/>
      <c r="G5" s="7"/>
      <c r="H5" s="7"/>
      <c r="K5" s="7"/>
      <c r="M5" s="7"/>
      <c r="N5" s="7"/>
      <c r="O5" s="7"/>
      <c r="R5" s="7"/>
      <c r="S5" s="7"/>
      <c r="T5" s="7"/>
      <c r="W5" s="7"/>
      <c r="X5" s="7"/>
      <c r="Y5" s="7"/>
      <c r="AB5" s="7"/>
      <c r="AC5" s="7"/>
      <c r="AD5" s="7"/>
      <c r="AG5" s="7"/>
      <c r="AH5" s="7"/>
      <c r="AI5" s="7"/>
    </row>
    <row r="6" spans="1:64" s="9" customFormat="1" ht="12.75" customHeight="1">
      <c r="E6" s="9" t="s">
        <v>4</v>
      </c>
      <c r="F6" s="9" t="s">
        <v>5</v>
      </c>
      <c r="G6" s="9" t="s">
        <v>6</v>
      </c>
      <c r="H6" s="9" t="s">
        <v>6</v>
      </c>
      <c r="I6" s="10" t="s">
        <v>7</v>
      </c>
      <c r="J6"/>
      <c r="K6" s="9" t="s">
        <v>8</v>
      </c>
      <c r="M6" s="78" t="s">
        <v>9</v>
      </c>
      <c r="N6" s="79"/>
      <c r="O6" s="79"/>
      <c r="P6" s="80"/>
      <c r="R6" s="78" t="s">
        <v>74</v>
      </c>
      <c r="S6" s="79"/>
      <c r="T6" s="79"/>
      <c r="U6" s="80"/>
      <c r="W6" s="78" t="s">
        <v>76</v>
      </c>
      <c r="X6" s="79"/>
      <c r="Y6" s="79"/>
      <c r="Z6" s="80"/>
      <c r="AB6" s="78" t="s">
        <v>78</v>
      </c>
      <c r="AC6" s="79"/>
      <c r="AD6" s="79"/>
      <c r="AE6" s="80"/>
      <c r="AG6" s="78" t="s">
        <v>80</v>
      </c>
      <c r="AH6" s="79"/>
      <c r="AI6" s="79"/>
      <c r="AJ6" s="80"/>
      <c r="AL6" s="10" t="s">
        <v>8</v>
      </c>
      <c r="AN6" s="10" t="s">
        <v>83</v>
      </c>
      <c r="AO6" s="10" t="s">
        <v>83</v>
      </c>
      <c r="AP6" s="10" t="s">
        <v>83</v>
      </c>
    </row>
    <row r="7" spans="1:64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49" t="s">
        <v>18</v>
      </c>
      <c r="AN7" s="49" t="s">
        <v>82</v>
      </c>
      <c r="AO7" s="49" t="s">
        <v>17</v>
      </c>
      <c r="AP7" s="49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64" s="17" customFormat="1">
      <c r="B8" s="18"/>
      <c r="E8" s="19"/>
      <c r="F8" s="19"/>
      <c r="G8" s="19"/>
      <c r="H8" s="19"/>
      <c r="I8" s="20"/>
      <c r="J8" s="6"/>
      <c r="K8" s="19"/>
      <c r="M8" s="52" t="s">
        <v>84</v>
      </c>
      <c r="N8" s="19"/>
      <c r="O8" s="19"/>
      <c r="P8" s="20"/>
      <c r="R8" s="52" t="s">
        <v>84</v>
      </c>
      <c r="S8" s="19"/>
      <c r="T8" s="19"/>
      <c r="U8" s="20"/>
      <c r="W8" s="52" t="s">
        <v>84</v>
      </c>
      <c r="X8" s="19"/>
      <c r="Y8" s="19"/>
      <c r="Z8" s="20"/>
      <c r="AB8" s="52" t="s">
        <v>84</v>
      </c>
      <c r="AC8" s="19"/>
      <c r="AD8" s="19"/>
      <c r="AE8" s="20"/>
      <c r="AG8" s="52" t="s">
        <v>84</v>
      </c>
      <c r="AH8" s="19"/>
      <c r="AI8" s="19"/>
      <c r="AJ8" s="20"/>
      <c r="AN8" s="52" t="s">
        <v>84</v>
      </c>
      <c r="AP8" s="52" t="s">
        <v>84</v>
      </c>
      <c r="AR8" s="20"/>
      <c r="AS8" s="20"/>
      <c r="AT8" s="20"/>
      <c r="AU8" s="20"/>
      <c r="AV8" s="20"/>
    </row>
    <row r="9" spans="1:64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 s="6"/>
      <c r="K9" s="23"/>
      <c r="M9" s="23"/>
      <c r="N9" s="23"/>
      <c r="O9" s="23"/>
      <c r="P9" s="24"/>
      <c r="R9" s="23"/>
      <c r="S9" s="23"/>
      <c r="T9" s="23"/>
      <c r="U9" s="24"/>
      <c r="W9" s="23"/>
      <c r="X9" s="23"/>
      <c r="Y9" s="23"/>
      <c r="Z9" s="24"/>
      <c r="AB9" s="23"/>
      <c r="AC9" s="23"/>
      <c r="AD9" s="23"/>
      <c r="AE9" s="24"/>
      <c r="AG9" s="23"/>
      <c r="AH9" s="23"/>
      <c r="AI9" s="23"/>
      <c r="AJ9" s="24"/>
      <c r="AR9" s="24"/>
      <c r="AS9" s="24"/>
      <c r="AT9" s="24"/>
      <c r="AU9" s="24"/>
      <c r="AV9" s="24"/>
    </row>
    <row r="10" spans="1:64" s="22" customFormat="1">
      <c r="A10" s="21"/>
      <c r="C10" s="22" t="s">
        <v>22</v>
      </c>
      <c r="E10" s="22">
        <v>5477</v>
      </c>
      <c r="F10" s="25">
        <f>E10+(E37/1000)</f>
        <v>5753.333988015981</v>
      </c>
      <c r="H10" s="25">
        <f>-(F37/1000)</f>
        <v>22.48676223963114</v>
      </c>
      <c r="I10" s="24">
        <f>SUM(-E10,F10,G10:H10)</f>
        <v>298.82075025561221</v>
      </c>
      <c r="J10" s="6"/>
      <c r="K10" s="22">
        <f>E10+I10</f>
        <v>5775.8207502556124</v>
      </c>
      <c r="M10" s="22">
        <v>-100.09833660984701</v>
      </c>
      <c r="N10" s="22">
        <v>676</v>
      </c>
      <c r="P10" s="24">
        <f>SUM(M10:O10)</f>
        <v>575.90166339015298</v>
      </c>
      <c r="R10" s="22">
        <v>0</v>
      </c>
      <c r="S10" s="22">
        <v>56</v>
      </c>
      <c r="U10" s="24">
        <f>SUM(R10:T10)</f>
        <v>56</v>
      </c>
      <c r="W10" s="22">
        <v>0</v>
      </c>
      <c r="X10" s="22">
        <v>2</v>
      </c>
      <c r="Z10" s="24">
        <f>SUM(W10:Y10)</f>
        <v>2</v>
      </c>
      <c r="AB10" s="22">
        <v>0</v>
      </c>
      <c r="AC10" s="22">
        <v>0</v>
      </c>
      <c r="AE10" s="24">
        <f>SUM(AB10:AD10)</f>
        <v>0</v>
      </c>
      <c r="AG10" s="22">
        <v>-18.9745691901227</v>
      </c>
      <c r="AH10" s="22">
        <v>522</v>
      </c>
      <c r="AJ10" s="24">
        <f>SUM(AG10:AI10)</f>
        <v>503.02543080987732</v>
      </c>
      <c r="AL10" s="22">
        <f>SUM(K10,P10,U10,Z10,AE10,AJ10)</f>
        <v>6912.7478444556427</v>
      </c>
      <c r="AN10" s="22">
        <f>SUM(M10,R10,W10,AB10,AG10)</f>
        <v>-119.0729057999697</v>
      </c>
      <c r="AO10" s="22">
        <f t="shared" ref="AO10:AP13" si="0">SUM(N10,S10,X10,AC10,AH10)</f>
        <v>1256</v>
      </c>
      <c r="AP10" s="22">
        <f t="shared" si="0"/>
        <v>0</v>
      </c>
      <c r="AR10" s="24">
        <v>575.90166339015298</v>
      </c>
      <c r="AS10" s="24">
        <v>56</v>
      </c>
      <c r="AT10" s="24">
        <v>2</v>
      </c>
      <c r="AU10" s="24">
        <v>0</v>
      </c>
      <c r="AV10" s="24">
        <v>503.02543080987732</v>
      </c>
    </row>
    <row r="11" spans="1:64" s="22" customFormat="1">
      <c r="A11" s="21"/>
      <c r="C11" s="22" t="s">
        <v>65</v>
      </c>
      <c r="E11" s="22">
        <v>494.267</v>
      </c>
      <c r="F11" s="25">
        <f>E11+(E38/1000)</f>
        <v>330.26042605467478</v>
      </c>
      <c r="H11" s="25">
        <f>-(F38/1000)</f>
        <v>0</v>
      </c>
      <c r="I11" s="24">
        <f>SUM(-E11,F11,G11:H11)</f>
        <v>-164.00657394532521</v>
      </c>
      <c r="J11" s="6"/>
      <c r="K11" s="22">
        <f t="shared" ref="K11:K13" si="1">E11+I11</f>
        <v>330.26042605467478</v>
      </c>
      <c r="M11" s="22">
        <v>0</v>
      </c>
      <c r="N11" s="22">
        <v>0</v>
      </c>
      <c r="P11" s="24">
        <f t="shared" ref="P11:P13" si="2">SUM(M11:O11)</f>
        <v>0</v>
      </c>
      <c r="R11" s="22">
        <v>-0.62178428448638723</v>
      </c>
      <c r="S11" s="22">
        <v>20</v>
      </c>
      <c r="U11" s="24">
        <f t="shared" ref="U11:U13" si="3">SUM(R11:T11)</f>
        <v>19.378215715513612</v>
      </c>
      <c r="W11" s="22">
        <v>0</v>
      </c>
      <c r="X11" s="22">
        <v>0</v>
      </c>
      <c r="Z11" s="24">
        <f t="shared" ref="Z11:Z13" si="4">SUM(W11:Y11)</f>
        <v>0</v>
      </c>
      <c r="AB11" s="22">
        <v>0</v>
      </c>
      <c r="AC11" s="22">
        <v>0</v>
      </c>
      <c r="AE11" s="24">
        <f t="shared" ref="AE11:AE13" si="5">SUM(AB11:AD11)</f>
        <v>0</v>
      </c>
      <c r="AG11" s="22">
        <v>0</v>
      </c>
      <c r="AH11" s="22">
        <v>0</v>
      </c>
      <c r="AJ11" s="24">
        <f t="shared" ref="AJ11:AJ13" si="6">SUM(AG11:AI11)</f>
        <v>0</v>
      </c>
      <c r="AL11" s="22">
        <f t="shared" ref="AL11:AL13" si="7">SUM(K11,P11,U11,Z11,AE11,AJ11)</f>
        <v>349.63864177018837</v>
      </c>
      <c r="AN11" s="22">
        <f t="shared" ref="AN11:AP29" si="8">SUM(M11,R11,W11,AB11,AG11)</f>
        <v>-0.62178428448638723</v>
      </c>
      <c r="AO11" s="22">
        <f t="shared" si="0"/>
        <v>20</v>
      </c>
      <c r="AP11" s="22">
        <f t="shared" si="0"/>
        <v>0</v>
      </c>
      <c r="AR11" s="24">
        <v>0</v>
      </c>
      <c r="AS11" s="24">
        <v>19.378215715513612</v>
      </c>
      <c r="AT11" s="24">
        <v>0</v>
      </c>
      <c r="AU11" s="24">
        <v>0</v>
      </c>
      <c r="AV11" s="24">
        <v>0</v>
      </c>
    </row>
    <row r="12" spans="1:64" s="22" customFormat="1">
      <c r="A12" s="21"/>
      <c r="C12" s="22" t="s">
        <v>25</v>
      </c>
      <c r="E12" s="22">
        <v>12468.481</v>
      </c>
      <c r="F12" s="25">
        <f>E12+(E39/1000)</f>
        <v>13089.279890452981</v>
      </c>
      <c r="G12" s="22">
        <v>-238.18748793304985</v>
      </c>
      <c r="H12" s="25">
        <f>-(F39/1000)</f>
        <v>-494.86848358814746</v>
      </c>
      <c r="I12" s="24">
        <f>SUM(-E12,F12,G12:H12)</f>
        <v>-112.25708106821617</v>
      </c>
      <c r="J12" s="6"/>
      <c r="K12" s="22">
        <f t="shared" si="1"/>
        <v>12356.223918931784</v>
      </c>
      <c r="M12" s="22">
        <v>0</v>
      </c>
      <c r="N12" s="22">
        <v>0</v>
      </c>
      <c r="P12" s="24">
        <f t="shared" si="2"/>
        <v>0</v>
      </c>
      <c r="R12" s="22">
        <v>-16.930458875732004</v>
      </c>
      <c r="S12" s="22">
        <v>117</v>
      </c>
      <c r="U12" s="24">
        <f t="shared" si="3"/>
        <v>100.069541124268</v>
      </c>
      <c r="W12" s="22">
        <v>-14.04119807431552</v>
      </c>
      <c r="X12" s="22">
        <v>97</v>
      </c>
      <c r="Z12" s="24">
        <f t="shared" si="4"/>
        <v>82.958801925684483</v>
      </c>
      <c r="AB12" s="22">
        <v>-46.845213386226867</v>
      </c>
      <c r="AC12" s="22">
        <v>323</v>
      </c>
      <c r="AE12" s="24">
        <f t="shared" si="5"/>
        <v>276.15478661377313</v>
      </c>
      <c r="AG12" s="22">
        <v>0</v>
      </c>
      <c r="AH12" s="22">
        <v>0</v>
      </c>
      <c r="AJ12" s="24">
        <f t="shared" si="6"/>
        <v>0</v>
      </c>
      <c r="AL12" s="22">
        <f t="shared" si="7"/>
        <v>12815.407048595511</v>
      </c>
      <c r="AN12" s="22">
        <f t="shared" si="8"/>
        <v>-77.816870336274391</v>
      </c>
      <c r="AO12" s="22">
        <f t="shared" si="0"/>
        <v>537</v>
      </c>
      <c r="AP12" s="22">
        <f t="shared" si="0"/>
        <v>0</v>
      </c>
      <c r="AR12" s="24">
        <v>0</v>
      </c>
      <c r="AS12" s="24">
        <v>100.069541124268</v>
      </c>
      <c r="AT12" s="24">
        <v>82.958801925684483</v>
      </c>
      <c r="AU12" s="24">
        <v>276.15478661377313</v>
      </c>
      <c r="AV12" s="24">
        <v>0</v>
      </c>
    </row>
    <row r="13" spans="1:64" s="22" customFormat="1">
      <c r="A13" s="21"/>
      <c r="C13" s="22" t="s">
        <v>26</v>
      </c>
      <c r="E13" s="27">
        <v>5200.7920000000004</v>
      </c>
      <c r="F13" s="25">
        <f>E13+(SUM(E40:E41)/1000)</f>
        <v>4972.4318243303351</v>
      </c>
      <c r="G13" s="27"/>
      <c r="H13" s="25">
        <f>-(SUM(F40:F41)/1000)</f>
        <v>-56.639823581020998</v>
      </c>
      <c r="I13" s="24">
        <f>SUM(-E13,F13,G13:H13)</f>
        <v>-284.9999992506863</v>
      </c>
      <c r="J13" s="6"/>
      <c r="K13" s="27">
        <f t="shared" si="1"/>
        <v>4915.792000749314</v>
      </c>
      <c r="M13" s="27">
        <v>0</v>
      </c>
      <c r="N13" s="27">
        <v>1</v>
      </c>
      <c r="O13" s="27"/>
      <c r="P13" s="24">
        <f t="shared" si="2"/>
        <v>1</v>
      </c>
      <c r="R13" s="27">
        <v>-22.084279733142036</v>
      </c>
      <c r="S13" s="27">
        <v>33</v>
      </c>
      <c r="T13" s="27"/>
      <c r="U13" s="24">
        <f t="shared" si="3"/>
        <v>10.915720266857964</v>
      </c>
      <c r="W13" s="27">
        <v>-52.284159971240697</v>
      </c>
      <c r="X13" s="27">
        <v>196</v>
      </c>
      <c r="Y13" s="27"/>
      <c r="Z13" s="24">
        <f t="shared" si="4"/>
        <v>143.71584002875932</v>
      </c>
      <c r="AB13" s="27">
        <v>0</v>
      </c>
      <c r="AC13" s="27">
        <v>0</v>
      </c>
      <c r="AD13" s="27"/>
      <c r="AE13" s="24">
        <f t="shared" si="5"/>
        <v>0</v>
      </c>
      <c r="AG13" s="27">
        <v>-97.358385635057672</v>
      </c>
      <c r="AH13" s="27">
        <v>236</v>
      </c>
      <c r="AI13" s="27"/>
      <c r="AJ13" s="24">
        <f t="shared" si="6"/>
        <v>138.64161436494231</v>
      </c>
      <c r="AL13" s="27">
        <f t="shared" si="7"/>
        <v>5210.0651754098726</v>
      </c>
      <c r="AN13" s="27">
        <f t="shared" si="8"/>
        <v>-171.72682533944041</v>
      </c>
      <c r="AO13" s="27">
        <f t="shared" si="0"/>
        <v>466</v>
      </c>
      <c r="AP13" s="27">
        <f t="shared" si="0"/>
        <v>0</v>
      </c>
      <c r="AR13" s="24">
        <v>1</v>
      </c>
      <c r="AS13" s="24">
        <v>10.915720266857964</v>
      </c>
      <c r="AT13" s="24">
        <v>143.71584002875932</v>
      </c>
      <c r="AU13" s="24">
        <v>0</v>
      </c>
      <c r="AV13" s="24">
        <v>138.64161436494231</v>
      </c>
    </row>
    <row r="14" spans="1:64" s="22" customFormat="1" ht="18" customHeight="1" thickBot="1">
      <c r="A14" s="21"/>
      <c r="B14" s="22" t="s">
        <v>66</v>
      </c>
      <c r="E14" s="27">
        <f>SUM(E10:E13)</f>
        <v>23640.54</v>
      </c>
      <c r="F14" s="27">
        <f>SUM(F10:F13)</f>
        <v>24145.306128853972</v>
      </c>
      <c r="G14" s="29">
        <f>SUM(G10:G13)</f>
        <v>-238.18748793304985</v>
      </c>
      <c r="H14" s="27">
        <f>SUM(H10:H13)</f>
        <v>-529.0215449295373</v>
      </c>
      <c r="I14" s="30">
        <f>SUM(I10:I13)</f>
        <v>-262.44290400861547</v>
      </c>
      <c r="J14" s="6"/>
      <c r="K14" s="27">
        <f>SUM(K10:K13)</f>
        <v>23378.097095991383</v>
      </c>
      <c r="M14" s="27">
        <v>-100.09833660984701</v>
      </c>
      <c r="N14" s="27">
        <v>677</v>
      </c>
      <c r="O14" s="45">
        <v>0</v>
      </c>
      <c r="P14" s="30">
        <f>SUM(P10:P13)</f>
        <v>576.90166339015298</v>
      </c>
      <c r="R14" s="27">
        <v>-39.636522893360429</v>
      </c>
      <c r="S14" s="27">
        <v>226</v>
      </c>
      <c r="T14" s="45">
        <v>0</v>
      </c>
      <c r="U14" s="30">
        <f>SUM(U10:U13)</f>
        <v>186.36347710663958</v>
      </c>
      <c r="W14" s="27">
        <v>-66.325358045556214</v>
      </c>
      <c r="X14" s="27">
        <v>295</v>
      </c>
      <c r="Y14" s="45">
        <v>0</v>
      </c>
      <c r="Z14" s="30">
        <f>SUM(Z10:Z13)</f>
        <v>228.67464195444381</v>
      </c>
      <c r="AB14" s="27">
        <v>-46.845213386226867</v>
      </c>
      <c r="AC14" s="27">
        <v>323</v>
      </c>
      <c r="AD14" s="45">
        <v>0</v>
      </c>
      <c r="AE14" s="30">
        <f>SUM(AE10:AE13)</f>
        <v>276.15478661377313</v>
      </c>
      <c r="AG14" s="27">
        <v>-116.33295482518037</v>
      </c>
      <c r="AH14" s="27">
        <v>758</v>
      </c>
      <c r="AI14" s="45">
        <v>0</v>
      </c>
      <c r="AJ14" s="30">
        <f>SUM(AJ10:AJ13)</f>
        <v>641.66704517481958</v>
      </c>
      <c r="AL14" s="27">
        <f>SUM(AL10:AL13)</f>
        <v>25287.858710231216</v>
      </c>
      <c r="AN14" s="27">
        <f>SUM(AN10:AN13)</f>
        <v>-369.2383857601709</v>
      </c>
      <c r="AO14" s="27">
        <f t="shared" ref="AO14:AP14" si="9">SUM(AO10:AO13)</f>
        <v>2279</v>
      </c>
      <c r="AP14" s="27">
        <f t="shared" si="9"/>
        <v>0</v>
      </c>
      <c r="AR14" s="30">
        <v>576.90166339015298</v>
      </c>
      <c r="AS14" s="30">
        <v>186.36347710663958</v>
      </c>
      <c r="AT14" s="30">
        <v>228.67464195444381</v>
      </c>
      <c r="AU14" s="30">
        <v>276.15478661377313</v>
      </c>
      <c r="AV14" s="30">
        <v>641.66704517481958</v>
      </c>
    </row>
    <row r="15" spans="1:64" s="6" customFormat="1" ht="13.8" thickBot="1">
      <c r="A15" s="31"/>
      <c r="B15" s="2"/>
      <c r="C15" s="2"/>
      <c r="D15" s="2"/>
      <c r="E15" s="8"/>
      <c r="F15" s="8"/>
      <c r="G15" s="8"/>
      <c r="H15" s="8"/>
      <c r="I15" s="24"/>
      <c r="K15" s="8"/>
      <c r="M15" s="8"/>
      <c r="N15" s="8"/>
      <c r="O15" s="22"/>
      <c r="P15" s="24"/>
      <c r="R15" s="8"/>
      <c r="S15" s="8"/>
      <c r="T15" s="22"/>
      <c r="U15" s="24"/>
      <c r="W15" s="8"/>
      <c r="X15" s="8"/>
      <c r="Y15" s="22"/>
      <c r="Z15" s="24"/>
      <c r="AB15" s="8"/>
      <c r="AC15" s="8"/>
      <c r="AD15" s="22"/>
      <c r="AE15" s="24"/>
      <c r="AG15" s="8"/>
      <c r="AH15" s="8"/>
      <c r="AI15" s="22"/>
      <c r="AJ15" s="24"/>
      <c r="AL15" s="8"/>
      <c r="AM15" s="2"/>
      <c r="AN15" s="54" t="s">
        <v>85</v>
      </c>
      <c r="AO15" s="55">
        <f>(AN14+AP14)/AO14</f>
        <v>-0.16201772082499821</v>
      </c>
      <c r="AP15" s="8"/>
      <c r="AQ15" s="2"/>
      <c r="AR15" s="24"/>
      <c r="AS15" s="24"/>
      <c r="AT15" s="24"/>
      <c r="AU15" s="24"/>
      <c r="AV15" s="2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6" customFormat="1">
      <c r="A16" s="31"/>
      <c r="B16" s="2" t="s">
        <v>28</v>
      </c>
      <c r="C16" s="2"/>
      <c r="D16" s="2"/>
      <c r="E16" s="8"/>
      <c r="F16" s="8"/>
      <c r="G16" s="8"/>
      <c r="H16" s="8"/>
      <c r="I16" s="24"/>
      <c r="K16" s="8"/>
      <c r="M16" s="8"/>
      <c r="N16" s="8"/>
      <c r="O16" s="8"/>
      <c r="P16" s="24"/>
      <c r="R16" s="8"/>
      <c r="S16" s="8"/>
      <c r="T16" s="8"/>
      <c r="U16" s="24"/>
      <c r="W16" s="8"/>
      <c r="X16" s="8"/>
      <c r="Y16" s="8"/>
      <c r="Z16" s="24"/>
      <c r="AB16" s="8"/>
      <c r="AC16" s="8"/>
      <c r="AD16" s="8"/>
      <c r="AE16" s="24"/>
      <c r="AG16" s="8"/>
      <c r="AH16" s="8"/>
      <c r="AI16" s="8"/>
      <c r="AJ16" s="24"/>
      <c r="AL16" s="8"/>
      <c r="AM16" s="2"/>
      <c r="AN16" s="8"/>
      <c r="AO16" s="8"/>
      <c r="AP16" s="8"/>
      <c r="AQ16" s="2"/>
      <c r="AR16" s="24"/>
      <c r="AS16" s="24"/>
      <c r="AT16" s="24"/>
      <c r="AU16" s="24"/>
      <c r="AV16" s="2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6" customFormat="1">
      <c r="A17" s="3"/>
      <c r="B17" s="2" t="s">
        <v>29</v>
      </c>
      <c r="C17" s="2"/>
      <c r="D17" s="2"/>
      <c r="E17" s="23" t="s">
        <v>20</v>
      </c>
      <c r="F17" s="23" t="s">
        <v>20</v>
      </c>
      <c r="G17" s="23" t="s">
        <v>67</v>
      </c>
      <c r="H17" s="23" t="s">
        <v>68</v>
      </c>
      <c r="I17" s="24"/>
      <c r="K17" s="23"/>
      <c r="M17" s="23"/>
      <c r="N17" s="23"/>
      <c r="O17" s="23"/>
      <c r="P17" s="24"/>
      <c r="R17" s="23"/>
      <c r="S17" s="23"/>
      <c r="T17" s="23"/>
      <c r="U17" s="24"/>
      <c r="W17" s="23"/>
      <c r="X17" s="23"/>
      <c r="Y17" s="23"/>
      <c r="Z17" s="24"/>
      <c r="AB17" s="23"/>
      <c r="AC17" s="23"/>
      <c r="AD17" s="23"/>
      <c r="AE17" s="24"/>
      <c r="AG17" s="23"/>
      <c r="AH17" s="23"/>
      <c r="AI17" s="23"/>
      <c r="AJ17" s="24"/>
      <c r="AL17" s="23"/>
      <c r="AM17" s="2"/>
      <c r="AN17" s="23"/>
      <c r="AO17" s="23"/>
      <c r="AP17" s="23"/>
      <c r="AQ17" s="2"/>
      <c r="AR17" s="24"/>
      <c r="AS17" s="24"/>
      <c r="AT17" s="24"/>
      <c r="AU17" s="24"/>
      <c r="AV17" s="2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32" customFormat="1">
      <c r="A18" s="31"/>
      <c r="C18" s="32" t="s">
        <v>32</v>
      </c>
      <c r="E18" s="22">
        <v>42432</v>
      </c>
      <c r="F18" s="22">
        <v>43483.326000000001</v>
      </c>
      <c r="G18" s="22"/>
      <c r="H18" s="22">
        <v>225.88669159506821</v>
      </c>
      <c r="I18" s="24">
        <f>SUM(-E18,F18,G18:H18)</f>
        <v>1277.2126915950691</v>
      </c>
      <c r="J18" s="6"/>
      <c r="K18" s="22">
        <f>E18+I18</f>
        <v>43709.212691595072</v>
      </c>
      <c r="M18" s="22">
        <v>-1992.1569057801994</v>
      </c>
      <c r="N18" s="22">
        <v>3378.6876459932382</v>
      </c>
      <c r="O18" s="22"/>
      <c r="P18" s="24">
        <f>SUM(M18:O18)</f>
        <v>1386.5307402130388</v>
      </c>
      <c r="R18" s="22">
        <v>0</v>
      </c>
      <c r="S18" s="22">
        <v>279.22117963655722</v>
      </c>
      <c r="T18" s="22"/>
      <c r="U18" s="24">
        <f>SUM(R18:T18)</f>
        <v>279.22117963655722</v>
      </c>
      <c r="W18" s="22">
        <v>0</v>
      </c>
      <c r="X18" s="22">
        <v>9.445364502767962</v>
      </c>
      <c r="Y18" s="22"/>
      <c r="Z18" s="24">
        <f>SUM(W18:Y18)</f>
        <v>9.445364502767962</v>
      </c>
      <c r="AB18" s="22">
        <v>0</v>
      </c>
      <c r="AC18" s="22">
        <v>0</v>
      </c>
      <c r="AD18" s="22"/>
      <c r="AE18" s="24">
        <f>SUM(AB18:AD18)</f>
        <v>0</v>
      </c>
      <c r="AG18" s="22">
        <v>-377.63184011380059</v>
      </c>
      <c r="AH18" s="22">
        <v>2609.1114319722124</v>
      </c>
      <c r="AI18" s="22"/>
      <c r="AJ18" s="24">
        <f>SUM(AG18:AI18)</f>
        <v>2231.4795918584118</v>
      </c>
      <c r="AL18" s="22">
        <f t="shared" ref="AL18:AL21" si="10">SUM(K18,P18,U18,Z18,AE18,AJ18)</f>
        <v>47615.889567805854</v>
      </c>
      <c r="AN18" s="22">
        <f>SUM(M18,R18,W18,AB18,AG18)</f>
        <v>-2369.7887458939999</v>
      </c>
      <c r="AO18" s="22">
        <f t="shared" ref="AO18:AO21" si="11">SUM(N18,S18,X18,AC18,AH18)</f>
        <v>6276.4656221047753</v>
      </c>
      <c r="AP18" s="22">
        <f t="shared" ref="AP18:AP21" si="12">SUM(O18,T18,Y18,AD18,AI18)</f>
        <v>0</v>
      </c>
      <c r="AR18" s="24">
        <v>1386.5307402130388</v>
      </c>
      <c r="AS18" s="24">
        <v>279.22117963655722</v>
      </c>
      <c r="AT18" s="24">
        <v>9.445364502767962</v>
      </c>
      <c r="AU18" s="24">
        <v>0</v>
      </c>
      <c r="AV18" s="24">
        <v>2231.4795918584118</v>
      </c>
    </row>
    <row r="19" spans="1:64" s="22" customFormat="1">
      <c r="A19" s="31"/>
      <c r="C19" s="22" t="s">
        <v>65</v>
      </c>
      <c r="E19" s="22">
        <v>29714</v>
      </c>
      <c r="F19" s="22">
        <v>30414.37</v>
      </c>
      <c r="I19" s="24">
        <f>SUM(-E19,F19,G19:H19)</f>
        <v>700.36999999999898</v>
      </c>
      <c r="J19" s="6"/>
      <c r="K19" s="22">
        <f t="shared" ref="K19:K21" si="13">E19+I19</f>
        <v>30414.37</v>
      </c>
      <c r="M19" s="22">
        <v>0</v>
      </c>
      <c r="N19" s="22">
        <v>0</v>
      </c>
      <c r="P19" s="24">
        <f t="shared" ref="P19:P21" si="14">SUM(M19:O19)</f>
        <v>0</v>
      </c>
      <c r="R19" s="22">
        <v>-60.096201434366506</v>
      </c>
      <c r="S19" s="22">
        <v>1402.3995843999999</v>
      </c>
      <c r="U19" s="24">
        <f t="shared" ref="U19:U21" si="15">SUM(R19:T19)</f>
        <v>1342.3033829656333</v>
      </c>
      <c r="W19" s="22">
        <v>0</v>
      </c>
      <c r="X19" s="22">
        <v>0</v>
      </c>
      <c r="Z19" s="24">
        <f t="shared" ref="Z19:Z21" si="16">SUM(W19:Y19)</f>
        <v>0</v>
      </c>
      <c r="AB19" s="22">
        <v>0</v>
      </c>
      <c r="AC19" s="22">
        <v>0</v>
      </c>
      <c r="AE19" s="24">
        <f t="shared" ref="AE19:AE21" si="17">SUM(AB19:AD19)</f>
        <v>0</v>
      </c>
      <c r="AG19" s="22">
        <v>0</v>
      </c>
      <c r="AH19" s="22">
        <v>0</v>
      </c>
      <c r="AJ19" s="24">
        <f t="shared" ref="AJ19:AJ21" si="18">SUM(AG19:AI19)</f>
        <v>0</v>
      </c>
      <c r="AL19" s="22">
        <f t="shared" si="10"/>
        <v>31756.673382965633</v>
      </c>
      <c r="AN19" s="22">
        <f t="shared" ref="AN19:AN21" si="19">SUM(M19,R19,W19,AB19,AG19)</f>
        <v>-60.096201434366506</v>
      </c>
      <c r="AO19" s="22">
        <f t="shared" si="11"/>
        <v>1402.3995843999999</v>
      </c>
      <c r="AP19" s="22">
        <f t="shared" si="12"/>
        <v>0</v>
      </c>
      <c r="AR19" s="24">
        <v>0</v>
      </c>
      <c r="AS19" s="24">
        <v>1342.3033829656333</v>
      </c>
      <c r="AT19" s="24">
        <v>0</v>
      </c>
      <c r="AU19" s="24">
        <v>0</v>
      </c>
      <c r="AV19" s="24">
        <v>0</v>
      </c>
    </row>
    <row r="20" spans="1:64" s="22" customFormat="1">
      <c r="A20" s="31"/>
      <c r="C20" s="22" t="s">
        <v>25</v>
      </c>
      <c r="E20" s="22">
        <v>505864</v>
      </c>
      <c r="F20" s="22">
        <v>527450.27599999995</v>
      </c>
      <c r="G20" s="22">
        <v>-9733.4155956191426</v>
      </c>
      <c r="H20" s="22">
        <v>-7444.0854637500006</v>
      </c>
      <c r="I20" s="24">
        <f>SUM(-E20,F20,G20:H20)</f>
        <v>4408.7749406308112</v>
      </c>
      <c r="J20" s="6"/>
      <c r="K20" s="22">
        <f t="shared" si="13"/>
        <v>510272.77494063083</v>
      </c>
      <c r="M20" s="22">
        <v>0</v>
      </c>
      <c r="N20" s="22">
        <v>0</v>
      </c>
      <c r="P20" s="24">
        <f t="shared" si="14"/>
        <v>0</v>
      </c>
      <c r="R20" s="22">
        <v>-676.86612026098544</v>
      </c>
      <c r="S20" s="22">
        <v>4917.9610000000002</v>
      </c>
      <c r="U20" s="24">
        <f t="shared" si="15"/>
        <v>4241.0948797390147</v>
      </c>
      <c r="W20" s="22">
        <v>-561.35579869019068</v>
      </c>
      <c r="X20" s="22">
        <v>4078.688299567616</v>
      </c>
      <c r="Z20" s="24">
        <f t="shared" si="16"/>
        <v>3517.3325008774254</v>
      </c>
      <c r="AB20" s="22">
        <v>-1872.8339302712745</v>
      </c>
      <c r="AC20" s="22">
        <v>13607.601197411776</v>
      </c>
      <c r="AE20" s="24">
        <f t="shared" si="17"/>
        <v>11734.767267140502</v>
      </c>
      <c r="AG20" s="22">
        <v>0</v>
      </c>
      <c r="AH20" s="22">
        <v>0</v>
      </c>
      <c r="AJ20" s="24">
        <f t="shared" si="18"/>
        <v>0</v>
      </c>
      <c r="AL20" s="22">
        <f t="shared" si="10"/>
        <v>529765.96958838776</v>
      </c>
      <c r="AN20" s="22">
        <f t="shared" si="19"/>
        <v>-3111.0558492224509</v>
      </c>
      <c r="AO20" s="22">
        <f t="shared" si="11"/>
        <v>22604.250496979392</v>
      </c>
      <c r="AP20" s="22">
        <f t="shared" si="12"/>
        <v>0</v>
      </c>
      <c r="AR20" s="24">
        <v>0</v>
      </c>
      <c r="AS20" s="24">
        <v>4241.0948797390147</v>
      </c>
      <c r="AT20" s="24">
        <v>3517.3325008774254</v>
      </c>
      <c r="AU20" s="24">
        <v>11734.767267140502</v>
      </c>
      <c r="AV20" s="24">
        <v>0</v>
      </c>
    </row>
    <row r="21" spans="1:64" s="22" customFormat="1">
      <c r="A21" s="31"/>
      <c r="C21" s="22" t="s">
        <v>35</v>
      </c>
      <c r="E21" s="27">
        <v>99229</v>
      </c>
      <c r="F21" s="27">
        <v>106856.891</v>
      </c>
      <c r="G21" s="27"/>
      <c r="H21" s="27">
        <v>-413.05758772797088</v>
      </c>
      <c r="I21" s="33">
        <f>SUM(-E21,F21,G21:H21)</f>
        <v>7214.8334122720325</v>
      </c>
      <c r="J21" s="6"/>
      <c r="K21" s="27">
        <f t="shared" si="13"/>
        <v>106443.83341227203</v>
      </c>
      <c r="M21" s="27">
        <v>0</v>
      </c>
      <c r="N21" s="27">
        <v>6.1058734442374352</v>
      </c>
      <c r="O21" s="27"/>
      <c r="P21" s="33">
        <f t="shared" si="14"/>
        <v>6.1058734442374352</v>
      </c>
      <c r="R21" s="27">
        <v>-411.39970652660065</v>
      </c>
      <c r="S21" s="27">
        <v>866.02889149849852</v>
      </c>
      <c r="T21" s="27"/>
      <c r="U21" s="33">
        <f t="shared" si="15"/>
        <v>454.62918497189787</v>
      </c>
      <c r="W21" s="27">
        <v>-999.54042274345022</v>
      </c>
      <c r="X21" s="27">
        <v>3427.2898514079629</v>
      </c>
      <c r="Y21" s="27"/>
      <c r="Z21" s="33">
        <f t="shared" si="16"/>
        <v>2427.7494286645128</v>
      </c>
      <c r="AB21" s="27">
        <v>0</v>
      </c>
      <c r="AC21" s="27">
        <v>0</v>
      </c>
      <c r="AD21" s="27"/>
      <c r="AE21" s="33">
        <f t="shared" si="17"/>
        <v>0</v>
      </c>
      <c r="AG21" s="27">
        <v>-1675.5966502274302</v>
      </c>
      <c r="AH21" s="27">
        <v>1296.3071198194536</v>
      </c>
      <c r="AI21" s="27"/>
      <c r="AJ21" s="33">
        <f t="shared" si="18"/>
        <v>-379.2895304079766</v>
      </c>
      <c r="AL21" s="27">
        <f t="shared" si="10"/>
        <v>108953.0283689447</v>
      </c>
      <c r="AN21" s="27">
        <f t="shared" si="19"/>
        <v>-3086.5367794974809</v>
      </c>
      <c r="AO21" s="27">
        <f t="shared" si="11"/>
        <v>5595.7317361701525</v>
      </c>
      <c r="AP21" s="27">
        <f t="shared" si="12"/>
        <v>0</v>
      </c>
      <c r="AR21" s="33">
        <v>6.1058734442374352</v>
      </c>
      <c r="AS21" s="33">
        <v>454.62918497189787</v>
      </c>
      <c r="AT21" s="33">
        <v>2427.7494286645128</v>
      </c>
      <c r="AU21" s="33">
        <v>0</v>
      </c>
      <c r="AV21" s="33">
        <v>-379.2895304079766</v>
      </c>
    </row>
    <row r="22" spans="1:64" s="22" customFormat="1">
      <c r="A22" s="31"/>
      <c r="B22" s="22" t="s">
        <v>36</v>
      </c>
      <c r="E22" s="8">
        <f>SUM(E18:E21)</f>
        <v>677239</v>
      </c>
      <c r="F22" s="8">
        <f>SUM(F18:F21)</f>
        <v>708204.8629999999</v>
      </c>
      <c r="G22" s="8">
        <f>SUM(G18:G21)</f>
        <v>-9733.4155956191426</v>
      </c>
      <c r="H22" s="8">
        <f>SUM(H18:H21)</f>
        <v>-7631.2563598829029</v>
      </c>
      <c r="I22" s="24">
        <f>SUM(I18:I21)</f>
        <v>13601.191044497911</v>
      </c>
      <c r="J22" s="6"/>
      <c r="K22" s="8">
        <f>SUM(K18:K21)</f>
        <v>690840.19104449789</v>
      </c>
      <c r="M22" s="8">
        <v>-1992.1569057801994</v>
      </c>
      <c r="N22" s="8">
        <v>3384.7935194374759</v>
      </c>
      <c r="O22" s="47">
        <v>0</v>
      </c>
      <c r="P22" s="24">
        <f>SUM(P18:P21)</f>
        <v>1392.6366136572763</v>
      </c>
      <c r="R22" s="8">
        <v>-1148.3620282219526</v>
      </c>
      <c r="S22" s="8">
        <v>7465.6106555350561</v>
      </c>
      <c r="T22" s="47">
        <v>0</v>
      </c>
      <c r="U22" s="24">
        <f>SUM(U18:U21)</f>
        <v>6317.2486273131035</v>
      </c>
      <c r="W22" s="8">
        <v>-1560.8962214336409</v>
      </c>
      <c r="X22" s="8">
        <v>7515.4235154783473</v>
      </c>
      <c r="Y22" s="47">
        <v>0</v>
      </c>
      <c r="Z22" s="24">
        <f>SUM(Z18:Z21)</f>
        <v>5954.5272940447067</v>
      </c>
      <c r="AB22" s="8">
        <v>-1872.8339302712745</v>
      </c>
      <c r="AC22" s="8">
        <v>13607.601197411776</v>
      </c>
      <c r="AD22" s="47">
        <v>0</v>
      </c>
      <c r="AE22" s="24">
        <f>SUM(AE18:AE21)</f>
        <v>11734.767267140502</v>
      </c>
      <c r="AG22" s="8">
        <v>-2053.228490341231</v>
      </c>
      <c r="AH22" s="8">
        <v>3905.4185517916658</v>
      </c>
      <c r="AI22" s="47">
        <v>0</v>
      </c>
      <c r="AJ22" s="24">
        <f>SUM(AJ18:AJ21)</f>
        <v>1852.1900614504352</v>
      </c>
      <c r="AL22" s="8">
        <f>SUM(AL18:AL21)</f>
        <v>718091.56090810394</v>
      </c>
      <c r="AN22" s="27">
        <f>SUM(AN18:AN21)</f>
        <v>-8627.4775760482989</v>
      </c>
      <c r="AO22" s="27">
        <f t="shared" ref="AO22" si="20">SUM(AO18:AO21)</f>
        <v>35878.847439654317</v>
      </c>
      <c r="AP22" s="27">
        <f t="shared" ref="AP22" si="21">SUM(AP18:AP21)</f>
        <v>0</v>
      </c>
      <c r="AR22" s="24">
        <v>1392.6366136572763</v>
      </c>
      <c r="AS22" s="24">
        <v>6317.2486273131035</v>
      </c>
      <c r="AT22" s="24">
        <v>5954.5272940447067</v>
      </c>
      <c r="AU22" s="24">
        <v>11734.767267140502</v>
      </c>
      <c r="AV22" s="24">
        <v>1852.1900614504352</v>
      </c>
      <c r="AW22" s="22">
        <f>SUM(AR22:AV22)</f>
        <v>27251.369863606022</v>
      </c>
    </row>
    <row r="23" spans="1:64" s="22" customFormat="1" ht="18" customHeight="1">
      <c r="A23" s="31"/>
      <c r="B23" s="22" t="s">
        <v>37</v>
      </c>
      <c r="E23" s="23" t="s">
        <v>20</v>
      </c>
      <c r="F23" s="23" t="s">
        <v>20</v>
      </c>
      <c r="G23" s="23" t="s">
        <v>67</v>
      </c>
      <c r="H23" s="23" t="s">
        <v>68</v>
      </c>
      <c r="I23" s="24"/>
      <c r="J23" s="6"/>
      <c r="K23" s="23"/>
      <c r="M23" s="23"/>
      <c r="N23" s="23"/>
      <c r="O23" s="23"/>
      <c r="P23" s="24"/>
      <c r="R23" s="23"/>
      <c r="S23" s="23"/>
      <c r="T23" s="23"/>
      <c r="U23" s="24"/>
      <c r="W23" s="23"/>
      <c r="X23" s="23"/>
      <c r="Y23" s="23"/>
      <c r="Z23" s="24"/>
      <c r="AB23" s="23"/>
      <c r="AC23" s="23"/>
      <c r="AD23" s="23"/>
      <c r="AE23" s="24"/>
      <c r="AG23" s="23"/>
      <c r="AH23" s="23"/>
      <c r="AI23" s="23"/>
      <c r="AJ23" s="24"/>
      <c r="AL23" s="23"/>
      <c r="AN23" s="23"/>
      <c r="AO23" s="23"/>
      <c r="AP23" s="23"/>
      <c r="AR23" s="24"/>
      <c r="AS23" s="24"/>
      <c r="AT23" s="24"/>
      <c r="AU23" s="24"/>
      <c r="AV23" s="24"/>
    </row>
    <row r="24" spans="1:64" s="22" customFormat="1">
      <c r="A24" s="31"/>
      <c r="C24" s="32" t="s">
        <v>32</v>
      </c>
      <c r="E24" s="22">
        <v>-13395.27</v>
      </c>
      <c r="F24" s="22">
        <v>-15758.276</v>
      </c>
      <c r="H24" s="22">
        <v>579.39673953057547</v>
      </c>
      <c r="I24" s="24">
        <f>SUM(-E24,F24,G24:H24)</f>
        <v>-1783.609260469424</v>
      </c>
      <c r="J24" s="6"/>
      <c r="K24" s="22">
        <f t="shared" ref="K24:K27" si="22">E24+I24</f>
        <v>-15178.879260469424</v>
      </c>
      <c r="M24" s="22">
        <v>1992.1569057801994</v>
      </c>
      <c r="N24" s="22">
        <v>-283.89726178558038</v>
      </c>
      <c r="P24" s="24">
        <f>SUM(M24:O24)</f>
        <v>1708.259643994619</v>
      </c>
      <c r="R24" s="22">
        <v>0</v>
      </c>
      <c r="S24" s="22">
        <v>-8.4893861411273441</v>
      </c>
      <c r="U24" s="24">
        <f>SUM(R24:T24)</f>
        <v>-8.4893861411273441</v>
      </c>
      <c r="W24" s="22">
        <v>0</v>
      </c>
      <c r="X24" s="22">
        <v>-0.44644855167236219</v>
      </c>
      <c r="Z24" s="24">
        <f>SUM(W24:Y24)</f>
        <v>-0.44644855167236219</v>
      </c>
      <c r="AB24" s="22">
        <v>0</v>
      </c>
      <c r="AC24" s="22">
        <v>0</v>
      </c>
      <c r="AE24" s="24">
        <f>SUM(AB24:AD24)</f>
        <v>0</v>
      </c>
      <c r="AG24" s="22">
        <v>377.63184011380059</v>
      </c>
      <c r="AH24" s="22">
        <v>-199.0003104758938</v>
      </c>
      <c r="AJ24" s="24">
        <f>SUM(AG24:AI24)</f>
        <v>178.63152963790679</v>
      </c>
      <c r="AL24" s="22">
        <f t="shared" ref="AL24:AL27" si="23">SUM(K24,P24,U24,Z24,AE24,AJ24)</f>
        <v>-13300.923921529698</v>
      </c>
      <c r="AN24" s="22">
        <f>SUM(M24,R24,W24,AB24,AG24)</f>
        <v>2369.7887458939999</v>
      </c>
      <c r="AO24" s="22">
        <f t="shared" ref="AO24:AO27" si="24">SUM(N24,S24,X24,AC24,AH24)</f>
        <v>-491.83340695427387</v>
      </c>
      <c r="AP24" s="22">
        <f t="shared" ref="AP24:AP27" si="25">SUM(O24,T24,Y24,AD24,AI24)</f>
        <v>0</v>
      </c>
      <c r="AR24" s="24">
        <v>1708.259643994619</v>
      </c>
      <c r="AS24" s="24">
        <v>-8.4893861411273441</v>
      </c>
      <c r="AT24" s="24">
        <v>-0.44644855167236219</v>
      </c>
      <c r="AU24" s="24">
        <v>0</v>
      </c>
      <c r="AV24" s="24">
        <v>178.63152963790679</v>
      </c>
    </row>
    <row r="25" spans="1:64" s="22" customFormat="1">
      <c r="A25" s="31"/>
      <c r="C25" s="22" t="s">
        <v>65</v>
      </c>
      <c r="E25" s="22">
        <v>-11565.386</v>
      </c>
      <c r="F25" s="22">
        <v>-11788.674000000001</v>
      </c>
      <c r="I25" s="24">
        <f>SUM(-E25,F25,G25:H25)</f>
        <v>-223.28800000000047</v>
      </c>
      <c r="J25" s="6"/>
      <c r="K25" s="22">
        <f t="shared" si="22"/>
        <v>-11788.674000000001</v>
      </c>
      <c r="M25" s="22">
        <v>0</v>
      </c>
      <c r="N25" s="22">
        <v>0</v>
      </c>
      <c r="P25" s="24">
        <f t="shared" ref="P25:P27" si="26">SUM(M25:O25)</f>
        <v>0</v>
      </c>
      <c r="R25" s="22">
        <v>60.096201434366506</v>
      </c>
      <c r="S25" s="22">
        <v>-9.311798894323335</v>
      </c>
      <c r="U25" s="24">
        <f t="shared" ref="U25:U27" si="27">SUM(R25:T25)</f>
        <v>50.784402540043175</v>
      </c>
      <c r="W25" s="22">
        <v>0</v>
      </c>
      <c r="X25" s="22">
        <v>0</v>
      </c>
      <c r="Z25" s="24">
        <f t="shared" ref="Z25:Z27" si="28">SUM(W25:Y25)</f>
        <v>0</v>
      </c>
      <c r="AB25" s="22">
        <v>0</v>
      </c>
      <c r="AC25" s="22">
        <v>0</v>
      </c>
      <c r="AE25" s="24">
        <f t="shared" ref="AE25:AE27" si="29">SUM(AB25:AD25)</f>
        <v>0</v>
      </c>
      <c r="AG25" s="22">
        <v>0</v>
      </c>
      <c r="AH25" s="22">
        <v>0</v>
      </c>
      <c r="AJ25" s="24">
        <f t="shared" ref="AJ25:AJ27" si="30">SUM(AG25:AI25)</f>
        <v>0</v>
      </c>
      <c r="AL25" s="22">
        <f t="shared" si="23"/>
        <v>-11737.889597459958</v>
      </c>
      <c r="AN25" s="22">
        <f t="shared" ref="AN25:AN27" si="31">SUM(M25,R25,W25,AB25,AG25)</f>
        <v>60.096201434366506</v>
      </c>
      <c r="AO25" s="22">
        <f t="shared" si="24"/>
        <v>-9.311798894323335</v>
      </c>
      <c r="AP25" s="22">
        <f t="shared" si="25"/>
        <v>0</v>
      </c>
      <c r="AR25" s="24">
        <v>0</v>
      </c>
      <c r="AS25" s="24">
        <v>50.784402540043175</v>
      </c>
      <c r="AT25" s="24">
        <v>0</v>
      </c>
      <c r="AU25" s="24">
        <v>0</v>
      </c>
      <c r="AV25" s="24">
        <v>0</v>
      </c>
    </row>
    <row r="26" spans="1:64" s="22" customFormat="1">
      <c r="A26" s="31"/>
      <c r="C26" s="22" t="s">
        <v>25</v>
      </c>
      <c r="E26" s="22">
        <v>-151240</v>
      </c>
      <c r="F26" s="22">
        <v>-149848.99400000001</v>
      </c>
      <c r="G26" s="22">
        <v>238.18748793304985</v>
      </c>
      <c r="H26" s="22">
        <v>399.47284124999987</v>
      </c>
      <c r="I26" s="24">
        <f>SUM(-E26,F26,G26:H26)</f>
        <v>2028.6663291830437</v>
      </c>
      <c r="J26" s="6"/>
      <c r="K26" s="22">
        <f t="shared" si="22"/>
        <v>-149211.33367081697</v>
      </c>
      <c r="M26" s="22">
        <v>0</v>
      </c>
      <c r="N26" s="22">
        <v>0</v>
      </c>
      <c r="P26" s="24">
        <f t="shared" si="26"/>
        <v>0</v>
      </c>
      <c r="R26" s="22">
        <v>676.86612026098544</v>
      </c>
      <c r="S26" s="22">
        <v>-63.136832587499995</v>
      </c>
      <c r="U26" s="24">
        <f t="shared" si="27"/>
        <v>613.72928767348549</v>
      </c>
      <c r="W26" s="22">
        <v>561.35579869019068</v>
      </c>
      <c r="X26" s="22">
        <v>-44.482063329756194</v>
      </c>
      <c r="Z26" s="24">
        <f t="shared" si="28"/>
        <v>516.87373536043447</v>
      </c>
      <c r="AB26" s="22">
        <v>1872.8339302712745</v>
      </c>
      <c r="AC26" s="22">
        <v>-129.5916805436251</v>
      </c>
      <c r="AE26" s="24">
        <f t="shared" si="29"/>
        <v>1743.2422497276493</v>
      </c>
      <c r="AG26" s="22">
        <v>0</v>
      </c>
      <c r="AH26" s="22">
        <v>0</v>
      </c>
      <c r="AJ26" s="24">
        <f t="shared" si="30"/>
        <v>0</v>
      </c>
      <c r="AL26" s="22">
        <f t="shared" si="23"/>
        <v>-146337.4883980554</v>
      </c>
      <c r="AN26" s="22">
        <f t="shared" si="31"/>
        <v>3111.0558492224509</v>
      </c>
      <c r="AO26" s="22">
        <f t="shared" si="24"/>
        <v>-237.2105764608813</v>
      </c>
      <c r="AP26" s="22">
        <f t="shared" si="25"/>
        <v>0</v>
      </c>
      <c r="AR26" s="24">
        <v>0</v>
      </c>
      <c r="AS26" s="24">
        <v>613.72928767348549</v>
      </c>
      <c r="AT26" s="24">
        <v>516.87373536043447</v>
      </c>
      <c r="AU26" s="24">
        <v>1743.2422497276493</v>
      </c>
      <c r="AV26" s="24">
        <v>0</v>
      </c>
    </row>
    <row r="27" spans="1:64" s="22" customFormat="1">
      <c r="A27" s="31"/>
      <c r="C27" s="22" t="s">
        <v>35</v>
      </c>
      <c r="E27" s="22">
        <v>-25355</v>
      </c>
      <c r="F27" s="22">
        <v>-26536.932000000001</v>
      </c>
      <c r="H27" s="22">
        <v>166.64777538899165</v>
      </c>
      <c r="I27" s="24">
        <f>SUM(-E27,F27,G27:H27)</f>
        <v>-1015.284224611009</v>
      </c>
      <c r="J27" s="6"/>
      <c r="K27" s="22">
        <f t="shared" si="22"/>
        <v>-26370.284224611009</v>
      </c>
      <c r="M27" s="22">
        <v>0</v>
      </c>
      <c r="N27" s="22">
        <v>-0.64147363892864606</v>
      </c>
      <c r="P27" s="24">
        <f t="shared" si="26"/>
        <v>-0.64147363892864606</v>
      </c>
      <c r="R27" s="22">
        <v>411.39970652660065</v>
      </c>
      <c r="S27" s="22">
        <v>-19.952862020281177</v>
      </c>
      <c r="U27" s="24">
        <f t="shared" si="27"/>
        <v>391.44684450631945</v>
      </c>
      <c r="W27" s="22">
        <v>999.54042274345022</v>
      </c>
      <c r="X27" s="22">
        <v>-59.13796628718103</v>
      </c>
      <c r="Z27" s="24">
        <f t="shared" si="28"/>
        <v>940.40245645626919</v>
      </c>
      <c r="AB27" s="22">
        <v>0</v>
      </c>
      <c r="AC27" s="22">
        <v>0</v>
      </c>
      <c r="AE27" s="24">
        <f t="shared" si="29"/>
        <v>0</v>
      </c>
      <c r="AG27" s="22">
        <v>1675.5966502274302</v>
      </c>
      <c r="AH27" s="22">
        <v>-132.91406935033115</v>
      </c>
      <c r="AJ27" s="24">
        <f t="shared" si="30"/>
        <v>1542.6825808770991</v>
      </c>
      <c r="AL27" s="22">
        <f t="shared" si="23"/>
        <v>-23496.393816410247</v>
      </c>
      <c r="AN27" s="27">
        <f t="shared" si="31"/>
        <v>3086.5367794974809</v>
      </c>
      <c r="AO27" s="27">
        <f t="shared" si="24"/>
        <v>-212.64637129672201</v>
      </c>
      <c r="AP27" s="27">
        <f t="shared" si="25"/>
        <v>0</v>
      </c>
      <c r="AR27" s="24">
        <v>-0.64147363892864606</v>
      </c>
      <c r="AS27" s="24">
        <v>391.44684450631945</v>
      </c>
      <c r="AT27" s="24">
        <v>940.40245645626919</v>
      </c>
      <c r="AU27" s="24">
        <v>0</v>
      </c>
      <c r="AV27" s="24">
        <v>1542.6825808770991</v>
      </c>
    </row>
    <row r="28" spans="1:64" s="22" customFormat="1">
      <c r="A28" s="31"/>
      <c r="B28" s="22" t="s">
        <v>38</v>
      </c>
      <c r="E28" s="34">
        <f>SUM(E24:E27)</f>
        <v>-201555.65600000002</v>
      </c>
      <c r="F28" s="34">
        <f>SUM(F24:F27)</f>
        <v>-203932.87600000002</v>
      </c>
      <c r="G28" s="34">
        <f>SUM(G24:G27)</f>
        <v>238.18748793304985</v>
      </c>
      <c r="H28" s="34">
        <f>SUM(H24:H27)</f>
        <v>1145.5173561695669</v>
      </c>
      <c r="I28" s="35">
        <f>SUM(I24:I27)</f>
        <v>-993.51515589738983</v>
      </c>
      <c r="J28" s="6"/>
      <c r="K28" s="34">
        <f>SUM(K24:K27)</f>
        <v>-202549.17115589741</v>
      </c>
      <c r="M28" s="34">
        <v>1992.1569057801994</v>
      </c>
      <c r="N28" s="34">
        <v>-284.53873542450901</v>
      </c>
      <c r="O28" s="48">
        <v>0</v>
      </c>
      <c r="P28" s="35">
        <f>SUM(P24:P27)</f>
        <v>1707.6181703556904</v>
      </c>
      <c r="R28" s="34">
        <v>1148.3620282219526</v>
      </c>
      <c r="S28" s="34">
        <v>-100.89087964323184</v>
      </c>
      <c r="T28" s="48">
        <v>0</v>
      </c>
      <c r="U28" s="35">
        <f>SUM(U24:U27)</f>
        <v>1047.4711485787207</v>
      </c>
      <c r="W28" s="34">
        <v>1560.8962214336409</v>
      </c>
      <c r="X28" s="34">
        <v>-104.06647816860959</v>
      </c>
      <c r="Y28" s="48">
        <v>0</v>
      </c>
      <c r="Z28" s="35">
        <f>SUM(Z24:Z27)</f>
        <v>1456.8297432650313</v>
      </c>
      <c r="AB28" s="34">
        <v>1872.8339302712745</v>
      </c>
      <c r="AC28" s="34">
        <v>-129.5916805436251</v>
      </c>
      <c r="AD28" s="48">
        <v>0</v>
      </c>
      <c r="AE28" s="35">
        <f>SUM(AE24:AE27)</f>
        <v>1743.2422497276493</v>
      </c>
      <c r="AG28" s="34">
        <v>2053.228490341231</v>
      </c>
      <c r="AH28" s="34">
        <v>-331.91437982622494</v>
      </c>
      <c r="AI28" s="48">
        <v>0</v>
      </c>
      <c r="AJ28" s="35">
        <f>SUM(AJ24:AJ27)</f>
        <v>1721.314110515006</v>
      </c>
      <c r="AL28" s="34">
        <f>SUM(AL24:AL27)</f>
        <v>-194872.6957334553</v>
      </c>
      <c r="AN28" s="27">
        <f>SUM(AN24:AN27)</f>
        <v>8627.4775760482989</v>
      </c>
      <c r="AO28" s="27">
        <f t="shared" ref="AO28" si="32">SUM(AO24:AO27)</f>
        <v>-951.00215360620052</v>
      </c>
      <c r="AP28" s="27">
        <f t="shared" ref="AP28" si="33">SUM(AP24:AP27)</f>
        <v>0</v>
      </c>
      <c r="AR28" s="35">
        <v>1707.6181703556904</v>
      </c>
      <c r="AS28" s="35">
        <v>1047.4711485787207</v>
      </c>
      <c r="AT28" s="35">
        <v>1456.8297432650313</v>
      </c>
      <c r="AU28" s="35">
        <v>1743.2422497276493</v>
      </c>
      <c r="AV28" s="35">
        <v>1721.314110515006</v>
      </c>
      <c r="AW28" s="22">
        <f>SUM(AR28:AV28)</f>
        <v>7676.4754224420976</v>
      </c>
    </row>
    <row r="29" spans="1:64" s="22" customFormat="1">
      <c r="A29" s="31"/>
      <c r="B29" s="22" t="s">
        <v>39</v>
      </c>
      <c r="E29" s="34">
        <f>E22+E28</f>
        <v>475683.34399999998</v>
      </c>
      <c r="F29" s="34">
        <f>F22+F28</f>
        <v>504271.98699999985</v>
      </c>
      <c r="G29" s="34">
        <f>G22+G28</f>
        <v>-9495.2281076860927</v>
      </c>
      <c r="H29" s="34">
        <f>H22+H28</f>
        <v>-6485.7390037133355</v>
      </c>
      <c r="I29" s="35">
        <f>I22+I28</f>
        <v>12607.675888600521</v>
      </c>
      <c r="J29" s="6"/>
      <c r="K29" s="34">
        <f>K22+K28</f>
        <v>488291.01988860045</v>
      </c>
      <c r="M29" s="34">
        <v>0</v>
      </c>
      <c r="N29" s="34">
        <v>3100.2547840129669</v>
      </c>
      <c r="O29" s="48">
        <v>0</v>
      </c>
      <c r="P29" s="35">
        <f>P22+P28</f>
        <v>3100.2547840129664</v>
      </c>
      <c r="R29" s="34">
        <v>0</v>
      </c>
      <c r="S29" s="34">
        <v>7364.7197758918246</v>
      </c>
      <c r="T29" s="48">
        <v>0</v>
      </c>
      <c r="U29" s="35">
        <f>U22+U28</f>
        <v>7364.7197758918246</v>
      </c>
      <c r="W29" s="34">
        <v>0</v>
      </c>
      <c r="X29" s="34">
        <v>7411.3570373097373</v>
      </c>
      <c r="Y29" s="48">
        <v>0</v>
      </c>
      <c r="Z29" s="35">
        <f>Z22+Z28</f>
        <v>7411.3570373097382</v>
      </c>
      <c r="AB29" s="34">
        <v>0</v>
      </c>
      <c r="AC29" s="34">
        <v>13478.009516868151</v>
      </c>
      <c r="AD29" s="48">
        <v>0</v>
      </c>
      <c r="AE29" s="35">
        <f>AE22+AE28</f>
        <v>13478.009516868151</v>
      </c>
      <c r="AG29" s="34">
        <v>0</v>
      </c>
      <c r="AH29" s="34">
        <v>3573.5041719654409</v>
      </c>
      <c r="AI29" s="48">
        <v>0</v>
      </c>
      <c r="AJ29" s="35">
        <f>AJ22+AJ28</f>
        <v>3573.5041719654409</v>
      </c>
      <c r="AL29" s="34">
        <f>AL22+AL28</f>
        <v>523218.86517464864</v>
      </c>
      <c r="AN29" s="34">
        <f t="shared" si="8"/>
        <v>0</v>
      </c>
      <c r="AO29" s="34">
        <f t="shared" si="8"/>
        <v>34927.845286048119</v>
      </c>
      <c r="AP29" s="34">
        <f t="shared" si="8"/>
        <v>0</v>
      </c>
      <c r="AR29" s="35">
        <v>3100.2547840129664</v>
      </c>
      <c r="AS29" s="35">
        <v>7364.7197758918246</v>
      </c>
      <c r="AT29" s="35">
        <v>7411.3570373097382</v>
      </c>
      <c r="AU29" s="35">
        <v>13478.009516868151</v>
      </c>
      <c r="AV29" s="35">
        <v>3573.5041719654409</v>
      </c>
      <c r="AW29" s="22">
        <f>SUM(AR29:AV29)</f>
        <v>34927.845286048119</v>
      </c>
    </row>
    <row r="30" spans="1:64" s="22" customFormat="1">
      <c r="A30" s="31"/>
      <c r="E30" s="23"/>
      <c r="F30" s="23"/>
      <c r="G30" s="23"/>
      <c r="H30" s="8"/>
      <c r="I30" s="24"/>
      <c r="J30" s="6"/>
      <c r="K30" s="23"/>
      <c r="M30" s="23"/>
      <c r="N30" s="23"/>
      <c r="O30" s="23"/>
      <c r="P30" s="24"/>
      <c r="R30" s="23"/>
      <c r="S30" s="23"/>
      <c r="T30" s="23"/>
      <c r="U30" s="24"/>
      <c r="W30" s="23"/>
      <c r="X30" s="23"/>
      <c r="Y30" s="23"/>
      <c r="Z30" s="24"/>
      <c r="AB30" s="23"/>
      <c r="AC30" s="23"/>
      <c r="AD30" s="23"/>
      <c r="AE30" s="24"/>
      <c r="AG30" s="23"/>
      <c r="AH30" s="23"/>
      <c r="AI30" s="23"/>
      <c r="AJ30" s="24"/>
      <c r="AL30" s="23"/>
      <c r="AN30" s="23"/>
      <c r="AO30" s="23"/>
      <c r="AP30" s="23"/>
      <c r="AR30" s="24"/>
      <c r="AS30" s="24"/>
      <c r="AT30" s="24"/>
      <c r="AU30" s="24"/>
      <c r="AV30" s="24"/>
    </row>
    <row r="31" spans="1:64" s="22" customFormat="1">
      <c r="A31" s="31"/>
      <c r="E31" s="23" t="s">
        <v>40</v>
      </c>
      <c r="F31" s="23" t="s">
        <v>41</v>
      </c>
      <c r="G31" s="23" t="s">
        <v>67</v>
      </c>
      <c r="H31" s="8"/>
      <c r="I31" s="24"/>
      <c r="J31" s="6"/>
      <c r="K31" s="23"/>
      <c r="M31" s="23"/>
      <c r="N31" s="23"/>
      <c r="O31" s="23"/>
      <c r="P31" s="24"/>
      <c r="R31" s="23"/>
      <c r="S31" s="23"/>
      <c r="T31" s="23"/>
      <c r="U31" s="24"/>
      <c r="W31" s="23"/>
      <c r="X31" s="23"/>
      <c r="Y31" s="23"/>
      <c r="Z31" s="24"/>
      <c r="AB31" s="23"/>
      <c r="AC31" s="23"/>
      <c r="AD31" s="23"/>
      <c r="AE31" s="24"/>
      <c r="AG31" s="23"/>
      <c r="AH31" s="23"/>
      <c r="AI31" s="23"/>
      <c r="AJ31" s="24"/>
      <c r="AL31" s="23"/>
      <c r="AN31" s="23"/>
      <c r="AO31" s="23"/>
      <c r="AP31" s="23"/>
      <c r="AR31" s="24"/>
      <c r="AS31" s="24"/>
      <c r="AT31" s="24"/>
      <c r="AU31" s="24"/>
      <c r="AV31" s="24"/>
    </row>
    <row r="32" spans="1:64" s="22" customFormat="1">
      <c r="A32" s="36"/>
      <c r="B32" s="22" t="s">
        <v>42</v>
      </c>
      <c r="E32" s="37">
        <v>-92008</v>
      </c>
      <c r="F32" s="37">
        <v>-92332</v>
      </c>
      <c r="G32" s="37">
        <v>447</v>
      </c>
      <c r="H32" s="37"/>
      <c r="I32" s="33">
        <f>SUM(-E32,F32,G32:H32)</f>
        <v>123</v>
      </c>
      <c r="J32" s="6"/>
      <c r="K32" s="37">
        <f>E32+I32</f>
        <v>-91885</v>
      </c>
      <c r="M32" s="37">
        <v>0</v>
      </c>
      <c r="N32" s="37">
        <v>-177</v>
      </c>
      <c r="O32" s="37"/>
      <c r="P32" s="33">
        <f>SUM(M32:O32)</f>
        <v>-177</v>
      </c>
      <c r="R32" s="37">
        <v>0</v>
      </c>
      <c r="S32" s="37">
        <v>-174</v>
      </c>
      <c r="T32" s="37"/>
      <c r="U32" s="33">
        <f>SUM(R32:T32)</f>
        <v>-174</v>
      </c>
      <c r="W32" s="37">
        <v>0</v>
      </c>
      <c r="X32" s="37">
        <v>-217</v>
      </c>
      <c r="Y32" s="37"/>
      <c r="Z32" s="33">
        <f>SUM(W32:Y32)</f>
        <v>-217</v>
      </c>
      <c r="AB32" s="37">
        <v>0</v>
      </c>
      <c r="AC32" s="37">
        <v>-355</v>
      </c>
      <c r="AD32" s="37"/>
      <c r="AE32" s="33">
        <f>SUM(AB32:AD32)</f>
        <v>-355</v>
      </c>
      <c r="AG32" s="37">
        <v>0</v>
      </c>
      <c r="AH32" s="37">
        <v>-166</v>
      </c>
      <c r="AI32" s="37"/>
      <c r="AJ32" s="33">
        <f>SUM(AG32:AI32)</f>
        <v>-166</v>
      </c>
      <c r="AL32" s="27">
        <f t="shared" ref="AL32" si="34">SUM(K32,P32,U32,Z32,AE32,AJ32)</f>
        <v>-92974</v>
      </c>
      <c r="AN32" s="27">
        <f t="shared" ref="AN32" si="35">SUM(M32,R32,W32,AB32,AG32)</f>
        <v>0</v>
      </c>
      <c r="AO32" s="27">
        <f t="shared" ref="AO32" si="36">SUM(N32,S32,X32,AC32,AH32)</f>
        <v>-1089</v>
      </c>
      <c r="AP32" s="27">
        <f t="shared" ref="AP32" si="37">SUM(O32,T32,Y32,AD32,AI32)</f>
        <v>0</v>
      </c>
      <c r="AR32" s="33">
        <v>-177</v>
      </c>
      <c r="AS32" s="33">
        <v>-174</v>
      </c>
      <c r="AT32" s="33">
        <v>-217</v>
      </c>
      <c r="AU32" s="33">
        <v>-355</v>
      </c>
      <c r="AV32" s="33">
        <v>-166</v>
      </c>
    </row>
    <row r="33" spans="1:64" s="22" customFormat="1">
      <c r="A33" s="36"/>
      <c r="C33" s="22" t="s">
        <v>43</v>
      </c>
      <c r="E33" s="8">
        <f>SUM(E29:E32)</f>
        <v>383675.34399999998</v>
      </c>
      <c r="F33" s="8">
        <f>SUM(F29:F32)</f>
        <v>411939.98699999985</v>
      </c>
      <c r="G33" s="8">
        <f>SUM(G29:G32)</f>
        <v>-9048.2281076860927</v>
      </c>
      <c r="H33" s="8">
        <f>SUM(H29:H32)</f>
        <v>-6485.7390037133355</v>
      </c>
      <c r="I33" s="33">
        <f>SUM(I29:I32)</f>
        <v>12730.675888600521</v>
      </c>
      <c r="J33" s="6"/>
      <c r="K33" s="8">
        <f>SUM(K29:K32)</f>
        <v>396406.01988860045</v>
      </c>
      <c r="M33" s="8">
        <v>0</v>
      </c>
      <c r="N33" s="8">
        <v>2923.2547840129669</v>
      </c>
      <c r="O33" s="47">
        <v>0</v>
      </c>
      <c r="P33" s="33">
        <f>SUM(P29:P32)</f>
        <v>2923.2547840129664</v>
      </c>
      <c r="R33" s="8">
        <v>0</v>
      </c>
      <c r="S33" s="8">
        <v>7190.7197758918246</v>
      </c>
      <c r="T33" s="47">
        <v>0</v>
      </c>
      <c r="U33" s="33">
        <f>SUM(U29:U32)</f>
        <v>7190.7197758918246</v>
      </c>
      <c r="W33" s="8">
        <v>0</v>
      </c>
      <c r="X33" s="8">
        <v>7194.3570373097373</v>
      </c>
      <c r="Y33" s="47">
        <v>0</v>
      </c>
      <c r="Z33" s="33">
        <f>SUM(Z29:Z32)</f>
        <v>7194.3570373097382</v>
      </c>
      <c r="AB33" s="8">
        <v>0</v>
      </c>
      <c r="AC33" s="8">
        <v>13123.009516868151</v>
      </c>
      <c r="AD33" s="47">
        <v>0</v>
      </c>
      <c r="AE33" s="33">
        <f>SUM(AE29:AE32)</f>
        <v>13123.009516868151</v>
      </c>
      <c r="AG33" s="8">
        <v>0</v>
      </c>
      <c r="AH33" s="8">
        <v>3407.5041719654409</v>
      </c>
      <c r="AI33" s="47">
        <v>0</v>
      </c>
      <c r="AJ33" s="33">
        <f>SUM(AJ29:AJ32)</f>
        <v>3407.5041719654409</v>
      </c>
      <c r="AL33" s="8">
        <f>SUM(AL29:AL32)</f>
        <v>430244.86517464864</v>
      </c>
      <c r="AN33" s="50">
        <f>SUM(AN29:AN32)</f>
        <v>0</v>
      </c>
      <c r="AO33" s="50">
        <f t="shared" ref="AO33" si="38">SUM(AO29:AO32)</f>
        <v>33838.845286048119</v>
      </c>
      <c r="AP33" s="50">
        <f t="shared" ref="AP33" si="39">SUM(AP29:AP32)</f>
        <v>0</v>
      </c>
      <c r="AR33" s="33">
        <v>2923.2547840129664</v>
      </c>
      <c r="AS33" s="33">
        <v>7190.7197758918246</v>
      </c>
      <c r="AT33" s="33">
        <v>7194.3570373097382</v>
      </c>
      <c r="AU33" s="33">
        <v>13123.009516868151</v>
      </c>
      <c r="AV33" s="33">
        <v>3407.5041719654409</v>
      </c>
    </row>
    <row r="36" spans="1:64" s="6" customFormat="1" ht="57">
      <c r="A36" s="3"/>
      <c r="B36" s="2"/>
      <c r="C36" s="2"/>
      <c r="D36" s="43" t="s">
        <v>21</v>
      </c>
      <c r="E36" s="44" t="s">
        <v>69</v>
      </c>
      <c r="F36" s="44" t="s">
        <v>70</v>
      </c>
      <c r="G36" s="8"/>
      <c r="H36" s="8"/>
      <c r="I36" s="5"/>
      <c r="K36" s="44"/>
      <c r="M36"/>
      <c r="N36"/>
      <c r="O36"/>
      <c r="P36" s="5"/>
      <c r="R36"/>
      <c r="S36"/>
      <c r="T36"/>
      <c r="U36" s="5"/>
      <c r="W36"/>
      <c r="X36"/>
      <c r="Y36"/>
      <c r="Z36" s="5"/>
      <c r="AB36"/>
      <c r="AC36"/>
      <c r="AD36"/>
      <c r="AE36" s="5"/>
      <c r="AG36"/>
      <c r="AH36"/>
      <c r="AI36"/>
      <c r="AJ36" s="5"/>
      <c r="AM36"/>
      <c r="AQ36"/>
      <c r="AR36" s="5"/>
      <c r="AS36" s="5"/>
      <c r="AT36" s="5"/>
      <c r="AU36" s="5"/>
      <c r="AV36" s="5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6" customFormat="1">
      <c r="A37" s="3"/>
      <c r="B37" s="2"/>
      <c r="C37" s="2"/>
      <c r="D37" s="2" t="s">
        <v>56</v>
      </c>
      <c r="E37" s="8">
        <v>276333.98801598139</v>
      </c>
      <c r="F37" s="8">
        <v>-22486.762239631142</v>
      </c>
      <c r="G37" s="8"/>
      <c r="H37" s="8"/>
      <c r="I37" s="5"/>
      <c r="K37" s="8"/>
      <c r="M37" s="8"/>
      <c r="N37" s="8"/>
      <c r="O37" s="8"/>
      <c r="P37" s="5"/>
      <c r="R37" s="8"/>
      <c r="S37" s="8"/>
      <c r="T37" s="8"/>
      <c r="U37" s="5"/>
      <c r="W37" s="8"/>
      <c r="X37" s="8"/>
      <c r="Y37" s="8"/>
      <c r="Z37" s="5"/>
      <c r="AB37" s="8"/>
      <c r="AC37" s="8"/>
      <c r="AD37" s="8"/>
      <c r="AE37" s="5"/>
      <c r="AG37" s="8"/>
      <c r="AH37" s="8"/>
      <c r="AI37" s="8"/>
      <c r="AJ37" s="5"/>
      <c r="AM37"/>
      <c r="AQ37"/>
      <c r="AR37" s="5"/>
      <c r="AS37" s="5"/>
      <c r="AT37" s="5"/>
      <c r="AU37" s="5"/>
      <c r="AV37" s="5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6" customFormat="1">
      <c r="A38" s="3"/>
      <c r="B38" s="2"/>
      <c r="C38" s="2"/>
      <c r="D38" s="2" t="s">
        <v>71</v>
      </c>
      <c r="E38" s="8">
        <v>-164006.57394532522</v>
      </c>
      <c r="F38" s="8">
        <v>0</v>
      </c>
      <c r="G38" s="8"/>
      <c r="H38" s="8"/>
      <c r="I38" s="5"/>
      <c r="K38" s="8"/>
      <c r="M38" s="8"/>
      <c r="N38" s="8"/>
      <c r="O38" s="8"/>
      <c r="P38" s="5"/>
      <c r="R38" s="8"/>
      <c r="S38" s="8"/>
      <c r="T38" s="8"/>
      <c r="U38" s="5"/>
      <c r="W38" s="8"/>
      <c r="X38" s="8"/>
      <c r="Y38" s="8"/>
      <c r="Z38" s="5"/>
      <c r="AB38" s="8"/>
      <c r="AC38" s="8"/>
      <c r="AD38" s="8"/>
      <c r="AE38" s="5"/>
      <c r="AG38" s="8"/>
      <c r="AH38" s="8"/>
      <c r="AI38" s="8"/>
      <c r="AJ38" s="5"/>
      <c r="AM38"/>
      <c r="AQ38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6" customFormat="1">
      <c r="A39" s="3"/>
      <c r="B39" s="2"/>
      <c r="C39" s="2"/>
      <c r="D39" s="2" t="s">
        <v>61</v>
      </c>
      <c r="E39" s="8">
        <v>620798.89045298169</v>
      </c>
      <c r="F39" s="8">
        <v>494868.48358814744</v>
      </c>
      <c r="G39" s="8"/>
      <c r="H39" s="8"/>
      <c r="I39" s="5"/>
      <c r="K39" s="8"/>
      <c r="M39" s="8"/>
      <c r="N39" s="8"/>
      <c r="O39" s="8"/>
      <c r="P39" s="5"/>
      <c r="R39" s="8"/>
      <c r="S39" s="8"/>
      <c r="T39" s="8"/>
      <c r="U39" s="5"/>
      <c r="W39" s="8"/>
      <c r="X39" s="8"/>
      <c r="Y39" s="8"/>
      <c r="Z39" s="5"/>
      <c r="AB39" s="8"/>
      <c r="AC39" s="8"/>
      <c r="AD39" s="8"/>
      <c r="AE39" s="5"/>
      <c r="AG39" s="8"/>
      <c r="AH39" s="8"/>
      <c r="AI39" s="8"/>
      <c r="AJ39" s="5"/>
      <c r="AM39"/>
      <c r="AQ39"/>
      <c r="AR39" s="5"/>
      <c r="AS39" s="5"/>
      <c r="AT39" s="5"/>
      <c r="AU39" s="5"/>
      <c r="AV39" s="5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8" customFormat="1">
      <c r="A40" s="3"/>
      <c r="B40" s="2"/>
      <c r="C40" s="2"/>
      <c r="D40" s="2" t="s">
        <v>62</v>
      </c>
      <c r="E40" s="8">
        <v>91267.113663593947</v>
      </c>
      <c r="F40" s="8">
        <v>56639.823581020995</v>
      </c>
      <c r="I40" s="5"/>
      <c r="J40" s="6"/>
      <c r="K40"/>
      <c r="L40" s="6"/>
      <c r="P40" s="5"/>
      <c r="Q40" s="6"/>
      <c r="U40" s="5"/>
      <c r="V40" s="6"/>
      <c r="Z40" s="5"/>
      <c r="AA40" s="6"/>
      <c r="AE40" s="5"/>
      <c r="AF40" s="6"/>
      <c r="AJ40" s="5"/>
      <c r="AK40" s="6"/>
      <c r="AL40" s="6"/>
      <c r="AM40"/>
      <c r="AN40" s="6"/>
      <c r="AO40" s="6"/>
      <c r="AP40" s="6"/>
      <c r="AQ40"/>
      <c r="AR40" s="5"/>
      <c r="AS40" s="5"/>
      <c r="AT40" s="5"/>
      <c r="AU40" s="5"/>
      <c r="AV40" s="5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8" customFormat="1">
      <c r="A41" s="3"/>
      <c r="B41" s="2"/>
      <c r="C41" s="2"/>
      <c r="D41" s="2" t="s">
        <v>63</v>
      </c>
      <c r="E41" s="37">
        <v>-319627.28933325945</v>
      </c>
      <c r="F41" s="37">
        <v>0</v>
      </c>
      <c r="I41" s="5"/>
      <c r="J41" s="6"/>
      <c r="K41"/>
      <c r="L41" s="6"/>
      <c r="P41" s="5"/>
      <c r="Q41" s="6"/>
      <c r="U41" s="5"/>
      <c r="V41" s="6"/>
      <c r="Z41" s="5"/>
      <c r="AA41" s="6"/>
      <c r="AE41" s="5"/>
      <c r="AF41" s="6"/>
      <c r="AJ41" s="5"/>
      <c r="AK41" s="6"/>
      <c r="AL41" s="6"/>
      <c r="AM41"/>
      <c r="AN41" s="6"/>
      <c r="AO41" s="6"/>
      <c r="AP41" s="6"/>
      <c r="AQ41"/>
      <c r="AR41" s="5"/>
      <c r="AS41" s="5"/>
      <c r="AT41" s="5"/>
      <c r="AU41" s="5"/>
      <c r="AV41" s="5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8" customFormat="1">
      <c r="A42" s="3"/>
      <c r="B42" s="2"/>
      <c r="C42" s="2"/>
      <c r="D42" s="2"/>
      <c r="E42" s="8">
        <f>SUM(E37:E41)</f>
        <v>504766.1288539723</v>
      </c>
      <c r="F42" s="8">
        <f>SUM(F37:F41)</f>
        <v>529021.54492953734</v>
      </c>
      <c r="I42" s="5"/>
      <c r="J42" s="6"/>
      <c r="K42"/>
      <c r="L42" s="6"/>
      <c r="P42" s="5"/>
      <c r="Q42" s="6"/>
      <c r="U42" s="5"/>
      <c r="V42" s="6"/>
      <c r="Z42" s="5"/>
      <c r="AA42" s="6"/>
      <c r="AE42" s="5"/>
      <c r="AF42" s="6"/>
      <c r="AJ42" s="5"/>
      <c r="AK42" s="6"/>
      <c r="AL42" s="6"/>
      <c r="AM42"/>
      <c r="AN42" s="6"/>
      <c r="AO42" s="6"/>
      <c r="AP42" s="6"/>
      <c r="AQ42"/>
      <c r="AR42" s="5"/>
      <c r="AS42" s="5"/>
      <c r="AT42" s="5"/>
      <c r="AU42" s="5"/>
      <c r="AV42" s="5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>
      <c r="K43"/>
      <c r="AM43"/>
      <c r="AQ43"/>
    </row>
    <row r="44" spans="1:64">
      <c r="K44"/>
      <c r="AM44"/>
      <c r="AQ44"/>
    </row>
    <row r="45" spans="1:64">
      <c r="AM45"/>
      <c r="AQ45"/>
    </row>
    <row r="46" spans="1:64">
      <c r="AM46"/>
      <c r="AQ46"/>
    </row>
    <row r="47" spans="1:64">
      <c r="AM47"/>
      <c r="AQ47"/>
    </row>
    <row r="48" spans="1:64">
      <c r="AM48"/>
      <c r="AQ48"/>
    </row>
    <row r="49" spans="39:43">
      <c r="AM49"/>
      <c r="AQ49"/>
    </row>
    <row r="50" spans="39:43">
      <c r="AM50"/>
      <c r="AQ50"/>
    </row>
    <row r="51" spans="39:43">
      <c r="AM51"/>
      <c r="AQ51"/>
    </row>
    <row r="52" spans="39:43">
      <c r="AM52"/>
      <c r="AQ52"/>
    </row>
    <row r="53" spans="39:43">
      <c r="AM53"/>
      <c r="AQ53"/>
    </row>
    <row r="54" spans="39:43">
      <c r="AM54"/>
      <c r="AQ54"/>
    </row>
    <row r="55" spans="39:43">
      <c r="AM55"/>
      <c r="AQ55"/>
    </row>
    <row r="56" spans="39:43">
      <c r="AM56"/>
      <c r="AQ56"/>
    </row>
    <row r="57" spans="39:43">
      <c r="AM57"/>
      <c r="AQ57"/>
    </row>
    <row r="58" spans="39:43">
      <c r="AM58"/>
      <c r="AQ58"/>
    </row>
    <row r="59" spans="39:43">
      <c r="AM59"/>
      <c r="AQ59"/>
    </row>
    <row r="60" spans="39:43">
      <c r="AM60"/>
      <c r="AQ60"/>
    </row>
    <row r="61" spans="39:43">
      <c r="AM61"/>
      <c r="AQ61"/>
    </row>
    <row r="62" spans="39:43">
      <c r="AM62"/>
      <c r="AQ62"/>
    </row>
    <row r="63" spans="39:43">
      <c r="AM63"/>
      <c r="AQ63"/>
    </row>
    <row r="64" spans="39:43">
      <c r="AM64"/>
      <c r="AQ64"/>
    </row>
    <row r="65" spans="39:43">
      <c r="AM65"/>
      <c r="AQ65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2" firstPageNumber="4" fitToWidth="2" orientation="landscape" r:id="rId1"/>
  <headerFooter scaleWithDoc="0" alignWithMargins="0">
    <oddHeader xml:space="preserve">&amp;L&amp;8Avista
</oddHeader>
    <oddFooter>&amp;L&amp;F&amp;R&amp;8Page &amp;P of &amp;N</oddFooter>
  </headerFooter>
  <colBreaks count="1" manualBreakCount="1">
    <brk id="26" max="4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DB11C8-5FC0-4666-8BF9-CFABAC94DF19}"/>
</file>

<file path=customXml/itemProps2.xml><?xml version="1.0" encoding="utf-8"?>
<ds:datastoreItem xmlns:ds="http://schemas.openxmlformats.org/officeDocument/2006/customXml" ds:itemID="{9A179995-E10B-445A-BF8E-FF16254427FE}"/>
</file>

<file path=customXml/itemProps3.xml><?xml version="1.0" encoding="utf-8"?>
<ds:datastoreItem xmlns:ds="http://schemas.openxmlformats.org/officeDocument/2006/customXml" ds:itemID="{40716EB2-F42A-4A8D-A621-D70D95975158}"/>
</file>

<file path=customXml/itemProps4.xml><?xml version="1.0" encoding="utf-8"?>
<ds:datastoreItem xmlns:ds="http://schemas.openxmlformats.org/officeDocument/2006/customXml" ds:itemID="{CA38AB21-CF8B-4915-BA13-33B64DE42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E-CAP SUMMARY - 2020 Actuals</vt:lpstr>
      <vt:lpstr>G-CAP SUMMARY - 2020 Actuals</vt:lpstr>
      <vt:lpstr>E-CAP SUMMARY - As-Filed</vt:lpstr>
      <vt:lpstr>G-CAP SUMMARY - As-Filed</vt:lpstr>
      <vt:lpstr>'E-CAP SUMMARY - 2020 Actuals'!Print_Area</vt:lpstr>
      <vt:lpstr>'E-CAP SUMMARY - As-Filed'!Print_Area</vt:lpstr>
      <vt:lpstr>'G-CAP SUMMARY - 2020 Actuals'!Print_Area</vt:lpstr>
      <vt:lpstr>'G-CAP SUMMARY - As-Filed'!Print_Area</vt:lpstr>
      <vt:lpstr>'E-CAP SUMMARY - 2020 Actuals'!Print_Titles</vt:lpstr>
      <vt:lpstr>'E-CAP SUMMARY - As-Filed'!Print_Titles</vt:lpstr>
      <vt:lpstr>'G-CAP SUMMARY - 2020 Actuals'!Print_Titles</vt:lpstr>
      <vt:lpstr>'G-CAP SUMMARY - As-Filed'!Print_Titles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Schultz, Kaylene</cp:lastModifiedBy>
  <cp:lastPrinted>2021-02-23T00:24:11Z</cp:lastPrinted>
  <dcterms:created xsi:type="dcterms:W3CDTF">2020-09-17T02:07:41Z</dcterms:created>
  <dcterms:modified xsi:type="dcterms:W3CDTF">2021-02-23T00:24:53Z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