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me\Documents\Megan's Docs\4 - Energy and Environment\Cascade Natural Gas\2024 MYRC\Zach Harris\Exhibits\"/>
    </mc:Choice>
  </mc:AlternateContent>
  <xr:revisionPtr revIDLastSave="0" documentId="13_ncr:1_{3FEC9E18-1869-4BCC-87F0-B8C4C469898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xh. ZLH-3 (UTC Fees)" sheetId="2" r:id="rId1"/>
    <sheet name="Work Papers --&gt;" sheetId="5" r:id="rId2"/>
    <sheet name="UTC Fees WP" sheetId="1" r:id="rId3"/>
    <sheet name="Revenue Spread WP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Dist_Values" localSheetId="3" hidden="1">#REF!</definedName>
    <definedName name="_Dist_Values" hidden="1">#REF!</definedName>
    <definedName name="_Fill" localSheetId="3" hidden="1">#REF!</definedName>
    <definedName name="_Fill" hidden="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Order1" hidden="1">0</definedName>
    <definedName name="_Order2" hidden="1">255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Alloc_Factor_Name">'[12]Input-Ext Allocators'!$B$8:$B$63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[13]SETUP!#REF!</definedName>
    <definedName name="C_">#REF!</definedName>
    <definedName name="canadian_toll_DataTable">#REF!</definedName>
    <definedName name="Canadian_tolls_DataTable">#REF!</definedName>
    <definedName name="CAP">'[14]Int Rates'!#REF!</definedName>
    <definedName name="CENTRAL_STORES">#REF!</definedName>
    <definedName name="Check_Limit">'[12]General Inputs'!$D$32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lass_Factor_Names">'[12]Input-Func_Class'!$B$23:$B$28</definedName>
    <definedName name="CODINT22">'[15]COD Interest Rates'!$A$11:$C$22</definedName>
    <definedName name="CODINT23">'[15]COD Interest Rates'!$A$23:$C$34</definedName>
    <definedName name="CODINT24">'[15]COD Interest Rates'!$A$35:$C$46</definedName>
    <definedName name="COMBINTAX">#REF!</definedName>
    <definedName name="CPRINT">#N/A</definedName>
    <definedName name="_xlnm.Criteria">#REF!</definedName>
    <definedName name="Criteria_MI">#REF!</definedName>
    <definedName name="CUST">[13]SETUP!#REF!</definedName>
    <definedName name="Daily_Flow_DataTable">#REF!</definedName>
    <definedName name="Data">'[16]Section 7 Storage History'!$D$7:$W$102</definedName>
    <definedName name="_xlnm.Database">#REF!</definedName>
    <definedName name="Database_MI">#REF!</definedName>
    <definedName name="DATE">#REF!</definedName>
    <definedName name="DAY">[13]SETUP!#REF!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'[17]New FERC Int. Rates'!$A$44:$C$55</definedName>
    <definedName name="FERCINT06">'[17]New FERC Int. Rates'!$A$56:$C$67</definedName>
    <definedName name="FERCINT07">'[18]New FERC Int. Rates'!$A$68:$C$79</definedName>
    <definedName name="FERCINT08">'[18]New FERC Int. Rates'!$A$80:$C$94</definedName>
    <definedName name="FERCINT09">'[18]New FERC Int. Rates'!$A$95:$C$106</definedName>
    <definedName name="FERCINT10">'[17]New FERC Int. Rates'!$A$107:$C$118</definedName>
    <definedName name="FERCINTRATE">'[18]New FERC Int. Rates'!$A$5:$C$10</definedName>
    <definedName name="FERCINTRATE02">'[18]New FERC Int. Rates'!$A$11:$C$22</definedName>
    <definedName name="FERCINTRATE03">'[17]New FERC Int. Rates'!$A$23:$C$34</definedName>
    <definedName name="FERCOR">#REF!</definedName>
    <definedName name="FERCWA">#REF!</definedName>
    <definedName name="fffff" hidden="1">{"ALL",#N/A,FALSE,"A"}</definedName>
    <definedName name="FILE">[19]input!$C$4</definedName>
    <definedName name="FIT">[19]input!$C$16</definedName>
    <definedName name="FITRBADJ">[19]input!$C$52</definedName>
    <definedName name="FO3_4">#N/A</definedName>
    <definedName name="FORM2259">#REF!</definedName>
    <definedName name="fsdfsad" hidden="1">{"ALL",#N/A,FALSE,"A"}</definedName>
    <definedName name="Func_Factor_Name">'[12]Input-Func_Class'!$B$9:$B$20</definedName>
    <definedName name="Gas_Price_DataTable">#REF!</definedName>
    <definedName name="gas_yr2009_10_DataTable">#REF!</definedName>
    <definedName name="GC">[20]Notes!#REF!</definedName>
    <definedName name="gcnew">[21]Notes!#REF!</definedName>
    <definedName name="GEN_OFFICE">#REF!</definedName>
    <definedName name="help" hidden="1">{"ALL",#N/A,FALSE,"A"}</definedName>
    <definedName name="HOQUIAM_24_HR_A">#REF!</definedName>
    <definedName name="HOQUIAM_MAX">#REF!</definedName>
    <definedName name="HOQUIAM_MAX_MIN">#REF!</definedName>
    <definedName name="HOQUIAM_MIN">#REF!</definedName>
    <definedName name="I">[13]SETUP!#REF!</definedName>
    <definedName name="ID">'[22]JTS-5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'[23]Interest Rates'!$A$231:$C$245</definedName>
    <definedName name="IntCY09">'[24]Interest Rates-new amort'!$A$246:$C$267</definedName>
    <definedName name="intdate">'[25]Interest Rates'!$A$5:$C$159</definedName>
    <definedName name="InterestDuringAmort">#REF!</definedName>
    <definedName name="INTERSTATE">#REF!</definedName>
    <definedName name="INTFY05">'[17]Int Rates DO NOT USE'!$A$176:$C$187</definedName>
    <definedName name="INTFY06">'[17]Int Rates DO NOT USE'!$A$188:$C$199</definedName>
    <definedName name="INTFY07">'[23]Interest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'[26]July Int Rate for Amort'!$B$17</definedName>
    <definedName name="kkkkkk">[3]Bills!#REF!</definedName>
    <definedName name="LEGEND">#REF!</definedName>
    <definedName name="llllll">[3]Bills!#REF!</definedName>
    <definedName name="M">[13]SETUP!#REF!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[13]SETUP!#REF!</definedName>
    <definedName name="NCT">[13]SETUP!#REF!</definedName>
    <definedName name="new">#REF!</definedName>
    <definedName name="new_int">#REF!</definedName>
    <definedName name="njnjn">#REF!</definedName>
    <definedName name="NN">[13]SETUP!#REF!</definedName>
    <definedName name="nnnnn">[3]Bills!#REF!</definedName>
    <definedName name="Oct_07">"INTCY08"</definedName>
    <definedName name="OF">[13]SETUP!#REF!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[19]input!$C$18</definedName>
    <definedName name="OVER">[13]SETUP!#REF!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[19]input!$C$12</definedName>
    <definedName name="PGAPeriodVolumes">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Print_Area_MI">#REF!</definedName>
    <definedName name="print1" localSheetId="0">[14]!print1</definedName>
    <definedName name="print1">[14]!print1</definedName>
    <definedName name="print10">[0]!print10</definedName>
    <definedName name="print2" localSheetId="0">[14]!print2</definedName>
    <definedName name="print2">[14]!print2</definedName>
    <definedName name="print3" localSheetId="0">[14]!print3</definedName>
    <definedName name="print3">[14]!print3</definedName>
    <definedName name="pzint3">[0]!pzint3</definedName>
    <definedName name="qqqq">#REF!</definedName>
    <definedName name="QUIT">#REF!</definedName>
    <definedName name="revsens">'[27]General Inputs'!$D$10</definedName>
    <definedName name="ROR_System">'[12]General Inputs'!$D$19</definedName>
    <definedName name="S">[13]SETUP!#REF!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'[14]Int Rates'!#REF!</definedName>
    <definedName name="SSPREF">'[14]Int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[13]SETUP!#REF!</definedName>
    <definedName name="TAXINT18">'[28]TAX Interest Rates'!$A$10:$C$21</definedName>
    <definedName name="TAXINT19">'[28]TAX Interest Rates'!$A$22:$C$33</definedName>
    <definedName name="TESTPERIOD">[19]input!$C$5</definedName>
    <definedName name="TestPeriodVolumes">#REF!</definedName>
    <definedName name="TITLES">#REF!</definedName>
    <definedName name="TOTALCustomerSheets">OFFSET('[12]Required Sheets'!$I$24:$I$35,,,12-COUNTBLANK('[12]Required Sheets'!$I$24:$I$35))</definedName>
    <definedName name="TOTALDemandSheets">OFFSET('[12]Required Sheets'!$G$24:$G$35,,,12-COUNTBLANK('[12]Required Sheets'!$G$24:$G$35))</definedName>
    <definedName name="TOTALECSheets">OFFSET('[12]Required Sheets'!$H$24:$H$35,,,12-COUNTBLANK('[12]Required Sheets'!$H$24:$H$35))</definedName>
    <definedName name="TRANSPORT">[13]SETUP!#REF!</definedName>
    <definedName name="Transport_DataTable">#REF!</definedName>
    <definedName name="Transport_Info_DataTable">#REF!</definedName>
    <definedName name="TRNSPTREV">[19]input!$C$51</definedName>
    <definedName name="trth" hidden="1">{"ALL",#N/A,FALSE,"A"}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'[27]General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wrn.ALL." hidden="1">{"ALL",#N/A,FALSE,"A"}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  <definedName name="xyz5">[0]!xyz5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8" i="2"/>
  <c r="F26" i="2"/>
  <c r="F24" i="2"/>
  <c r="F22" i="2"/>
  <c r="F20" i="2"/>
  <c r="C15" i="4"/>
  <c r="E15" i="4" s="1"/>
  <c r="D15" i="4" l="1"/>
  <c r="I15" i="4"/>
  <c r="H15" i="4"/>
  <c r="G15" i="4"/>
  <c r="F15" i="4"/>
  <c r="F32" i="2" l="1"/>
  <c r="D32" i="2"/>
  <c r="H34" i="1" l="1"/>
  <c r="I34" i="1" s="1"/>
  <c r="C34" i="1" s="1"/>
  <c r="H27" i="1"/>
  <c r="I27" i="1" s="1"/>
  <c r="C27" i="1" s="1"/>
  <c r="H28" i="1"/>
  <c r="I28" i="1" s="1"/>
  <c r="C28" i="1" s="1"/>
  <c r="H29" i="1"/>
  <c r="I29" i="1" s="1"/>
  <c r="C29" i="1" s="1"/>
  <c r="H30" i="1"/>
  <c r="I30" i="1" s="1"/>
  <c r="C30" i="1" s="1"/>
  <c r="H31" i="1"/>
  <c r="I31" i="1" s="1"/>
  <c r="C31" i="1" s="1"/>
  <c r="H32" i="1"/>
  <c r="I32" i="1" s="1"/>
  <c r="C32" i="1" s="1"/>
  <c r="H33" i="1"/>
  <c r="I33" i="1" s="1"/>
  <c r="C33" i="1" s="1"/>
  <c r="H35" i="1"/>
  <c r="I35" i="1" s="1"/>
  <c r="C35" i="1" s="1"/>
  <c r="H26" i="1"/>
  <c r="I26" i="1"/>
  <c r="C26" i="1" s="1"/>
  <c r="H25" i="1"/>
  <c r="I25" i="1" s="1"/>
  <c r="C25" i="1" s="1"/>
  <c r="H24" i="1"/>
  <c r="H23" i="1"/>
  <c r="I23" i="1" s="1"/>
  <c r="C23" i="1" s="1"/>
  <c r="H21" i="1"/>
  <c r="I21" i="1" s="1"/>
  <c r="C21" i="1" s="1"/>
  <c r="H20" i="1"/>
  <c r="I20" i="1" s="1"/>
  <c r="C20" i="1" s="1"/>
  <c r="H19" i="1"/>
  <c r="I19" i="1" s="1"/>
  <c r="C19" i="1" s="1"/>
  <c r="H18" i="1"/>
  <c r="I18" i="1" s="1"/>
  <c r="C18" i="1" s="1"/>
  <c r="H17" i="1"/>
  <c r="I17" i="1" s="1"/>
  <c r="C17" i="1" s="1"/>
  <c r="H16" i="1"/>
  <c r="I16" i="1" s="1"/>
  <c r="C16" i="1" s="1"/>
  <c r="H15" i="1"/>
  <c r="I15" i="1" s="1"/>
  <c r="C15" i="1" s="1"/>
  <c r="H14" i="1"/>
  <c r="I14" i="1" s="1"/>
  <c r="C14" i="1" s="1"/>
  <c r="H13" i="1"/>
  <c r="I13" i="1" s="1"/>
  <c r="C13" i="1" s="1"/>
  <c r="H12" i="1"/>
  <c r="I12" i="1" s="1"/>
  <c r="C12" i="1" s="1"/>
  <c r="H11" i="1"/>
  <c r="I11" i="1" s="1"/>
  <c r="C11" i="1" s="1"/>
  <c r="H10" i="1"/>
  <c r="I10" i="1" s="1"/>
  <c r="C10" i="1" s="1"/>
  <c r="I24" i="1" l="1"/>
  <c r="C24" i="1" s="1"/>
  <c r="E8" i="1" l="1"/>
  <c r="E9" i="1" s="1"/>
  <c r="E10" i="1" s="1"/>
  <c r="D11" i="1" l="1"/>
  <c r="E11" i="1"/>
  <c r="D12" i="1" l="1"/>
  <c r="E12" i="1" s="1"/>
  <c r="D13" i="1" s="1"/>
  <c r="E13" i="1" s="1"/>
  <c r="D14" i="1" s="1"/>
  <c r="E14" i="1" s="1"/>
  <c r="D15" i="1" l="1"/>
  <c r="E15" i="1" s="1"/>
  <c r="D16" i="1" l="1"/>
  <c r="E16" i="1" s="1"/>
  <c r="D17" i="1" l="1"/>
  <c r="E17" i="1" s="1"/>
  <c r="D18" i="1" l="1"/>
  <c r="E18" i="1" s="1"/>
  <c r="D19" i="1" l="1"/>
  <c r="E19" i="1" s="1"/>
  <c r="D20" i="1" l="1"/>
  <c r="E20" i="1" s="1"/>
  <c r="D21" i="1" l="1"/>
  <c r="E21" i="1" s="1"/>
  <c r="D22" i="1" s="1"/>
  <c r="H22" i="1" l="1"/>
  <c r="I22" i="1" s="1"/>
  <c r="C22" i="1" s="1"/>
  <c r="E22" i="1" s="1"/>
  <c r="F7" i="2" l="1"/>
  <c r="D23" i="1"/>
  <c r="E23" i="1"/>
  <c r="D24" i="1" s="1"/>
  <c r="E24" i="1" l="1"/>
  <c r="D25" i="1" s="1"/>
  <c r="E25" i="1" l="1"/>
  <c r="D26" i="1" s="1"/>
  <c r="E26" i="1" l="1"/>
  <c r="D27" i="1" s="1"/>
  <c r="E27" i="1" l="1"/>
  <c r="D28" i="1" l="1"/>
  <c r="E28" i="1"/>
  <c r="D29" i="1" l="1"/>
  <c r="E29" i="1" s="1"/>
  <c r="D30" i="1" l="1"/>
  <c r="E30" i="1" s="1"/>
  <c r="D31" i="1" l="1"/>
  <c r="E31" i="1" s="1"/>
  <c r="D32" i="1" l="1"/>
  <c r="E32" i="1" s="1"/>
  <c r="D33" i="1" l="1"/>
  <c r="E33" i="1" s="1"/>
  <c r="D34" i="1" l="1"/>
  <c r="E34" i="1" s="1"/>
  <c r="D35" i="1" l="1"/>
  <c r="E35" i="1" s="1"/>
  <c r="F10" i="2" s="1"/>
  <c r="F13" i="2" s="1"/>
  <c r="F14" i="2" s="1"/>
  <c r="F15" i="2" s="1"/>
  <c r="H26" i="2" l="1"/>
  <c r="I26" i="2" s="1"/>
  <c r="H24" i="2"/>
  <c r="I24" i="2" s="1"/>
  <c r="H22" i="2"/>
  <c r="I22" i="2" s="1"/>
  <c r="H20" i="2"/>
  <c r="I20" i="2" s="1"/>
  <c r="H30" i="2"/>
  <c r="I30" i="2" s="1"/>
  <c r="H28" i="2"/>
  <c r="I28" i="2" s="1"/>
  <c r="H32" i="2" l="1"/>
  <c r="H35" i="2" s="1"/>
</calcChain>
</file>

<file path=xl/sharedStrings.xml><?xml version="1.0" encoding="utf-8"?>
<sst xmlns="http://schemas.openxmlformats.org/spreadsheetml/2006/main" count="100" uniqueCount="48">
  <si>
    <t>Cascade Natural Gas Corp</t>
  </si>
  <si>
    <t>Commission Fees</t>
  </si>
  <si>
    <t xml:space="preserve">2 Year Amortization </t>
  </si>
  <si>
    <t>Month/ Year</t>
  </si>
  <si>
    <t>Deferral</t>
  </si>
  <si>
    <t>Interest</t>
  </si>
  <si>
    <t>Deferred Balance</t>
  </si>
  <si>
    <t>Deferral Balance as of January 31, 2024</t>
  </si>
  <si>
    <t>47WA.2364.30</t>
  </si>
  <si>
    <t>47WA.4081.1441</t>
  </si>
  <si>
    <t>47WA.1860.20490</t>
  </si>
  <si>
    <t>Accrued</t>
  </si>
  <si>
    <t>Expensed</t>
  </si>
  <si>
    <t>Deferred</t>
  </si>
  <si>
    <t>Est. Increase for February 1, 2024 through February 28, 2025</t>
  </si>
  <si>
    <t>Actual</t>
  </si>
  <si>
    <t>Total to be amortized</t>
  </si>
  <si>
    <t>Two year Amortization</t>
  </si>
  <si>
    <t xml:space="preserve">Grossed up for Revenue Sensitive </t>
  </si>
  <si>
    <t>Rate Class</t>
  </si>
  <si>
    <t>Volumes</t>
  </si>
  <si>
    <t>estimate</t>
  </si>
  <si>
    <t>Estimate based on January Accrual</t>
  </si>
  <si>
    <t xml:space="preserve">Total </t>
  </si>
  <si>
    <t>Schedule 555, Commission Fees Adjustment Rate</t>
  </si>
  <si>
    <t>Schedule 555 Rate</t>
  </si>
  <si>
    <t>Revenue Allocation</t>
  </si>
  <si>
    <t>Allocated Amount</t>
  </si>
  <si>
    <t>Overall Revenue Increase</t>
  </si>
  <si>
    <t>Unadjusted Revenues</t>
  </si>
  <si>
    <t>Scenario</t>
  </si>
  <si>
    <t>Total Cascade</t>
  </si>
  <si>
    <t>Residential - 503</t>
  </si>
  <si>
    <t>Commercial - 504</t>
  </si>
  <si>
    <t>Industrial - 505</t>
  </si>
  <si>
    <t>Large Volume - 511</t>
  </si>
  <si>
    <t>Interruptible - 570</t>
  </si>
  <si>
    <t>Transport - 663</t>
  </si>
  <si>
    <t>Special Contracts - 9xx</t>
  </si>
  <si>
    <t>Revenue at Current Rates</t>
  </si>
  <si>
    <t>Test Year</t>
  </si>
  <si>
    <t>Rate Schedule Revenue as Proposed</t>
  </si>
  <si>
    <t>MYRP 1</t>
  </si>
  <si>
    <t>Rates Effective March 1, 2025</t>
  </si>
  <si>
    <t>Allocation Methodology</t>
  </si>
  <si>
    <t>Page 1 of 1</t>
  </si>
  <si>
    <t>Analysis of Revenue by Detailed Tariff Schedule</t>
  </si>
  <si>
    <t>Exceprt from Exhibit RJA-5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</si>
</sst>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General_)"/>
    <numFmt numFmtId="167" formatCode="&quot;$&quot;#,##0.00"/>
    <numFmt numFmtId="168" formatCode="_(&quot;$&quot;* #,##0.00000_);_(&quot;$&quot;* \(#,##0.0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 applyProtection="0"/>
    <xf numFmtId="166" fontId="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2" borderId="4" applyNumberFormat="0" applyAlignment="0" applyProtection="0"/>
    <xf numFmtId="9" fontId="1" fillId="0" borderId="0" applyFont="0" applyFill="0" applyBorder="0" applyAlignment="0" applyProtection="0"/>
    <xf numFmtId="42" fontId="10" fillId="3" borderId="0"/>
    <xf numFmtId="42" fontId="10" fillId="3" borderId="9">
      <alignment vertical="center"/>
    </xf>
    <xf numFmtId="43" fontId="10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3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0" borderId="3" xfId="0" applyFont="1" applyBorder="1" applyAlignment="1">
      <alignment horizontal="center" wrapText="1"/>
    </xf>
    <xf numFmtId="43" fontId="3" fillId="0" borderId="3" xfId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 wrapText="1"/>
    </xf>
    <xf numFmtId="17" fontId="4" fillId="0" borderId="0" xfId="0" applyNumberFormat="1" applyFont="1"/>
    <xf numFmtId="43" fontId="4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44" fontId="0" fillId="0" borderId="0" xfId="2" applyFont="1"/>
    <xf numFmtId="4" fontId="4" fillId="0" borderId="0" xfId="0" applyNumberFormat="1" applyFont="1"/>
    <xf numFmtId="9" fontId="0" fillId="0" borderId="0" xfId="0" applyNumberFormat="1"/>
    <xf numFmtId="167" fontId="0" fillId="0" borderId="0" xfId="0" applyNumberFormat="1"/>
    <xf numFmtId="8" fontId="0" fillId="0" borderId="0" xfId="0" applyNumberFormat="1"/>
    <xf numFmtId="44" fontId="0" fillId="0" borderId="0" xfId="2" applyFont="1" applyFill="1"/>
    <xf numFmtId="44" fontId="0" fillId="0" borderId="0" xfId="0" applyNumberFormat="1" applyAlignment="1">
      <alignment horizontal="center"/>
    </xf>
    <xf numFmtId="3" fontId="0" fillId="0" borderId="0" xfId="0" applyNumberFormat="1" applyBorder="1"/>
    <xf numFmtId="167" fontId="0" fillId="0" borderId="5" xfId="0" applyNumberFormat="1" applyBorder="1"/>
    <xf numFmtId="44" fontId="0" fillId="0" borderId="3" xfId="2" applyFont="1" applyBorder="1"/>
    <xf numFmtId="165" fontId="9" fillId="0" borderId="0" xfId="0" applyNumberFormat="1" applyFont="1"/>
    <xf numFmtId="168" fontId="9" fillId="0" borderId="7" xfId="2" applyNumberFormat="1" applyFont="1" applyBorder="1"/>
    <xf numFmtId="0" fontId="9" fillId="0" borderId="7" xfId="0" applyFont="1" applyBorder="1"/>
    <xf numFmtId="168" fontId="9" fillId="0" borderId="8" xfId="2" applyNumberFormat="1" applyFont="1" applyBorder="1"/>
    <xf numFmtId="0" fontId="9" fillId="0" borderId="6" xfId="0" applyFont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10" fontId="0" fillId="0" borderId="0" xfId="9" applyNumberFormat="1" applyFont="1" applyFill="1"/>
    <xf numFmtId="164" fontId="0" fillId="0" borderId="1" xfId="1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164" fontId="0" fillId="0" borderId="0" xfId="1" applyNumberFormat="1" applyFont="1"/>
    <xf numFmtId="10" fontId="0" fillId="0" borderId="0" xfId="9" applyNumberFormat="1" applyFont="1"/>
    <xf numFmtId="164" fontId="4" fillId="0" borderId="0" xfId="1" applyNumberFormat="1" applyFont="1" applyFill="1" applyBorder="1"/>
    <xf numFmtId="0" fontId="9" fillId="0" borderId="11" xfId="0" applyFont="1" applyBorder="1" applyAlignment="1">
      <alignment horizontal="centerContinuous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4" fillId="0" borderId="20" xfId="1" applyNumberFormat="1" applyFont="1" applyFill="1" applyBorder="1"/>
    <xf numFmtId="0" fontId="9" fillId="0" borderId="10" xfId="0" applyFont="1" applyBorder="1" applyAlignment="1">
      <alignment horizontal="center"/>
    </xf>
    <xf numFmtId="164" fontId="13" fillId="0" borderId="0" xfId="12" applyNumberFormat="1" applyFont="1" applyFill="1" applyBorder="1"/>
    <xf numFmtId="164" fontId="13" fillId="0" borderId="20" xfId="12" applyNumberFormat="1" applyFont="1" applyFill="1" applyBorder="1"/>
    <xf numFmtId="0" fontId="0" fillId="0" borderId="10" xfId="0" applyBorder="1"/>
    <xf numFmtId="164" fontId="0" fillId="0" borderId="0" xfId="1" applyNumberFormat="1" applyFont="1" applyFill="1" applyBorder="1"/>
    <xf numFmtId="167" fontId="0" fillId="0" borderId="0" xfId="1" applyNumberFormat="1" applyFont="1" applyFill="1" applyBorder="1"/>
    <xf numFmtId="164" fontId="0" fillId="0" borderId="20" xfId="1" applyNumberFormat="1" applyFont="1" applyFill="1" applyBorder="1"/>
    <xf numFmtId="0" fontId="0" fillId="0" borderId="22" xfId="0" applyBorder="1"/>
    <xf numFmtId="164" fontId="4" fillId="0" borderId="0" xfId="0" applyNumberFormat="1" applyFont="1"/>
    <xf numFmtId="0" fontId="9" fillId="0" borderId="0" xfId="0" applyFont="1" applyFill="1"/>
    <xf numFmtId="0" fontId="0" fillId="0" borderId="0" xfId="0" applyFill="1" applyAlignment="1">
      <alignment horizontal="right"/>
    </xf>
    <xf numFmtId="164" fontId="12" fillId="0" borderId="0" xfId="1" applyNumberFormat="1" applyFont="1" applyFill="1" applyBorder="1"/>
    <xf numFmtId="164" fontId="0" fillId="0" borderId="21" xfId="1" applyNumberFormat="1" applyFont="1" applyFill="1" applyBorder="1"/>
    <xf numFmtId="164" fontId="0" fillId="0" borderId="0" xfId="0" applyNumberFormat="1" applyFill="1"/>
    <xf numFmtId="164" fontId="0" fillId="0" borderId="0" xfId="1" applyNumberFormat="1" applyFont="1" applyFill="1"/>
    <xf numFmtId="0" fontId="0" fillId="0" borderId="21" xfId="0" applyFill="1" applyBorder="1"/>
    <xf numFmtId="167" fontId="4" fillId="0" borderId="0" xfId="1" applyNumberFormat="1" applyFont="1" applyFill="1" applyBorder="1"/>
    <xf numFmtId="0" fontId="0" fillId="0" borderId="2" xfId="0" applyFill="1" applyBorder="1"/>
    <xf numFmtId="0" fontId="0" fillId="0" borderId="23" xfId="0" applyFill="1" applyBorder="1"/>
    <xf numFmtId="10" fontId="3" fillId="0" borderId="24" xfId="9" applyNumberFormat="1" applyFont="1" applyFill="1" applyBorder="1"/>
    <xf numFmtId="10" fontId="3" fillId="0" borderId="25" xfId="9" applyNumberFormat="1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0" fontId="3" fillId="0" borderId="11" xfId="0" applyFont="1" applyFill="1" applyBorder="1"/>
    <xf numFmtId="164" fontId="3" fillId="0" borderId="24" xfId="1" applyNumberFormat="1" applyFont="1" applyFill="1" applyBorder="1"/>
  </cellXfs>
  <cellStyles count="13">
    <cellStyle name="Comma" xfId="1" builtinId="3"/>
    <cellStyle name="Comma 2" xfId="6" xr:uid="{033C57CD-82A8-4023-A780-E3EA767BFCC3}"/>
    <cellStyle name="Comma 2 2" xfId="12" xr:uid="{75C35A24-54B7-4DC9-B0C9-5057BBB04823}"/>
    <cellStyle name="Currency" xfId="2" builtinId="4"/>
    <cellStyle name="Currency 2" xfId="5" xr:uid="{618A103F-F107-4320-A343-1CFD1D910580}"/>
    <cellStyle name="Input 2" xfId="8" xr:uid="{35728EFC-7678-41D2-9BE9-B6F98A2BB2C3}"/>
    <cellStyle name="Normal" xfId="0" builtinId="0"/>
    <cellStyle name="Normal 2" xfId="3" xr:uid="{1F60754E-DEFF-41E9-9B14-74A592D51ABD}"/>
    <cellStyle name="Normal 25 3" xfId="4" xr:uid="{2D33B624-464D-4034-ACDF-786CE85FE331}"/>
    <cellStyle name="Percent" xfId="9" builtinId="5"/>
    <cellStyle name="Percent 2" xfId="7" xr:uid="{05FB9E02-9CB0-4C6F-85C4-1FC9F3763F9C}"/>
    <cellStyle name="Report" xfId="10" xr:uid="{750FBB0C-412A-48A1-8413-186D31CDCD72}"/>
    <cellStyle name="Report Bar" xfId="11" xr:uid="{75892547-40DE-4E24-A611-838CE13F5AF6}"/>
  </cellStyles>
  <dxfs count="0"/>
  <tableStyles count="1" defaultTableStyle="TableStyleMedium2" defaultPivotStyle="PivotStyleLight16">
    <tableStyle name="Invisible" pivot="0" table="0" count="0" xr9:uid="{04740C5D-4A10-48AB-A0DD-D16BC28A35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7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Allocation\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RATES\PATRICIA\tran\2000\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PATRICIA\tran\2001\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chary.Harris\Washington\2024%20MYRP\UTC%20Fees%20and%20COVID%2019\Cascade%20WA%20COSA%202024_DRAFT_03_25_Delivered%20for%20UTC%20and%20COVID%20Allocation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DEFSUMWA\11-23%20DEFSUMW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PGA%202014\Oregon\August%20Worksheets\Combined%20CNGC%20Gas%20Cost%20PGA%20Nov14-Oct15%20Workpaper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athie.barnard\Local%20Settings\Temporary%20Internet%20Files\Content.Outlook\GMUW2DQR\DEFSUMWA_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athie.barnard\Desktop\DEFSUMWA_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UG05XX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UG05XX4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GA\GASCOST\Gas%20Cost%20CY2008\Deferrals%20&amp;%20Amortizations\OR\DEFSUMOR_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martin\Local%20Settings\Temporary%20Internet%20Files\Content.Outlook\4J4AMHQP\2009\Cascade%20Deferral%20Filing%20Development%20WPs%20(August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martin\Local%20Settings\Temporary%20Internet%20Files\Content.Outlook\4J4AMHQP\2009\NWN%202009-10%20Proposed%20Temps%20Oregon%202009-10%20PGA%20October%20filin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ncs\Local%20Settings\Temporary%20Internet%20Files\Temporary%20Internet%20Files\OLK82\2009\NWN%202009-10%20PGA%20gas%20cost%20file%20October%20filing%20(3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Accounting%20Reports\DEFSUMWA-TAX\07-2019%20DEFSUMWATA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KATHIE\semiannual\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s\EXCEL\RATES\PATRICIA\Deferral\Oregon\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S1G\GA\gascst99\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Template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Tables for Testimony"/>
      <sheetName val="ErrorCheck"/>
      <sheetName val="Required Sheets"/>
      <sheetName val="Macros"/>
      <sheetName val="Change Log"/>
    </sheetNames>
    <sheetDataSet>
      <sheetData sheetId="0"/>
      <sheetData sheetId="1">
        <row r="17">
          <cell r="D17" t="str">
            <v>Res
503</v>
          </cell>
        </row>
        <row r="19">
          <cell r="D19">
            <v>7.8940000164946539E-2</v>
          </cell>
        </row>
        <row r="32">
          <cell r="D32">
            <v>1</v>
          </cell>
        </row>
      </sheetData>
      <sheetData sheetId="2">
        <row r="9">
          <cell r="B9" t="str">
            <v>GAS SUPPLY</v>
          </cell>
        </row>
        <row r="10">
          <cell r="B10" t="str">
            <v>STORAGE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FUNCTION 5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7">
          <cell r="B17" t="str">
            <v>FUNCTION 9</v>
          </cell>
        </row>
        <row r="18">
          <cell r="B18" t="str">
            <v>FUNCTION 10</v>
          </cell>
        </row>
        <row r="19">
          <cell r="B19" t="str">
            <v>FUNCTION 11</v>
          </cell>
        </row>
        <row r="20">
          <cell r="B20" t="str">
            <v>FUNCTION 12</v>
          </cell>
        </row>
        <row r="23">
          <cell r="B23" t="str">
            <v>DEMAND</v>
          </cell>
        </row>
        <row r="24">
          <cell r="B24" t="str">
            <v>COMMODITY</v>
          </cell>
        </row>
        <row r="25">
          <cell r="B25" t="str">
            <v>CUSTOMER</v>
          </cell>
        </row>
        <row r="26">
          <cell r="B26" t="str">
            <v>PEAK_AVG</v>
          </cell>
        </row>
        <row r="27">
          <cell r="B27" t="str">
            <v>ACCT_813</v>
          </cell>
        </row>
        <row r="28">
          <cell r="B28"/>
        </row>
      </sheetData>
      <sheetData sheetId="3">
        <row r="8">
          <cell r="B8"/>
        </row>
        <row r="9">
          <cell r="B9" t="str">
            <v>*DEMAND ALLOCATION FACTORS</v>
          </cell>
        </row>
        <row r="10">
          <cell r="B10" t="str">
            <v>DESIGN_DAY</v>
          </cell>
        </row>
        <row r="11">
          <cell r="B11" t="str">
            <v>DesignDay_ST&gt;6"</v>
          </cell>
        </row>
        <row r="12">
          <cell r="B12" t="str">
            <v>DesignDay_ST&gt;4-6"</v>
          </cell>
        </row>
        <row r="13">
          <cell r="B13" t="str">
            <v>DesignDay_ST2-4"</v>
          </cell>
        </row>
        <row r="14">
          <cell r="B14" t="str">
            <v>DesignDay_ST&lt;=2"</v>
          </cell>
        </row>
        <row r="15">
          <cell r="B15" t="str">
            <v>DesignDay_PL6"</v>
          </cell>
        </row>
        <row r="16">
          <cell r="B16" t="str">
            <v>DesignDay_PL4"</v>
          </cell>
        </row>
        <row r="17">
          <cell r="B17" t="str">
            <v>DesignDay_PL&lt;=2"</v>
          </cell>
        </row>
        <row r="18">
          <cell r="B18" t="str">
            <v>DesignDay_xSPL</v>
          </cell>
        </row>
        <row r="19">
          <cell r="B19" t="str">
            <v>Peak&amp;Average</v>
          </cell>
        </row>
        <row r="20">
          <cell r="B20" t="str">
            <v>Peak&amp;Avg_ST&gt;6"</v>
          </cell>
        </row>
        <row r="21">
          <cell r="B21" t="str">
            <v>Peak&amp;Avg_ST&gt;4-6"</v>
          </cell>
        </row>
        <row r="22">
          <cell r="B22" t="str">
            <v>Peak&amp;Avg_ST2-4"</v>
          </cell>
        </row>
        <row r="23">
          <cell r="B23" t="str">
            <v>Peak&amp;Avg_ST&lt;=2"</v>
          </cell>
        </row>
        <row r="24">
          <cell r="B24" t="str">
            <v>Peak&amp;Avg_PL6"</v>
          </cell>
        </row>
        <row r="25">
          <cell r="B25" t="str">
            <v>Peak&amp;Avg_PL4"</v>
          </cell>
        </row>
        <row r="26">
          <cell r="B26" t="str">
            <v>Peak&amp;Avg_PL&lt;=2"</v>
          </cell>
        </row>
        <row r="27">
          <cell r="B27" t="str">
            <v>Peak&amp;Avg_xSPL</v>
          </cell>
        </row>
        <row r="28">
          <cell r="B28" t="str">
            <v>*CUSTOMER ALLOCATORS</v>
          </cell>
        </row>
        <row r="29">
          <cell r="B29" t="str">
            <v>CUSTOMERS</v>
          </cell>
        </row>
        <row r="30">
          <cell r="B30" t="str">
            <v>Large_CUST</v>
          </cell>
        </row>
        <row r="31">
          <cell r="B31" t="str">
            <v>METERS</v>
          </cell>
        </row>
        <row r="32">
          <cell r="B32" t="str">
            <v>REGULATORS</v>
          </cell>
        </row>
        <row r="33">
          <cell r="B33" t="str">
            <v>SERVICES</v>
          </cell>
        </row>
        <row r="34">
          <cell r="B34" t="str">
            <v>ACCT_385</v>
          </cell>
        </row>
        <row r="35">
          <cell r="B35" t="str">
            <v>Write-offs</v>
          </cell>
        </row>
        <row r="36">
          <cell r="B36" t="str">
            <v>METER_READ</v>
          </cell>
        </row>
        <row r="37">
          <cell r="B37" t="str">
            <v>ACCT_813_DEM</v>
          </cell>
        </row>
        <row r="38">
          <cell r="B38" t="str">
            <v>ACCT_813_COMM</v>
          </cell>
        </row>
        <row r="39">
          <cell r="B39" t="str">
            <v>ACCT_871</v>
          </cell>
        </row>
        <row r="40">
          <cell r="B40" t="str">
            <v>*COMMODITY and REVENUE ALLOCATORS</v>
          </cell>
        </row>
        <row r="41">
          <cell r="B41" t="str">
            <v>Thruput</v>
          </cell>
        </row>
        <row r="42">
          <cell r="B42" t="str">
            <v>Thruput_ST&gt;6"</v>
          </cell>
        </row>
        <row r="43">
          <cell r="B43" t="str">
            <v>Thruput_ST&gt;4-6"</v>
          </cell>
        </row>
        <row r="44">
          <cell r="B44" t="str">
            <v>Thruput_ST2-4"</v>
          </cell>
        </row>
        <row r="45">
          <cell r="B45" t="str">
            <v>Thruput_ST&lt;=2"</v>
          </cell>
        </row>
        <row r="46">
          <cell r="B46" t="str">
            <v>Thruput_PL6"</v>
          </cell>
        </row>
        <row r="47">
          <cell r="B47" t="str">
            <v>Thruput_PL4"</v>
          </cell>
        </row>
        <row r="48">
          <cell r="B48" t="str">
            <v>Thruput_PL&lt;=2"</v>
          </cell>
        </row>
        <row r="49">
          <cell r="B49" t="str">
            <v>Thruput_xSPL</v>
          </cell>
        </row>
        <row r="50">
          <cell r="B50" t="str">
            <v>REVENUE</v>
          </cell>
        </row>
        <row r="51">
          <cell r="B51" t="str">
            <v>SALES_MARGIN</v>
          </cell>
        </row>
        <row r="52">
          <cell r="B52" t="str">
            <v>TRANSPORT_MARGIN</v>
          </cell>
        </row>
        <row r="53">
          <cell r="B53" t="str">
            <v>SALES_Non-Margin</v>
          </cell>
        </row>
        <row r="54">
          <cell r="B54" t="str">
            <v>TRANSPORT_Non-Margin</v>
          </cell>
        </row>
        <row r="55">
          <cell r="B55" t="str">
            <v>*Direct Assignments</v>
          </cell>
        </row>
        <row r="56">
          <cell r="B56" t="str">
            <v>MAINS-DIRECT</v>
          </cell>
        </row>
        <row r="57">
          <cell r="B57" t="str">
            <v>SERVICE-DIRECT</v>
          </cell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</sheetData>
      <sheetData sheetId="4">
        <row r="153">
          <cell r="A1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G24" t="str">
            <v>GasSupply_Dem</v>
          </cell>
          <cell r="H24" t="str">
            <v>GasSupply_Comm</v>
          </cell>
          <cell r="I24" t="str">
            <v>Dist_Cust</v>
          </cell>
        </row>
        <row r="25">
          <cell r="G25" t="str">
            <v>Trans_Dem</v>
          </cell>
          <cell r="H25" t="str">
            <v>Trans_Comm</v>
          </cell>
          <cell r="I25" t="str">
            <v/>
          </cell>
        </row>
        <row r="26">
          <cell r="G26" t="str">
            <v>Dist_Dem</v>
          </cell>
          <cell r="H26" t="str">
            <v>Dist_Comm</v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SD JE UPLOAD"/>
      <sheetName val="FERC Interest Rates"/>
      <sheetName val="ACOD Interest Rates"/>
      <sheetName val="AROR Interest Rates"/>
      <sheetName val="COD Interest Rates"/>
      <sheetName val="Therm Sales"/>
      <sheetName val="Therm Sales-EDIT Master"/>
      <sheetName val="DEFERRALS"/>
      <sheetName val="DG 1910.01253"/>
      <sheetName val="DG 1910.01254"/>
      <sheetName val="RA 1862.20477"/>
      <sheetName val="RA 1860.20460-liab less exp"/>
      <sheetName val="RA 1860.20460-exp only"/>
      <sheetName val="RA 1860.20461"/>
      <sheetName val="1860.20489"/>
      <sheetName val="2530.01290"/>
      <sheetName val="RA 1860.20479"/>
      <sheetName val="UTC 1860.20490"/>
      <sheetName val="EDP-AMP 1823.2073"/>
      <sheetName val="EDP-AMP 1823.2074"/>
      <sheetName val="EDP-AMP 1823.2076"/>
      <sheetName val="CCA 1823.2058"/>
      <sheetName val="CCA 1823.2063"/>
      <sheetName val="CCA 1823.2064"/>
      <sheetName val="CCA 1823.2065"/>
      <sheetName val="CCA 2540.20491"/>
      <sheetName val="Intvnr 1823.2059"/>
      <sheetName val="RA 1823.47020430"/>
      <sheetName val="RA 1823.47020431"/>
      <sheetName val="RA 1823.47020444"/>
      <sheetName val="RA 1823.47020449"/>
      <sheetName val="AMORTIZATIONS"/>
      <sheetName val="DG 1910.01286"/>
      <sheetName val="DG 1910.01289"/>
      <sheetName val="RA 1823.47020478"/>
      <sheetName val="RA 1862.20480"/>
      <sheetName val="Decoupling-Therm Sales"/>
      <sheetName val="2540.20483"/>
      <sheetName val="Unprotected EDIT Base"/>
      <sheetName val="2540.20484"/>
      <sheetName val="Unprotected EDIT Gross up"/>
      <sheetName val="1860.20488"/>
      <sheetName val="WEAF Big Heart-Therm Sales"/>
      <sheetName val="RA 1860.20484"/>
      <sheetName val="RA 1860.20485"/>
      <sheetName val="RA 1860.20486"/>
      <sheetName val="ZBA 13"/>
      <sheetName val="EDIT RCL-C 1823.2061"/>
      <sheetName val="EDIT RCL-NC 1823.2062"/>
      <sheetName val="8-22 AJE Correction"/>
      <sheetName val="DG 1910.01288"/>
      <sheetName val="RA 1860.204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408A-1B28-4207-BC91-A69E827ED073}">
  <sheetPr>
    <pageSetUpPr fitToPage="1"/>
  </sheetPr>
  <dimension ref="A1:J38"/>
  <sheetViews>
    <sheetView zoomScale="145" zoomScaleNormal="145" workbookViewId="0">
      <selection activeCell="F31" sqref="F31"/>
    </sheetView>
  </sheetViews>
  <sheetFormatPr defaultRowHeight="15" x14ac:dyDescent="0.25"/>
  <cols>
    <col min="2" max="2" width="54.28515625" bestFit="1" customWidth="1"/>
    <col min="3" max="3" width="4.85546875" customWidth="1"/>
    <col min="4" max="4" width="15.140625" bestFit="1" customWidth="1"/>
    <col min="5" max="5" width="2.42578125" customWidth="1"/>
    <col min="6" max="6" width="15.28515625" customWidth="1"/>
    <col min="7" max="7" width="3.140625" customWidth="1"/>
    <col min="8" max="8" width="16.85546875" bestFit="1" customWidth="1"/>
    <col min="9" max="9" width="17.28515625" bestFit="1" customWidth="1"/>
    <col min="10" max="10" width="12.7109375" bestFit="1" customWidth="1"/>
    <col min="11" max="11" width="13.5703125" bestFit="1" customWidth="1"/>
  </cols>
  <sheetData>
    <row r="1" spans="1:10" x14ac:dyDescent="0.25">
      <c r="B1" t="s">
        <v>0</v>
      </c>
    </row>
    <row r="2" spans="1:10" x14ac:dyDescent="0.25">
      <c r="B2" t="s">
        <v>1</v>
      </c>
      <c r="H2" s="31"/>
    </row>
    <row r="3" spans="1:10" x14ac:dyDescent="0.25">
      <c r="B3" t="s">
        <v>2</v>
      </c>
    </row>
    <row r="6" spans="1:10" x14ac:dyDescent="0.25">
      <c r="A6">
        <v>1</v>
      </c>
      <c r="B6" t="s">
        <v>7</v>
      </c>
      <c r="I6" s="5"/>
      <c r="J6" s="5"/>
    </row>
    <row r="7" spans="1:10" x14ac:dyDescent="0.25">
      <c r="A7">
        <v>2</v>
      </c>
      <c r="F7" s="16">
        <f>'UTC Fees WP'!E22</f>
        <v>769075.04</v>
      </c>
      <c r="I7" s="5"/>
    </row>
    <row r="8" spans="1:10" x14ac:dyDescent="0.25">
      <c r="A8">
        <v>3</v>
      </c>
      <c r="I8" s="5"/>
      <c r="J8" s="5"/>
    </row>
    <row r="9" spans="1:10" ht="15.75" customHeight="1" x14ac:dyDescent="0.25">
      <c r="A9">
        <v>4</v>
      </c>
      <c r="B9" t="s">
        <v>14</v>
      </c>
      <c r="I9" s="5"/>
    </row>
    <row r="10" spans="1:10" ht="15.75" customHeight="1" x14ac:dyDescent="0.25">
      <c r="A10">
        <v>5</v>
      </c>
      <c r="F10" s="25">
        <f>'UTC Fees WP'!E35-'Exh. ZLH-3 (UTC Fees)'!F7</f>
        <v>879553.22</v>
      </c>
      <c r="H10" s="7"/>
      <c r="I10" s="5"/>
      <c r="J10" s="23"/>
    </row>
    <row r="11" spans="1:10" ht="15.75" customHeight="1" x14ac:dyDescent="0.25">
      <c r="A11">
        <v>6</v>
      </c>
      <c r="I11" s="5"/>
      <c r="J11" s="23"/>
    </row>
    <row r="12" spans="1:10" x14ac:dyDescent="0.25">
      <c r="A12">
        <v>7</v>
      </c>
      <c r="I12" s="5"/>
    </row>
    <row r="13" spans="1:10" x14ac:dyDescent="0.25">
      <c r="A13">
        <v>8</v>
      </c>
      <c r="B13" t="s">
        <v>16</v>
      </c>
      <c r="F13" s="19">
        <f>+F7+F10</f>
        <v>1648628.26</v>
      </c>
      <c r="I13" s="5"/>
    </row>
    <row r="14" spans="1:10" x14ac:dyDescent="0.25">
      <c r="A14">
        <v>9</v>
      </c>
      <c r="B14" t="s">
        <v>17</v>
      </c>
      <c r="F14" s="19">
        <f>+F13/2</f>
        <v>824314.13</v>
      </c>
      <c r="I14" s="5"/>
    </row>
    <row r="15" spans="1:10" ht="15.75" thickBot="1" x14ac:dyDescent="0.3">
      <c r="A15">
        <v>10</v>
      </c>
      <c r="B15" t="s">
        <v>18</v>
      </c>
      <c r="F15" s="24">
        <f>+F14/(1-0.04924)</f>
        <v>867005.4798266649</v>
      </c>
      <c r="I15" s="5"/>
    </row>
    <row r="16" spans="1:10" x14ac:dyDescent="0.25">
      <c r="A16">
        <v>11</v>
      </c>
      <c r="I16" s="5"/>
      <c r="J16" s="5"/>
    </row>
    <row r="17" spans="1:9" x14ac:dyDescent="0.25">
      <c r="A17">
        <v>12</v>
      </c>
      <c r="B17" t="s">
        <v>24</v>
      </c>
    </row>
    <row r="18" spans="1:9" ht="15.75" thickBot="1" x14ac:dyDescent="0.3">
      <c r="A18">
        <v>13</v>
      </c>
    </row>
    <row r="19" spans="1:9" ht="15.75" thickBot="1" x14ac:dyDescent="0.3">
      <c r="A19">
        <v>14</v>
      </c>
      <c r="B19" s="3" t="s">
        <v>19</v>
      </c>
      <c r="C19" s="3"/>
      <c r="D19" s="3" t="s">
        <v>20</v>
      </c>
      <c r="F19" t="s">
        <v>26</v>
      </c>
      <c r="H19" t="s">
        <v>27</v>
      </c>
      <c r="I19" s="30" t="s">
        <v>25</v>
      </c>
    </row>
    <row r="20" spans="1:9" x14ac:dyDescent="0.25">
      <c r="A20">
        <v>15</v>
      </c>
      <c r="B20" s="2">
        <v>503</v>
      </c>
      <c r="D20" s="32">
        <v>132185007</v>
      </c>
      <c r="E20" s="31"/>
      <c r="F20" s="33">
        <f>'Revenue Spread WP'!D15</f>
        <v>0.50102950308372163</v>
      </c>
      <c r="H20" s="19">
        <f>+F15*F20</f>
        <v>434395.32472841756</v>
      </c>
      <c r="I20" s="27">
        <f>ROUND(H20/$D$20,5)</f>
        <v>3.29E-3</v>
      </c>
    </row>
    <row r="21" spans="1:9" x14ac:dyDescent="0.25">
      <c r="A21">
        <v>16</v>
      </c>
      <c r="B21" s="2"/>
      <c r="D21" s="32"/>
      <c r="E21" s="31"/>
      <c r="F21" s="33"/>
      <c r="H21" s="19"/>
      <c r="I21" s="28"/>
    </row>
    <row r="22" spans="1:9" x14ac:dyDescent="0.25">
      <c r="A22">
        <v>17</v>
      </c>
      <c r="B22" s="2">
        <v>504</v>
      </c>
      <c r="D22" s="32">
        <v>93408945</v>
      </c>
      <c r="E22" s="31"/>
      <c r="F22" s="33">
        <f>'Revenue Spread WP'!E15</f>
        <v>0.22437782967568534</v>
      </c>
      <c r="H22" s="19">
        <f>+F15*F22</f>
        <v>194536.80788043325</v>
      </c>
      <c r="I22" s="27">
        <f>ROUND(H22/$D$22,5)</f>
        <v>2.0799999999999998E-3</v>
      </c>
    </row>
    <row r="23" spans="1:9" x14ac:dyDescent="0.25">
      <c r="A23">
        <v>18</v>
      </c>
      <c r="B23" s="2"/>
      <c r="D23" s="32"/>
      <c r="E23" s="31"/>
      <c r="F23" s="33"/>
      <c r="H23" s="19"/>
      <c r="I23" s="28"/>
    </row>
    <row r="24" spans="1:9" x14ac:dyDescent="0.25">
      <c r="A24">
        <v>19</v>
      </c>
      <c r="B24" s="2">
        <v>505</v>
      </c>
      <c r="D24" s="32">
        <v>12346309</v>
      </c>
      <c r="E24" s="31"/>
      <c r="F24" s="33">
        <f>'Revenue Spread WP'!F15</f>
        <v>2.0308140623331934E-2</v>
      </c>
      <c r="H24" s="19">
        <f>+F15*F24</f>
        <v>17607.269205519289</v>
      </c>
      <c r="I24" s="27">
        <f>ROUND(H24/$D$24,5)</f>
        <v>1.4300000000000001E-3</v>
      </c>
    </row>
    <row r="25" spans="1:9" x14ac:dyDescent="0.25">
      <c r="A25">
        <v>20</v>
      </c>
      <c r="B25" s="2"/>
      <c r="D25" s="32"/>
      <c r="E25" s="31"/>
      <c r="F25" s="33"/>
      <c r="H25" s="19"/>
      <c r="I25" s="28"/>
    </row>
    <row r="26" spans="1:9" x14ac:dyDescent="0.25">
      <c r="A26">
        <v>21</v>
      </c>
      <c r="B26" s="2">
        <v>511</v>
      </c>
      <c r="D26" s="32">
        <v>16688677</v>
      </c>
      <c r="E26" s="31"/>
      <c r="F26" s="33">
        <f>'Revenue Spread WP'!G15</f>
        <v>2.0489419180905199E-2</v>
      </c>
      <c r="H26" s="19">
        <f>+F15*F26</f>
        <v>17764.438708310383</v>
      </c>
      <c r="I26" s="27">
        <f>ROUND(H26/$D$26,5)</f>
        <v>1.06E-3</v>
      </c>
    </row>
    <row r="27" spans="1:9" x14ac:dyDescent="0.25">
      <c r="A27">
        <v>22</v>
      </c>
      <c r="B27" s="2"/>
      <c r="D27" s="32"/>
      <c r="E27" s="31"/>
      <c r="F27" s="33"/>
      <c r="H27" s="19"/>
      <c r="I27" s="28"/>
    </row>
    <row r="28" spans="1:9" x14ac:dyDescent="0.25">
      <c r="A28">
        <v>23</v>
      </c>
      <c r="B28" s="2">
        <v>663</v>
      </c>
      <c r="D28" s="32">
        <v>854941070</v>
      </c>
      <c r="E28" s="31"/>
      <c r="F28" s="33">
        <f>'Revenue Spread WP'!I15</f>
        <v>0.23239479797091206</v>
      </c>
      <c r="H28" s="19">
        <f>+F15*F28</f>
        <v>201487.56332399146</v>
      </c>
      <c r="I28" s="27">
        <f>ROUND(H28/$D$28,5)</f>
        <v>2.4000000000000001E-4</v>
      </c>
    </row>
    <row r="29" spans="1:9" x14ac:dyDescent="0.25">
      <c r="A29">
        <v>24</v>
      </c>
      <c r="B29" s="2"/>
      <c r="D29" s="32"/>
      <c r="E29" s="31"/>
      <c r="F29" s="33"/>
      <c r="H29" s="19"/>
      <c r="I29" s="28"/>
    </row>
    <row r="30" spans="1:9" ht="15.75" thickBot="1" x14ac:dyDescent="0.3">
      <c r="A30">
        <v>25</v>
      </c>
      <c r="B30" s="2">
        <v>570</v>
      </c>
      <c r="D30" s="34">
        <v>2097598</v>
      </c>
      <c r="E30" s="31"/>
      <c r="F30" s="33">
        <f>'Revenue Spread WP'!H15</f>
        <v>1.4003094654438193E-3</v>
      </c>
      <c r="H30" s="19">
        <f>+F15*F30</f>
        <v>1214.0759799929392</v>
      </c>
      <c r="I30" s="29">
        <f>ROUND(H30/$D$30,5)</f>
        <v>5.8E-4</v>
      </c>
    </row>
    <row r="31" spans="1:9" ht="15.75" thickTop="1" x14ac:dyDescent="0.25">
      <c r="A31">
        <v>26</v>
      </c>
    </row>
    <row r="32" spans="1:9" x14ac:dyDescent="0.25">
      <c r="A32">
        <v>27</v>
      </c>
      <c r="B32" s="15" t="s">
        <v>23</v>
      </c>
      <c r="D32" s="1">
        <f>SUM(D20:D31)</f>
        <v>1111667606</v>
      </c>
      <c r="F32" s="18">
        <f>SUM(F20:F31)</f>
        <v>1</v>
      </c>
      <c r="H32" s="19">
        <f>SUM(H20:H31)</f>
        <v>867005.47982666502</v>
      </c>
    </row>
    <row r="33" spans="1:8" x14ac:dyDescent="0.25">
      <c r="A33">
        <v>28</v>
      </c>
    </row>
    <row r="34" spans="1:8" x14ac:dyDescent="0.25">
      <c r="A34">
        <v>29</v>
      </c>
      <c r="B34" s="35" t="s">
        <v>29</v>
      </c>
      <c r="F34" s="26"/>
      <c r="H34" s="36">
        <v>370707520</v>
      </c>
    </row>
    <row r="35" spans="1:8" x14ac:dyDescent="0.25">
      <c r="B35" s="15" t="s">
        <v>28</v>
      </c>
      <c r="H35" s="37">
        <f>+H32/H34</f>
        <v>2.3387857894726955E-3</v>
      </c>
    </row>
    <row r="38" spans="1:8" x14ac:dyDescent="0.25">
      <c r="B38" s="4"/>
    </row>
  </sheetData>
  <pageMargins left="0.7" right="0.7" top="1.2" bottom="0.75" header="0.86" footer="0.3"/>
  <pageSetup scale="88" fitToHeight="0" orientation="landscape" r:id="rId1"/>
  <headerFooter>
    <oddHeader>&amp;RCNGC/202
Parvinen/Page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5C72-24B0-4C6B-8445-96301893DDA4}">
  <sheetPr>
    <tabColor rgb="FF00B05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zoomScale="70" zoomScaleNormal="70" workbookViewId="0">
      <selection activeCell="K35" sqref="K35"/>
    </sheetView>
  </sheetViews>
  <sheetFormatPr defaultRowHeight="15" x14ac:dyDescent="0.25"/>
  <cols>
    <col min="3" max="3" width="27.28515625" customWidth="1"/>
    <col min="4" max="4" width="11.28515625" bestFit="1" customWidth="1"/>
    <col min="5" max="5" width="16.42578125" bestFit="1" customWidth="1"/>
    <col min="6" max="6" width="34.5703125" customWidth="1"/>
    <col min="7" max="7" width="31" bestFit="1" customWidth="1"/>
    <col min="8" max="8" width="13.42578125" customWidth="1"/>
    <col min="9" max="9" width="20.42578125" customWidth="1"/>
    <col min="10" max="10" width="17.42578125" bestFit="1" customWidth="1"/>
    <col min="11" max="11" width="14.5703125" bestFit="1" customWidth="1"/>
    <col min="12" max="12" width="13.28515625" bestFit="1" customWidth="1"/>
    <col min="13" max="13" width="13.570312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2</v>
      </c>
    </row>
    <row r="6" spans="1:11" ht="15.75" customHeight="1" x14ac:dyDescent="0.25">
      <c r="B6" s="8" t="s">
        <v>3</v>
      </c>
      <c r="C6" s="9" t="s">
        <v>4</v>
      </c>
      <c r="D6" s="8" t="s">
        <v>5</v>
      </c>
      <c r="E6" s="8" t="s">
        <v>6</v>
      </c>
      <c r="I6" s="20"/>
    </row>
    <row r="7" spans="1:11" x14ac:dyDescent="0.25">
      <c r="B7" s="10"/>
      <c r="C7" s="11"/>
      <c r="D7" s="10"/>
      <c r="I7" s="20"/>
      <c r="J7" s="7"/>
      <c r="K7" s="6"/>
    </row>
    <row r="8" spans="1:11" x14ac:dyDescent="0.25">
      <c r="B8" s="12">
        <v>44895</v>
      </c>
      <c r="C8" s="13">
        <v>0</v>
      </c>
      <c r="D8" s="14">
        <v>0</v>
      </c>
      <c r="E8" s="7">
        <f>+C8+D8</f>
        <v>0</v>
      </c>
      <c r="G8" s="2" t="s">
        <v>8</v>
      </c>
      <c r="H8" s="2" t="s">
        <v>9</v>
      </c>
      <c r="I8" s="22" t="s">
        <v>10</v>
      </c>
      <c r="J8" s="6"/>
    </row>
    <row r="9" spans="1:11" x14ac:dyDescent="0.25">
      <c r="B9" s="12">
        <v>44926</v>
      </c>
      <c r="C9" s="13">
        <v>0</v>
      </c>
      <c r="D9" s="14">
        <v>0</v>
      </c>
      <c r="E9" s="7">
        <f>+E8+C9+D9</f>
        <v>0</v>
      </c>
      <c r="G9" s="2" t="s">
        <v>11</v>
      </c>
      <c r="H9" s="2" t="s">
        <v>12</v>
      </c>
      <c r="I9" s="2" t="s">
        <v>13</v>
      </c>
    </row>
    <row r="10" spans="1:11" ht="15.75" customHeight="1" x14ac:dyDescent="0.25">
      <c r="A10" s="15" t="s">
        <v>15</v>
      </c>
      <c r="B10" s="12">
        <v>44957</v>
      </c>
      <c r="C10" s="13">
        <f>+I10</f>
        <v>57000</v>
      </c>
      <c r="D10" s="14">
        <v>0</v>
      </c>
      <c r="E10" s="7">
        <f t="shared" ref="E10" si="0">+E9+C10+D10</f>
        <v>57000</v>
      </c>
      <c r="F10" s="15" t="s">
        <v>15</v>
      </c>
      <c r="G10" s="21">
        <v>114000</v>
      </c>
      <c r="H10" s="16">
        <f>+G10/2</f>
        <v>57000</v>
      </c>
      <c r="I10" s="16">
        <f>+G10-H10</f>
        <v>57000</v>
      </c>
    </row>
    <row r="11" spans="1:11" x14ac:dyDescent="0.25">
      <c r="A11" s="15" t="s">
        <v>15</v>
      </c>
      <c r="B11" s="12">
        <v>44985</v>
      </c>
      <c r="C11" s="13">
        <f t="shared" ref="C11:C35" si="1">+I11</f>
        <v>57000</v>
      </c>
      <c r="D11" s="17">
        <f>+((E10*0.0447)/365)*28</f>
        <v>195.4553424657534</v>
      </c>
      <c r="E11" s="7">
        <f>ROUND((+E10+C11+D11),2)</f>
        <v>114195.46</v>
      </c>
      <c r="F11" s="15" t="s">
        <v>15</v>
      </c>
      <c r="G11" s="21">
        <v>114000</v>
      </c>
      <c r="H11" s="16">
        <f>+G11/2</f>
        <v>57000</v>
      </c>
      <c r="I11" s="16">
        <f t="shared" ref="I11:I12" si="2">+G11-H11</f>
        <v>57000</v>
      </c>
    </row>
    <row r="12" spans="1:11" x14ac:dyDescent="0.25">
      <c r="A12" s="15" t="s">
        <v>15</v>
      </c>
      <c r="B12" s="12">
        <v>45016</v>
      </c>
      <c r="C12" s="13">
        <f t="shared" si="1"/>
        <v>57000</v>
      </c>
      <c r="D12" s="17">
        <f>+((E11*0.0447)/365*ROUND((31),2))</f>
        <v>433.53602444383569</v>
      </c>
      <c r="E12" s="7">
        <f t="shared" ref="E12:E35" si="3">ROUND((+E11+C12+D12),2)</f>
        <v>171629</v>
      </c>
      <c r="F12" s="15" t="s">
        <v>15</v>
      </c>
      <c r="G12" s="21">
        <v>114000</v>
      </c>
      <c r="H12" s="16">
        <f>+G12/2</f>
        <v>57000</v>
      </c>
      <c r="I12" s="16">
        <f t="shared" si="2"/>
        <v>57000</v>
      </c>
    </row>
    <row r="13" spans="1:11" x14ac:dyDescent="0.25">
      <c r="A13" s="15" t="s">
        <v>15</v>
      </c>
      <c r="B13" s="12">
        <v>45046</v>
      </c>
      <c r="C13" s="13">
        <f t="shared" si="1"/>
        <v>57000</v>
      </c>
      <c r="D13" s="17">
        <f>+((E12*0.0447)/365)*30</f>
        <v>630.56024383561635</v>
      </c>
      <c r="E13" s="7">
        <f t="shared" si="3"/>
        <v>229259.56</v>
      </c>
      <c r="F13" s="15" t="s">
        <v>15</v>
      </c>
      <c r="G13" s="21">
        <v>114000</v>
      </c>
      <c r="H13" s="16">
        <f>+G13/2</f>
        <v>57000</v>
      </c>
      <c r="I13" s="16">
        <f t="shared" ref="I13:I26" si="4">+G13-H13</f>
        <v>57000</v>
      </c>
    </row>
    <row r="14" spans="1:11" x14ac:dyDescent="0.25">
      <c r="A14" s="15" t="s">
        <v>15</v>
      </c>
      <c r="B14" s="12">
        <v>45077</v>
      </c>
      <c r="C14" s="13">
        <f t="shared" si="1"/>
        <v>57444.5</v>
      </c>
      <c r="D14" s="17">
        <f>+((E13*0.0447)/365)*31</f>
        <v>870.36978710136987</v>
      </c>
      <c r="E14" s="7">
        <f t="shared" si="3"/>
        <v>287574.43</v>
      </c>
      <c r="F14" s="15" t="s">
        <v>15</v>
      </c>
      <c r="G14" s="21">
        <v>114889</v>
      </c>
      <c r="H14" s="16">
        <f t="shared" ref="H14:H23" si="5">+G14/2</f>
        <v>57444.5</v>
      </c>
      <c r="I14" s="16">
        <f t="shared" si="4"/>
        <v>57444.5</v>
      </c>
    </row>
    <row r="15" spans="1:11" x14ac:dyDescent="0.25">
      <c r="A15" s="15" t="s">
        <v>15</v>
      </c>
      <c r="B15" s="12">
        <v>45107</v>
      </c>
      <c r="C15" s="13">
        <f t="shared" si="1"/>
        <v>57444.5</v>
      </c>
      <c r="D15" s="17">
        <f>+((E14*0.0447)/365)*30</f>
        <v>1056.5405770684931</v>
      </c>
      <c r="E15" s="7">
        <f t="shared" si="3"/>
        <v>346075.47</v>
      </c>
      <c r="F15" s="15" t="s">
        <v>15</v>
      </c>
      <c r="G15" s="21">
        <v>114889</v>
      </c>
      <c r="H15" s="16">
        <f t="shared" si="5"/>
        <v>57444.5</v>
      </c>
      <c r="I15" s="16">
        <f t="shared" si="4"/>
        <v>57444.5</v>
      </c>
      <c r="K15" s="6"/>
    </row>
    <row r="16" spans="1:11" x14ac:dyDescent="0.25">
      <c r="A16" s="15" t="s">
        <v>15</v>
      </c>
      <c r="B16" s="12">
        <v>45138</v>
      </c>
      <c r="C16" s="13">
        <f t="shared" si="1"/>
        <v>57444.5</v>
      </c>
      <c r="D16" s="17">
        <f>+((E15*0.05)/365)*31</f>
        <v>1469.6355575342463</v>
      </c>
      <c r="E16" s="7">
        <f t="shared" si="3"/>
        <v>404989.61</v>
      </c>
      <c r="F16" s="15" t="s">
        <v>15</v>
      </c>
      <c r="G16" s="21">
        <v>114889</v>
      </c>
      <c r="H16" s="16">
        <f t="shared" si="5"/>
        <v>57444.5</v>
      </c>
      <c r="I16" s="16">
        <f t="shared" si="4"/>
        <v>57444.5</v>
      </c>
    </row>
    <row r="17" spans="1:9" x14ac:dyDescent="0.25">
      <c r="A17" s="15" t="s">
        <v>15</v>
      </c>
      <c r="B17" s="12">
        <v>45169</v>
      </c>
      <c r="C17" s="13">
        <f t="shared" si="1"/>
        <v>57444.5</v>
      </c>
      <c r="D17" s="17">
        <f>+((E16*0.05)/365)*31</f>
        <v>1719.818891780822</v>
      </c>
      <c r="E17" s="7">
        <f t="shared" si="3"/>
        <v>464153.93</v>
      </c>
      <c r="F17" s="15" t="s">
        <v>15</v>
      </c>
      <c r="G17" s="21">
        <v>114889</v>
      </c>
      <c r="H17" s="16">
        <f t="shared" si="5"/>
        <v>57444.5</v>
      </c>
      <c r="I17" s="16">
        <f t="shared" si="4"/>
        <v>57444.5</v>
      </c>
    </row>
    <row r="18" spans="1:9" x14ac:dyDescent="0.25">
      <c r="A18" s="15" t="s">
        <v>15</v>
      </c>
      <c r="B18" s="12">
        <v>45199</v>
      </c>
      <c r="C18" s="13">
        <f t="shared" si="1"/>
        <v>57444.5</v>
      </c>
      <c r="D18" s="17">
        <f>+((E17*0.05)/365)*30</f>
        <v>1907.4819041095891</v>
      </c>
      <c r="E18" s="7">
        <f t="shared" si="3"/>
        <v>523505.91</v>
      </c>
      <c r="F18" s="15" t="s">
        <v>15</v>
      </c>
      <c r="G18" s="21">
        <v>114889</v>
      </c>
      <c r="H18" s="16">
        <f t="shared" si="5"/>
        <v>57444.5</v>
      </c>
      <c r="I18" s="16">
        <f t="shared" si="4"/>
        <v>57444.5</v>
      </c>
    </row>
    <row r="19" spans="1:9" x14ac:dyDescent="0.25">
      <c r="A19" s="15" t="s">
        <v>15</v>
      </c>
      <c r="B19" s="12">
        <v>45230</v>
      </c>
      <c r="C19" s="13">
        <f t="shared" si="1"/>
        <v>57444.5</v>
      </c>
      <c r="D19" s="17">
        <f>+((E18*0.05)/365)*31</f>
        <v>2223.1072890410956</v>
      </c>
      <c r="E19" s="7">
        <f t="shared" si="3"/>
        <v>583173.52</v>
      </c>
      <c r="F19" s="15" t="s">
        <v>15</v>
      </c>
      <c r="G19" s="21">
        <v>114889</v>
      </c>
      <c r="H19" s="16">
        <f t="shared" si="5"/>
        <v>57444.5</v>
      </c>
      <c r="I19" s="16">
        <f t="shared" si="4"/>
        <v>57444.5</v>
      </c>
    </row>
    <row r="20" spans="1:9" x14ac:dyDescent="0.25">
      <c r="A20" s="15" t="s">
        <v>15</v>
      </c>
      <c r="B20" s="12">
        <v>45260</v>
      </c>
      <c r="C20" s="13">
        <f t="shared" si="1"/>
        <v>57444.5</v>
      </c>
      <c r="D20" s="17">
        <f>+((E19*0.05)/365)*30</f>
        <v>2396.6035068493152</v>
      </c>
      <c r="E20" s="7">
        <f t="shared" si="3"/>
        <v>643014.62</v>
      </c>
      <c r="F20" s="15" t="s">
        <v>15</v>
      </c>
      <c r="G20" s="21">
        <v>114889</v>
      </c>
      <c r="H20" s="16">
        <f t="shared" si="5"/>
        <v>57444.5</v>
      </c>
      <c r="I20" s="16">
        <f t="shared" si="4"/>
        <v>57444.5</v>
      </c>
    </row>
    <row r="21" spans="1:9" x14ac:dyDescent="0.25">
      <c r="A21" s="15" t="s">
        <v>15</v>
      </c>
      <c r="B21" s="12">
        <v>45291</v>
      </c>
      <c r="C21" s="13">
        <f>+I21+0.02</f>
        <v>57444.52</v>
      </c>
      <c r="D21" s="17">
        <f>+((E20*0.05)/365)*31</f>
        <v>2730.6100301369861</v>
      </c>
      <c r="E21" s="7">
        <f t="shared" si="3"/>
        <v>703189.75</v>
      </c>
      <c r="F21" s="15" t="s">
        <v>15</v>
      </c>
      <c r="G21" s="21">
        <v>114889</v>
      </c>
      <c r="H21" s="16">
        <f t="shared" si="5"/>
        <v>57444.5</v>
      </c>
      <c r="I21" s="16">
        <f t="shared" si="4"/>
        <v>57444.5</v>
      </c>
    </row>
    <row r="22" spans="1:9" x14ac:dyDescent="0.25">
      <c r="A22" s="15" t="s">
        <v>15</v>
      </c>
      <c r="B22" s="12">
        <v>45322</v>
      </c>
      <c r="C22" s="13">
        <f t="shared" si="1"/>
        <v>62702.06</v>
      </c>
      <c r="D22" s="17">
        <f>+((E21*0.0533)/365)*31</f>
        <v>3183.2340381506851</v>
      </c>
      <c r="E22" s="7">
        <f t="shared" si="3"/>
        <v>769075.04</v>
      </c>
      <c r="F22" s="15" t="s">
        <v>15</v>
      </c>
      <c r="G22" s="21">
        <v>125404.12</v>
      </c>
      <c r="H22" s="16">
        <f t="shared" si="5"/>
        <v>62702.06</v>
      </c>
      <c r="I22" s="16">
        <f t="shared" si="4"/>
        <v>62702.06</v>
      </c>
    </row>
    <row r="23" spans="1:9" x14ac:dyDescent="0.25">
      <c r="A23" s="15" t="s">
        <v>21</v>
      </c>
      <c r="B23" s="12">
        <v>45351</v>
      </c>
      <c r="C23" s="13">
        <f t="shared" si="1"/>
        <v>62702.06</v>
      </c>
      <c r="D23" s="17">
        <f>+((E22*0.0533)/365)*29</f>
        <v>3256.8747652821921</v>
      </c>
      <c r="E23" s="7">
        <f t="shared" si="3"/>
        <v>835033.97</v>
      </c>
      <c r="F23" s="15" t="s">
        <v>22</v>
      </c>
      <c r="G23" s="21">
        <v>125404.12</v>
      </c>
      <c r="H23" s="16">
        <f t="shared" si="5"/>
        <v>62702.06</v>
      </c>
      <c r="I23" s="16">
        <f t="shared" si="4"/>
        <v>62702.06</v>
      </c>
    </row>
    <row r="24" spans="1:9" x14ac:dyDescent="0.25">
      <c r="A24" s="15" t="s">
        <v>21</v>
      </c>
      <c r="B24" s="12">
        <v>45382</v>
      </c>
      <c r="C24" s="13">
        <f t="shared" si="1"/>
        <v>62702.06</v>
      </c>
      <c r="D24" s="17">
        <f>+((E23*0.0533)/365)*31</f>
        <v>3780.0729551534246</v>
      </c>
      <c r="E24" s="7">
        <f t="shared" si="3"/>
        <v>901516.1</v>
      </c>
      <c r="F24" s="15" t="s">
        <v>22</v>
      </c>
      <c r="G24" s="21">
        <v>125404.12</v>
      </c>
      <c r="H24" s="16">
        <f t="shared" ref="H24" si="6">+G24/2</f>
        <v>62702.06</v>
      </c>
      <c r="I24" s="16">
        <f t="shared" si="4"/>
        <v>62702.06</v>
      </c>
    </row>
    <row r="25" spans="1:9" x14ac:dyDescent="0.25">
      <c r="A25" s="15" t="s">
        <v>21</v>
      </c>
      <c r="B25" s="12">
        <v>45412</v>
      </c>
      <c r="C25" s="13">
        <f t="shared" si="1"/>
        <v>62702.06</v>
      </c>
      <c r="D25" s="17">
        <f>+((E24*0.0533)/365)*30</f>
        <v>3949.381490136986</v>
      </c>
      <c r="E25" s="7">
        <f t="shared" si="3"/>
        <v>968167.54</v>
      </c>
      <c r="F25" s="15" t="s">
        <v>22</v>
      </c>
      <c r="G25" s="21">
        <v>125404.12</v>
      </c>
      <c r="H25" s="16">
        <f t="shared" ref="H25:H35" si="7">+G25/2</f>
        <v>62702.06</v>
      </c>
      <c r="I25" s="16">
        <f t="shared" si="4"/>
        <v>62702.06</v>
      </c>
    </row>
    <row r="26" spans="1:9" x14ac:dyDescent="0.25">
      <c r="A26" s="15" t="s">
        <v>21</v>
      </c>
      <c r="B26" s="12">
        <v>45443</v>
      </c>
      <c r="C26" s="13">
        <f t="shared" si="1"/>
        <v>62702.06</v>
      </c>
      <c r="D26" s="17">
        <f>+((E25*0.0533)/365)*31</f>
        <v>4382.7485653205486</v>
      </c>
      <c r="E26" s="7">
        <f t="shared" si="3"/>
        <v>1035252.35</v>
      </c>
      <c r="F26" s="15" t="s">
        <v>22</v>
      </c>
      <c r="G26" s="21">
        <v>125404.12</v>
      </c>
      <c r="H26" s="16">
        <f t="shared" si="7"/>
        <v>62702.06</v>
      </c>
      <c r="I26" s="16">
        <f t="shared" si="4"/>
        <v>62702.06</v>
      </c>
    </row>
    <row r="27" spans="1:9" x14ac:dyDescent="0.25">
      <c r="A27" s="15" t="s">
        <v>21</v>
      </c>
      <c r="B27" s="12">
        <v>45473</v>
      </c>
      <c r="C27" s="13">
        <f t="shared" si="1"/>
        <v>62702.06</v>
      </c>
      <c r="D27" s="17">
        <f>+((E26*0.0533)/365)*30</f>
        <v>4535.2561853424659</v>
      </c>
      <c r="E27" s="7">
        <f t="shared" si="3"/>
        <v>1102489.67</v>
      </c>
      <c r="F27" s="15" t="s">
        <v>22</v>
      </c>
      <c r="G27" s="21">
        <v>125404.12</v>
      </c>
      <c r="H27" s="16">
        <f t="shared" si="7"/>
        <v>62702.06</v>
      </c>
      <c r="I27" s="16">
        <f t="shared" ref="I27:I35" si="8">+G27-H27</f>
        <v>62702.06</v>
      </c>
    </row>
    <row r="28" spans="1:9" x14ac:dyDescent="0.25">
      <c r="A28" s="15" t="s">
        <v>21</v>
      </c>
      <c r="B28" s="12">
        <v>45504</v>
      </c>
      <c r="C28" s="13">
        <f t="shared" si="1"/>
        <v>62702.06</v>
      </c>
      <c r="D28" s="17">
        <f>+((E27*0.05)/365)*31</f>
        <v>4681.8054479452057</v>
      </c>
      <c r="E28" s="7">
        <f t="shared" si="3"/>
        <v>1169873.54</v>
      </c>
      <c r="F28" s="15" t="s">
        <v>22</v>
      </c>
      <c r="G28" s="21">
        <v>125404.12</v>
      </c>
      <c r="H28" s="16">
        <f t="shared" si="7"/>
        <v>62702.06</v>
      </c>
      <c r="I28" s="16">
        <f t="shared" si="8"/>
        <v>62702.06</v>
      </c>
    </row>
    <row r="29" spans="1:9" x14ac:dyDescent="0.25">
      <c r="A29" s="15" t="s">
        <v>21</v>
      </c>
      <c r="B29" s="12">
        <v>45535</v>
      </c>
      <c r="C29" s="13">
        <f t="shared" si="1"/>
        <v>62702.06</v>
      </c>
      <c r="D29" s="17">
        <f>+((E28*0.05)/365)*31</f>
        <v>4967.9561287671231</v>
      </c>
      <c r="E29" s="7">
        <f t="shared" si="3"/>
        <v>1237543.56</v>
      </c>
      <c r="F29" s="15" t="s">
        <v>22</v>
      </c>
      <c r="G29" s="21">
        <v>125404.12</v>
      </c>
      <c r="H29" s="16">
        <f t="shared" si="7"/>
        <v>62702.06</v>
      </c>
      <c r="I29" s="16">
        <f t="shared" si="8"/>
        <v>62702.06</v>
      </c>
    </row>
    <row r="30" spans="1:9" x14ac:dyDescent="0.25">
      <c r="A30" s="15" t="s">
        <v>21</v>
      </c>
      <c r="B30" s="12">
        <v>45565</v>
      </c>
      <c r="C30" s="13">
        <f t="shared" si="1"/>
        <v>62702.06</v>
      </c>
      <c r="D30" s="17">
        <f>+((E29*0.05)/365)*30</f>
        <v>5085.7954520547955</v>
      </c>
      <c r="E30" s="7">
        <f t="shared" si="3"/>
        <v>1305331.42</v>
      </c>
      <c r="F30" s="15" t="s">
        <v>22</v>
      </c>
      <c r="G30" s="21">
        <v>125404.12</v>
      </c>
      <c r="H30" s="16">
        <f t="shared" si="7"/>
        <v>62702.06</v>
      </c>
      <c r="I30" s="16">
        <f t="shared" si="8"/>
        <v>62702.06</v>
      </c>
    </row>
    <row r="31" spans="1:9" x14ac:dyDescent="0.25">
      <c r="A31" s="15" t="s">
        <v>21</v>
      </c>
      <c r="B31" s="12">
        <v>45596</v>
      </c>
      <c r="C31" s="13">
        <f t="shared" si="1"/>
        <v>62702.06</v>
      </c>
      <c r="D31" s="17">
        <f>+((E30*0.05)/365)*31</f>
        <v>5543.1882219178078</v>
      </c>
      <c r="E31" s="7">
        <f t="shared" si="3"/>
        <v>1373576.67</v>
      </c>
      <c r="F31" s="15" t="s">
        <v>22</v>
      </c>
      <c r="G31" s="21">
        <v>125404.12</v>
      </c>
      <c r="H31" s="16">
        <f t="shared" si="7"/>
        <v>62702.06</v>
      </c>
      <c r="I31" s="16">
        <f t="shared" si="8"/>
        <v>62702.06</v>
      </c>
    </row>
    <row r="32" spans="1:9" x14ac:dyDescent="0.25">
      <c r="A32" s="15" t="s">
        <v>21</v>
      </c>
      <c r="B32" s="12">
        <v>45626</v>
      </c>
      <c r="C32" s="13">
        <f t="shared" si="1"/>
        <v>62702.06</v>
      </c>
      <c r="D32" s="17">
        <f>+((E31*0.05)/365)*30</f>
        <v>5644.8356301369859</v>
      </c>
      <c r="E32" s="7">
        <f t="shared" si="3"/>
        <v>1441923.57</v>
      </c>
      <c r="F32" s="15" t="s">
        <v>22</v>
      </c>
      <c r="G32" s="21">
        <v>125404.12</v>
      </c>
      <c r="H32" s="16">
        <f t="shared" si="7"/>
        <v>62702.06</v>
      </c>
      <c r="I32" s="16">
        <f t="shared" si="8"/>
        <v>62702.06</v>
      </c>
    </row>
    <row r="33" spans="1:9" x14ac:dyDescent="0.25">
      <c r="A33" s="15" t="s">
        <v>21</v>
      </c>
      <c r="B33" s="12">
        <v>45657</v>
      </c>
      <c r="C33" s="13">
        <f t="shared" si="1"/>
        <v>62702.06</v>
      </c>
      <c r="D33" s="17">
        <f>+((E32*0.05)/365)*31</f>
        <v>6123.2370780821921</v>
      </c>
      <c r="E33" s="7">
        <f t="shared" si="3"/>
        <v>1510748.87</v>
      </c>
      <c r="F33" s="15" t="s">
        <v>22</v>
      </c>
      <c r="G33" s="21">
        <v>125404.12</v>
      </c>
      <c r="H33" s="16">
        <f t="shared" si="7"/>
        <v>62702.06</v>
      </c>
      <c r="I33" s="16">
        <f t="shared" si="8"/>
        <v>62702.06</v>
      </c>
    </row>
    <row r="34" spans="1:9" x14ac:dyDescent="0.25">
      <c r="A34" s="15" t="s">
        <v>21</v>
      </c>
      <c r="B34" s="12">
        <v>45688</v>
      </c>
      <c r="C34" s="13">
        <f t="shared" si="1"/>
        <v>62702.06</v>
      </c>
      <c r="D34" s="17">
        <f>+((E33*0.05)/365)*31</f>
        <v>6415.5089000000007</v>
      </c>
      <c r="E34" s="7">
        <f t="shared" si="3"/>
        <v>1579866.44</v>
      </c>
      <c r="F34" s="15" t="s">
        <v>22</v>
      </c>
      <c r="G34" s="21">
        <v>125404.12</v>
      </c>
      <c r="H34" s="16">
        <f t="shared" si="7"/>
        <v>62702.06</v>
      </c>
      <c r="I34" s="16">
        <f t="shared" si="8"/>
        <v>62702.06</v>
      </c>
    </row>
    <row r="35" spans="1:9" x14ac:dyDescent="0.25">
      <c r="A35" s="15" t="s">
        <v>21</v>
      </c>
      <c r="B35" s="12">
        <v>45716</v>
      </c>
      <c r="C35" s="13">
        <f t="shared" si="1"/>
        <v>62702.06</v>
      </c>
      <c r="D35" s="17">
        <f>+((E34*0.05)/365)*28</f>
        <v>6059.7616876712327</v>
      </c>
      <c r="E35" s="7">
        <f t="shared" si="3"/>
        <v>1648628.26</v>
      </c>
      <c r="F35" s="15" t="s">
        <v>22</v>
      </c>
      <c r="G35" s="21">
        <v>125404.12</v>
      </c>
      <c r="H35" s="16">
        <f t="shared" si="7"/>
        <v>62702.06</v>
      </c>
      <c r="I35" s="16">
        <f t="shared" si="8"/>
        <v>62702.06</v>
      </c>
    </row>
  </sheetData>
  <phoneticPr fontId="5" type="noConversion"/>
  <pageMargins left="0.7" right="0.7" top="1.22" bottom="0.75" header="0.72" footer="0.3"/>
  <pageSetup scale="71" fitToHeight="0" orientation="landscape" r:id="rId1"/>
  <headerFooter>
    <oddHeader>&amp;RCNGC/202
Parvinen/Page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E77B-6B24-4748-9543-5258D6F05C83}">
  <sheetPr>
    <pageSetUpPr fitToPage="1"/>
  </sheetPr>
  <dimension ref="A1:K30"/>
  <sheetViews>
    <sheetView tabSelected="1" workbookViewId="0">
      <selection activeCell="B18" sqref="B18"/>
    </sheetView>
  </sheetViews>
  <sheetFormatPr defaultColWidth="9.140625" defaultRowHeight="14.65" customHeight="1" x14ac:dyDescent="0.25"/>
  <cols>
    <col min="1" max="1" width="4.7109375" customWidth="1"/>
    <col min="2" max="2" width="34.7109375" bestFit="1" customWidth="1"/>
    <col min="3" max="7" width="16.7109375" customWidth="1"/>
    <col min="8" max="8" width="19.7109375" customWidth="1"/>
    <col min="9" max="10" width="16.7109375" customWidth="1"/>
    <col min="11" max="11" width="2.7109375" customWidth="1"/>
    <col min="12" max="13" width="9.140625" customWidth="1"/>
  </cols>
  <sheetData>
    <row r="1" spans="1:11" ht="15" x14ac:dyDescent="0.25">
      <c r="A1" t="s">
        <v>47</v>
      </c>
      <c r="K1" s="15"/>
    </row>
    <row r="2" spans="1:11" ht="15" x14ac:dyDescent="0.25">
      <c r="A2" t="s">
        <v>45</v>
      </c>
      <c r="K2" s="15"/>
    </row>
    <row r="3" spans="1:11" ht="15" x14ac:dyDescent="0.25">
      <c r="A3" t="s">
        <v>46</v>
      </c>
      <c r="K3" s="15"/>
    </row>
    <row r="4" spans="1:11" ht="15.75" thickBot="1" x14ac:dyDescent="0.3"/>
    <row r="5" spans="1:11" ht="30.75" thickBot="1" x14ac:dyDescent="0.3">
      <c r="A5" s="39" t="s">
        <v>30</v>
      </c>
      <c r="B5" s="39"/>
      <c r="C5" s="39" t="s">
        <v>31</v>
      </c>
      <c r="D5" s="40" t="s">
        <v>32</v>
      </c>
      <c r="E5" s="41" t="s">
        <v>33</v>
      </c>
      <c r="F5" s="41" t="s">
        <v>34</v>
      </c>
      <c r="G5" s="42" t="s">
        <v>35</v>
      </c>
      <c r="H5" s="42" t="s">
        <v>36</v>
      </c>
      <c r="I5" s="43" t="s">
        <v>37</v>
      </c>
      <c r="J5" s="44" t="s">
        <v>38</v>
      </c>
    </row>
    <row r="6" spans="1:11" ht="15" x14ac:dyDescent="0.25">
      <c r="A6" s="45"/>
      <c r="B6" s="70"/>
      <c r="C6" s="70"/>
      <c r="D6" s="70"/>
      <c r="E6" s="70"/>
      <c r="F6" s="70"/>
      <c r="G6" s="70"/>
      <c r="H6" s="70"/>
      <c r="I6" s="70"/>
      <c r="J6" s="71"/>
    </row>
    <row r="7" spans="1:11" ht="15" x14ac:dyDescent="0.25">
      <c r="A7" s="46">
        <v>1</v>
      </c>
      <c r="B7" s="72" t="s">
        <v>39</v>
      </c>
      <c r="C7" s="38">
        <v>125366415.42627013</v>
      </c>
      <c r="D7" s="38">
        <v>58676042.966684461</v>
      </c>
      <c r="E7" s="38">
        <v>31458385.280462097</v>
      </c>
      <c r="F7" s="38">
        <v>2700980.2054416006</v>
      </c>
      <c r="G7" s="38">
        <v>2740306.8195457892</v>
      </c>
      <c r="H7" s="38">
        <v>166822.89697999999</v>
      </c>
      <c r="I7" s="38">
        <v>26475874.907156188</v>
      </c>
      <c r="J7" s="48">
        <v>3148002.3499999996</v>
      </c>
    </row>
    <row r="8" spans="1:11" ht="15" x14ac:dyDescent="0.25">
      <c r="A8" s="47"/>
      <c r="B8" s="73"/>
      <c r="C8" s="38"/>
      <c r="D8" s="38"/>
      <c r="E8" s="38"/>
      <c r="F8" s="38"/>
      <c r="G8" s="38"/>
      <c r="H8" s="38"/>
      <c r="I8" s="38"/>
      <c r="J8" s="48"/>
    </row>
    <row r="9" spans="1:11" ht="15" x14ac:dyDescent="0.25">
      <c r="A9" s="47"/>
      <c r="B9" s="73" t="s">
        <v>40</v>
      </c>
      <c r="C9" s="38">
        <v>30458349.959045291</v>
      </c>
      <c r="D9" s="38">
        <v>17819519.749330748</v>
      </c>
      <c r="E9" s="38">
        <v>2798895.4513108805</v>
      </c>
      <c r="F9" s="38">
        <v>399600.96819471195</v>
      </c>
      <c r="G9" s="38">
        <v>387951.37746852037</v>
      </c>
      <c r="H9" s="38">
        <v>46971.819451675226</v>
      </c>
      <c r="I9" s="38">
        <v>9005410.593288755</v>
      </c>
      <c r="J9" s="48">
        <v>0</v>
      </c>
    </row>
    <row r="10" spans="1:11" ht="15" x14ac:dyDescent="0.25">
      <c r="A10" s="46">
        <v>2</v>
      </c>
      <c r="B10" s="72" t="s">
        <v>41</v>
      </c>
      <c r="C10" s="38">
        <v>155824765.38531542</v>
      </c>
      <c r="D10" s="38">
        <v>76495562.716015205</v>
      </c>
      <c r="E10" s="38">
        <v>34257280.731772974</v>
      </c>
      <c r="F10" s="38">
        <v>3100581.1736363126</v>
      </c>
      <c r="G10" s="38">
        <v>3128258.1970143095</v>
      </c>
      <c r="H10" s="38">
        <v>213794.71643167522</v>
      </c>
      <c r="I10" s="38">
        <v>35481285.500444941</v>
      </c>
      <c r="J10" s="48">
        <v>3148002.3499999996</v>
      </c>
    </row>
    <row r="11" spans="1:11" ht="15" x14ac:dyDescent="0.25">
      <c r="A11" s="49"/>
      <c r="B11" s="72"/>
      <c r="C11" s="38"/>
      <c r="D11" s="38"/>
      <c r="E11" s="38"/>
      <c r="F11" s="38"/>
      <c r="G11" s="38"/>
      <c r="H11" s="38"/>
      <c r="I11" s="38"/>
      <c r="J11" s="48"/>
    </row>
    <row r="12" spans="1:11" ht="15" x14ac:dyDescent="0.25">
      <c r="A12" s="49"/>
      <c r="B12" s="72" t="s">
        <v>42</v>
      </c>
      <c r="C12" s="38">
        <v>13371323</v>
      </c>
      <c r="D12" s="38">
        <v>6699427.3182619382</v>
      </c>
      <c r="E12" s="38">
        <v>3000228.4346325737</v>
      </c>
      <c r="F12" s="38">
        <v>271546.70780399261</v>
      </c>
      <c r="G12" s="38">
        <v>273970.64195027883</v>
      </c>
      <c r="H12" s="38">
        <v>18723.990162406648</v>
      </c>
      <c r="I12" s="38">
        <v>3107425.9071888099</v>
      </c>
      <c r="J12" s="48"/>
    </row>
    <row r="13" spans="1:11" ht="15" x14ac:dyDescent="0.25">
      <c r="A13" s="46">
        <v>3</v>
      </c>
      <c r="B13" s="72" t="s">
        <v>43</v>
      </c>
      <c r="C13" s="50">
        <v>169196088.38531542</v>
      </c>
      <c r="D13" s="50">
        <v>83194990.034277141</v>
      </c>
      <c r="E13" s="50">
        <v>37257509.166405551</v>
      </c>
      <c r="F13" s="50">
        <v>3372127.8814403052</v>
      </c>
      <c r="G13" s="50">
        <v>3402228.8389645885</v>
      </c>
      <c r="H13" s="50">
        <v>232518.70659408186</v>
      </c>
      <c r="I13" s="50">
        <v>38588711.407633752</v>
      </c>
      <c r="J13" s="51">
        <v>3148002.3499999996</v>
      </c>
    </row>
    <row r="14" spans="1:11" ht="15.75" thickBot="1" x14ac:dyDescent="0.3">
      <c r="A14" s="49"/>
      <c r="B14" s="72"/>
      <c r="C14" s="38"/>
      <c r="D14" s="38"/>
      <c r="E14" s="38"/>
      <c r="F14" s="38"/>
      <c r="G14" s="38"/>
      <c r="H14" s="38"/>
      <c r="I14" s="38"/>
      <c r="J14" s="48"/>
    </row>
    <row r="15" spans="1:11" ht="15.75" thickBot="1" x14ac:dyDescent="0.3">
      <c r="A15" s="49"/>
      <c r="B15" s="74" t="s">
        <v>44</v>
      </c>
      <c r="C15" s="75">
        <f>SUM(D13:I13)</f>
        <v>166048086.03531542</v>
      </c>
      <c r="D15" s="68">
        <f>D13/$C$15</f>
        <v>0.50102950308372163</v>
      </c>
      <c r="E15" s="68">
        <f t="shared" ref="E15:I15" si="0">E13/$C$15</f>
        <v>0.22437782967568534</v>
      </c>
      <c r="F15" s="68">
        <f t="shared" si="0"/>
        <v>2.0308140623331934E-2</v>
      </c>
      <c r="G15" s="68">
        <f t="shared" si="0"/>
        <v>2.0489419180905199E-2</v>
      </c>
      <c r="H15" s="68">
        <f t="shared" si="0"/>
        <v>1.4003094654438193E-3</v>
      </c>
      <c r="I15" s="69">
        <f t="shared" si="0"/>
        <v>0.23239479797091206</v>
      </c>
      <c r="J15" s="48"/>
    </row>
    <row r="16" spans="1:11" ht="15" x14ac:dyDescent="0.25">
      <c r="A16" s="46"/>
      <c r="B16" s="72"/>
      <c r="C16" s="50"/>
      <c r="D16" s="50"/>
      <c r="E16" s="50"/>
      <c r="F16" s="50"/>
      <c r="G16" s="50"/>
      <c r="H16" s="50"/>
      <c r="I16" s="50"/>
      <c r="J16" s="51"/>
    </row>
    <row r="17" spans="1:10" ht="15" x14ac:dyDescent="0.25">
      <c r="A17" s="46"/>
      <c r="B17" s="58"/>
      <c r="C17" s="50"/>
      <c r="D17" s="50"/>
      <c r="E17" s="50"/>
      <c r="F17" s="50"/>
      <c r="G17" s="50"/>
      <c r="H17" s="50"/>
      <c r="I17" s="50"/>
      <c r="J17" s="51"/>
    </row>
    <row r="18" spans="1:10" ht="15" x14ac:dyDescent="0.25">
      <c r="A18" s="49"/>
      <c r="B18" s="59"/>
      <c r="C18" s="53"/>
      <c r="D18" s="60"/>
      <c r="E18" s="60"/>
      <c r="F18" s="60"/>
      <c r="G18" s="60"/>
      <c r="H18" s="60"/>
      <c r="I18" s="60"/>
      <c r="J18" s="61"/>
    </row>
    <row r="19" spans="1:10" ht="14.65" customHeight="1" x14ac:dyDescent="0.25">
      <c r="A19" s="52"/>
      <c r="B19" s="58"/>
      <c r="C19" s="62"/>
      <c r="D19" s="63"/>
      <c r="E19" s="63"/>
      <c r="F19" s="63"/>
      <c r="G19" s="31"/>
      <c r="H19" s="31"/>
      <c r="I19" s="31"/>
      <c r="J19" s="64"/>
    </row>
    <row r="20" spans="1:10" ht="14.65" customHeight="1" x14ac:dyDescent="0.25">
      <c r="A20" s="52"/>
      <c r="B20" s="59"/>
      <c r="C20" s="31"/>
      <c r="D20" s="65"/>
      <c r="E20" s="65"/>
      <c r="F20" s="65"/>
      <c r="G20" s="65"/>
      <c r="H20" s="65"/>
      <c r="I20" s="65"/>
      <c r="J20" s="64"/>
    </row>
    <row r="21" spans="1:10" ht="15" x14ac:dyDescent="0.25">
      <c r="A21" s="46"/>
      <c r="B21" s="58"/>
      <c r="C21" s="53"/>
      <c r="D21" s="54"/>
      <c r="E21" s="54"/>
      <c r="F21" s="54"/>
      <c r="G21" s="54"/>
      <c r="H21" s="54"/>
      <c r="I21" s="54"/>
      <c r="J21" s="55"/>
    </row>
    <row r="22" spans="1:10" ht="14.65" customHeight="1" thickBot="1" x14ac:dyDescent="0.3">
      <c r="A22" s="56"/>
      <c r="B22" s="66"/>
      <c r="C22" s="66"/>
      <c r="D22" s="66"/>
      <c r="E22" s="66"/>
      <c r="F22" s="66"/>
      <c r="G22" s="66"/>
      <c r="H22" s="66"/>
      <c r="I22" s="66"/>
      <c r="J22" s="67"/>
    </row>
    <row r="24" spans="1:10" ht="14.65" customHeight="1" x14ac:dyDescent="0.25">
      <c r="C24" s="1"/>
    </row>
    <row r="28" spans="1:10" ht="14.65" customHeight="1" x14ac:dyDescent="0.25">
      <c r="C28" s="57"/>
      <c r="D28" s="57"/>
      <c r="E28" s="57"/>
      <c r="F28" s="57"/>
      <c r="G28" s="57"/>
      <c r="H28" s="57"/>
      <c r="I28" s="57"/>
      <c r="J28" s="57"/>
    </row>
    <row r="30" spans="1:10" ht="14.65" customHeight="1" x14ac:dyDescent="0.25">
      <c r="D30" s="14"/>
      <c r="E30" s="14"/>
      <c r="F30" s="14"/>
      <c r="G30" s="14"/>
      <c r="H30" s="14"/>
      <c r="I30" s="14"/>
    </row>
  </sheetData>
  <pageMargins left="0.7" right="0.7" top="1.21" bottom="0.75" header="0.9" footer="0.3"/>
  <pageSetup scale="69" fitToHeight="0" orientation="landscape" r:id="rId1"/>
  <headerFooter>
    <oddHeader>&amp;RCNGC/202
Parvinen/Page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80C58F-7673-495B-A982-2E874AE1A1C6}"/>
</file>

<file path=customXml/itemProps2.xml><?xml version="1.0" encoding="utf-8"?>
<ds:datastoreItem xmlns:ds="http://schemas.openxmlformats.org/officeDocument/2006/customXml" ds:itemID="{2C77FB4B-30AD-4C4A-A9ED-4EDAE3D0A0CE}"/>
</file>

<file path=customXml/itemProps3.xml><?xml version="1.0" encoding="utf-8"?>
<ds:datastoreItem xmlns:ds="http://schemas.openxmlformats.org/officeDocument/2006/customXml" ds:itemID="{6E37FC72-B65F-4E01-8E68-0AFD556373B6}"/>
</file>

<file path=customXml/itemProps4.xml><?xml version="1.0" encoding="utf-8"?>
<ds:datastoreItem xmlns:ds="http://schemas.openxmlformats.org/officeDocument/2006/customXml" ds:itemID="{D2077292-3C27-4E44-8100-00AB57868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Exh. ZLH-3 (UTC Fees)</vt:lpstr>
      <vt:lpstr>Work Papers --&gt;</vt:lpstr>
      <vt:lpstr>UTC Fees WP</vt:lpstr>
      <vt:lpstr>Revenue Spread 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Zachary</dc:creator>
  <cp:lastModifiedBy>Lin, Megan (BEL)</cp:lastModifiedBy>
  <dcterms:created xsi:type="dcterms:W3CDTF">2024-03-28T14:25:44Z</dcterms:created>
  <dcterms:modified xsi:type="dcterms:W3CDTF">2024-03-28T17:33:29Z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