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ustomProperty5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08" windowWidth="14520" windowHeight="11220" tabRatio="958"/>
  </bookViews>
  <sheets>
    <sheet name="Lead" sheetId="1" r:id="rId1"/>
    <sheet name="3-YR AVERAGE-ELEC" sheetId="3" r:id="rId2"/>
    <sheet name="NetWriteoffs-Elec" sheetId="4" r:id="rId3"/>
    <sheet name="BS Acct-Elec" sheetId="59" r:id="rId4"/>
    <sheet name="SOE 12ME 02-2018" sheetId="67" r:id="rId5"/>
    <sheet name="SOE 12ME 2-2017" sheetId="71" r:id="rId6"/>
    <sheet name="SOE 12ME 2-2016" sheetId="70" r:id="rId7"/>
    <sheet name="SOE 12ME 2-2015" sheetId="69" r:id="rId8"/>
    <sheet name="SOE 12ME 2-2014" sheetId="68" r:id="rId9"/>
  </sheets>
  <externalReferences>
    <externalReference r:id="rId10"/>
  </externalReferences>
  <definedNames>
    <definedName name="_Order1">255</definedName>
    <definedName name="_Order2">255</definedName>
    <definedName name="AccessDatabase">"I:\COMTREL\FINICLE\TradeSummary.mdb"</definedName>
    <definedName name="AS2DocOpenMode">"AS2DocumentEdit"</definedName>
    <definedName name="CBWorkbookPriority">-2060790043</definedName>
    <definedName name="SAPBEXhrIndnt">"Wide"</definedName>
    <definedName name="SAPsysID">"708C5W7SBKP804JT78WJ0JNKI"</definedName>
    <definedName name="SAPwbID">"ARS"</definedName>
  </definedNam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H31" i="1" l="1"/>
  <c r="G19" i="3" l="1"/>
  <c r="F19" i="3"/>
  <c r="E19" i="3"/>
  <c r="D19" i="3"/>
  <c r="A21" i="59" l="1"/>
  <c r="A20" i="59"/>
  <c r="A19" i="59"/>
  <c r="A18" i="59"/>
  <c r="A17" i="59" s="1"/>
  <c r="A16" i="59" s="1"/>
  <c r="A15" i="59" s="1"/>
  <c r="A14" i="59" s="1"/>
  <c r="A13" i="59" s="1"/>
  <c r="A12" i="59" s="1"/>
  <c r="A11" i="59" s="1"/>
  <c r="F26" i="3" l="1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D22" i="3"/>
  <c r="F22" i="3" l="1"/>
  <c r="E22" i="3"/>
  <c r="C22" i="3"/>
  <c r="J58" i="70" l="1"/>
  <c r="F58" i="70"/>
  <c r="B58" i="70"/>
  <c r="L56" i="70"/>
  <c r="N56" i="70" s="1"/>
  <c r="H56" i="70"/>
  <c r="F56" i="70"/>
  <c r="L55" i="70"/>
  <c r="N55" i="70" s="1"/>
  <c r="F55" i="70"/>
  <c r="H55" i="70" s="1"/>
  <c r="L54" i="70"/>
  <c r="L58" i="70" s="1"/>
  <c r="N58" i="70" s="1"/>
  <c r="J54" i="70"/>
  <c r="F54" i="70"/>
  <c r="D54" i="70"/>
  <c r="D58" i="70" s="1"/>
  <c r="H58" i="70" s="1"/>
  <c r="B54" i="70"/>
  <c r="L52" i="70"/>
  <c r="N52" i="70" s="1"/>
  <c r="H52" i="70"/>
  <c r="F52" i="70"/>
  <c r="L51" i="70"/>
  <c r="N51" i="70" s="1"/>
  <c r="H51" i="70"/>
  <c r="F51" i="70"/>
  <c r="L50" i="70"/>
  <c r="N50" i="70" s="1"/>
  <c r="H50" i="70"/>
  <c r="F50" i="70"/>
  <c r="L49" i="70"/>
  <c r="N49" i="70" s="1"/>
  <c r="H49" i="70"/>
  <c r="F49" i="70"/>
  <c r="L48" i="70"/>
  <c r="N48" i="70" s="1"/>
  <c r="H48" i="70"/>
  <c r="F48" i="70"/>
  <c r="L27" i="70"/>
  <c r="J27" i="70"/>
  <c r="N27" i="70" s="1"/>
  <c r="D27" i="70"/>
  <c r="B27" i="70"/>
  <c r="N26" i="70"/>
  <c r="L26" i="70"/>
  <c r="F26" i="70"/>
  <c r="H26" i="70" s="1"/>
  <c r="N25" i="70"/>
  <c r="L25" i="70"/>
  <c r="F25" i="70"/>
  <c r="H25" i="70" s="1"/>
  <c r="N24" i="70"/>
  <c r="L24" i="70"/>
  <c r="F24" i="70"/>
  <c r="H24" i="70" s="1"/>
  <c r="N23" i="70"/>
  <c r="L23" i="70"/>
  <c r="F23" i="70"/>
  <c r="F27" i="70" s="1"/>
  <c r="R19" i="70"/>
  <c r="Q19" i="70"/>
  <c r="P19" i="70"/>
  <c r="L19" i="70"/>
  <c r="N19" i="70" s="1"/>
  <c r="H19" i="70"/>
  <c r="F19" i="70"/>
  <c r="R18" i="70"/>
  <c r="Q18" i="70"/>
  <c r="P18" i="70"/>
  <c r="L18" i="70"/>
  <c r="N18" i="70" s="1"/>
  <c r="F18" i="70"/>
  <c r="H18" i="70" s="1"/>
  <c r="P17" i="70"/>
  <c r="J17" i="70"/>
  <c r="R17" i="70" s="1"/>
  <c r="H17" i="70"/>
  <c r="F17" i="70"/>
  <c r="F21" i="70" s="1"/>
  <c r="D17" i="70"/>
  <c r="D21" i="70" s="1"/>
  <c r="B17" i="70"/>
  <c r="B21" i="70" s="1"/>
  <c r="B29" i="70" s="1"/>
  <c r="R15" i="70"/>
  <c r="Q15" i="70"/>
  <c r="P15" i="70"/>
  <c r="L15" i="70"/>
  <c r="N15" i="70" s="1"/>
  <c r="H15" i="70"/>
  <c r="F15" i="70"/>
  <c r="R14" i="70"/>
  <c r="Q14" i="70"/>
  <c r="P14" i="70"/>
  <c r="L14" i="70"/>
  <c r="N14" i="70" s="1"/>
  <c r="F14" i="70"/>
  <c r="H14" i="70" s="1"/>
  <c r="R13" i="70"/>
  <c r="Q13" i="70"/>
  <c r="P13" i="70"/>
  <c r="N13" i="70"/>
  <c r="L13" i="70"/>
  <c r="F13" i="70"/>
  <c r="H13" i="70" s="1"/>
  <c r="R12" i="70"/>
  <c r="Q12" i="70"/>
  <c r="P12" i="70"/>
  <c r="L12" i="70"/>
  <c r="N12" i="70" s="1"/>
  <c r="F12" i="70"/>
  <c r="H12" i="70" s="1"/>
  <c r="R11" i="70"/>
  <c r="Q11" i="70"/>
  <c r="P11" i="70"/>
  <c r="L11" i="70"/>
  <c r="L17" i="70" s="1"/>
  <c r="H11" i="70"/>
  <c r="F11" i="70"/>
  <c r="J27" i="69"/>
  <c r="F27" i="69"/>
  <c r="D27" i="69"/>
  <c r="D29" i="69" s="1"/>
  <c r="B27" i="69"/>
  <c r="L26" i="69"/>
  <c r="N26" i="69" s="1"/>
  <c r="H26" i="69"/>
  <c r="F26" i="69"/>
  <c r="L25" i="69"/>
  <c r="N25" i="69" s="1"/>
  <c r="H25" i="69"/>
  <c r="F25" i="69"/>
  <c r="L24" i="69"/>
  <c r="N24" i="69" s="1"/>
  <c r="H24" i="69"/>
  <c r="F24" i="69"/>
  <c r="L23" i="69"/>
  <c r="L27" i="69" s="1"/>
  <c r="H23" i="69"/>
  <c r="F23" i="69"/>
  <c r="D21" i="69"/>
  <c r="R19" i="69"/>
  <c r="Q19" i="69"/>
  <c r="P19" i="69"/>
  <c r="N19" i="69"/>
  <c r="L19" i="69"/>
  <c r="F19" i="69"/>
  <c r="H19" i="69" s="1"/>
  <c r="R18" i="69"/>
  <c r="Q18" i="69"/>
  <c r="P18" i="69"/>
  <c r="N18" i="69"/>
  <c r="L18" i="69"/>
  <c r="F18" i="69"/>
  <c r="H18" i="69" s="1"/>
  <c r="R17" i="69"/>
  <c r="L17" i="69"/>
  <c r="L21" i="69" s="1"/>
  <c r="J17" i="69"/>
  <c r="J21" i="69" s="1"/>
  <c r="D17" i="69"/>
  <c r="Q17" i="69" s="1"/>
  <c r="B17" i="69"/>
  <c r="B21" i="69" s="1"/>
  <c r="B29" i="69" s="1"/>
  <c r="R15" i="69"/>
  <c r="Q15" i="69"/>
  <c r="P15" i="69"/>
  <c r="N15" i="69"/>
  <c r="F15" i="69"/>
  <c r="H15" i="69" s="1"/>
  <c r="R14" i="69"/>
  <c r="Q14" i="69"/>
  <c r="P14" i="69"/>
  <c r="N14" i="69"/>
  <c r="H14" i="69"/>
  <c r="F14" i="69"/>
  <c r="R13" i="69"/>
  <c r="Q13" i="69"/>
  <c r="P13" i="69"/>
  <c r="N13" i="69"/>
  <c r="F13" i="69"/>
  <c r="H13" i="69" s="1"/>
  <c r="R12" i="69"/>
  <c r="Q12" i="69"/>
  <c r="P12" i="69"/>
  <c r="N12" i="69"/>
  <c r="H12" i="69"/>
  <c r="F12" i="69"/>
  <c r="R11" i="69"/>
  <c r="Q11" i="69"/>
  <c r="P11" i="69"/>
  <c r="N11" i="69"/>
  <c r="F11" i="69"/>
  <c r="H11" i="69" s="1"/>
  <c r="L58" i="68"/>
  <c r="N58" i="68" s="1"/>
  <c r="H58" i="68"/>
  <c r="F58" i="68"/>
  <c r="L57" i="68"/>
  <c r="N57" i="68" s="1"/>
  <c r="F57" i="68"/>
  <c r="H57" i="68" s="1"/>
  <c r="D56" i="68"/>
  <c r="D60" i="68" s="1"/>
  <c r="N54" i="68"/>
  <c r="L54" i="68"/>
  <c r="H54" i="68"/>
  <c r="F54" i="68"/>
  <c r="J53" i="68"/>
  <c r="J56" i="68" s="1"/>
  <c r="D53" i="68"/>
  <c r="H53" i="68" s="1"/>
  <c r="B53" i="68"/>
  <c r="B56" i="68" s="1"/>
  <c r="L51" i="68"/>
  <c r="N51" i="68" s="1"/>
  <c r="F51" i="68"/>
  <c r="H51" i="68" s="1"/>
  <c r="L50" i="68"/>
  <c r="N50" i="68" s="1"/>
  <c r="F50" i="68"/>
  <c r="H50" i="68" s="1"/>
  <c r="L49" i="68"/>
  <c r="N49" i="68" s="1"/>
  <c r="F49" i="68"/>
  <c r="H49" i="68" s="1"/>
  <c r="L48" i="68"/>
  <c r="N48" i="68" s="1"/>
  <c r="F48" i="68"/>
  <c r="H48" i="68" s="1"/>
  <c r="L47" i="68"/>
  <c r="N47" i="68" s="1"/>
  <c r="F47" i="68"/>
  <c r="F53" i="68" s="1"/>
  <c r="F56" i="68" s="1"/>
  <c r="F60" i="68" s="1"/>
  <c r="J30" i="68"/>
  <c r="F30" i="68"/>
  <c r="F32" i="68" s="1"/>
  <c r="D30" i="68"/>
  <c r="B30" i="68"/>
  <c r="L29" i="68"/>
  <c r="N29" i="68" s="1"/>
  <c r="F29" i="68"/>
  <c r="H29" i="68" s="1"/>
  <c r="N28" i="68"/>
  <c r="L28" i="68"/>
  <c r="F28" i="68"/>
  <c r="H28" i="68" s="1"/>
  <c r="L27" i="68"/>
  <c r="N27" i="68" s="1"/>
  <c r="F27" i="68"/>
  <c r="H27" i="68" s="1"/>
  <c r="L26" i="68"/>
  <c r="L30" i="68" s="1"/>
  <c r="F26" i="68"/>
  <c r="H26" i="68" s="1"/>
  <c r="R22" i="68"/>
  <c r="Q22" i="68"/>
  <c r="P22" i="68"/>
  <c r="L22" i="68"/>
  <c r="N22" i="68" s="1"/>
  <c r="F22" i="68"/>
  <c r="H22" i="68" s="1"/>
  <c r="R21" i="68"/>
  <c r="Q21" i="68"/>
  <c r="P21" i="68"/>
  <c r="N21" i="68"/>
  <c r="L21" i="68"/>
  <c r="H21" i="68"/>
  <c r="F21" i="68"/>
  <c r="D20" i="68"/>
  <c r="H20" i="68" s="1"/>
  <c r="Q18" i="68"/>
  <c r="L18" i="68"/>
  <c r="N18" i="68" s="1"/>
  <c r="F18" i="68"/>
  <c r="H18" i="68" s="1"/>
  <c r="Q17" i="68"/>
  <c r="J17" i="68"/>
  <c r="J20" i="68" s="1"/>
  <c r="D17" i="68"/>
  <c r="B17" i="68"/>
  <c r="B20" i="68" s="1"/>
  <c r="B24" i="68" s="1"/>
  <c r="R15" i="68"/>
  <c r="Q15" i="68"/>
  <c r="P15" i="68"/>
  <c r="N15" i="68"/>
  <c r="L15" i="68"/>
  <c r="H15" i="68"/>
  <c r="F15" i="68"/>
  <c r="R14" i="68"/>
  <c r="Q14" i="68"/>
  <c r="P14" i="68"/>
  <c r="L14" i="68"/>
  <c r="N14" i="68" s="1"/>
  <c r="F14" i="68"/>
  <c r="H14" i="68" s="1"/>
  <c r="R13" i="68"/>
  <c r="Q13" i="68"/>
  <c r="P13" i="68"/>
  <c r="N13" i="68"/>
  <c r="L13" i="68"/>
  <c r="H13" i="68"/>
  <c r="F13" i="68"/>
  <c r="R12" i="68"/>
  <c r="Q12" i="68"/>
  <c r="P12" i="68"/>
  <c r="L12" i="68"/>
  <c r="N12" i="68" s="1"/>
  <c r="F12" i="68"/>
  <c r="F17" i="68" s="1"/>
  <c r="F20" i="68" s="1"/>
  <c r="F24" i="68" s="1"/>
  <c r="R11" i="68"/>
  <c r="Q11" i="68"/>
  <c r="P11" i="68"/>
  <c r="N11" i="68"/>
  <c r="L11" i="68"/>
  <c r="L17" i="68" s="1"/>
  <c r="L20" i="68" s="1"/>
  <c r="L24" i="68" s="1"/>
  <c r="H11" i="68"/>
  <c r="F11" i="68"/>
  <c r="D29" i="70" l="1"/>
  <c r="H29" i="70" s="1"/>
  <c r="H21" i="70"/>
  <c r="F29" i="70"/>
  <c r="H27" i="70"/>
  <c r="L21" i="70"/>
  <c r="L29" i="70" s="1"/>
  <c r="N17" i="70"/>
  <c r="N54" i="70"/>
  <c r="N11" i="70"/>
  <c r="Q17" i="70"/>
  <c r="J21" i="70"/>
  <c r="H23" i="70"/>
  <c r="H54" i="70"/>
  <c r="H21" i="69"/>
  <c r="J29" i="69"/>
  <c r="N21" i="69"/>
  <c r="H29" i="69"/>
  <c r="L29" i="69"/>
  <c r="N27" i="69"/>
  <c r="F29" i="69"/>
  <c r="F17" i="69"/>
  <c r="N17" i="69"/>
  <c r="F21" i="69"/>
  <c r="N23" i="69"/>
  <c r="H27" i="69"/>
  <c r="H17" i="69"/>
  <c r="P17" i="69"/>
  <c r="J32" i="68"/>
  <c r="N32" i="68" s="1"/>
  <c r="H17" i="68"/>
  <c r="L32" i="68"/>
  <c r="N30" i="68"/>
  <c r="B32" i="68"/>
  <c r="J60" i="68"/>
  <c r="R20" i="68"/>
  <c r="B60" i="68"/>
  <c r="P20" i="68"/>
  <c r="J24" i="68"/>
  <c r="N24" i="68" s="1"/>
  <c r="N20" i="68"/>
  <c r="H60" i="68"/>
  <c r="D24" i="68"/>
  <c r="H12" i="68"/>
  <c r="R17" i="68"/>
  <c r="N26" i="68"/>
  <c r="H30" i="68"/>
  <c r="H47" i="68"/>
  <c r="L53" i="68"/>
  <c r="L56" i="68" s="1"/>
  <c r="L60" i="68" s="1"/>
  <c r="N17" i="68"/>
  <c r="H56" i="68"/>
  <c r="P17" i="68"/>
  <c r="Q20" i="68"/>
  <c r="J29" i="70" l="1"/>
  <c r="N29" i="70" s="1"/>
  <c r="N21" i="70"/>
  <c r="N29" i="69"/>
  <c r="N56" i="68"/>
  <c r="N53" i="68"/>
  <c r="D32" i="68"/>
  <c r="H32" i="68" s="1"/>
  <c r="H24" i="68"/>
  <c r="N60" i="68"/>
  <c r="D96" i="59" l="1"/>
  <c r="D78" i="59"/>
  <c r="D60" i="59"/>
  <c r="D42" i="59"/>
  <c r="E26" i="59"/>
  <c r="D24" i="59"/>
  <c r="B81" i="4" l="1"/>
  <c r="B77" i="4"/>
  <c r="B74" i="4"/>
  <c r="B62" i="4"/>
  <c r="B59" i="4"/>
  <c r="B66" i="4" s="1"/>
  <c r="B45" i="4"/>
  <c r="B42" i="4"/>
  <c r="B46" i="4" s="1"/>
  <c r="B47" i="4" s="1"/>
  <c r="B28" i="4"/>
  <c r="B25" i="4"/>
  <c r="B78" i="4" l="1"/>
  <c r="B79" i="4" s="1"/>
  <c r="B63" i="4"/>
  <c r="B64" i="4" s="1"/>
  <c r="B49" i="4"/>
  <c r="B29" i="4"/>
  <c r="B30" i="4" s="1"/>
  <c r="B32" i="4"/>
  <c r="J54" i="67" l="1"/>
  <c r="J58" i="67" s="1"/>
  <c r="B54" i="67"/>
  <c r="B58" i="67" s="1"/>
  <c r="J27" i="67"/>
  <c r="B27" i="67"/>
  <c r="B21" i="67"/>
  <c r="J17" i="67"/>
  <c r="J21" i="67" s="1"/>
  <c r="B17" i="67"/>
  <c r="J29" i="67" l="1"/>
  <c r="B29" i="67"/>
  <c r="B11" i="4" l="1"/>
  <c r="B8" i="4"/>
  <c r="H27" i="1" s="1"/>
  <c r="B16" i="4" l="1"/>
  <c r="B12" i="4"/>
  <c r="B13" i="4" s="1"/>
  <c r="B15" i="4"/>
  <c r="B17" i="4" l="1"/>
  <c r="B26" i="3" s="1"/>
  <c r="A22" i="1"/>
  <c r="A23" i="1"/>
  <c r="E44" i="59" l="1"/>
  <c r="E62" i="59"/>
  <c r="B33" i="4"/>
  <c r="B34" i="4" s="1"/>
  <c r="B25" i="3" s="1"/>
  <c r="B50" i="4"/>
  <c r="B51" i="4" s="1"/>
  <c r="B24" i="3" s="1"/>
  <c r="G22" i="3" l="1"/>
  <c r="A13" i="3" l="1"/>
  <c r="B14" i="1" s="1"/>
  <c r="A14" i="3"/>
  <c r="A15" i="3"/>
  <c r="A16" i="3"/>
  <c r="B15" i="1" s="1"/>
  <c r="A17" i="3"/>
  <c r="B16" i="1" s="1"/>
  <c r="E80" i="59" l="1"/>
  <c r="B67" i="4" l="1"/>
  <c r="B68" i="4" s="1"/>
  <c r="B23" i="3" s="1"/>
  <c r="B82" i="4"/>
  <c r="B83" i="4" s="1"/>
  <c r="B22" i="3" s="1"/>
  <c r="E98" i="59"/>
  <c r="G26" i="3" l="1"/>
  <c r="G25" i="3"/>
  <c r="G24" i="3"/>
  <c r="G23" i="3"/>
  <c r="H20" i="1" l="1"/>
  <c r="H22" i="1" s="1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H26" i="3" l="1"/>
  <c r="H25" i="3" l="1"/>
  <c r="H23" i="3"/>
  <c r="H24" i="3"/>
  <c r="H22" i="3"/>
  <c r="J23" i="3" l="1"/>
  <c r="C14" i="3" s="1"/>
  <c r="J24" i="3"/>
  <c r="G15" i="3" s="1"/>
  <c r="J25" i="3"/>
  <c r="G16" i="3" s="1"/>
  <c r="H15" i="1" s="1"/>
  <c r="J26" i="3"/>
  <c r="E17" i="3" s="1"/>
  <c r="F16" i="1" s="1"/>
  <c r="J22" i="3"/>
  <c r="E15" i="3" l="1"/>
  <c r="G14" i="3"/>
  <c r="E14" i="3"/>
  <c r="B14" i="3"/>
  <c r="F14" i="3"/>
  <c r="D14" i="3"/>
  <c r="E16" i="3"/>
  <c r="F15" i="1" s="1"/>
  <c r="B15" i="3"/>
  <c r="H15" i="3" s="1"/>
  <c r="G17" i="3"/>
  <c r="H16" i="1" s="1"/>
  <c r="C17" i="3"/>
  <c r="D16" i="1" s="1"/>
  <c r="C16" i="3"/>
  <c r="D15" i="1" s="1"/>
  <c r="B16" i="3"/>
  <c r="C15" i="1" s="1"/>
  <c r="F16" i="3"/>
  <c r="G15" i="1" s="1"/>
  <c r="D16" i="3"/>
  <c r="E15" i="1" s="1"/>
  <c r="F15" i="3"/>
  <c r="C15" i="3"/>
  <c r="D15" i="3"/>
  <c r="B17" i="3"/>
  <c r="C16" i="1" s="1"/>
  <c r="D17" i="3"/>
  <c r="E16" i="1" s="1"/>
  <c r="F17" i="3"/>
  <c r="G16" i="1" s="1"/>
  <c r="G13" i="3"/>
  <c r="H14" i="1" s="1"/>
  <c r="C13" i="3"/>
  <c r="D14" i="1" s="1"/>
  <c r="D13" i="3"/>
  <c r="E14" i="1" s="1"/>
  <c r="F13" i="3"/>
  <c r="G14" i="1" s="1"/>
  <c r="B13" i="3"/>
  <c r="C14" i="1" s="1"/>
  <c r="E13" i="3"/>
  <c r="F14" i="1" s="1"/>
  <c r="I15" i="1" l="1"/>
  <c r="I16" i="1"/>
  <c r="H14" i="3"/>
  <c r="H17" i="3"/>
  <c r="C19" i="3"/>
  <c r="H16" i="3"/>
  <c r="H13" i="3"/>
  <c r="B19" i="3"/>
  <c r="I14" i="1"/>
  <c r="H19" i="3" l="1"/>
  <c r="I18" i="1"/>
  <c r="H24" i="1" s="1"/>
  <c r="H25" i="1" s="1"/>
  <c r="I28" i="1" l="1"/>
  <c r="I30" i="1" s="1"/>
  <c r="I31" i="1" l="1"/>
  <c r="I32" i="1" s="1"/>
</calcChain>
</file>

<file path=xl/sharedStrings.xml><?xml version="1.0" encoding="utf-8"?>
<sst xmlns="http://schemas.openxmlformats.org/spreadsheetml/2006/main" count="603" uniqueCount="173">
  <si>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</si>
  <si>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</si>
  <si>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</si>
  <si>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</si>
  <si>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</si>
  <si>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</si>
  <si>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</si>
  <si>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</si>
  <si>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</si>
  <si>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</si>
  <si>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</si>
  <si>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</si>
  <si>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</si>
  <si>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</si>
  <si>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</si>
  <si>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</si>
  <si>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</si>
  <si>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</si>
  <si>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</si>
  <si>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</si>
  <si>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</si>
  <si>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</si>
  <si>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</si>
  <si>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</si>
  <si>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</si>
  <si>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</si>
  <si>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</si>
  <si>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</si>
  <si>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</si>
  <si>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</si>
  <si>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</si>
  <si>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</si>
  <si>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</si>
  <si>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</si>
  <si>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</si>
  <si>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</si>
  <si>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</si>
  <si>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</si>
  <si>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</si>
  <si>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</si>
  <si>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</si>
  <si>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</si>
  <si>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</si>
  <si>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</si>
  <si>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</si>
  <si>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</si>
  <si>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</si>
  <si>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</si>
  <si>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</si>
  <si>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</si>
  <si>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</si>
  <si>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</si>
  <si>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>Act. Costs</t>
  </si>
  <si>
    <t>Cost Element: rpt_pse: order group 904; transaction code:  ZRW_ZO12</t>
  </si>
  <si>
    <t>Puget Sound Energy / Net Write-Offs</t>
  </si>
  <si>
    <t>Total kwh</t>
  </si>
  <si>
    <t/>
  </si>
  <si>
    <t>n/a</t>
  </si>
  <si>
    <t>Sales to other utilities and marketers</t>
  </si>
  <si>
    <t>Transportation (Billed plus Change in Unbilled)</t>
  </si>
  <si>
    <t>Total retail sales</t>
  </si>
  <si>
    <t>Unbilled revenue change</t>
  </si>
  <si>
    <t>Sales for resale firm</t>
  </si>
  <si>
    <t>Public street &amp; hwy lighting</t>
  </si>
  <si>
    <t>Industrial</t>
  </si>
  <si>
    <t>Commercial</t>
  </si>
  <si>
    <t>Residential</t>
  </si>
  <si>
    <t>%</t>
  </si>
  <si>
    <t>AMOUNT</t>
  </si>
  <si>
    <t>BUDGET</t>
  </si>
  <si>
    <t>SALE OF ELECTRICITY - KWH</t>
  </si>
  <si>
    <t>ACTUAL</t>
  </si>
  <si>
    <t>VARIANCE FROM BUDGET</t>
  </si>
  <si>
    <t>Low Income Surcharge included in above</t>
  </si>
  <si>
    <t>SCH. 120 (Cons. Rider rev) in above</t>
  </si>
  <si>
    <t>SCH. 94 (Res/farm credit) in above</t>
  </si>
  <si>
    <t>SCH. 81 (B &amp; O tax) in above-billed</t>
  </si>
  <si>
    <t>Total electric sales</t>
  </si>
  <si>
    <t>Total electric revenues</t>
  </si>
  <si>
    <t xml:space="preserve"> </t>
  </si>
  <si>
    <t>SALE OF ELECTRICITY - REVENUE</t>
  </si>
  <si>
    <t>INCREASE (DECREASE)</t>
  </si>
  <si>
    <t>SUMMARY OF ELECTRIC OPERATING REVENUE &amp; KWH SALES</t>
  </si>
  <si>
    <t>SCH. 132 (Merger Rate Credit) in above</t>
  </si>
  <si>
    <t>Transmission Revenue</t>
  </si>
  <si>
    <t xml:space="preserve">    Other operating revenues</t>
  </si>
  <si>
    <t>SCH. 95A (Federal Incentives) in above</t>
  </si>
  <si>
    <t xml:space="preserve">SCH. 137 (REC Proceeds Credit) in above </t>
  </si>
  <si>
    <t>COMMISSION BASIS REPORT</t>
  </si>
  <si>
    <t>REVENUE PER KWH</t>
  </si>
  <si>
    <t>Non-Core Gas Sales</t>
  </si>
  <si>
    <t>Other Misc Operating Revenue</t>
  </si>
  <si>
    <t xml:space="preserve">90400301  3180 -Uncollectible Accts- Dir WO- Gas </t>
  </si>
  <si>
    <t>90400001  3180- Uncollectible Accts- Dir WO Elec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</si>
  <si>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</si>
  <si>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</si>
  <si>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</si>
  <si>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</si>
  <si>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</si>
  <si>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</si>
  <si>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</si>
  <si>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</si>
  <si>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</si>
  <si>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</si>
  <si>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</si>
  <si>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</si>
  <si>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</si>
  <si>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</si>
  <si>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</si>
  <si>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</si>
  <si>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</si>
  <si>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VARIANCE FROM 2013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</si>
  <si>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</si>
  <si>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</si>
  <si>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</si>
  <si>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</si>
  <si>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</si>
  <si>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</si>
  <si>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</si>
  <si>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</si>
  <si>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</si>
  <si>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</si>
  <si>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</si>
  <si>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</si>
  <si>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</si>
  <si>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</si>
  <si>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</si>
  <si>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VARIANCE FROM 2015</t>
  </si>
  <si>
    <t>SCH. 133 (JPUD Gain on Sale Cr) in above</t>
  </si>
  <si>
    <t>SCH. 140 (Prop Tax in BillEngy) in above</t>
  </si>
  <si>
    <t>SCH. 141 (Expedt in BillEngy) in above</t>
  </si>
  <si>
    <t>SCH. 142 (Decup in BillEngy) in above</t>
  </si>
  <si>
    <t>Total kWh</t>
  </si>
  <si>
    <t>VARIANCE FROM 2014</t>
  </si>
  <si>
    <t>VARIANCE FROM 2016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</si>
  <si>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</si>
  <si>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</si>
  <si>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</si>
  <si>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</si>
  <si>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Plus change in 14400311</t>
  </si>
  <si>
    <t>Plus change in 14400011/14400311</t>
  </si>
  <si>
    <t>3-Yr Average of</t>
  </si>
  <si>
    <t>TWELVE MONTHS ENDED FEBRUARY 28, 2014</t>
  </si>
  <si>
    <t>TWELVE MONTHS ENDED FEBRUARY 28, 2015</t>
  </si>
  <si>
    <t>TWELVE MONTHS ENDED FEBRUARY 28, 2018</t>
  </si>
  <si>
    <t>FOR THE TWELVE MONTHS ENDED JUNE 30, 2018</t>
  </si>
  <si>
    <t>12ME June 2018</t>
  </si>
  <si>
    <t>12ME June 2017</t>
  </si>
  <si>
    <t>12ME June 2016</t>
  </si>
  <si>
    <t>12ME June 2015</t>
  </si>
  <si>
    <t>12ME June 2014</t>
  </si>
  <si>
    <t>VARIANCE FROM 2017</t>
  </si>
  <si>
    <t>(c.)</t>
  </si>
  <si>
    <t>Total billed to customers</t>
  </si>
  <si>
    <t>(a.)</t>
  </si>
  <si>
    <t>(b.)</t>
  </si>
  <si>
    <t>TWELVE MONTHS ENDED FEBRUARY 29, 2016</t>
  </si>
  <si>
    <t>TWELVE MONTHS ENDED FEBRUARY 29, 2017</t>
  </si>
  <si>
    <t>June</t>
  </si>
  <si>
    <t>February</t>
  </si>
  <si>
    <t>12 ME 06/30/2014 AND 02/28/2013</t>
  </si>
  <si>
    <t>12 ME 06/30/2015 AND 02/28/2014</t>
  </si>
  <si>
    <t>12 ME 06/30/2016 AND 02/28/2015</t>
  </si>
  <si>
    <t>12 ME 06/30/2017 AND 02/29/2016</t>
  </si>
  <si>
    <t>12 ME 06/30/2018 AND 02/28/2017</t>
  </si>
  <si>
    <t>2/29/2017</t>
  </si>
  <si>
    <t>06/30/2015</t>
  </si>
  <si>
    <t>Net write-off for 12ME June 2018</t>
  </si>
  <si>
    <t>Net write-off for 12ME June 2017:</t>
  </si>
  <si>
    <t>Net write-off for 12ME June 2016:</t>
  </si>
  <si>
    <t>Net write-off for 12ME June 2015:</t>
  </si>
  <si>
    <t>Net write-off for 12ME June 2014:</t>
  </si>
  <si>
    <t>SAP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</si>
</sst>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_(#,##0.0%_);\(#,##0.0%\);_(#,##0.0%_);_(@_)"/>
    <numFmt numFmtId="171" formatCode="* _(#,##0_);* \(#,##0\);_(* &quot;-&quot;??_);_(@_)"/>
    <numFmt numFmtId="172" formatCode="_-* #,##0.00\ &quot;DM&quot;_-;\-* #,##0.00\ &quot;DM&quot;_-;_-* &quot;-&quot;??\ &quot;DM&quot;_-;_-@_-"/>
    <numFmt numFmtId="173" formatCode="0.0%_);\(0.0%\)"/>
    <numFmt numFmtId="174" formatCode="_(* #,##0.000_);_(* \(#,##0.000\);_(* &quot;-&quot;???_);_(@_)"/>
    <numFmt numFmtId="175" formatCode="#,##0.0000"/>
    <numFmt numFmtId="176" formatCode="_(&quot;$&quot;* #,##0.000_);_(&quot;$&quot;* \(#,##0.000\);_(&quot;$&quot;* &quot;-&quot;???_);_(@_)"/>
    <numFmt numFmtId="177" formatCode="0.0%"/>
    <numFmt numFmtId="178" formatCode="#,##0_-;#,##0\-;&quot; 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2" fillId="0" borderId="0" xfId="0" applyFont="1"/>
    <xf numFmtId="42" fontId="3" fillId="0" borderId="5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4" fillId="0" borderId="3" xfId="0" applyNumberFormat="1" applyFont="1" applyFill="1" applyBorder="1" applyAlignment="1"/>
    <xf numFmtId="164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4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3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right"/>
    </xf>
    <xf numFmtId="0" fontId="8" fillId="0" borderId="0" xfId="0" applyFont="1"/>
    <xf numFmtId="16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167" fontId="5" fillId="0" borderId="6" xfId="0" quotePrefix="1" applyNumberFormat="1" applyFont="1" applyFill="1" applyBorder="1" applyAlignment="1">
      <alignment horizontal="left"/>
    </xf>
    <xf numFmtId="0" fontId="1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42" fontId="6" fillId="0" borderId="0" xfId="0" applyNumberFormat="1" applyFont="1" applyBorder="1"/>
    <xf numFmtId="166" fontId="6" fillId="0" borderId="5" xfId="0" applyNumberFormat="1" applyFont="1" applyFill="1" applyBorder="1" applyAlignment="1">
      <alignment horizontal="right"/>
    </xf>
    <xf numFmtId="42" fontId="6" fillId="0" borderId="5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8" fillId="0" borderId="0" xfId="0" applyFont="1" applyAlignment="1">
      <alignment horizontal="centerContinuous" vertical="center"/>
    </xf>
    <xf numFmtId="37" fontId="9" fillId="0" borderId="9" xfId="0" applyNumberFormat="1" applyFont="1" applyFill="1" applyBorder="1"/>
    <xf numFmtId="37" fontId="9" fillId="0" borderId="9" xfId="0" applyNumberFormat="1" applyFont="1" applyFill="1" applyBorder="1" applyAlignment="1">
      <alignment horizontal="left"/>
    </xf>
    <xf numFmtId="37" fontId="10" fillId="0" borderId="11" xfId="0" applyNumberFormat="1" applyFont="1" applyFill="1" applyBorder="1"/>
    <xf numFmtId="37" fontId="9" fillId="0" borderId="2" xfId="0" applyNumberFormat="1" applyFont="1" applyFill="1" applyBorder="1" applyAlignment="1">
      <alignment horizontal="left"/>
    </xf>
    <xf numFmtId="41" fontId="12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left"/>
    </xf>
    <xf numFmtId="41" fontId="13" fillId="0" borderId="12" xfId="0" applyNumberFormat="1" applyFont="1" applyFill="1" applyBorder="1"/>
    <xf numFmtId="168" fontId="1" fillId="0" borderId="0" xfId="0" applyNumberFormat="1" applyFont="1"/>
    <xf numFmtId="39" fontId="1" fillId="0" borderId="0" xfId="0" applyNumberFormat="1" applyFont="1" applyFill="1" applyBorder="1" applyProtection="1"/>
    <xf numFmtId="39" fontId="1" fillId="0" borderId="0" xfId="0" applyNumberFormat="1" applyFont="1" applyFill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center"/>
    </xf>
    <xf numFmtId="39" fontId="1" fillId="0" borderId="0" xfId="0" applyNumberFormat="1" applyFont="1" applyFill="1" applyBorder="1" applyAlignment="1" applyProtection="1">
      <alignment horizontal="left"/>
    </xf>
    <xf numFmtId="39" fontId="1" fillId="0" borderId="0" xfId="0" applyNumberFormat="1" applyFont="1" applyFill="1" applyBorder="1" applyProtection="1"/>
    <xf numFmtId="39" fontId="1" fillId="0" borderId="0" xfId="0" applyNumberFormat="1" applyFont="1" applyFill="1" applyBorder="1" applyAlignment="1" applyProtection="1">
      <alignment horizontal="center"/>
    </xf>
    <xf numFmtId="39" fontId="8" fillId="0" borderId="0" xfId="0" applyNumberFormat="1" applyFont="1" applyFill="1" applyAlignment="1" applyProtection="1">
      <alignment horizontal="left"/>
    </xf>
    <xf numFmtId="39" fontId="9" fillId="0" borderId="0" xfId="0" applyNumberFormat="1" applyFont="1" applyFill="1" applyAlignment="1" applyProtection="1">
      <alignment horizontal="left"/>
    </xf>
    <xf numFmtId="178" fontId="0" fillId="0" borderId="9" xfId="0" applyNumberFormat="1" applyFill="1" applyBorder="1"/>
    <xf numFmtId="176" fontId="9" fillId="0" borderId="0" xfId="0" applyNumberFormat="1" applyFont="1" applyFill="1" applyAlignment="1" applyProtection="1">
      <alignment horizontal="right"/>
    </xf>
    <xf numFmtId="174" fontId="9" fillId="0" borderId="0" xfId="0" applyNumberFormat="1" applyFont="1" applyFill="1" applyAlignment="1" applyProtection="1">
      <alignment horizontal="right"/>
    </xf>
    <xf numFmtId="176" fontId="9" fillId="0" borderId="0" xfId="0" applyNumberFormat="1" applyFont="1" applyFill="1" applyBorder="1" applyAlignment="1" applyProtection="1">
      <alignment horizontal="right"/>
    </xf>
    <xf numFmtId="174" fontId="9" fillId="0" borderId="0" xfId="0" applyNumberFormat="1" applyFont="1" applyFill="1" applyBorder="1" applyAlignment="1" applyProtection="1">
      <alignment horizontal="right"/>
    </xf>
    <xf numFmtId="39" fontId="12" fillId="0" borderId="0" xfId="0" applyNumberFormat="1" applyFont="1" applyFill="1" applyAlignment="1" applyProtection="1">
      <alignment horizontal="centerContinuous"/>
    </xf>
    <xf numFmtId="39" fontId="8" fillId="0" borderId="0" xfId="0" applyNumberFormat="1" applyFont="1" applyFill="1" applyAlignment="1" applyProtection="1">
      <alignment horizontal="centerContinuous"/>
    </xf>
    <xf numFmtId="39" fontId="8" fillId="0" borderId="0" xfId="0" applyNumberFormat="1" applyFont="1" applyFill="1" applyAlignment="1" applyProtection="1"/>
    <xf numFmtId="39" fontId="1" fillId="0" borderId="0" xfId="0" applyNumberFormat="1" applyFont="1" applyFill="1" applyAlignment="1" applyProtection="1"/>
    <xf numFmtId="39" fontId="1" fillId="0" borderId="0" xfId="0" applyNumberFormat="1" applyFont="1" applyFill="1" applyProtection="1"/>
    <xf numFmtId="39" fontId="8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1" fillId="0" borderId="0" xfId="0" quotePrefix="1" applyNumberFormat="1" applyFont="1" applyFill="1" applyAlignment="1" applyProtection="1">
      <alignment horizontal="center"/>
    </xf>
    <xf numFmtId="39" fontId="9" fillId="0" borderId="0" xfId="0" applyNumberFormat="1" applyFont="1" applyFill="1" applyProtection="1"/>
    <xf numFmtId="39" fontId="9" fillId="0" borderId="0" xfId="0" applyNumberFormat="1" applyFont="1" applyFill="1" applyAlignment="1" applyProtection="1">
      <alignment horizontal="fill"/>
    </xf>
    <xf numFmtId="39" fontId="9" fillId="0" borderId="0" xfId="0" applyNumberFormat="1" applyFont="1" applyFill="1" applyAlignment="1" applyProtection="1">
      <alignment horizontal="fill"/>
    </xf>
    <xf numFmtId="39" fontId="9" fillId="0" borderId="0" xfId="0" applyNumberFormat="1" applyFont="1" applyFill="1" applyProtection="1"/>
    <xf numFmtId="39" fontId="9" fillId="0" borderId="0" xfId="0" applyNumberFormat="1" applyFont="1" applyFill="1" applyAlignment="1" applyProtection="1">
      <alignment horizontal="left"/>
    </xf>
    <xf numFmtId="44" fontId="9" fillId="0" borderId="0" xfId="0" applyNumberFormat="1" applyFont="1" applyFill="1" applyAlignment="1" applyProtection="1">
      <alignment horizontal="right"/>
    </xf>
    <xf numFmtId="7" fontId="9" fillId="0" borderId="0" xfId="0" applyNumberFormat="1" applyFont="1" applyFill="1" applyAlignment="1" applyProtection="1">
      <alignment horizontal="right"/>
    </xf>
    <xf numFmtId="170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Alignment="1" applyProtection="1">
      <alignment horizontal="right"/>
    </xf>
    <xf numFmtId="10" fontId="9" fillId="0" borderId="0" xfId="0" applyNumberFormat="1" applyFont="1" applyFill="1" applyAlignment="1" applyProtection="1">
      <alignment horizontal="right"/>
    </xf>
    <xf numFmtId="43" fontId="9" fillId="0" borderId="0" xfId="0" applyNumberFormat="1" applyFont="1" applyFill="1" applyAlignment="1" applyProtection="1">
      <alignment horizontal="right"/>
    </xf>
    <xf numFmtId="43" fontId="9" fillId="0" borderId="0" xfId="0" applyNumberFormat="1" applyFont="1" applyFill="1" applyBorder="1" applyAlignment="1" applyProtection="1">
      <alignment horizontal="right"/>
    </xf>
    <xf numFmtId="10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 indent="1"/>
    </xf>
    <xf numFmtId="41" fontId="9" fillId="0" borderId="0" xfId="0" applyNumberFormat="1" applyFont="1" applyFill="1" applyAlignment="1" applyProtection="1">
      <alignment horizontal="right"/>
    </xf>
    <xf numFmtId="170" fontId="9" fillId="0" borderId="0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left" indent="1"/>
    </xf>
    <xf numFmtId="39" fontId="9" fillId="0" borderId="0" xfId="0" applyNumberFormat="1" applyFont="1" applyFill="1" applyAlignment="1" applyProtection="1">
      <alignment horizontal="right"/>
    </xf>
    <xf numFmtId="39" fontId="9" fillId="0" borderId="0" xfId="0" applyNumberFormat="1" applyFont="1" applyFill="1" applyBorder="1" applyAlignment="1" applyProtection="1">
      <alignment horizontal="left"/>
    </xf>
    <xf numFmtId="39" fontId="9" fillId="0" borderId="0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 indent="1"/>
    </xf>
    <xf numFmtId="170" fontId="9" fillId="0" borderId="5" xfId="0" applyNumberFormat="1" applyFont="1" applyFill="1" applyBorder="1" applyAlignment="1" applyProtection="1">
      <alignment horizontal="right"/>
    </xf>
    <xf numFmtId="39" fontId="9" fillId="0" borderId="0" xfId="0" applyNumberFormat="1" applyFont="1" applyFill="1" applyAlignment="1" applyProtection="1">
      <alignment horizontal="left"/>
    </xf>
    <xf numFmtId="173" fontId="9" fillId="0" borderId="0" xfId="0" applyNumberFormat="1" applyFont="1" applyFill="1" applyBorder="1" applyAlignment="1" applyProtection="1">
      <alignment horizontal="right"/>
    </xf>
    <xf numFmtId="39" fontId="1" fillId="0" borderId="0" xfId="0" applyNumberFormat="1" applyFont="1" applyFill="1" applyBorder="1" applyAlignment="1" applyProtection="1">
      <alignment horizontal="right"/>
    </xf>
    <xf numFmtId="43" fontId="9" fillId="0" borderId="0" xfId="0" applyNumberFormat="1" applyFont="1" applyFill="1" applyProtection="1"/>
    <xf numFmtId="43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fill"/>
    </xf>
    <xf numFmtId="43" fontId="9" fillId="0" borderId="0" xfId="0" applyNumberFormat="1" applyFont="1" applyFill="1" applyAlignment="1" applyProtection="1">
      <alignment horizontal="fill"/>
    </xf>
    <xf numFmtId="10" fontId="9" fillId="0" borderId="0" xfId="0" applyNumberFormat="1" applyFont="1" applyFill="1" applyProtection="1"/>
    <xf numFmtId="172" fontId="9" fillId="0" borderId="0" xfId="0" applyNumberFormat="1" applyFont="1" applyFill="1" applyProtection="1"/>
    <xf numFmtId="41" fontId="9" fillId="0" borderId="0" xfId="0" applyNumberFormat="1" applyFont="1" applyFill="1" applyBorder="1" applyAlignment="1" applyProtection="1">
      <alignment horizontal="right"/>
    </xf>
    <xf numFmtId="41" fontId="1" fillId="0" borderId="0" xfId="0" applyNumberFormat="1" applyFont="1" applyFill="1" applyAlignment="1" applyProtection="1">
      <alignment horizontal="right"/>
    </xf>
    <xf numFmtId="41" fontId="1" fillId="0" borderId="0" xfId="0" applyNumberFormat="1" applyFont="1" applyFill="1" applyBorder="1" applyAlignment="1" applyProtection="1">
      <alignment horizontal="fill"/>
    </xf>
    <xf numFmtId="41" fontId="1" fillId="0" borderId="0" xfId="0" applyNumberFormat="1" applyFont="1" applyFill="1" applyProtection="1"/>
    <xf numFmtId="41" fontId="1" fillId="0" borderId="0" xfId="0" applyNumberFormat="1" applyFont="1" applyFill="1" applyAlignment="1" applyProtection="1">
      <alignment horizontal="left"/>
    </xf>
    <xf numFmtId="44" fontId="9" fillId="0" borderId="5" xfId="0" applyNumberFormat="1" applyFont="1" applyFill="1" applyBorder="1" applyAlignment="1" applyProtection="1">
      <alignment horizontal="right"/>
    </xf>
    <xf numFmtId="171" fontId="9" fillId="0" borderId="0" xfId="0" applyNumberFormat="1" applyFont="1" applyFill="1" applyAlignment="1" applyProtection="1">
      <alignment horizontal="right"/>
    </xf>
    <xf numFmtId="171" fontId="9" fillId="0" borderId="5" xfId="0" applyNumberFormat="1" applyFont="1" applyFill="1" applyBorder="1" applyAlignment="1" applyProtection="1">
      <alignment horizontal="right"/>
    </xf>
    <xf numFmtId="0" fontId="6" fillId="0" borderId="0" xfId="0" applyFont="1" applyFill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16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7" xfId="0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4" fillId="0" borderId="15" xfId="0" applyFont="1" applyFill="1" applyBorder="1" applyAlignment="1">
      <alignment horizontal="center"/>
    </xf>
    <xf numFmtId="0" fontId="14" fillId="0" borderId="15" xfId="0" applyFont="1" applyFill="1" applyBorder="1"/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43" fontId="1" fillId="0" borderId="15" xfId="0" applyNumberFormat="1" applyFont="1" applyFill="1" applyBorder="1" applyAlignment="1" applyProtection="1">
      <alignment horizontal="centerContinuous"/>
    </xf>
    <xf numFmtId="39" fontId="1" fillId="0" borderId="15" xfId="0" applyNumberFormat="1" applyFont="1" applyFill="1" applyBorder="1" applyAlignment="1" applyProtection="1">
      <alignment horizontal="centerContinuous"/>
    </xf>
    <xf numFmtId="39" fontId="1" fillId="0" borderId="15" xfId="0" applyNumberFormat="1" applyFont="1" applyFill="1" applyBorder="1" applyAlignment="1" applyProtection="1">
      <alignment horizontal="centerContinuous"/>
    </xf>
    <xf numFmtId="0" fontId="1" fillId="0" borderId="15" xfId="0" quotePrefix="1" applyNumberFormat="1" applyFont="1" applyFill="1" applyBorder="1" applyAlignment="1" applyProtection="1">
      <alignment horizontal="center"/>
    </xf>
    <xf numFmtId="39" fontId="1" fillId="0" borderId="15" xfId="0" applyNumberFormat="1" applyFont="1" applyFill="1" applyBorder="1" applyAlignment="1" applyProtection="1">
      <alignment horizontal="center"/>
    </xf>
    <xf numFmtId="39" fontId="1" fillId="0" borderId="15" xfId="0" applyNumberFormat="1" applyFont="1" applyFill="1" applyBorder="1" applyAlignment="1" applyProtection="1">
      <alignment horizontal="center"/>
    </xf>
    <xf numFmtId="43" fontId="9" fillId="0" borderId="14" xfId="0" applyNumberFormat="1" applyFont="1" applyFill="1" applyBorder="1" applyAlignment="1" applyProtection="1">
      <alignment horizontal="right"/>
    </xf>
    <xf numFmtId="39" fontId="9" fillId="0" borderId="14" xfId="0" applyNumberFormat="1" applyFont="1" applyFill="1" applyBorder="1" applyAlignment="1" applyProtection="1">
      <alignment horizontal="right"/>
    </xf>
    <xf numFmtId="175" fontId="9" fillId="0" borderId="14" xfId="0" applyNumberFormat="1" applyFont="1" applyFill="1" applyBorder="1" applyAlignment="1" applyProtection="1">
      <alignment horizontal="right"/>
    </xf>
    <xf numFmtId="43" fontId="9" fillId="0" borderId="15" xfId="0" applyNumberFormat="1" applyFont="1" applyFill="1" applyBorder="1" applyAlignment="1" applyProtection="1">
      <alignment horizontal="right"/>
    </xf>
    <xf numFmtId="174" fontId="9" fillId="0" borderId="15" xfId="0" applyNumberFormat="1" applyFont="1" applyFill="1" applyBorder="1" applyAlignment="1" applyProtection="1">
      <alignment horizontal="right"/>
    </xf>
    <xf numFmtId="43" fontId="1" fillId="0" borderId="14" xfId="0" applyNumberFormat="1" applyFont="1" applyFill="1" applyBorder="1" applyAlignment="1" applyProtection="1">
      <alignment horizontal="right"/>
    </xf>
    <xf numFmtId="170" fontId="9" fillId="0" borderId="15" xfId="0" applyNumberFormat="1" applyFont="1" applyFill="1" applyBorder="1" applyAlignment="1" applyProtection="1">
      <alignment horizontal="right"/>
    </xf>
    <xf numFmtId="41" fontId="1" fillId="0" borderId="14" xfId="0" applyNumberFormat="1" applyFont="1" applyFill="1" applyBorder="1" applyAlignment="1" applyProtection="1">
      <alignment horizontal="right"/>
    </xf>
    <xf numFmtId="41" fontId="9" fillId="0" borderId="14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39" fontId="12" fillId="0" borderId="0" xfId="0" applyNumberFormat="1" applyFont="1" applyFill="1" applyBorder="1" applyAlignment="1" applyProtection="1">
      <alignment horizontal="centerContinuous"/>
    </xf>
    <xf numFmtId="14" fontId="12" fillId="0" borderId="0" xfId="0" applyNumberFormat="1" applyFont="1" applyFill="1" applyAlignment="1" applyProtection="1">
      <alignment horizontal="centerContinuous"/>
    </xf>
    <xf numFmtId="39" fontId="11" fillId="0" borderId="0" xfId="0" applyNumberFormat="1" applyFont="1" applyFill="1" applyAlignment="1" applyProtection="1">
      <alignment horizontal="centerContinuous"/>
    </xf>
    <xf numFmtId="44" fontId="9" fillId="0" borderId="0" xfId="0" applyNumberFormat="1" applyFont="1" applyFill="1" applyBorder="1" applyAlignment="1" applyProtection="1">
      <alignment horizontal="right"/>
    </xf>
    <xf numFmtId="44" fontId="1" fillId="0" borderId="0" xfId="0" applyNumberFormat="1" applyFont="1" applyFill="1" applyBorder="1" applyAlignment="1" applyProtection="1">
      <alignment horizontal="right"/>
    </xf>
    <xf numFmtId="44" fontId="9" fillId="0" borderId="0" xfId="0" applyNumberFormat="1" applyFont="1" applyFill="1" applyProtection="1"/>
    <xf numFmtId="44" fontId="7" fillId="0" borderId="0" xfId="0" applyNumberFormat="1" applyFont="1" applyFill="1" applyProtection="1"/>
    <xf numFmtId="44" fontId="1" fillId="0" borderId="0" xfId="0" applyNumberFormat="1" applyFont="1" applyFill="1" applyProtection="1"/>
    <xf numFmtId="44" fontId="1" fillId="0" borderId="15" xfId="0" applyNumberFormat="1" applyFont="1" applyFill="1" applyBorder="1" applyAlignment="1" applyProtection="1">
      <alignment horizontal="centerContinuous"/>
    </xf>
    <xf numFmtId="44" fontId="1" fillId="0" borderId="0" xfId="0" applyNumberFormat="1" applyFont="1" applyFill="1" applyAlignment="1" applyProtection="1">
      <alignment horizontal="center"/>
    </xf>
    <xf numFmtId="44" fontId="1" fillId="0" borderId="0" xfId="0" applyNumberFormat="1" applyFont="1" applyFill="1" applyAlignment="1" applyProtection="1">
      <alignment horizontal="left"/>
    </xf>
    <xf numFmtId="44" fontId="1" fillId="0" borderId="15" xfId="0" quotePrefix="1" applyNumberFormat="1" applyFont="1" applyFill="1" applyBorder="1" applyAlignment="1" applyProtection="1">
      <alignment horizontal="center"/>
    </xf>
    <xf numFmtId="44" fontId="1" fillId="0" borderId="15" xfId="0" applyNumberFormat="1" applyFont="1" applyFill="1" applyBorder="1" applyAlignment="1" applyProtection="1">
      <alignment horizontal="center"/>
    </xf>
    <xf numFmtId="44" fontId="9" fillId="0" borderId="0" xfId="0" applyNumberFormat="1" applyFont="1" applyFill="1" applyAlignment="1" applyProtection="1">
      <alignment horizontal="fill"/>
    </xf>
    <xf numFmtId="169" fontId="9" fillId="0" borderId="0" xfId="0" applyNumberFormat="1" applyFont="1" applyFill="1" applyAlignment="1" applyProtection="1">
      <alignment horizontal="right"/>
    </xf>
    <xf numFmtId="169" fontId="9" fillId="0" borderId="0" xfId="0" applyNumberFormat="1" applyFont="1" applyFill="1" applyBorder="1" applyAlignment="1" applyProtection="1">
      <alignment horizontal="right"/>
    </xf>
    <xf numFmtId="169" fontId="1" fillId="0" borderId="14" xfId="0" applyNumberFormat="1" applyFont="1" applyFill="1" applyBorder="1" applyAlignment="1" applyProtection="1">
      <alignment horizontal="right"/>
    </xf>
    <xf numFmtId="169" fontId="1" fillId="0" borderId="0" xfId="0" applyNumberFormat="1" applyFont="1" applyFill="1" applyAlignment="1" applyProtection="1">
      <alignment horizontal="right"/>
    </xf>
    <xf numFmtId="169" fontId="9" fillId="0" borderId="15" xfId="0" applyNumberFormat="1" applyFont="1" applyFill="1" applyBorder="1" applyAlignment="1" applyProtection="1">
      <alignment horizontal="right"/>
    </xf>
    <xf numFmtId="169" fontId="9" fillId="0" borderId="14" xfId="0" applyNumberFormat="1" applyFont="1" applyFill="1" applyBorder="1" applyAlignment="1" applyProtection="1">
      <alignment horizontal="right"/>
    </xf>
    <xf numFmtId="169" fontId="9" fillId="0" borderId="5" xfId="0" applyNumberFormat="1" applyFont="1" applyFill="1" applyBorder="1" applyAlignment="1" applyProtection="1">
      <alignment horizontal="right"/>
    </xf>
    <xf numFmtId="43" fontId="1" fillId="0" borderId="0" xfId="0" applyNumberFormat="1" applyFont="1" applyFill="1" applyBorder="1" applyAlignment="1" applyProtection="1">
      <alignment horizontal="fill"/>
    </xf>
    <xf numFmtId="43" fontId="1" fillId="0" borderId="0" xfId="0" applyNumberFormat="1" applyFont="1" applyFill="1" applyAlignment="1" applyProtection="1">
      <alignment horizontal="left"/>
    </xf>
    <xf numFmtId="43" fontId="1" fillId="0" borderId="0" xfId="0" applyNumberFormat="1" applyFont="1" applyFill="1" applyProtection="1"/>
    <xf numFmtId="43" fontId="9" fillId="0" borderId="0" xfId="0" applyNumberFormat="1" applyFont="1" applyFill="1" applyAlignment="1" applyProtection="1">
      <alignment horizontal="center"/>
    </xf>
    <xf numFmtId="14" fontId="0" fillId="0" borderId="0" xfId="0" applyNumberFormat="1" applyFont="1" applyFill="1" applyBorder="1"/>
    <xf numFmtId="42" fontId="4" fillId="0" borderId="0" xfId="0" applyNumberFormat="1" applyFont="1" applyFill="1"/>
    <xf numFmtId="0" fontId="9" fillId="0" borderId="9" xfId="0" applyNumberFormat="1" applyFont="1" applyFill="1" applyBorder="1" applyAlignment="1">
      <alignment horizontal="left"/>
    </xf>
    <xf numFmtId="0" fontId="15" fillId="0" borderId="0" xfId="0" applyFont="1" applyFill="1"/>
    <xf numFmtId="0" fontId="1" fillId="0" borderId="0" xfId="0" applyFont="1" applyFill="1" applyBorder="1" applyProtection="1"/>
    <xf numFmtId="43" fontId="1" fillId="0" borderId="0" xfId="0" applyNumberFormat="1" applyFont="1" applyFill="1" applyBorder="1" applyProtection="1"/>
    <xf numFmtId="42" fontId="5" fillId="0" borderId="0" xfId="0" applyNumberFormat="1" applyFont="1" applyFill="1" applyBorder="1"/>
    <xf numFmtId="37" fontId="11" fillId="0" borderId="0" xfId="0" applyNumberFormat="1" applyFont="1" applyFill="1"/>
    <xf numFmtId="41" fontId="9" fillId="0" borderId="0" xfId="0" applyNumberFormat="1" applyFont="1" applyFill="1"/>
    <xf numFmtId="41" fontId="11" fillId="0" borderId="9" xfId="0" applyNumberFormat="1" applyFont="1" applyFill="1" applyBorder="1"/>
    <xf numFmtId="41" fontId="9" fillId="0" borderId="9" xfId="0" applyNumberFormat="1" applyFont="1" applyFill="1" applyBorder="1"/>
    <xf numFmtId="41" fontId="9" fillId="0" borderId="2" xfId="0" applyNumberFormat="1" applyFont="1" applyFill="1" applyBorder="1"/>
    <xf numFmtId="43" fontId="9" fillId="0" borderId="10" xfId="0" applyNumberFormat="1" applyFont="1" applyFill="1" applyBorder="1"/>
    <xf numFmtId="41" fontId="9" fillId="0" borderId="10" xfId="0" applyNumberFormat="1" applyFont="1" applyFill="1" applyBorder="1"/>
    <xf numFmtId="41" fontId="9" fillId="0" borderId="8" xfId="0" applyNumberFormat="1" applyFont="1" applyFill="1" applyBorder="1"/>
    <xf numFmtId="41" fontId="9" fillId="0" borderId="7" xfId="0" applyNumberFormat="1" applyFont="1" applyFill="1" applyBorder="1"/>
    <xf numFmtId="37" fontId="11" fillId="0" borderId="10" xfId="0" applyNumberFormat="1" applyFont="1" applyFill="1" applyBorder="1"/>
    <xf numFmtId="39" fontId="0" fillId="0" borderId="0" xfId="0" applyNumberFormat="1" applyFill="1"/>
    <xf numFmtId="37" fontId="0" fillId="0" borderId="0" xfId="0" applyNumberFormat="1" applyFill="1"/>
    <xf numFmtId="0" fontId="16" fillId="0" borderId="0" xfId="0" applyFont="1" applyFill="1"/>
    <xf numFmtId="37" fontId="9" fillId="0" borderId="13" xfId="0" applyNumberFormat="1" applyFont="1" applyFill="1" applyBorder="1"/>
    <xf numFmtId="37" fontId="9" fillId="0" borderId="8" xfId="0" applyNumberFormat="1" applyFont="1" applyFill="1" applyBorder="1"/>
    <xf numFmtId="39" fontId="12" fillId="0" borderId="0" xfId="0" applyNumberFormat="1" applyFont="1" applyAlignment="1" applyProtection="1">
      <alignment horizontal="centerContinuous"/>
    </xf>
    <xf numFmtId="0" fontId="1" fillId="0" borderId="0" xfId="0" applyFont="1" applyProtection="1"/>
    <xf numFmtId="39" fontId="12" fillId="0" borderId="0" xfId="0" applyNumberFormat="1" applyFont="1" applyBorder="1" applyAlignment="1" applyProtection="1">
      <alignment horizontal="centerContinuous"/>
    </xf>
    <xf numFmtId="14" fontId="12" fillId="0" borderId="0" xfId="0" applyNumberFormat="1" applyFont="1" applyAlignment="1" applyProtection="1">
      <alignment horizontal="centerContinuous"/>
    </xf>
    <xf numFmtId="39" fontId="11" fillId="0" borderId="0" xfId="0" applyNumberFormat="1" applyFont="1" applyAlignment="1" applyProtection="1">
      <alignment horizontal="centerContinuous"/>
    </xf>
    <xf numFmtId="39" fontId="8" fillId="0" borderId="0" xfId="0" applyNumberFormat="1" applyFont="1" applyAlignment="1" applyProtection="1">
      <alignment horizontal="centerContinuous"/>
    </xf>
    <xf numFmtId="39" fontId="1" fillId="0" borderId="0" xfId="0" applyNumberFormat="1" applyFont="1" applyAlignment="1" applyProtection="1"/>
    <xf numFmtId="39" fontId="1" fillId="0" borderId="0" xfId="0" applyNumberFormat="1" applyFont="1" applyProtection="1"/>
    <xf numFmtId="175" fontId="1" fillId="0" borderId="0" xfId="0" applyNumberFormat="1" applyFont="1" applyFill="1" applyAlignment="1" applyProtection="1">
      <alignment horizontal="right"/>
    </xf>
    <xf numFmtId="43" fontId="1" fillId="0" borderId="0" xfId="0" applyNumberFormat="1" applyFont="1" applyBorder="1" applyProtection="1"/>
    <xf numFmtId="0" fontId="1" fillId="0" borderId="0" xfId="0" applyFont="1" applyBorder="1" applyProtection="1"/>
    <xf numFmtId="43" fontId="7" fillId="0" borderId="0" xfId="0" applyNumberFormat="1" applyFont="1" applyFill="1" applyProtection="1"/>
    <xf numFmtId="10" fontId="9" fillId="0" borderId="0" xfId="0" applyNumberFormat="1" applyFont="1" applyFill="1" applyAlignment="1" applyProtection="1">
      <alignment horizontal="left"/>
    </xf>
    <xf numFmtId="39" fontId="1" fillId="0" borderId="0" xfId="0" applyNumberFormat="1" applyFont="1" applyAlignment="1" applyProtection="1">
      <alignment horizontal="fill"/>
    </xf>
    <xf numFmtId="43" fontId="1" fillId="0" borderId="0" xfId="0" applyNumberFormat="1" applyFont="1" applyProtection="1"/>
    <xf numFmtId="4" fontId="9" fillId="0" borderId="0" xfId="0" applyNumberFormat="1" applyFont="1" applyFill="1" applyAlignment="1" applyProtection="1">
      <alignment horizontal="right"/>
    </xf>
    <xf numFmtId="4" fontId="9" fillId="0" borderId="0" xfId="0" applyNumberFormat="1" applyFont="1" applyFill="1" applyProtection="1"/>
    <xf numFmtId="177" fontId="5" fillId="0" borderId="0" xfId="0" applyNumberFormat="1" applyFont="1" applyFill="1" applyBorder="1"/>
    <xf numFmtId="49" fontId="0" fillId="0" borderId="0" xfId="0" applyNumberForma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39" fontId="1" fillId="0" borderId="0" xfId="0" applyNumberFormat="1" applyFont="1" applyFill="1" applyAlignment="1" applyProtection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289560</xdr:colOff>
      <xdr:row>2</xdr:row>
      <xdr:rowOff>198120</xdr:rowOff>
    </xdr:from>
    <xdr:to>
      <xdr:col>11</xdr:col>
      <xdr:colOff>435060</xdr:colOff>
      <xdr:row>15</xdr:row>
      <xdr:rowOff>160020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6760" y="586740"/>
          <a:ext cx="5631900" cy="2636520"/>
        </a:xfrm>
        <a:prstGeom prst="rect">
          <a:avLst/>
        </a:prstGeom>
      </xdr:spPr>
    </xdr:pic>
    <xdr:clientData/>
  </xdr:twoCellAnchor>
  <xdr:twoCellAnchor editAs="oneCell">
    <xdr:from>
      <xdr:col>2</xdr:col>
      <xdr:colOff>205740</xdr:colOff>
      <xdr:row>20</xdr:row>
      <xdr:rowOff>45720</xdr:rowOff>
    </xdr:from>
    <xdr:to>
      <xdr:col>11</xdr:col>
      <xdr:colOff>602490</xdr:colOff>
      <xdr:row>33</xdr:row>
      <xdr:rowOff>145021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2940" y="4137660"/>
          <a:ext cx="5883150" cy="277392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38</xdr:row>
      <xdr:rowOff>152400</xdr:rowOff>
    </xdr:from>
    <xdr:to>
      <xdr:col>11</xdr:col>
      <xdr:colOff>587250</xdr:colOff>
      <xdr:row>50</xdr:row>
      <xdr:rowOff>183097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7947660"/>
          <a:ext cx="5883150" cy="2499577"/>
        </a:xfrm>
        <a:prstGeom prst="rect">
          <a:avLst/>
        </a:prstGeom>
      </xdr:spPr>
    </xdr:pic>
    <xdr:clientData/>
  </xdr:twoCellAnchor>
  <xdr:twoCellAnchor editAs="oneCell">
    <xdr:from>
      <xdr:col>2</xdr:col>
      <xdr:colOff>297180</xdr:colOff>
      <xdr:row>54</xdr:row>
      <xdr:rowOff>167640</xdr:rowOff>
    </xdr:from>
    <xdr:to>
      <xdr:col>12</xdr:col>
      <xdr:colOff>114813</xdr:colOff>
      <xdr:row>69</xdr:row>
      <xdr:rowOff>216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64380" y="10972800"/>
          <a:ext cx="5913633" cy="2491956"/>
        </a:xfrm>
        <a:prstGeom prst="rect">
          <a:avLst/>
        </a:prstGeom>
      </xdr:spPr>
    </xdr:pic>
    <xdr:clientData/>
  </xdr:twoCellAnchor>
  <xdr:twoCellAnchor editAs="oneCell">
    <xdr:from>
      <xdr:col>2</xdr:col>
      <xdr:colOff>243840</xdr:colOff>
      <xdr:row>69</xdr:row>
      <xdr:rowOff>99060</xdr:rowOff>
    </xdr:from>
    <xdr:to>
      <xdr:col>11</xdr:col>
      <xdr:colOff>137672</xdr:colOff>
      <xdr:row>83</xdr:row>
      <xdr:rowOff>79598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11040" y="13563600"/>
          <a:ext cx="5380232" cy="25408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6.03G-IncStmt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Summary"/>
      <sheetName val="Unallocated Summary"/>
      <sheetName val="Detail"/>
      <sheetName val="Common by Acct"/>
    </sheetNames>
    <sheetDataSet>
      <sheetData sheetId="0">
        <row r="11">
          <cell r="C11">
            <v>934816422.49000001</v>
          </cell>
        </row>
        <row r="12">
          <cell r="B12">
            <v>342919.04</v>
          </cell>
        </row>
        <row r="13">
          <cell r="B13">
            <v>116721927.84999999</v>
          </cell>
        </row>
        <row r="14">
          <cell r="B14">
            <v>15770153.8199999</v>
          </cell>
        </row>
        <row r="15">
          <cell r="B15">
            <v>2372309109.4699993</v>
          </cell>
        </row>
      </sheetData>
      <sheetData sheetId="1">
        <row r="24">
          <cell r="B24">
            <v>21791677.05999998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abSelected="1" topLeftCell="A4" zoomScaleNormal="100" workbookViewId="0">
      <selection activeCell="F23" sqref="F23"/>
    </sheetView>
  </sheetViews>
  <sheetFormatPr defaultColWidth="9.109375" defaultRowHeight="13.8" x14ac:dyDescent="0.25"/>
  <cols>
    <col min="1" max="1" width="5.5546875" style="2" customWidth="1"/>
    <col min="2" max="2" width="36" style="2" customWidth="1"/>
    <col min="3" max="3" width="12.5546875" style="2" bestFit="1" customWidth="1"/>
    <col min="4" max="4" width="16" style="2" customWidth="1"/>
    <col min="5" max="5" width="16.5546875" style="2" customWidth="1"/>
    <col min="6" max="6" width="14.6640625" style="2" customWidth="1"/>
    <col min="7" max="7" width="15.6640625" style="2" customWidth="1"/>
    <col min="8" max="8" width="15.33203125" style="2" customWidth="1"/>
    <col min="9" max="9" width="16" style="2" customWidth="1"/>
    <col min="10" max="15" width="9.109375" style="1"/>
    <col min="16" max="16" width="9.33203125" style="1" bestFit="1" customWidth="1"/>
    <col min="17" max="16384" width="9.109375" style="1"/>
  </cols>
  <sheetData>
    <row r="2" spans="1:9" ht="13.95" x14ac:dyDescent="0.25">
      <c r="I2" s="37"/>
    </row>
    <row r="3" spans="1:9" ht="13.95" x14ac:dyDescent="0.25">
      <c r="I3" s="37"/>
    </row>
    <row r="4" spans="1:9" ht="13.95" x14ac:dyDescent="0.25">
      <c r="A4" s="31"/>
      <c r="B4" s="31"/>
      <c r="C4" s="31"/>
      <c r="D4" s="31"/>
      <c r="E4" s="31"/>
      <c r="F4" s="31"/>
      <c r="G4" s="31"/>
      <c r="H4" s="31"/>
      <c r="I4" s="232"/>
    </row>
    <row r="5" spans="1:9" ht="13.95" x14ac:dyDescent="0.25">
      <c r="A5" s="36" t="s">
        <v>30</v>
      </c>
      <c r="B5" s="33"/>
      <c r="C5" s="33"/>
      <c r="D5" s="33"/>
      <c r="E5" s="33"/>
      <c r="F5" s="33"/>
      <c r="G5" s="33"/>
      <c r="H5" s="33"/>
      <c r="I5" s="33"/>
    </row>
    <row r="6" spans="1:9" ht="13.95" x14ac:dyDescent="0.25">
      <c r="A6" s="33" t="s">
        <v>29</v>
      </c>
      <c r="B6" s="33"/>
      <c r="C6" s="33"/>
      <c r="D6" s="33"/>
      <c r="E6" s="33"/>
      <c r="F6" s="33"/>
      <c r="G6" s="33"/>
      <c r="H6" s="35"/>
      <c r="I6" s="35"/>
    </row>
    <row r="7" spans="1:9" ht="13.95" x14ac:dyDescent="0.25">
      <c r="A7" s="33" t="s">
        <v>145</v>
      </c>
      <c r="B7" s="33"/>
      <c r="C7" s="33"/>
      <c r="D7" s="33"/>
      <c r="E7" s="33"/>
      <c r="F7" s="33"/>
      <c r="G7" s="33"/>
      <c r="H7" s="34"/>
      <c r="I7" s="33"/>
    </row>
    <row r="8" spans="1:9" ht="13.95" x14ac:dyDescent="0.25">
      <c r="A8" s="33" t="s">
        <v>88</v>
      </c>
      <c r="B8" s="33"/>
      <c r="C8" s="33"/>
      <c r="D8" s="33"/>
      <c r="E8" s="33"/>
      <c r="F8" s="33"/>
      <c r="G8" s="33"/>
      <c r="H8" s="34"/>
      <c r="I8" s="33"/>
    </row>
    <row r="9" spans="1:9" ht="13.95" x14ac:dyDescent="0.25">
      <c r="A9" s="33"/>
      <c r="B9" s="33"/>
      <c r="C9" s="33"/>
      <c r="D9" s="33"/>
      <c r="E9" s="33"/>
      <c r="F9" s="33"/>
      <c r="G9" s="33"/>
      <c r="H9" s="30" t="s">
        <v>24</v>
      </c>
      <c r="I9" s="33"/>
    </row>
    <row r="10" spans="1:9" ht="13.95" x14ac:dyDescent="0.25">
      <c r="A10" s="32"/>
      <c r="B10" s="31"/>
      <c r="C10" s="30"/>
      <c r="D10" s="30"/>
      <c r="E10" s="30" t="s">
        <v>27</v>
      </c>
      <c r="F10" s="30" t="s">
        <v>28</v>
      </c>
      <c r="G10" s="30" t="s">
        <v>27</v>
      </c>
      <c r="H10" s="28" t="s">
        <v>15</v>
      </c>
      <c r="I10" s="30" t="s">
        <v>26</v>
      </c>
    </row>
    <row r="11" spans="1:9" ht="13.95" x14ac:dyDescent="0.25">
      <c r="A11" s="30" t="s">
        <v>25</v>
      </c>
      <c r="B11" s="31"/>
      <c r="C11" s="30" t="s">
        <v>24</v>
      </c>
      <c r="D11" s="30" t="s">
        <v>23</v>
      </c>
      <c r="E11" s="30" t="s">
        <v>21</v>
      </c>
      <c r="F11" s="30" t="s">
        <v>22</v>
      </c>
      <c r="G11" s="30" t="s">
        <v>21</v>
      </c>
      <c r="H11" s="30" t="s">
        <v>20</v>
      </c>
      <c r="I11" s="30" t="s">
        <v>19</v>
      </c>
    </row>
    <row r="12" spans="1:9" ht="13.95" x14ac:dyDescent="0.25">
      <c r="A12" s="29" t="s">
        <v>18</v>
      </c>
      <c r="B12" s="29" t="s">
        <v>17</v>
      </c>
      <c r="C12" s="29" t="s">
        <v>16</v>
      </c>
      <c r="D12" s="29" t="s">
        <v>15</v>
      </c>
      <c r="E12" s="29" t="s">
        <v>14</v>
      </c>
      <c r="F12" s="29" t="s">
        <v>13</v>
      </c>
      <c r="G12" s="29" t="s">
        <v>12</v>
      </c>
      <c r="H12" s="29" t="s">
        <v>11</v>
      </c>
      <c r="I12" s="29" t="s">
        <v>10</v>
      </c>
    </row>
    <row r="13" spans="1:9" ht="13.95" x14ac:dyDescent="0.25">
      <c r="A13" s="28"/>
      <c r="B13" s="28" t="s">
        <v>9</v>
      </c>
      <c r="C13" s="28" t="s">
        <v>158</v>
      </c>
      <c r="D13" s="28" t="s">
        <v>159</v>
      </c>
      <c r="E13" s="28" t="s">
        <v>159</v>
      </c>
      <c r="F13" s="28" t="s">
        <v>159</v>
      </c>
      <c r="G13" s="28" t="s">
        <v>159</v>
      </c>
      <c r="H13" s="28" t="s">
        <v>159</v>
      </c>
      <c r="I13" s="28"/>
    </row>
    <row r="14" spans="1:9" ht="13.95" x14ac:dyDescent="0.25">
      <c r="A14" s="6">
        <v>1</v>
      </c>
      <c r="B14" s="26" t="str">
        <f>'3-YR AVERAGE-ELEC'!A13</f>
        <v>12 ME 06/30/2014 AND 02/28/2013</v>
      </c>
      <c r="C14" s="24">
        <f>'3-YR AVERAGE-ELEC'!B13</f>
        <v>16933464.380000003</v>
      </c>
      <c r="D14" s="24">
        <f>'3-YR AVERAGE-ELEC'!C13</f>
        <v>2168129073.75</v>
      </c>
      <c r="E14" s="24">
        <f>'3-YR AVERAGE-ELEC'!D13</f>
        <v>61281977.329999998</v>
      </c>
      <c r="F14" s="24">
        <f>'3-YR AVERAGE-ELEC'!E13</f>
        <v>22000392.900000002</v>
      </c>
      <c r="G14" s="24">
        <f>'3-YR AVERAGE-ELEC'!F13</f>
        <v>352692.47999999998</v>
      </c>
      <c r="H14" s="21">
        <f>'3-YR AVERAGE-ELEC'!G13</f>
        <v>2084494011.04</v>
      </c>
      <c r="I14" s="27">
        <f>ROUND(C14/H14,6)</f>
        <v>8.1239999999999993E-3</v>
      </c>
    </row>
    <row r="15" spans="1:9" ht="13.95" x14ac:dyDescent="0.25">
      <c r="A15" s="6">
        <f t="shared" ref="A15:A32" si="0">A14+1</f>
        <v>2</v>
      </c>
      <c r="B15" s="26" t="str">
        <f>'3-YR AVERAGE-ELEC'!A16</f>
        <v>12 ME 06/30/2017 AND 02/29/2016</v>
      </c>
      <c r="C15" s="24">
        <f>'3-YR AVERAGE-ELEC'!B16</f>
        <v>16371341.030000001</v>
      </c>
      <c r="D15" s="24">
        <f>'3-YR AVERAGE-ELEC'!C16</f>
        <v>2258980887.98</v>
      </c>
      <c r="E15" s="24">
        <f>'3-YR AVERAGE-ELEC'!D16</f>
        <v>52655030.960000001</v>
      </c>
      <c r="F15" s="24">
        <f>'3-YR AVERAGE-ELEC'!E16</f>
        <v>18382111.43</v>
      </c>
      <c r="G15" s="24">
        <f>'3-YR AVERAGE-ELEC'!F16</f>
        <v>335399.09000000003</v>
      </c>
      <c r="H15" s="190">
        <f>'3-YR AVERAGE-ELEC'!G16</f>
        <v>2187608346.5</v>
      </c>
      <c r="I15" s="27">
        <f t="shared" ref="I15:I16" si="1">ROUND(C15/H15,6)</f>
        <v>7.4840000000000002E-3</v>
      </c>
    </row>
    <row r="16" spans="1:9" ht="13.95" x14ac:dyDescent="0.25">
      <c r="A16" s="6">
        <f t="shared" si="0"/>
        <v>3</v>
      </c>
      <c r="B16" s="26" t="str">
        <f>'3-YR AVERAGE-ELEC'!A17</f>
        <v>12 ME 06/30/2018 AND 02/28/2017</v>
      </c>
      <c r="C16" s="24">
        <f>'3-YR AVERAGE-ELEC'!B17</f>
        <v>19105884.939999998</v>
      </c>
      <c r="D16" s="190">
        <f>'3-YR AVERAGE-ELEC'!C17</f>
        <v>2441423797.6500001</v>
      </c>
      <c r="E16" s="190">
        <f>'3-YR AVERAGE-ELEC'!D17</f>
        <v>53588426.789999999</v>
      </c>
      <c r="F16" s="190">
        <f>'3-YR AVERAGE-ELEC'!E17</f>
        <v>127369400.78999999</v>
      </c>
      <c r="G16" s="190">
        <f>'3-YR AVERAGE-ELEC'!F17</f>
        <v>346779.57</v>
      </c>
      <c r="H16" s="190">
        <f>'3-YR AVERAGE-ELEC'!G17</f>
        <v>2260119190.5</v>
      </c>
      <c r="I16" s="27">
        <f t="shared" si="1"/>
        <v>8.4530000000000004E-3</v>
      </c>
    </row>
    <row r="17" spans="1:13" ht="13.95" x14ac:dyDescent="0.25">
      <c r="A17" s="6">
        <f t="shared" si="0"/>
        <v>4</v>
      </c>
      <c r="B17" s="26" t="s">
        <v>141</v>
      </c>
      <c r="C17" s="24"/>
      <c r="D17" s="21"/>
      <c r="E17" s="21"/>
      <c r="F17" s="21"/>
      <c r="G17" s="21"/>
      <c r="H17" s="21"/>
      <c r="I17" s="25"/>
    </row>
    <row r="18" spans="1:13" ht="13.95" x14ac:dyDescent="0.25">
      <c r="A18" s="6">
        <f t="shared" si="0"/>
        <v>5</v>
      </c>
      <c r="B18" s="22" t="s">
        <v>8</v>
      </c>
      <c r="C18" s="24"/>
      <c r="D18" s="24"/>
      <c r="E18" s="24"/>
      <c r="F18" s="24"/>
      <c r="G18" s="24"/>
      <c r="H18" s="24"/>
      <c r="I18" s="23">
        <f>ROUND(SUM(I14:I16)/3,6)</f>
        <v>8.0199999999999994E-3</v>
      </c>
    </row>
    <row r="19" spans="1:13" ht="13.95" x14ac:dyDescent="0.25">
      <c r="A19" s="6">
        <f t="shared" si="0"/>
        <v>6</v>
      </c>
    </row>
    <row r="20" spans="1:13" ht="13.95" x14ac:dyDescent="0.25">
      <c r="A20" s="6">
        <f t="shared" si="0"/>
        <v>7</v>
      </c>
      <c r="B20" s="22" t="s">
        <v>7</v>
      </c>
      <c r="C20" s="12"/>
      <c r="D20" s="21">
        <f>'[1]Allocated Summary'!$B$15</f>
        <v>2372309109.4699993</v>
      </c>
      <c r="E20" s="21">
        <f>'[1]Allocated Summary'!$B$13</f>
        <v>116721927.84999999</v>
      </c>
      <c r="F20" s="21">
        <f>'[1]Allocated Summary'!$B$14</f>
        <v>15770153.8199999</v>
      </c>
      <c r="G20" s="21">
        <f>'[1]Allocated Summary'!$B$12</f>
        <v>342919.04</v>
      </c>
      <c r="H20" s="21">
        <f>D20-E20-F20-G20</f>
        <v>2239474108.7599998</v>
      </c>
      <c r="I20" s="20"/>
    </row>
    <row r="21" spans="1:13" ht="13.95" x14ac:dyDescent="0.25">
      <c r="A21" s="6">
        <f t="shared" si="0"/>
        <v>8</v>
      </c>
      <c r="B21" s="17"/>
      <c r="C21" s="10"/>
      <c r="D21" s="19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13.95" x14ac:dyDescent="0.25">
      <c r="A22" s="6">
        <f t="shared" si="0"/>
        <v>9</v>
      </c>
      <c r="B22" s="17"/>
      <c r="C22" s="10"/>
      <c r="D22" s="19"/>
      <c r="E22" s="10"/>
      <c r="F22" s="10"/>
      <c r="G22" s="10"/>
      <c r="H22" s="10">
        <f>H20</f>
        <v>2239474108.7599998</v>
      </c>
      <c r="I22" s="19"/>
    </row>
    <row r="23" spans="1:13" ht="13.95" x14ac:dyDescent="0.25">
      <c r="A23" s="6">
        <f t="shared" si="0"/>
        <v>10</v>
      </c>
      <c r="B23" s="17"/>
      <c r="C23" s="10"/>
      <c r="D23" s="19"/>
      <c r="E23" s="10"/>
      <c r="F23" s="10"/>
      <c r="G23" s="10"/>
      <c r="H23" s="10"/>
      <c r="I23" s="19"/>
    </row>
    <row r="24" spans="1:13" ht="13.95" x14ac:dyDescent="0.25">
      <c r="A24" s="6">
        <f>A21+1</f>
        <v>9</v>
      </c>
      <c r="B24" s="17" t="s">
        <v>6</v>
      </c>
      <c r="C24" s="10"/>
      <c r="D24" s="10"/>
      <c r="E24" s="10"/>
      <c r="F24" s="10"/>
      <c r="G24" s="10"/>
      <c r="H24" s="18">
        <f>I18</f>
        <v>8.0199999999999994E-3</v>
      </c>
      <c r="I24" s="10"/>
    </row>
    <row r="25" spans="1:13" ht="13.95" x14ac:dyDescent="0.25">
      <c r="A25" s="6">
        <f t="shared" si="0"/>
        <v>10</v>
      </c>
      <c r="B25" s="17" t="s">
        <v>5</v>
      </c>
      <c r="C25" s="10"/>
      <c r="D25" s="10"/>
      <c r="E25" s="10"/>
      <c r="F25" s="10"/>
      <c r="G25" s="10"/>
      <c r="H25" s="12">
        <f>ROUND(H22*H24,0)</f>
        <v>17960582</v>
      </c>
      <c r="I25" s="10"/>
    </row>
    <row r="26" spans="1:13" ht="13.95" x14ac:dyDescent="0.25">
      <c r="A26" s="6">
        <f t="shared" si="0"/>
        <v>11</v>
      </c>
      <c r="B26" s="17"/>
      <c r="C26" s="10"/>
      <c r="D26" s="10"/>
      <c r="E26" s="10"/>
      <c r="F26" s="10"/>
      <c r="G26" s="10"/>
      <c r="H26" s="10"/>
      <c r="I26" s="10"/>
    </row>
    <row r="27" spans="1:13" ht="13.95" x14ac:dyDescent="0.25">
      <c r="A27" s="6">
        <f t="shared" si="0"/>
        <v>12</v>
      </c>
      <c r="B27" s="16" t="s">
        <v>4</v>
      </c>
      <c r="C27" s="10"/>
      <c r="D27" s="10"/>
      <c r="E27" s="15"/>
      <c r="F27" s="15"/>
      <c r="G27" s="10"/>
      <c r="H27" s="10">
        <f>'NetWriteoffs-Elec'!B8</f>
        <v>17630570.899999999</v>
      </c>
      <c r="I27" s="10"/>
    </row>
    <row r="28" spans="1:13" ht="13.95" x14ac:dyDescent="0.25">
      <c r="A28" s="6">
        <f t="shared" si="0"/>
        <v>13</v>
      </c>
      <c r="B28" s="14" t="s">
        <v>3</v>
      </c>
      <c r="C28" s="10"/>
      <c r="D28" s="10"/>
      <c r="E28" s="10"/>
      <c r="F28" s="10"/>
      <c r="G28" s="10"/>
      <c r="H28" s="13"/>
      <c r="I28" s="12">
        <f>ROUND(H25-H27,0)</f>
        <v>330011</v>
      </c>
    </row>
    <row r="29" spans="1:13" ht="13.95" x14ac:dyDescent="0.25">
      <c r="A29" s="6">
        <f t="shared" si="0"/>
        <v>14</v>
      </c>
      <c r="B29" s="11"/>
      <c r="C29" s="10"/>
      <c r="D29" s="10"/>
      <c r="E29" s="10"/>
      <c r="F29" s="10"/>
      <c r="G29" s="10"/>
      <c r="H29" s="10"/>
      <c r="I29" s="10"/>
    </row>
    <row r="30" spans="1:13" ht="13.95" x14ac:dyDescent="0.25">
      <c r="A30" s="6">
        <f t="shared" si="0"/>
        <v>15</v>
      </c>
      <c r="B30" s="8" t="s">
        <v>2</v>
      </c>
      <c r="C30" s="4"/>
      <c r="D30" s="4"/>
      <c r="E30" s="4"/>
      <c r="F30" s="4"/>
      <c r="G30" s="4"/>
      <c r="H30" s="4"/>
      <c r="I30" s="9">
        <f>-I28</f>
        <v>-330011</v>
      </c>
    </row>
    <row r="31" spans="1:13" ht="13.95" x14ac:dyDescent="0.25">
      <c r="A31" s="6">
        <f t="shared" si="0"/>
        <v>16</v>
      </c>
      <c r="B31" s="8" t="s">
        <v>1</v>
      </c>
      <c r="C31" s="4"/>
      <c r="D31" s="4"/>
      <c r="E31" s="4"/>
      <c r="F31" s="4"/>
      <c r="G31" s="4"/>
      <c r="H31" s="228">
        <f>(6*35%+6*21%)/12</f>
        <v>0.27999999999999997</v>
      </c>
      <c r="I31" s="7">
        <f>ROUND(-I28*H31,0)</f>
        <v>-92403</v>
      </c>
    </row>
    <row r="32" spans="1:13" ht="14.4" thickBot="1" x14ac:dyDescent="0.3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-237608</v>
      </c>
    </row>
    <row r="33" spans="16:16" ht="14.4" thickTop="1" x14ac:dyDescent="0.25"/>
    <row r="35" spans="16:16" ht="13.95" x14ac:dyDescent="0.25">
      <c r="P35" s="60"/>
    </row>
  </sheetData>
  <pageMargins left="0.56999999999999995" right="0.51" top="1" bottom="1" header="0.5" footer="0.5"/>
  <pageSetup scale="66" orientation="portrait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28"/>
  <sheetViews>
    <sheetView zoomScaleNormal="100" workbookViewId="0">
      <selection activeCell="C23" sqref="C23"/>
    </sheetView>
  </sheetViews>
  <sheetFormatPr defaultColWidth="9.109375" defaultRowHeight="13.2" x14ac:dyDescent="0.25"/>
  <cols>
    <col min="1" max="1" width="30.5546875" style="1" customWidth="1"/>
    <col min="2" max="2" width="13.33203125" style="1" customWidth="1"/>
    <col min="3" max="3" width="15" style="1" customWidth="1"/>
    <col min="4" max="4" width="14.33203125" style="1" customWidth="1"/>
    <col min="5" max="5" width="13.33203125" style="1" bestFit="1" customWidth="1"/>
    <col min="6" max="6" width="13.109375" style="1" customWidth="1"/>
    <col min="7" max="7" width="16.6640625" style="1" customWidth="1"/>
    <col min="8" max="8" width="14.88671875" style="1" customWidth="1"/>
    <col min="9" max="9" width="1.6640625" style="1" bestFit="1" customWidth="1"/>
    <col min="10" max="16384" width="9.109375" style="1"/>
  </cols>
  <sheetData>
    <row r="1" spans="1:8" s="38" customFormat="1" x14ac:dyDescent="0.25">
      <c r="A1" s="52" t="s">
        <v>45</v>
      </c>
      <c r="B1" s="52"/>
      <c r="C1" s="52"/>
      <c r="D1" s="52"/>
      <c r="E1" s="52"/>
      <c r="F1" s="52"/>
      <c r="G1" s="52"/>
      <c r="H1" s="52"/>
    </row>
    <row r="2" spans="1:8" s="38" customFormat="1" x14ac:dyDescent="0.25">
      <c r="A2" s="52" t="s">
        <v>44</v>
      </c>
      <c r="B2" s="52"/>
      <c r="C2" s="52"/>
      <c r="D2" s="52"/>
      <c r="E2" s="52"/>
      <c r="F2" s="52"/>
      <c r="G2" s="52"/>
      <c r="H2" s="52"/>
    </row>
    <row r="3" spans="1:8" s="38" customFormat="1" x14ac:dyDescent="0.25">
      <c r="A3" s="52" t="s">
        <v>43</v>
      </c>
      <c r="B3" s="52"/>
      <c r="C3" s="52"/>
      <c r="D3" s="52"/>
      <c r="E3" s="52"/>
      <c r="F3" s="52"/>
      <c r="G3" s="52"/>
      <c r="H3" s="52"/>
    </row>
    <row r="4" spans="1:8" s="38" customFormat="1" x14ac:dyDescent="0.25">
      <c r="A4" s="51" t="s">
        <v>145</v>
      </c>
      <c r="B4" s="52"/>
      <c r="C4" s="52"/>
      <c r="D4" s="52"/>
      <c r="E4" s="52"/>
      <c r="F4" s="52"/>
      <c r="G4" s="52"/>
      <c r="H4" s="52"/>
    </row>
    <row r="5" spans="1:8" x14ac:dyDescent="0.25">
      <c r="A5" s="233"/>
      <c r="B5" s="233"/>
      <c r="C5" s="233"/>
      <c r="D5" s="233"/>
      <c r="E5" s="233"/>
      <c r="F5" s="233"/>
      <c r="G5" s="233"/>
      <c r="H5" s="233"/>
    </row>
    <row r="6" spans="1:8" x14ac:dyDescent="0.25">
      <c r="A6" s="51"/>
      <c r="B6" s="49"/>
      <c r="C6" s="49"/>
      <c r="D6" s="49"/>
      <c r="E6" s="49"/>
      <c r="F6" s="49"/>
      <c r="G6" s="49"/>
      <c r="H6" s="49"/>
    </row>
    <row r="7" spans="1:8" x14ac:dyDescent="0.25">
      <c r="A7" s="51"/>
      <c r="B7" s="126"/>
      <c r="C7" s="126"/>
      <c r="D7" s="126"/>
      <c r="E7" s="126"/>
      <c r="F7" s="126"/>
      <c r="G7" s="126"/>
      <c r="H7" s="126"/>
    </row>
    <row r="8" spans="1:8" x14ac:dyDescent="0.25">
      <c r="A8" s="51"/>
      <c r="B8" s="126"/>
      <c r="C8" s="126"/>
      <c r="D8" s="126"/>
      <c r="E8" s="126" t="s">
        <v>28</v>
      </c>
      <c r="F8" s="126"/>
      <c r="G8" s="126"/>
      <c r="H8" s="126" t="s">
        <v>26</v>
      </c>
    </row>
    <row r="9" spans="1:8" x14ac:dyDescent="0.25">
      <c r="A9" s="50"/>
      <c r="B9" s="126" t="s">
        <v>24</v>
      </c>
      <c r="C9" s="126" t="s">
        <v>23</v>
      </c>
      <c r="D9" s="126" t="s">
        <v>42</v>
      </c>
      <c r="E9" s="126" t="s">
        <v>22</v>
      </c>
      <c r="F9" s="126" t="s">
        <v>42</v>
      </c>
      <c r="G9" s="126" t="s">
        <v>24</v>
      </c>
      <c r="H9" s="126" t="s">
        <v>19</v>
      </c>
    </row>
    <row r="10" spans="1:8" x14ac:dyDescent="0.25">
      <c r="A10" s="47" t="s">
        <v>17</v>
      </c>
      <c r="B10" s="47" t="s">
        <v>19</v>
      </c>
      <c r="C10" s="47" t="s">
        <v>15</v>
      </c>
      <c r="D10" s="47" t="s">
        <v>41</v>
      </c>
      <c r="E10" s="126" t="s">
        <v>13</v>
      </c>
      <c r="F10" s="47" t="s">
        <v>40</v>
      </c>
      <c r="G10" s="47" t="s">
        <v>15</v>
      </c>
      <c r="H10" s="47" t="s">
        <v>10</v>
      </c>
    </row>
    <row r="11" spans="1:8" x14ac:dyDescent="0.25">
      <c r="A11" s="48"/>
      <c r="B11" s="48" t="s">
        <v>39</v>
      </c>
      <c r="C11" s="48" t="s">
        <v>38</v>
      </c>
      <c r="D11" s="48" t="s">
        <v>37</v>
      </c>
      <c r="E11" s="48" t="s">
        <v>36</v>
      </c>
      <c r="F11" s="48" t="s">
        <v>35</v>
      </c>
      <c r="G11" s="48" t="s">
        <v>34</v>
      </c>
      <c r="H11" s="48" t="s">
        <v>33</v>
      </c>
    </row>
    <row r="12" spans="1:8" ht="13.95" x14ac:dyDescent="0.25">
      <c r="A12" s="47"/>
      <c r="B12" s="28" t="s">
        <v>158</v>
      </c>
      <c r="C12" s="28" t="s">
        <v>159</v>
      </c>
      <c r="D12" s="28" t="s">
        <v>159</v>
      </c>
      <c r="E12" s="28" t="s">
        <v>159</v>
      </c>
      <c r="F12" s="28" t="s">
        <v>159</v>
      </c>
      <c r="G12" s="28" t="s">
        <v>159</v>
      </c>
      <c r="H12" s="47"/>
    </row>
    <row r="13" spans="1:8" x14ac:dyDescent="0.25">
      <c r="A13" s="41" t="str">
        <f>A22</f>
        <v>12 ME 06/30/2014 AND 02/28/2013</v>
      </c>
      <c r="B13" s="127">
        <f t="shared" ref="B13:G13" si="0">IF(OR($J22="min",$J22="max"),$J22,B22)</f>
        <v>16933464.380000003</v>
      </c>
      <c r="C13" s="127">
        <f t="shared" si="0"/>
        <v>2168129073.75</v>
      </c>
      <c r="D13" s="127">
        <f t="shared" si="0"/>
        <v>61281977.329999998</v>
      </c>
      <c r="E13" s="127">
        <f t="shared" si="0"/>
        <v>22000392.900000002</v>
      </c>
      <c r="F13" s="127">
        <f t="shared" si="0"/>
        <v>352692.47999999998</v>
      </c>
      <c r="G13" s="127">
        <f t="shared" si="0"/>
        <v>2084494011.04</v>
      </c>
      <c r="H13" s="39">
        <f>IF(OR(B13="min",B13="max"),J22,ROUND(B13/G13,9))</f>
        <v>8.1235370000000001E-3</v>
      </c>
    </row>
    <row r="14" spans="1:8" x14ac:dyDescent="0.25">
      <c r="A14" s="41" t="str">
        <f t="shared" ref="A14:A17" si="1">A23</f>
        <v>12 ME 06/30/2015 AND 02/28/2014</v>
      </c>
      <c r="B14" s="127" t="str">
        <f t="shared" ref="B14:G17" si="2">IF(OR($J23="min",$J23="max"),$J23,B23)</f>
        <v>max</v>
      </c>
      <c r="C14" s="127" t="str">
        <f t="shared" si="2"/>
        <v>max</v>
      </c>
      <c r="D14" s="127" t="str">
        <f t="shared" si="2"/>
        <v>max</v>
      </c>
      <c r="E14" s="127" t="str">
        <f t="shared" si="2"/>
        <v>max</v>
      </c>
      <c r="F14" s="127" t="str">
        <f t="shared" si="2"/>
        <v>max</v>
      </c>
      <c r="G14" s="127" t="str">
        <f t="shared" si="2"/>
        <v>max</v>
      </c>
      <c r="H14" s="39" t="str">
        <f>IF(OR(B14="min",B14="max"),J23,ROUND(B14/G14,9))</f>
        <v>max</v>
      </c>
    </row>
    <row r="15" spans="1:8" x14ac:dyDescent="0.25">
      <c r="A15" s="41" t="str">
        <f t="shared" si="1"/>
        <v>12 ME 06/30/2016 AND 02/28/2015</v>
      </c>
      <c r="B15" s="127" t="str">
        <f t="shared" si="2"/>
        <v>min</v>
      </c>
      <c r="C15" s="127" t="str">
        <f t="shared" si="2"/>
        <v>min</v>
      </c>
      <c r="D15" s="127" t="str">
        <f t="shared" si="2"/>
        <v>min</v>
      </c>
      <c r="E15" s="127" t="str">
        <f t="shared" si="2"/>
        <v>min</v>
      </c>
      <c r="F15" s="127" t="str">
        <f t="shared" si="2"/>
        <v>min</v>
      </c>
      <c r="G15" s="127" t="str">
        <f t="shared" si="2"/>
        <v>min</v>
      </c>
      <c r="H15" s="39" t="str">
        <f t="shared" ref="H15:H17" si="3">IF(OR(B15="min",B15="max"),J24,ROUND(B15/G15,9))</f>
        <v>min</v>
      </c>
    </row>
    <row r="16" spans="1:8" x14ac:dyDescent="0.25">
      <c r="A16" s="41" t="str">
        <f t="shared" si="1"/>
        <v>12 ME 06/30/2017 AND 02/29/2016</v>
      </c>
      <c r="B16" s="127">
        <f t="shared" si="2"/>
        <v>16371341.030000001</v>
      </c>
      <c r="C16" s="127">
        <f t="shared" si="2"/>
        <v>2258980887.98</v>
      </c>
      <c r="D16" s="127">
        <f t="shared" si="2"/>
        <v>52655030.960000001</v>
      </c>
      <c r="E16" s="127">
        <f t="shared" si="2"/>
        <v>18382111.43</v>
      </c>
      <c r="F16" s="127">
        <f t="shared" si="2"/>
        <v>335399.09000000003</v>
      </c>
      <c r="G16" s="127">
        <f t="shared" si="2"/>
        <v>2187608346.5</v>
      </c>
      <c r="H16" s="39">
        <f t="shared" si="3"/>
        <v>7.4836709999999999E-3</v>
      </c>
    </row>
    <row r="17" spans="1:10" x14ac:dyDescent="0.25">
      <c r="A17" s="41" t="str">
        <f t="shared" si="1"/>
        <v>12 ME 06/30/2018 AND 02/28/2017</v>
      </c>
      <c r="B17" s="127">
        <f t="shared" si="2"/>
        <v>19105884.939999998</v>
      </c>
      <c r="C17" s="127">
        <f t="shared" si="2"/>
        <v>2441423797.6500001</v>
      </c>
      <c r="D17" s="127">
        <f t="shared" si="2"/>
        <v>53588426.789999999</v>
      </c>
      <c r="E17" s="127">
        <f t="shared" si="2"/>
        <v>127369400.78999999</v>
      </c>
      <c r="F17" s="127">
        <f t="shared" si="2"/>
        <v>346779.57</v>
      </c>
      <c r="G17" s="127">
        <f t="shared" si="2"/>
        <v>2260119190.5</v>
      </c>
      <c r="H17" s="39">
        <f t="shared" si="3"/>
        <v>8.4534859999999996E-3</v>
      </c>
    </row>
    <row r="19" spans="1:10" ht="13.95" thickBot="1" x14ac:dyDescent="0.3">
      <c r="A19" s="38" t="s">
        <v>32</v>
      </c>
      <c r="B19" s="46">
        <f t="shared" ref="B19:H19" si="4">SUM(B13:B17)/3</f>
        <v>17470230.116666667</v>
      </c>
      <c r="C19" s="46">
        <f t="shared" si="4"/>
        <v>2289511253.1266665</v>
      </c>
      <c r="D19" s="46">
        <f>SUM(D13:D17)/3</f>
        <v>55841811.693333328</v>
      </c>
      <c r="E19" s="46">
        <f>SUM(E13:E17)/3</f>
        <v>55917301.706666671</v>
      </c>
      <c r="F19" s="46">
        <f>SUM(F13:F17)/3</f>
        <v>344957.04666666669</v>
      </c>
      <c r="G19" s="46">
        <f>SUM(G13:G17)/3</f>
        <v>2177407182.6799998</v>
      </c>
      <c r="H19" s="45">
        <f t="shared" si="4"/>
        <v>8.0202313333333341E-3</v>
      </c>
    </row>
    <row r="20" spans="1:10" ht="13.95" thickTop="1" x14ac:dyDescent="0.25">
      <c r="A20" s="38"/>
      <c r="B20" s="44"/>
      <c r="C20" s="44"/>
      <c r="D20" s="44"/>
      <c r="E20" s="44"/>
      <c r="F20" s="44"/>
      <c r="G20" s="44"/>
      <c r="H20" s="43"/>
    </row>
    <row r="22" spans="1:10" x14ac:dyDescent="0.25">
      <c r="A22" s="41" t="s">
        <v>160</v>
      </c>
      <c r="B22" s="195">
        <f>'NetWriteoffs-Elec'!B83</f>
        <v>16933464.380000003</v>
      </c>
      <c r="C22" s="40">
        <f>'SOE 12ME 2-2014'!B32</f>
        <v>2168129073.75</v>
      </c>
      <c r="D22" s="40">
        <f>'SOE 12ME 2-2014'!B22</f>
        <v>61281977.329999998</v>
      </c>
      <c r="E22" s="40">
        <f>'SOE 12ME 2-2014'!B30</f>
        <v>22000392.900000002</v>
      </c>
      <c r="F22" s="40">
        <f>'SOE 12ME 2-2014'!B15</f>
        <v>352692.47999999998</v>
      </c>
      <c r="G22" s="40">
        <f>C22-D22-E22-F22</f>
        <v>2084494011.04</v>
      </c>
      <c r="H22" s="39">
        <f t="shared" ref="H22:H26" si="5">ROUND(B22/G22,9)</f>
        <v>8.1235370000000001E-3</v>
      </c>
      <c r="I22" s="42"/>
      <c r="J22" s="1" t="str">
        <f>IF(H22=MIN($H$22:$H$26),"min",IF(H22=MAX($H$22:$H$26),"max","include"))</f>
        <v>include</v>
      </c>
    </row>
    <row r="23" spans="1:10" x14ac:dyDescent="0.25">
      <c r="A23" s="41" t="s">
        <v>161</v>
      </c>
      <c r="B23" s="195">
        <f>'NetWriteoffs-Elec'!B68</f>
        <v>18026885.969999999</v>
      </c>
      <c r="C23" s="40">
        <f>'SOE 12ME 2-2015'!B29</f>
        <v>2045534478.6900001</v>
      </c>
      <c r="D23" s="40">
        <f>'SOE 12ME 2-2015'!B19</f>
        <v>33512906.949999999</v>
      </c>
      <c r="E23" s="40">
        <f>'SOE 12ME 2-2015'!B27</f>
        <v>80709951.560000002</v>
      </c>
      <c r="F23" s="40">
        <f>'SOE 12ME 2-2015'!B15</f>
        <v>329687.28000000003</v>
      </c>
      <c r="G23" s="40">
        <f t="shared" ref="G23:G26" si="6">C23-D23-E23-F23</f>
        <v>1930981932.9000001</v>
      </c>
      <c r="H23" s="39">
        <f t="shared" si="5"/>
        <v>9.3356059999999998E-3</v>
      </c>
      <c r="I23" s="42"/>
      <c r="J23" s="1" t="str">
        <f t="shared" ref="J23:J26" si="7">IF(H23=MIN($H$22:$H$26),"min",IF(H23=MAX($H$22:$H$26),"max","include"))</f>
        <v>max</v>
      </c>
    </row>
    <row r="24" spans="1:10" x14ac:dyDescent="0.25">
      <c r="A24" s="41" t="s">
        <v>162</v>
      </c>
      <c r="B24" s="195">
        <f>'NetWriteoffs-Elec'!B51</f>
        <v>14065820.42</v>
      </c>
      <c r="C24" s="40">
        <f>'SOE 12ME 2-2016'!B29</f>
        <v>2167305595.3800001</v>
      </c>
      <c r="D24" s="40">
        <f>'SOE 12ME 2-2016'!B19</f>
        <v>46559734.200000003</v>
      </c>
      <c r="E24" s="40">
        <f>'SOE 12ME 2-2016'!B27</f>
        <v>-5493969.7499999991</v>
      </c>
      <c r="F24" s="40">
        <f>'SOE 12ME 2-2016'!B15</f>
        <v>322220.11</v>
      </c>
      <c r="G24" s="40">
        <f t="shared" si="6"/>
        <v>2125917610.8200002</v>
      </c>
      <c r="H24" s="39">
        <f t="shared" si="5"/>
        <v>6.6163530000000002E-3</v>
      </c>
      <c r="I24" s="42"/>
      <c r="J24" s="1" t="str">
        <f t="shared" si="7"/>
        <v>min</v>
      </c>
    </row>
    <row r="25" spans="1:10" x14ac:dyDescent="0.25">
      <c r="A25" s="41" t="s">
        <v>163</v>
      </c>
      <c r="B25" s="40">
        <f>'NetWriteoffs-Elec'!B34</f>
        <v>16371341.030000001</v>
      </c>
      <c r="C25" s="40">
        <f>'SOE 12ME 2-2017'!B29</f>
        <v>2258980887.98</v>
      </c>
      <c r="D25" s="40">
        <f>'SOE 12ME 2-2017'!B19</f>
        <v>52655030.960000001</v>
      </c>
      <c r="E25" s="40">
        <f>'SOE 12ME 2-2017'!B27</f>
        <v>18382111.43</v>
      </c>
      <c r="F25" s="40">
        <f>'SOE 12ME 2-2017'!B15</f>
        <v>335399.09000000003</v>
      </c>
      <c r="G25" s="40">
        <f t="shared" si="6"/>
        <v>2187608346.5</v>
      </c>
      <c r="H25" s="39">
        <f t="shared" si="5"/>
        <v>7.4836709999999999E-3</v>
      </c>
      <c r="J25" s="1" t="str">
        <f t="shared" si="7"/>
        <v>include</v>
      </c>
    </row>
    <row r="26" spans="1:10" x14ac:dyDescent="0.25">
      <c r="A26" s="41" t="s">
        <v>164</v>
      </c>
      <c r="B26" s="40">
        <f>'NetWriteoffs-Elec'!B17</f>
        <v>19105884.939999998</v>
      </c>
      <c r="C26" s="40">
        <f>'SOE 12ME 02-2018'!B29</f>
        <v>2441423797.6500001</v>
      </c>
      <c r="D26" s="40">
        <f>'SOE 12ME 02-2018'!B19</f>
        <v>53588426.789999999</v>
      </c>
      <c r="E26" s="40">
        <f>'SOE 12ME 02-2018'!B27</f>
        <v>127369400.78999999</v>
      </c>
      <c r="F26" s="40">
        <f>'SOE 12ME 02-2018'!B15</f>
        <v>346779.57</v>
      </c>
      <c r="G26" s="40">
        <f t="shared" si="6"/>
        <v>2260119190.5</v>
      </c>
      <c r="H26" s="39">
        <f t="shared" si="5"/>
        <v>8.4534859999999996E-3</v>
      </c>
      <c r="J26" s="42" t="str">
        <f t="shared" si="7"/>
        <v>include</v>
      </c>
    </row>
    <row r="28" spans="1:10" x14ac:dyDescent="0.25">
      <c r="A28" s="38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133"/>
  <sheetViews>
    <sheetView zoomScaleNormal="100" workbookViewId="0">
      <pane ySplit="2" topLeftCell="A3" activePane="bottomLeft" state="frozen"/>
      <selection activeCell="B30" sqref="B30"/>
      <selection pane="bottomLeft" activeCell="N10" sqref="N10"/>
    </sheetView>
  </sheetViews>
  <sheetFormatPr defaultColWidth="8.88671875" defaultRowHeight="14.4" x14ac:dyDescent="0.3"/>
  <cols>
    <col min="1" max="1" width="41.88671875" style="192" customWidth="1"/>
    <col min="2" max="2" width="20.33203125" style="128" customWidth="1"/>
    <col min="3" max="16384" width="8.88671875" style="128"/>
  </cols>
  <sheetData>
    <row r="1" spans="1:6" x14ac:dyDescent="0.3">
      <c r="A1" s="208" t="s">
        <v>54</v>
      </c>
    </row>
    <row r="2" spans="1:6" ht="16.5" customHeight="1" x14ac:dyDescent="0.3">
      <c r="A2" s="192" t="s">
        <v>53</v>
      </c>
    </row>
    <row r="3" spans="1:6" ht="16.5" customHeight="1" x14ac:dyDescent="0.3">
      <c r="A3" s="196"/>
      <c r="B3" s="197"/>
      <c r="F3" s="128" t="s">
        <v>172</v>
      </c>
    </row>
    <row r="4" spans="1:6" ht="16.5" customHeight="1" x14ac:dyDescent="0.3">
      <c r="A4" s="209" t="s">
        <v>146</v>
      </c>
      <c r="B4" s="59"/>
    </row>
    <row r="5" spans="1:6" ht="16.5" customHeight="1" x14ac:dyDescent="0.3">
      <c r="A5" s="58" t="s">
        <v>126</v>
      </c>
      <c r="B5" s="57" t="s">
        <v>52</v>
      </c>
      <c r="D5" s="142"/>
    </row>
    <row r="6" spans="1:6" ht="16.5" customHeight="1" x14ac:dyDescent="0.3">
      <c r="A6" s="54" t="s">
        <v>137</v>
      </c>
      <c r="B6" s="69">
        <v>0</v>
      </c>
    </row>
    <row r="7" spans="1:6" ht="16.5" customHeight="1" x14ac:dyDescent="0.3">
      <c r="A7" s="191" t="s">
        <v>135</v>
      </c>
      <c r="B7" s="69">
        <v>17630570.899999999</v>
      </c>
    </row>
    <row r="8" spans="1:6" ht="16.5" customHeight="1" x14ac:dyDescent="0.3">
      <c r="A8" s="54" t="s">
        <v>51</v>
      </c>
      <c r="B8" s="198">
        <f>SUM(B6:B7)</f>
        <v>17630570.899999999</v>
      </c>
    </row>
    <row r="9" spans="1:6" ht="16.5" customHeight="1" x14ac:dyDescent="0.3">
      <c r="A9" s="54" t="s">
        <v>138</v>
      </c>
      <c r="B9" s="69">
        <v>0</v>
      </c>
    </row>
    <row r="10" spans="1:6" ht="16.5" customHeight="1" x14ac:dyDescent="0.3">
      <c r="A10" s="191" t="s">
        <v>136</v>
      </c>
      <c r="B10" s="69">
        <v>3890260.97</v>
      </c>
    </row>
    <row r="11" spans="1:6" ht="16.5" customHeight="1" x14ac:dyDescent="0.3">
      <c r="A11" s="54" t="s">
        <v>49</v>
      </c>
      <c r="B11" s="198">
        <f>SUM(B9:B10)</f>
        <v>3890260.97</v>
      </c>
    </row>
    <row r="12" spans="1:6" ht="16.5" customHeight="1" x14ac:dyDescent="0.3">
      <c r="A12" s="54" t="s">
        <v>48</v>
      </c>
      <c r="B12" s="199">
        <f>B8+B11</f>
        <v>21520831.869999997</v>
      </c>
    </row>
    <row r="13" spans="1:6" ht="16.5" customHeight="1" x14ac:dyDescent="0.3">
      <c r="A13" s="56" t="s">
        <v>47</v>
      </c>
      <c r="B13" s="200">
        <f>B12</f>
        <v>21520831.869999997</v>
      </c>
    </row>
    <row r="14" spans="1:6" ht="16.5" customHeight="1" x14ac:dyDescent="0.3">
      <c r="A14" s="55" t="s">
        <v>167</v>
      </c>
      <c r="B14" s="201"/>
    </row>
    <row r="15" spans="1:6" ht="16.5" customHeight="1" x14ac:dyDescent="0.3">
      <c r="A15" s="54" t="s">
        <v>46</v>
      </c>
      <c r="B15" s="202">
        <f>B8</f>
        <v>17630570.899999999</v>
      </c>
    </row>
    <row r="16" spans="1:6" ht="16.5" customHeight="1" x14ac:dyDescent="0.3">
      <c r="A16" s="53" t="s">
        <v>139</v>
      </c>
      <c r="B16" s="203">
        <f>'BS Acct-Elec'!D24</f>
        <v>1475314.0399999998</v>
      </c>
    </row>
    <row r="17" spans="1:2" ht="16.5" customHeight="1" x14ac:dyDescent="0.3">
      <c r="A17" s="210"/>
      <c r="B17" s="204">
        <f>SUM(B15:B16)</f>
        <v>19105884.939999998</v>
      </c>
    </row>
    <row r="18" spans="1:2" ht="16.5" customHeight="1" x14ac:dyDescent="0.3">
      <c r="A18" s="196"/>
      <c r="B18" s="197"/>
    </row>
    <row r="19" spans="1:2" ht="16.5" customHeight="1" x14ac:dyDescent="0.3"/>
    <row r="20" spans="1:2" ht="16.5" customHeight="1" x14ac:dyDescent="0.3">
      <c r="A20" s="196"/>
      <c r="B20" s="197"/>
    </row>
    <row r="21" spans="1:2" ht="16.5" customHeight="1" x14ac:dyDescent="0.3">
      <c r="A21" s="209" t="s">
        <v>147</v>
      </c>
      <c r="B21" s="59"/>
    </row>
    <row r="22" spans="1:2" ht="16.5" customHeight="1" x14ac:dyDescent="0.3">
      <c r="A22" s="58" t="s">
        <v>126</v>
      </c>
      <c r="B22" s="57" t="s">
        <v>52</v>
      </c>
    </row>
    <row r="23" spans="1:2" ht="16.5" customHeight="1" x14ac:dyDescent="0.3">
      <c r="A23" s="54" t="s">
        <v>137</v>
      </c>
      <c r="B23" s="69">
        <v>9214544.7100000009</v>
      </c>
    </row>
    <row r="24" spans="1:2" ht="16.5" customHeight="1" x14ac:dyDescent="0.3">
      <c r="A24" s="191" t="s">
        <v>135</v>
      </c>
      <c r="B24" s="69">
        <v>7691179.8700000001</v>
      </c>
    </row>
    <row r="25" spans="1:2" ht="16.5" customHeight="1" x14ac:dyDescent="0.3">
      <c r="A25" s="54" t="s">
        <v>51</v>
      </c>
      <c r="B25" s="198">
        <f>SUM(B23:B24)</f>
        <v>16905724.580000002</v>
      </c>
    </row>
    <row r="26" spans="1:2" ht="16.5" customHeight="1" x14ac:dyDescent="0.3">
      <c r="A26" s="54" t="s">
        <v>138</v>
      </c>
      <c r="B26" s="199">
        <v>2219263.1</v>
      </c>
    </row>
    <row r="27" spans="1:2" ht="16.5" customHeight="1" x14ac:dyDescent="0.3">
      <c r="A27" s="191" t="s">
        <v>136</v>
      </c>
      <c r="B27" s="69">
        <v>2406729.5699999998</v>
      </c>
    </row>
    <row r="28" spans="1:2" ht="16.5" customHeight="1" x14ac:dyDescent="0.3">
      <c r="A28" s="54" t="s">
        <v>49</v>
      </c>
      <c r="B28" s="205">
        <f>SUM(B26:B27)</f>
        <v>4625992.67</v>
      </c>
    </row>
    <row r="29" spans="1:2" ht="16.5" customHeight="1" x14ac:dyDescent="0.3">
      <c r="A29" s="54" t="s">
        <v>48</v>
      </c>
      <c r="B29" s="199">
        <f>B25+B28</f>
        <v>21531717.25</v>
      </c>
    </row>
    <row r="30" spans="1:2" ht="16.5" customHeight="1" x14ac:dyDescent="0.3">
      <c r="A30" s="56" t="s">
        <v>47</v>
      </c>
      <c r="B30" s="200">
        <f>B29</f>
        <v>21531717.25</v>
      </c>
    </row>
    <row r="31" spans="1:2" ht="16.5" customHeight="1" x14ac:dyDescent="0.3">
      <c r="A31" s="55" t="s">
        <v>168</v>
      </c>
      <c r="B31" s="202"/>
    </row>
    <row r="32" spans="1:2" ht="16.5" customHeight="1" x14ac:dyDescent="0.3">
      <c r="A32" s="54" t="s">
        <v>46</v>
      </c>
      <c r="B32" s="202">
        <f>B25</f>
        <v>16905724.580000002</v>
      </c>
    </row>
    <row r="33" spans="1:2" ht="16.5" customHeight="1" x14ac:dyDescent="0.3">
      <c r="A33" s="53" t="s">
        <v>139</v>
      </c>
      <c r="B33" s="203">
        <f>'BS Acct-Elec'!D42</f>
        <v>-534383.55000000016</v>
      </c>
    </row>
    <row r="34" spans="1:2" ht="16.5" customHeight="1" x14ac:dyDescent="0.25">
      <c r="A34" s="210"/>
      <c r="B34" s="204">
        <f>SUM(B32:B33)</f>
        <v>16371341.030000001</v>
      </c>
    </row>
    <row r="35" spans="1:2" ht="16.5" customHeight="1" x14ac:dyDescent="0.3">
      <c r="A35" s="196"/>
      <c r="B35" s="197"/>
    </row>
    <row r="36" spans="1:2" ht="16.5" customHeight="1" x14ac:dyDescent="0.3"/>
    <row r="37" spans="1:2" ht="16.5" customHeight="1" x14ac:dyDescent="0.3">
      <c r="A37" s="196"/>
      <c r="B37" s="197"/>
    </row>
    <row r="38" spans="1:2" ht="16.5" customHeight="1" x14ac:dyDescent="0.3">
      <c r="A38" s="209" t="s">
        <v>148</v>
      </c>
      <c r="B38" s="59"/>
    </row>
    <row r="39" spans="1:2" ht="16.5" customHeight="1" x14ac:dyDescent="0.3">
      <c r="A39" s="58" t="s">
        <v>126</v>
      </c>
      <c r="B39" s="57" t="s">
        <v>52</v>
      </c>
    </row>
    <row r="40" spans="1:2" ht="16.5" customHeight="1" x14ac:dyDescent="0.3">
      <c r="A40" s="54" t="s">
        <v>93</v>
      </c>
      <c r="B40" s="199">
        <v>0</v>
      </c>
    </row>
    <row r="41" spans="1:2" ht="16.5" customHeight="1" x14ac:dyDescent="0.3">
      <c r="A41" s="54" t="s">
        <v>137</v>
      </c>
      <c r="B41" s="69">
        <v>14523131.640000001</v>
      </c>
    </row>
    <row r="42" spans="1:2" ht="16.5" customHeight="1" x14ac:dyDescent="0.3">
      <c r="A42" s="54" t="s">
        <v>51</v>
      </c>
      <c r="B42" s="198">
        <f>SUM(B40:B41)</f>
        <v>14523131.640000001</v>
      </c>
    </row>
    <row r="43" spans="1:2" ht="16.5" customHeight="1" x14ac:dyDescent="0.3">
      <c r="A43" s="54" t="s">
        <v>92</v>
      </c>
      <c r="B43" s="199">
        <v>0</v>
      </c>
    </row>
    <row r="44" spans="1:2" ht="16.5" customHeight="1" x14ac:dyDescent="0.3">
      <c r="A44" s="54" t="s">
        <v>138</v>
      </c>
      <c r="B44" s="69">
        <v>3997770.07</v>
      </c>
    </row>
    <row r="45" spans="1:2" ht="16.5" customHeight="1" x14ac:dyDescent="0.3">
      <c r="A45" s="54" t="s">
        <v>49</v>
      </c>
      <c r="B45" s="205">
        <f>SUM(B43:B44)</f>
        <v>3997770.07</v>
      </c>
    </row>
    <row r="46" spans="1:2" ht="16.5" customHeight="1" x14ac:dyDescent="0.3">
      <c r="A46" s="54" t="s">
        <v>48</v>
      </c>
      <c r="B46" s="199">
        <f>B42+B45</f>
        <v>18520901.710000001</v>
      </c>
    </row>
    <row r="47" spans="1:2" ht="16.5" customHeight="1" x14ac:dyDescent="0.3">
      <c r="A47" s="56" t="s">
        <v>47</v>
      </c>
      <c r="B47" s="200">
        <f>B46</f>
        <v>18520901.710000001</v>
      </c>
    </row>
    <row r="48" spans="1:2" ht="16.5" customHeight="1" x14ac:dyDescent="0.3">
      <c r="A48" s="55" t="s">
        <v>169</v>
      </c>
      <c r="B48" s="202"/>
    </row>
    <row r="49" spans="1:2" ht="16.5" customHeight="1" x14ac:dyDescent="0.3">
      <c r="A49" s="54" t="s">
        <v>46</v>
      </c>
      <c r="B49" s="202">
        <f>B42</f>
        <v>14523131.640000001</v>
      </c>
    </row>
    <row r="50" spans="1:2" ht="16.5" customHeight="1" x14ac:dyDescent="0.3">
      <c r="A50" s="53" t="s">
        <v>139</v>
      </c>
      <c r="B50" s="203">
        <f>'BS Acct-Elec'!D60</f>
        <v>-457311.22000000009</v>
      </c>
    </row>
    <row r="51" spans="1:2" ht="16.5" customHeight="1" x14ac:dyDescent="0.3">
      <c r="A51" s="210"/>
      <c r="B51" s="204">
        <f>SUM(B49:B50)</f>
        <v>14065820.42</v>
      </c>
    </row>
    <row r="52" spans="1:2" ht="11.4" customHeight="1" x14ac:dyDescent="0.3">
      <c r="A52" s="196"/>
      <c r="B52" s="197"/>
    </row>
    <row r="53" spans="1:2" ht="7.2" customHeight="1" x14ac:dyDescent="0.3"/>
    <row r="54" spans="1:2" ht="8.1" customHeight="1" x14ac:dyDescent="0.3">
      <c r="A54" s="196"/>
      <c r="B54" s="197"/>
    </row>
    <row r="55" spans="1:2" x14ac:dyDescent="0.3">
      <c r="A55" s="209" t="s">
        <v>149</v>
      </c>
      <c r="B55" s="59"/>
    </row>
    <row r="56" spans="1:2" x14ac:dyDescent="0.3">
      <c r="A56" s="58" t="s">
        <v>126</v>
      </c>
      <c r="B56" s="57" t="s">
        <v>52</v>
      </c>
    </row>
    <row r="57" spans="1:2" x14ac:dyDescent="0.3">
      <c r="A57" s="54" t="s">
        <v>93</v>
      </c>
      <c r="B57" s="69">
        <v>0</v>
      </c>
    </row>
    <row r="58" spans="1:2" x14ac:dyDescent="0.3">
      <c r="A58" s="54" t="s">
        <v>137</v>
      </c>
      <c r="B58" s="69">
        <v>17023568.5</v>
      </c>
    </row>
    <row r="59" spans="1:2" x14ac:dyDescent="0.3">
      <c r="A59" s="54" t="s">
        <v>51</v>
      </c>
      <c r="B59" s="198">
        <f>SUM(B57:B58)</f>
        <v>17023568.5</v>
      </c>
    </row>
    <row r="60" spans="1:2" x14ac:dyDescent="0.3">
      <c r="A60" s="54" t="s">
        <v>92</v>
      </c>
      <c r="B60" s="199">
        <v>0</v>
      </c>
    </row>
    <row r="61" spans="1:2" x14ac:dyDescent="0.3">
      <c r="A61" s="54" t="s">
        <v>138</v>
      </c>
      <c r="B61" s="69">
        <v>5535973.9699999997</v>
      </c>
    </row>
    <row r="62" spans="1:2" x14ac:dyDescent="0.3">
      <c r="A62" s="54" t="s">
        <v>49</v>
      </c>
      <c r="B62" s="205">
        <f>SUM(B60:B61)</f>
        <v>5535973.9699999997</v>
      </c>
    </row>
    <row r="63" spans="1:2" x14ac:dyDescent="0.3">
      <c r="A63" s="54" t="s">
        <v>48</v>
      </c>
      <c r="B63" s="199">
        <f>B59+B62</f>
        <v>22559542.469999999</v>
      </c>
    </row>
    <row r="64" spans="1:2" x14ac:dyDescent="0.3">
      <c r="A64" s="56" t="s">
        <v>47</v>
      </c>
      <c r="B64" s="200">
        <f>B63</f>
        <v>22559542.469999999</v>
      </c>
    </row>
    <row r="65" spans="1:5" x14ac:dyDescent="0.3">
      <c r="A65" s="55" t="s">
        <v>170</v>
      </c>
      <c r="B65" s="202"/>
    </row>
    <row r="66" spans="1:5" x14ac:dyDescent="0.3">
      <c r="A66" s="54" t="s">
        <v>46</v>
      </c>
      <c r="B66" s="202">
        <f>B59</f>
        <v>17023568.5</v>
      </c>
    </row>
    <row r="67" spans="1:5" x14ac:dyDescent="0.3">
      <c r="A67" s="53" t="s">
        <v>139</v>
      </c>
      <c r="B67" s="203">
        <f>'BS Acct-Elec'!D78</f>
        <v>1003317.4700000001</v>
      </c>
    </row>
    <row r="68" spans="1:5" x14ac:dyDescent="0.3">
      <c r="A68" s="210"/>
      <c r="B68" s="204">
        <f>SUM(B66:B67)</f>
        <v>18026885.969999999</v>
      </c>
    </row>
    <row r="69" spans="1:5" ht="8.1" customHeight="1" x14ac:dyDescent="0.3">
      <c r="A69" s="196"/>
      <c r="B69" s="197"/>
    </row>
    <row r="70" spans="1:5" x14ac:dyDescent="0.3">
      <c r="A70" s="209" t="s">
        <v>150</v>
      </c>
      <c r="B70" s="59"/>
    </row>
    <row r="71" spans="1:5" x14ac:dyDescent="0.3">
      <c r="A71" s="58" t="s">
        <v>126</v>
      </c>
      <c r="B71" s="57" t="s">
        <v>52</v>
      </c>
    </row>
    <row r="72" spans="1:5" x14ac:dyDescent="0.3">
      <c r="A72" s="54" t="s">
        <v>93</v>
      </c>
      <c r="B72" s="69">
        <v>3750</v>
      </c>
    </row>
    <row r="73" spans="1:5" x14ac:dyDescent="0.3">
      <c r="A73" s="54" t="s">
        <v>137</v>
      </c>
      <c r="B73" s="69">
        <v>19682161.760000002</v>
      </c>
    </row>
    <row r="74" spans="1:5" x14ac:dyDescent="0.3">
      <c r="A74" s="54" t="s">
        <v>51</v>
      </c>
      <c r="B74" s="198">
        <f>SUM(B72:B73)</f>
        <v>19685911.760000002</v>
      </c>
    </row>
    <row r="75" spans="1:5" x14ac:dyDescent="0.3">
      <c r="A75" s="54" t="s">
        <v>92</v>
      </c>
      <c r="B75" s="199">
        <v>3750</v>
      </c>
    </row>
    <row r="76" spans="1:5" x14ac:dyDescent="0.3">
      <c r="A76" s="54" t="s">
        <v>50</v>
      </c>
      <c r="B76" s="69">
        <v>6607381.8700000001</v>
      </c>
    </row>
    <row r="77" spans="1:5" x14ac:dyDescent="0.3">
      <c r="A77" s="54" t="s">
        <v>49</v>
      </c>
      <c r="B77" s="205">
        <f>SUM(B75:B76)</f>
        <v>6611131.8700000001</v>
      </c>
    </row>
    <row r="78" spans="1:5" x14ac:dyDescent="0.3">
      <c r="A78" s="54" t="s">
        <v>48</v>
      </c>
      <c r="B78" s="199">
        <f>B74+B77</f>
        <v>26297043.630000003</v>
      </c>
      <c r="E78" s="206"/>
    </row>
    <row r="79" spans="1:5" x14ac:dyDescent="0.3">
      <c r="A79" s="56" t="s">
        <v>47</v>
      </c>
      <c r="B79" s="200">
        <f>B78</f>
        <v>26297043.630000003</v>
      </c>
    </row>
    <row r="80" spans="1:5" x14ac:dyDescent="0.3">
      <c r="A80" s="55" t="s">
        <v>171</v>
      </c>
      <c r="B80" s="202"/>
    </row>
    <row r="81" spans="1:2" x14ac:dyDescent="0.3">
      <c r="A81" s="54" t="s">
        <v>46</v>
      </c>
      <c r="B81" s="202">
        <f>B74</f>
        <v>19685911.760000002</v>
      </c>
    </row>
    <row r="82" spans="1:2" x14ac:dyDescent="0.3">
      <c r="A82" s="53" t="s">
        <v>140</v>
      </c>
      <c r="B82" s="203">
        <f>'BS Acct-Elec'!D96</f>
        <v>-2752447.38</v>
      </c>
    </row>
    <row r="83" spans="1:2" x14ac:dyDescent="0.3">
      <c r="A83" s="210"/>
      <c r="B83" s="204">
        <f>SUM(B81:B82)</f>
        <v>16933464.380000003</v>
      </c>
    </row>
    <row r="84" spans="1:2" ht="8.1" customHeight="1" x14ac:dyDescent="0.3">
      <c r="A84" s="196"/>
      <c r="B84" s="197"/>
    </row>
    <row r="85" spans="1:2" x14ac:dyDescent="0.3">
      <c r="B85" s="206"/>
    </row>
    <row r="86" spans="1:2" x14ac:dyDescent="0.3">
      <c r="A86" s="192" t="s">
        <v>112</v>
      </c>
      <c r="B86" s="206"/>
    </row>
    <row r="87" spans="1:2" x14ac:dyDescent="0.3">
      <c r="A87" s="192" t="s">
        <v>113</v>
      </c>
      <c r="B87" s="207"/>
    </row>
    <row r="88" spans="1:2" x14ac:dyDescent="0.3">
      <c r="A88" s="192" t="s">
        <v>114</v>
      </c>
      <c r="B88" s="207"/>
    </row>
    <row r="89" spans="1:2" x14ac:dyDescent="0.3">
      <c r="A89" s="192" t="s">
        <v>115</v>
      </c>
      <c r="B89" s="207"/>
    </row>
    <row r="90" spans="1:2" x14ac:dyDescent="0.3">
      <c r="A90" s="192" t="s">
        <v>116</v>
      </c>
      <c r="B90" s="207"/>
    </row>
    <row r="91" spans="1:2" x14ac:dyDescent="0.3">
      <c r="A91" s="192" t="s">
        <v>117</v>
      </c>
      <c r="B91" s="207"/>
    </row>
    <row r="92" spans="1:2" x14ac:dyDescent="0.3">
      <c r="A92" s="192" t="s">
        <v>124</v>
      </c>
      <c r="B92" s="207"/>
    </row>
    <row r="93" spans="1:2" x14ac:dyDescent="0.3">
      <c r="A93" s="192" t="s">
        <v>118</v>
      </c>
      <c r="B93" s="207"/>
    </row>
    <row r="94" spans="1:2" x14ac:dyDescent="0.3">
      <c r="A94" s="192" t="s">
        <v>123</v>
      </c>
      <c r="B94" s="207"/>
    </row>
    <row r="95" spans="1:2" x14ac:dyDescent="0.3">
      <c r="A95" s="192" t="s">
        <v>125</v>
      </c>
      <c r="B95" s="207"/>
    </row>
    <row r="96" spans="1:2" x14ac:dyDescent="0.3">
      <c r="A96" s="192" t="s">
        <v>119</v>
      </c>
      <c r="B96" s="207"/>
    </row>
    <row r="97" spans="1:2" x14ac:dyDescent="0.3">
      <c r="A97" s="192" t="s">
        <v>120</v>
      </c>
      <c r="B97" s="207"/>
    </row>
    <row r="98" spans="1:2" x14ac:dyDescent="0.3">
      <c r="A98" s="192" t="s">
        <v>121</v>
      </c>
      <c r="B98" s="207"/>
    </row>
    <row r="99" spans="1:2" x14ac:dyDescent="0.3">
      <c r="A99" s="192" t="s">
        <v>122</v>
      </c>
      <c r="B99" s="207"/>
    </row>
    <row r="100" spans="1:2" x14ac:dyDescent="0.3">
      <c r="B100" s="207"/>
    </row>
    <row r="101" spans="1:2" x14ac:dyDescent="0.3">
      <c r="B101" s="207"/>
    </row>
    <row r="102" spans="1:2" x14ac:dyDescent="0.3">
      <c r="B102" s="207"/>
    </row>
    <row r="103" spans="1:2" x14ac:dyDescent="0.3">
      <c r="B103" s="207"/>
    </row>
    <row r="104" spans="1:2" x14ac:dyDescent="0.3">
      <c r="B104" s="207"/>
    </row>
    <row r="105" spans="1:2" x14ac:dyDescent="0.3">
      <c r="B105" s="207"/>
    </row>
    <row r="106" spans="1:2" x14ac:dyDescent="0.3">
      <c r="B106" s="207"/>
    </row>
    <row r="107" spans="1:2" x14ac:dyDescent="0.3">
      <c r="B107" s="207"/>
    </row>
    <row r="108" spans="1:2" x14ac:dyDescent="0.3">
      <c r="B108" s="207"/>
    </row>
    <row r="109" spans="1:2" x14ac:dyDescent="0.3">
      <c r="B109" s="207"/>
    </row>
    <row r="110" spans="1:2" x14ac:dyDescent="0.3">
      <c r="B110" s="207"/>
    </row>
    <row r="111" spans="1:2" x14ac:dyDescent="0.3">
      <c r="B111" s="207"/>
    </row>
    <row r="112" spans="1:2" x14ac:dyDescent="0.3">
      <c r="B112" s="207"/>
    </row>
    <row r="113" spans="2:2" x14ac:dyDescent="0.3">
      <c r="B113" s="207"/>
    </row>
    <row r="114" spans="2:2" x14ac:dyDescent="0.3">
      <c r="B114" s="207"/>
    </row>
    <row r="115" spans="2:2" x14ac:dyDescent="0.3">
      <c r="B115" s="207"/>
    </row>
    <row r="116" spans="2:2" x14ac:dyDescent="0.3">
      <c r="B116" s="207"/>
    </row>
    <row r="117" spans="2:2" x14ac:dyDescent="0.3">
      <c r="B117" s="207"/>
    </row>
    <row r="118" spans="2:2" x14ac:dyDescent="0.3">
      <c r="B118" s="207"/>
    </row>
    <row r="119" spans="2:2" x14ac:dyDescent="0.3">
      <c r="B119" s="207"/>
    </row>
    <row r="120" spans="2:2" x14ac:dyDescent="0.3">
      <c r="B120" s="207"/>
    </row>
    <row r="121" spans="2:2" x14ac:dyDescent="0.3">
      <c r="B121" s="207"/>
    </row>
    <row r="122" spans="2:2" x14ac:dyDescent="0.3">
      <c r="B122" s="207"/>
    </row>
    <row r="123" spans="2:2" x14ac:dyDescent="0.3">
      <c r="B123" s="207"/>
    </row>
    <row r="124" spans="2:2" x14ac:dyDescent="0.3">
      <c r="B124" s="207"/>
    </row>
    <row r="125" spans="2:2" x14ac:dyDescent="0.3">
      <c r="B125" s="207"/>
    </row>
    <row r="126" spans="2:2" x14ac:dyDescent="0.3">
      <c r="B126" s="207"/>
    </row>
    <row r="127" spans="2:2" x14ac:dyDescent="0.3">
      <c r="B127" s="207"/>
    </row>
    <row r="128" spans="2:2" x14ac:dyDescent="0.3">
      <c r="B128" s="207"/>
    </row>
    <row r="129" spans="2:2" x14ac:dyDescent="0.3">
      <c r="B129" s="207"/>
    </row>
    <row r="130" spans="2:2" x14ac:dyDescent="0.3">
      <c r="B130" s="207"/>
    </row>
    <row r="131" spans="2:2" x14ac:dyDescent="0.3">
      <c r="B131" s="207"/>
    </row>
    <row r="132" spans="2:2" x14ac:dyDescent="0.3">
      <c r="B132" s="207"/>
    </row>
    <row r="133" spans="2:2" x14ac:dyDescent="0.3">
      <c r="B133" s="207"/>
    </row>
  </sheetData>
  <pageMargins left="0.7" right="0.7" top="0.75" bottom="0.75" header="0.3" footer="0.3"/>
  <pageSetup scale="10" fitToHeight="2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ySplit="7" topLeftCell="A8" activePane="bottomLeft" state="frozen"/>
      <selection activeCell="B30" sqref="B30"/>
      <selection pane="bottomLeft" activeCell="C20" sqref="C20"/>
    </sheetView>
  </sheetViews>
  <sheetFormatPr defaultColWidth="9.109375" defaultRowHeight="14.4" x14ac:dyDescent="0.3"/>
  <cols>
    <col min="1" max="1" width="10.6640625" style="128" bestFit="1" customWidth="1"/>
    <col min="2" max="2" width="15.6640625" style="128" customWidth="1"/>
    <col min="3" max="3" width="15.44140625" style="128" customWidth="1"/>
    <col min="4" max="4" width="14.6640625" style="128" customWidth="1"/>
    <col min="5" max="5" width="14" style="128" bestFit="1" customWidth="1"/>
    <col min="6" max="6" width="12.44140625" style="128" bestFit="1" customWidth="1"/>
    <col min="7" max="8" width="13.88671875" style="128" bestFit="1" customWidth="1"/>
    <col min="9" max="10" width="12.44140625" style="128" bestFit="1" customWidth="1"/>
    <col min="11" max="16384" width="9.109375" style="128"/>
  </cols>
  <sheetData>
    <row r="1" spans="1:7" x14ac:dyDescent="0.3">
      <c r="A1" s="128" t="s">
        <v>110</v>
      </c>
    </row>
    <row r="2" spans="1:7" x14ac:dyDescent="0.3">
      <c r="A2" s="128" t="s">
        <v>109</v>
      </c>
    </row>
    <row r="3" spans="1:7" x14ac:dyDescent="0.3">
      <c r="A3" s="144"/>
    </row>
    <row r="4" spans="1:7" x14ac:dyDescent="0.3">
      <c r="A4" s="143"/>
      <c r="B4" s="142"/>
      <c r="C4" s="142"/>
      <c r="D4" s="142"/>
      <c r="E4" s="141" t="s">
        <v>108</v>
      </c>
    </row>
    <row r="5" spans="1:7" x14ac:dyDescent="0.3">
      <c r="A5" s="141" t="s">
        <v>107</v>
      </c>
      <c r="B5" s="141" t="s">
        <v>106</v>
      </c>
      <c r="C5" s="141" t="s">
        <v>105</v>
      </c>
      <c r="D5" s="141" t="s">
        <v>104</v>
      </c>
      <c r="E5" s="141" t="s">
        <v>103</v>
      </c>
    </row>
    <row r="6" spans="1:7" x14ac:dyDescent="0.3">
      <c r="A6" s="141"/>
      <c r="B6" s="141"/>
      <c r="C6" s="141"/>
      <c r="D6" s="141"/>
      <c r="E6" s="141"/>
    </row>
    <row r="7" spans="1:7" x14ac:dyDescent="0.3">
      <c r="A7" s="140" t="s">
        <v>102</v>
      </c>
      <c r="B7" s="139" t="s">
        <v>101</v>
      </c>
      <c r="C7" s="139" t="s">
        <v>100</v>
      </c>
      <c r="D7" s="139" t="s">
        <v>99</v>
      </c>
      <c r="E7" s="139" t="s">
        <v>98</v>
      </c>
    </row>
    <row r="8" spans="1:7" x14ac:dyDescent="0.3">
      <c r="A8" s="189"/>
      <c r="B8" s="163"/>
      <c r="C8" s="163"/>
      <c r="D8" s="163"/>
      <c r="E8" s="163"/>
    </row>
    <row r="9" spans="1:7" x14ac:dyDescent="0.3">
      <c r="A9" s="189"/>
      <c r="B9" s="163"/>
      <c r="C9" s="163"/>
      <c r="D9" s="163"/>
      <c r="E9" s="163"/>
    </row>
    <row r="10" spans="1:7" x14ac:dyDescent="0.3">
      <c r="A10" s="229" t="s">
        <v>97</v>
      </c>
      <c r="B10" s="230">
        <v>0</v>
      </c>
      <c r="C10" s="230">
        <v>0</v>
      </c>
      <c r="D10" s="230">
        <v>0</v>
      </c>
      <c r="E10" s="230">
        <v>-5998723.21</v>
      </c>
    </row>
    <row r="11" spans="1:7" x14ac:dyDescent="0.3">
      <c r="A11" s="189">
        <f t="shared" ref="A11:A18" si="0">A12-31</f>
        <v>42947</v>
      </c>
      <c r="B11" s="230">
        <v>2439245.4900000002</v>
      </c>
      <c r="C11" s="230">
        <v>1472362.31</v>
      </c>
      <c r="D11" s="230">
        <v>966883.18</v>
      </c>
      <c r="E11" s="230">
        <v>-5031840.03</v>
      </c>
      <c r="G11" s="129"/>
    </row>
    <row r="12" spans="1:7" x14ac:dyDescent="0.3">
      <c r="A12" s="189">
        <f>A13-30</f>
        <v>42978</v>
      </c>
      <c r="B12" s="230">
        <v>2830944.58</v>
      </c>
      <c r="C12" s="230">
        <v>2196275.52</v>
      </c>
      <c r="D12" s="230">
        <v>634669.06000000006</v>
      </c>
      <c r="E12" s="230">
        <v>-4397170.97</v>
      </c>
      <c r="G12" s="129"/>
    </row>
    <row r="13" spans="1:7" x14ac:dyDescent="0.3">
      <c r="A13" s="189">
        <f t="shared" si="0"/>
        <v>43008</v>
      </c>
      <c r="B13" s="230">
        <v>2397428.7999999998</v>
      </c>
      <c r="C13" s="230">
        <v>1394556.35</v>
      </c>
      <c r="D13" s="230">
        <v>1002872.45</v>
      </c>
      <c r="E13" s="230">
        <v>-3394298.52</v>
      </c>
      <c r="G13" s="129"/>
    </row>
    <row r="14" spans="1:7" x14ac:dyDescent="0.3">
      <c r="A14" s="189">
        <f>A15-30</f>
        <v>43039</v>
      </c>
      <c r="B14" s="230">
        <v>2372278.9300000002</v>
      </c>
      <c r="C14" s="230">
        <v>1305027.92</v>
      </c>
      <c r="D14" s="230">
        <v>1067251.01</v>
      </c>
      <c r="E14" s="230">
        <v>-2327047.5099999998</v>
      </c>
      <c r="G14" s="129"/>
    </row>
    <row r="15" spans="1:7" x14ac:dyDescent="0.3">
      <c r="A15" s="189">
        <f>A16-31</f>
        <v>43069</v>
      </c>
      <c r="B15" s="230">
        <v>2178334.37</v>
      </c>
      <c r="C15" s="230">
        <v>1598324.77</v>
      </c>
      <c r="D15" s="230">
        <v>580009.6</v>
      </c>
      <c r="E15" s="230">
        <v>-1747037.91</v>
      </c>
      <c r="G15" s="129"/>
    </row>
    <row r="16" spans="1:7" x14ac:dyDescent="0.3">
      <c r="A16" s="189">
        <f t="shared" si="0"/>
        <v>43100</v>
      </c>
      <c r="B16" s="230">
        <v>1896189.73</v>
      </c>
      <c r="C16" s="230">
        <v>3532538.53</v>
      </c>
      <c r="D16" s="230">
        <v>-1636348.8</v>
      </c>
      <c r="E16" s="230">
        <v>-3383386.71</v>
      </c>
      <c r="G16" s="129"/>
    </row>
    <row r="17" spans="1:7" x14ac:dyDescent="0.3">
      <c r="A17" s="189">
        <f>A18-28</f>
        <v>43131</v>
      </c>
      <c r="B17" s="230">
        <v>4792534.5599999996</v>
      </c>
      <c r="C17" s="230">
        <v>5110112.26</v>
      </c>
      <c r="D17" s="230">
        <v>-317577.7</v>
      </c>
      <c r="E17" s="230">
        <v>-3700964.41</v>
      </c>
      <c r="G17" s="129"/>
    </row>
    <row r="18" spans="1:7" x14ac:dyDescent="0.3">
      <c r="A18" s="189">
        <f t="shared" si="0"/>
        <v>43159</v>
      </c>
      <c r="B18" s="230">
        <v>2642006.79</v>
      </c>
      <c r="C18" s="230">
        <v>2790357.48</v>
      </c>
      <c r="D18" s="230">
        <v>-148350.69</v>
      </c>
      <c r="E18" s="230">
        <v>-3849315.1</v>
      </c>
      <c r="G18" s="129"/>
    </row>
    <row r="19" spans="1:7" x14ac:dyDescent="0.3">
      <c r="A19" s="189">
        <f>A20-30</f>
        <v>43190</v>
      </c>
      <c r="B19" s="230">
        <v>1901913.99</v>
      </c>
      <c r="C19" s="230">
        <v>2216543.8199999998</v>
      </c>
      <c r="D19" s="230">
        <v>-314629.83</v>
      </c>
      <c r="E19" s="230">
        <v>-4163944.93</v>
      </c>
      <c r="G19" s="129"/>
    </row>
    <row r="20" spans="1:7" x14ac:dyDescent="0.3">
      <c r="A20" s="189">
        <f>A21-31</f>
        <v>43220</v>
      </c>
      <c r="B20" s="230">
        <v>1531937.7</v>
      </c>
      <c r="C20" s="230">
        <v>1880551.19</v>
      </c>
      <c r="D20" s="230">
        <v>-348613.49</v>
      </c>
      <c r="E20" s="230">
        <v>-4512558.42</v>
      </c>
      <c r="G20" s="129"/>
    </row>
    <row r="21" spans="1:7" x14ac:dyDescent="0.3">
      <c r="A21" s="189">
        <f>A22-30</f>
        <v>43251</v>
      </c>
      <c r="B21" s="230">
        <v>1572436.17</v>
      </c>
      <c r="C21" s="230">
        <v>1792200.9</v>
      </c>
      <c r="D21" s="230">
        <v>-219764.73</v>
      </c>
      <c r="E21" s="230">
        <v>-4732323.1500000004</v>
      </c>
      <c r="G21" s="129"/>
    </row>
    <row r="22" spans="1:7" x14ac:dyDescent="0.3">
      <c r="A22" s="189">
        <v>43281</v>
      </c>
      <c r="B22" s="230">
        <v>1953976.63</v>
      </c>
      <c r="C22" s="230">
        <v>1745062.65</v>
      </c>
      <c r="D22" s="230">
        <v>208913.98</v>
      </c>
      <c r="E22" s="230">
        <v>-4523409.17</v>
      </c>
      <c r="F22" s="192"/>
      <c r="G22" s="129"/>
    </row>
    <row r="23" spans="1:7" x14ac:dyDescent="0.3">
      <c r="A23" s="162"/>
      <c r="B23" s="163"/>
      <c r="C23" s="163"/>
      <c r="D23" s="163"/>
      <c r="E23" s="163"/>
    </row>
    <row r="24" spans="1:7" x14ac:dyDescent="0.3">
      <c r="B24" s="135"/>
      <c r="C24" s="134" t="s">
        <v>96</v>
      </c>
      <c r="D24" s="130">
        <f>SUM(D10:D23)</f>
        <v>1475314.0399999998</v>
      </c>
    </row>
    <row r="26" spans="1:7" x14ac:dyDescent="0.3">
      <c r="B26" s="133" t="s">
        <v>95</v>
      </c>
      <c r="C26" s="132"/>
      <c r="D26" s="131"/>
      <c r="E26" s="130">
        <f>E22-E10</f>
        <v>1475314.04</v>
      </c>
    </row>
    <row r="27" spans="1:7" x14ac:dyDescent="0.3">
      <c r="A27" s="162"/>
      <c r="B27" s="163"/>
      <c r="C27" s="163"/>
      <c r="D27" s="163"/>
      <c r="E27" s="163"/>
    </row>
    <row r="28" spans="1:7" x14ac:dyDescent="0.3">
      <c r="A28" s="229" t="s">
        <v>97</v>
      </c>
      <c r="B28" s="230"/>
      <c r="C28" s="230"/>
      <c r="D28" s="230"/>
      <c r="E28" s="230">
        <v>-5464339.6600000001</v>
      </c>
      <c r="F28" s="145"/>
    </row>
    <row r="29" spans="1:7" x14ac:dyDescent="0.3">
      <c r="A29" s="231">
        <v>42582</v>
      </c>
      <c r="B29" s="230">
        <v>1838131.61</v>
      </c>
      <c r="C29" s="230">
        <v>1770509.27</v>
      </c>
      <c r="D29" s="230">
        <v>67622.34</v>
      </c>
      <c r="E29" s="230">
        <v>-5396717.3200000003</v>
      </c>
      <c r="F29" s="141"/>
    </row>
    <row r="30" spans="1:7" x14ac:dyDescent="0.3">
      <c r="A30" s="231">
        <v>42613</v>
      </c>
      <c r="B30" s="230">
        <v>1985517.62</v>
      </c>
      <c r="C30" s="230">
        <v>1913714.68</v>
      </c>
      <c r="D30" s="230">
        <v>71802.94</v>
      </c>
      <c r="E30" s="230">
        <v>-5324914.38</v>
      </c>
      <c r="F30" s="141"/>
    </row>
    <row r="31" spans="1:7" x14ac:dyDescent="0.3">
      <c r="A31" s="231">
        <v>42643</v>
      </c>
      <c r="B31" s="230">
        <v>2309376.89</v>
      </c>
      <c r="C31" s="230">
        <v>2667019.33</v>
      </c>
      <c r="D31" s="230">
        <v>-357642.44</v>
      </c>
      <c r="E31" s="230">
        <v>-5682556.8200000003</v>
      </c>
      <c r="F31" s="141"/>
    </row>
    <row r="32" spans="1:7" x14ac:dyDescent="0.3">
      <c r="A32" s="231">
        <v>42674</v>
      </c>
      <c r="B32" s="230">
        <v>1486065.41</v>
      </c>
      <c r="C32" s="230">
        <v>1315317.56</v>
      </c>
      <c r="D32" s="230">
        <v>170747.85</v>
      </c>
      <c r="E32" s="230">
        <v>-5511808.9699999997</v>
      </c>
      <c r="F32" s="141"/>
    </row>
    <row r="33" spans="1:6" x14ac:dyDescent="0.3">
      <c r="A33" s="231">
        <v>42704</v>
      </c>
      <c r="B33" s="230">
        <v>1651751.19</v>
      </c>
      <c r="C33" s="230">
        <v>1612160</v>
      </c>
      <c r="D33" s="230">
        <v>39591.19</v>
      </c>
      <c r="E33" s="230">
        <v>-5472217.7800000003</v>
      </c>
      <c r="F33" s="141"/>
    </row>
    <row r="34" spans="1:6" x14ac:dyDescent="0.3">
      <c r="A34" s="231">
        <v>42735</v>
      </c>
      <c r="B34" s="230">
        <v>1790819.83</v>
      </c>
      <c r="C34" s="230">
        <v>2403723.5699999998</v>
      </c>
      <c r="D34" s="230">
        <v>-612903.74</v>
      </c>
      <c r="E34" s="230">
        <v>-6085121.5199999996</v>
      </c>
      <c r="F34" s="141"/>
    </row>
    <row r="35" spans="1:6" x14ac:dyDescent="0.3">
      <c r="A35" s="231">
        <v>42766</v>
      </c>
      <c r="B35" s="230">
        <v>2966196.2</v>
      </c>
      <c r="C35" s="230">
        <v>2883680.37</v>
      </c>
      <c r="D35" s="230">
        <v>82515.83</v>
      </c>
      <c r="E35" s="230">
        <v>-6002605.6900000004</v>
      </c>
      <c r="F35" s="141"/>
    </row>
    <row r="36" spans="1:6" x14ac:dyDescent="0.3">
      <c r="A36" s="231" t="s">
        <v>165</v>
      </c>
      <c r="B36" s="230">
        <v>2618386.0099999998</v>
      </c>
      <c r="C36" s="230">
        <v>3071687.85</v>
      </c>
      <c r="D36" s="230">
        <v>-453301.84</v>
      </c>
      <c r="E36" s="230">
        <v>-6455907.5300000003</v>
      </c>
      <c r="F36" s="141"/>
    </row>
    <row r="37" spans="1:6" x14ac:dyDescent="0.3">
      <c r="A37" s="231">
        <v>42825</v>
      </c>
      <c r="B37" s="230">
        <v>3002033.19</v>
      </c>
      <c r="C37" s="230">
        <v>3080588.24</v>
      </c>
      <c r="D37" s="230">
        <v>-78555.05</v>
      </c>
      <c r="E37" s="230">
        <v>-6534462.5800000001</v>
      </c>
      <c r="F37" s="141"/>
    </row>
    <row r="38" spans="1:6" x14ac:dyDescent="0.3">
      <c r="A38" s="231">
        <v>42855</v>
      </c>
      <c r="B38" s="230">
        <v>1844355.62</v>
      </c>
      <c r="C38" s="230">
        <v>2365390.69</v>
      </c>
      <c r="D38" s="230">
        <v>-521035.07</v>
      </c>
      <c r="E38" s="230">
        <v>-7055497.6500000004</v>
      </c>
      <c r="F38" s="141"/>
    </row>
    <row r="39" spans="1:6" x14ac:dyDescent="0.3">
      <c r="A39" s="231">
        <v>42886</v>
      </c>
      <c r="B39" s="230">
        <v>1639803.8</v>
      </c>
      <c r="C39" s="230">
        <v>832685.15</v>
      </c>
      <c r="D39" s="230">
        <v>807118.65</v>
      </c>
      <c r="E39" s="230">
        <v>-6248379</v>
      </c>
      <c r="F39" s="141"/>
    </row>
    <row r="40" spans="1:6" x14ac:dyDescent="0.3">
      <c r="A40" s="231">
        <v>42916</v>
      </c>
      <c r="B40" s="230">
        <v>2354239.85</v>
      </c>
      <c r="C40" s="230">
        <v>2104584.06</v>
      </c>
      <c r="D40" s="230">
        <v>249655.79</v>
      </c>
      <c r="E40" s="230">
        <v>-5998723.21</v>
      </c>
      <c r="F40" s="141"/>
    </row>
    <row r="41" spans="1:6" x14ac:dyDescent="0.3">
      <c r="B41" s="136"/>
      <c r="C41" s="136"/>
      <c r="D41" s="136"/>
      <c r="E41" s="136"/>
      <c r="F41" s="141"/>
    </row>
    <row r="42" spans="1:6" x14ac:dyDescent="0.3">
      <c r="B42" s="135"/>
      <c r="C42" s="134" t="s">
        <v>96</v>
      </c>
      <c r="D42" s="130">
        <f>SUM(D29:D41)</f>
        <v>-534383.55000000016</v>
      </c>
      <c r="F42" s="141"/>
    </row>
    <row r="43" spans="1:6" ht="15" x14ac:dyDescent="0.25">
      <c r="F43" s="141"/>
    </row>
    <row r="44" spans="1:6" x14ac:dyDescent="0.3">
      <c r="B44" s="133" t="s">
        <v>95</v>
      </c>
      <c r="C44" s="132"/>
      <c r="D44" s="131"/>
      <c r="E44" s="130">
        <f>E40-E28</f>
        <v>-534383.54999999981</v>
      </c>
      <c r="F44" s="141"/>
    </row>
    <row r="45" spans="1:6" x14ac:dyDescent="0.3">
      <c r="A45" s="162"/>
      <c r="B45" s="163"/>
      <c r="C45" s="163"/>
      <c r="D45" s="163"/>
      <c r="E45" s="163"/>
    </row>
    <row r="46" spans="1:6" x14ac:dyDescent="0.3">
      <c r="A46" s="229" t="s">
        <v>97</v>
      </c>
      <c r="B46" s="230"/>
      <c r="C46" s="230"/>
      <c r="D46" s="230"/>
      <c r="E46" s="230">
        <v>-5007028.4400000004</v>
      </c>
      <c r="F46" s="145"/>
    </row>
    <row r="47" spans="1:6" x14ac:dyDescent="0.3">
      <c r="A47" s="231">
        <v>42216</v>
      </c>
      <c r="B47" s="230">
        <v>1631449.94</v>
      </c>
      <c r="C47" s="230">
        <v>1546541.23</v>
      </c>
      <c r="D47" s="230">
        <v>84908.71</v>
      </c>
      <c r="E47" s="230">
        <v>-4922119.7300000004</v>
      </c>
      <c r="F47" s="145"/>
    </row>
    <row r="48" spans="1:6" x14ac:dyDescent="0.3">
      <c r="A48" s="231">
        <v>42247</v>
      </c>
      <c r="B48" s="230">
        <v>483039.14</v>
      </c>
      <c r="C48" s="230">
        <v>1505765.58</v>
      </c>
      <c r="D48" s="230">
        <v>-1022726.44</v>
      </c>
      <c r="E48" s="230">
        <v>-5944846.1699999999</v>
      </c>
      <c r="F48" s="145"/>
    </row>
    <row r="49" spans="1:6" x14ac:dyDescent="0.3">
      <c r="A49" s="231">
        <v>42277</v>
      </c>
      <c r="B49" s="230">
        <v>417725.38</v>
      </c>
      <c r="C49" s="230">
        <v>1256229.3600000001</v>
      </c>
      <c r="D49" s="230">
        <v>-838503.98</v>
      </c>
      <c r="E49" s="230">
        <v>-6783350.1500000004</v>
      </c>
      <c r="F49" s="145"/>
    </row>
    <row r="50" spans="1:6" x14ac:dyDescent="0.3">
      <c r="A50" s="231">
        <v>42308</v>
      </c>
      <c r="B50" s="230">
        <v>1997427.38</v>
      </c>
      <c r="C50" s="230">
        <v>1640804.05</v>
      </c>
      <c r="D50" s="230">
        <v>356623.33</v>
      </c>
      <c r="E50" s="230">
        <v>-6426726.8200000003</v>
      </c>
      <c r="F50" s="145"/>
    </row>
    <row r="51" spans="1:6" x14ac:dyDescent="0.3">
      <c r="A51" s="231">
        <v>42338</v>
      </c>
      <c r="B51" s="230">
        <v>626906.97</v>
      </c>
      <c r="C51" s="230">
        <v>690690.88</v>
      </c>
      <c r="D51" s="230">
        <v>-63783.91</v>
      </c>
      <c r="E51" s="230">
        <v>-6490510.7300000004</v>
      </c>
      <c r="F51" s="145"/>
    </row>
    <row r="52" spans="1:6" x14ac:dyDescent="0.3">
      <c r="A52" s="231">
        <v>42369</v>
      </c>
      <c r="B52" s="230">
        <v>2061011.56</v>
      </c>
      <c r="C52" s="230">
        <v>1407143.14</v>
      </c>
      <c r="D52" s="230">
        <v>653868.42000000004</v>
      </c>
      <c r="E52" s="230">
        <v>-5836642.3099999996</v>
      </c>
      <c r="F52" s="145"/>
    </row>
    <row r="53" spans="1:6" x14ac:dyDescent="0.3">
      <c r="A53" s="231">
        <v>42400</v>
      </c>
      <c r="B53" s="230">
        <v>2553013.6800000002</v>
      </c>
      <c r="C53" s="230">
        <v>3251351.23</v>
      </c>
      <c r="D53" s="230">
        <v>-698337.55</v>
      </c>
      <c r="E53" s="230">
        <v>-6534979.8600000003</v>
      </c>
      <c r="F53" s="145"/>
    </row>
    <row r="54" spans="1:6" x14ac:dyDescent="0.3">
      <c r="A54" s="231">
        <v>42428</v>
      </c>
      <c r="B54" s="230">
        <v>3128105.57</v>
      </c>
      <c r="C54" s="230">
        <v>2261728.86</v>
      </c>
      <c r="D54" s="230">
        <v>866376.71</v>
      </c>
      <c r="E54" s="230">
        <v>-5668603.1500000004</v>
      </c>
      <c r="F54" s="145"/>
    </row>
    <row r="55" spans="1:6" x14ac:dyDescent="0.3">
      <c r="A55" s="231">
        <v>42460</v>
      </c>
      <c r="B55" s="230">
        <v>2778173.33</v>
      </c>
      <c r="C55" s="230">
        <v>1757147.39</v>
      </c>
      <c r="D55" s="230">
        <v>1021025.94</v>
      </c>
      <c r="E55" s="230">
        <v>-4647577.21</v>
      </c>
      <c r="F55" s="145"/>
    </row>
    <row r="56" spans="1:6" x14ac:dyDescent="0.3">
      <c r="A56" s="231">
        <v>42490</v>
      </c>
      <c r="B56" s="230">
        <v>1123328.6100000001</v>
      </c>
      <c r="C56" s="230">
        <v>1614401.79</v>
      </c>
      <c r="D56" s="230">
        <v>-491073.18</v>
      </c>
      <c r="E56" s="230">
        <v>-5138650.3899999997</v>
      </c>
      <c r="F56" s="145"/>
    </row>
    <row r="57" spans="1:6" x14ac:dyDescent="0.3">
      <c r="A57" s="231">
        <v>42521</v>
      </c>
      <c r="B57" s="230">
        <v>1047154.8</v>
      </c>
      <c r="C57" s="230">
        <v>1595643.65</v>
      </c>
      <c r="D57" s="230">
        <v>-548488.85</v>
      </c>
      <c r="E57" s="230">
        <v>-5687139.2400000002</v>
      </c>
      <c r="F57" s="145"/>
    </row>
    <row r="58" spans="1:6" x14ac:dyDescent="0.3">
      <c r="A58" s="231">
        <v>42551</v>
      </c>
      <c r="B58" s="230">
        <v>2138126.59</v>
      </c>
      <c r="C58" s="230">
        <v>1915327.01</v>
      </c>
      <c r="D58" s="230">
        <v>222799.58</v>
      </c>
      <c r="E58" s="230">
        <v>-5464339.6600000001</v>
      </c>
      <c r="F58" s="145"/>
    </row>
    <row r="59" spans="1:6" x14ac:dyDescent="0.3">
      <c r="B59" s="136"/>
      <c r="C59" s="136"/>
      <c r="D59" s="136"/>
      <c r="E59" s="136"/>
      <c r="F59" s="141"/>
    </row>
    <row r="60" spans="1:6" x14ac:dyDescent="0.3">
      <c r="B60" s="135"/>
      <c r="C60" s="134" t="s">
        <v>96</v>
      </c>
      <c r="D60" s="130">
        <f>SUM(D47:D59)</f>
        <v>-457311.22000000009</v>
      </c>
      <c r="F60" s="141"/>
    </row>
    <row r="61" spans="1:6" x14ac:dyDescent="0.3">
      <c r="F61" s="141"/>
    </row>
    <row r="62" spans="1:6" x14ac:dyDescent="0.3">
      <c r="B62" s="133" t="s">
        <v>95</v>
      </c>
      <c r="C62" s="132"/>
      <c r="D62" s="131"/>
      <c r="E62" s="130">
        <f>E58-E46</f>
        <v>-457311.21999999974</v>
      </c>
      <c r="F62" s="141"/>
    </row>
    <row r="63" spans="1:6" x14ac:dyDescent="0.3">
      <c r="A63" s="138"/>
      <c r="B63" s="137"/>
      <c r="C63" s="137"/>
      <c r="D63" s="137"/>
      <c r="E63" s="137"/>
      <c r="F63" s="141"/>
    </row>
    <row r="64" spans="1:6" x14ac:dyDescent="0.3">
      <c r="A64" s="229" t="s">
        <v>97</v>
      </c>
      <c r="B64" s="230"/>
      <c r="C64" s="230"/>
      <c r="D64" s="230"/>
      <c r="E64" s="230">
        <v>-6010345.9100000001</v>
      </c>
      <c r="F64" s="145"/>
    </row>
    <row r="65" spans="1:6" x14ac:dyDescent="0.3">
      <c r="A65" s="231">
        <v>41851</v>
      </c>
      <c r="B65" s="230">
        <v>2626662.42</v>
      </c>
      <c r="C65" s="230">
        <v>2591140.83</v>
      </c>
      <c r="D65" s="230">
        <v>35521.589999999997</v>
      </c>
      <c r="E65" s="230">
        <v>-5974824.3200000003</v>
      </c>
      <c r="F65" s="145"/>
    </row>
    <row r="66" spans="1:6" x14ac:dyDescent="0.3">
      <c r="A66" s="231">
        <v>41882</v>
      </c>
      <c r="B66" s="230">
        <v>2367650.56</v>
      </c>
      <c r="C66" s="230">
        <v>2026823.9</v>
      </c>
      <c r="D66" s="230">
        <v>340826.66</v>
      </c>
      <c r="E66" s="230">
        <v>-5633997.6600000001</v>
      </c>
      <c r="F66" s="145"/>
    </row>
    <row r="67" spans="1:6" x14ac:dyDescent="0.3">
      <c r="A67" s="231">
        <v>41912</v>
      </c>
      <c r="B67" s="230">
        <v>2170047.42</v>
      </c>
      <c r="C67" s="230">
        <v>1814688.64</v>
      </c>
      <c r="D67" s="230">
        <v>355358.78</v>
      </c>
      <c r="E67" s="230">
        <v>-5278638.88</v>
      </c>
      <c r="F67" s="145"/>
    </row>
    <row r="68" spans="1:6" x14ac:dyDescent="0.3">
      <c r="A68" s="231">
        <v>41943</v>
      </c>
      <c r="B68" s="230">
        <v>2400016.2999999998</v>
      </c>
      <c r="C68" s="230">
        <v>1957195.11</v>
      </c>
      <c r="D68" s="230">
        <v>442821.19</v>
      </c>
      <c r="E68" s="230">
        <v>-4835817.6900000004</v>
      </c>
      <c r="F68" s="145"/>
    </row>
    <row r="69" spans="1:6" x14ac:dyDescent="0.3">
      <c r="A69" s="231">
        <v>41973</v>
      </c>
      <c r="B69" s="230">
        <v>1809532.49</v>
      </c>
      <c r="C69" s="230">
        <v>1511963.17</v>
      </c>
      <c r="D69" s="230">
        <v>297569.32</v>
      </c>
      <c r="E69" s="230">
        <v>-4538248.37</v>
      </c>
      <c r="F69" s="145"/>
    </row>
    <row r="70" spans="1:6" x14ac:dyDescent="0.3">
      <c r="A70" s="231">
        <v>42004</v>
      </c>
      <c r="B70" s="230">
        <v>2158834.88</v>
      </c>
      <c r="C70" s="230">
        <v>1617265.62</v>
      </c>
      <c r="D70" s="230">
        <v>541569.26</v>
      </c>
      <c r="E70" s="230">
        <v>-3996679.11</v>
      </c>
      <c r="F70" s="145"/>
    </row>
    <row r="71" spans="1:6" x14ac:dyDescent="0.3">
      <c r="A71" s="231">
        <v>42035</v>
      </c>
      <c r="B71" s="230">
        <v>1619375.74</v>
      </c>
      <c r="C71" s="230">
        <v>1606070.38</v>
      </c>
      <c r="D71" s="230">
        <v>13305.36</v>
      </c>
      <c r="E71" s="230">
        <v>-3983373.75</v>
      </c>
      <c r="F71" s="145"/>
    </row>
    <row r="72" spans="1:6" x14ac:dyDescent="0.3">
      <c r="A72" s="231">
        <v>42063</v>
      </c>
      <c r="B72" s="230">
        <v>1542264.6</v>
      </c>
      <c r="C72" s="230">
        <v>1547317.38</v>
      </c>
      <c r="D72" s="230">
        <v>-5052.78</v>
      </c>
      <c r="E72" s="230">
        <v>-3988426.53</v>
      </c>
      <c r="F72" s="145"/>
    </row>
    <row r="73" spans="1:6" x14ac:dyDescent="0.3">
      <c r="A73" s="231">
        <v>42094</v>
      </c>
      <c r="B73" s="230">
        <v>1545312.32</v>
      </c>
      <c r="C73" s="230">
        <v>1851063.86</v>
      </c>
      <c r="D73" s="230">
        <v>-305751.53999999998</v>
      </c>
      <c r="E73" s="230">
        <v>-4294178.07</v>
      </c>
      <c r="F73" s="145"/>
    </row>
    <row r="74" spans="1:6" x14ac:dyDescent="0.3">
      <c r="A74" s="231">
        <v>42124</v>
      </c>
      <c r="B74" s="230">
        <v>1264362.8500000001</v>
      </c>
      <c r="C74" s="230">
        <v>1814161.61</v>
      </c>
      <c r="D74" s="230">
        <v>-549798.76</v>
      </c>
      <c r="E74" s="230">
        <v>-4843976.83</v>
      </c>
      <c r="F74" s="145"/>
    </row>
    <row r="75" spans="1:6" x14ac:dyDescent="0.3">
      <c r="A75" s="231">
        <v>42155</v>
      </c>
      <c r="B75" s="230">
        <v>1172471.24</v>
      </c>
      <c r="C75" s="230">
        <v>1414312.96</v>
      </c>
      <c r="D75" s="230">
        <v>-241841.72</v>
      </c>
      <c r="E75" s="230">
        <v>-5085818.55</v>
      </c>
      <c r="F75" s="145"/>
    </row>
    <row r="76" spans="1:6" x14ac:dyDescent="0.3">
      <c r="A76" s="229" t="s">
        <v>166</v>
      </c>
      <c r="B76" s="230">
        <v>1963835.34</v>
      </c>
      <c r="C76" s="230">
        <v>1885045.23</v>
      </c>
      <c r="D76" s="230">
        <v>78790.11</v>
      </c>
      <c r="E76" s="230">
        <v>-5007028.4400000004</v>
      </c>
      <c r="F76" s="145"/>
    </row>
    <row r="77" spans="1:6" x14ac:dyDescent="0.3">
      <c r="B77" s="136"/>
      <c r="C77" s="136"/>
      <c r="D77" s="136"/>
      <c r="E77" s="136"/>
    </row>
    <row r="78" spans="1:6" x14ac:dyDescent="0.3">
      <c r="B78" s="135"/>
      <c r="C78" s="134" t="s">
        <v>96</v>
      </c>
      <c r="D78" s="130">
        <f>SUM(D65:D77)</f>
        <v>1003317.4700000001</v>
      </c>
    </row>
    <row r="80" spans="1:6" x14ac:dyDescent="0.3">
      <c r="B80" s="133" t="s">
        <v>95</v>
      </c>
      <c r="C80" s="132"/>
      <c r="D80" s="131"/>
      <c r="E80" s="130">
        <f>E76-E64</f>
        <v>1003317.4699999997</v>
      </c>
    </row>
    <row r="82" spans="1:10" x14ac:dyDescent="0.3">
      <c r="A82" s="229" t="s">
        <v>97</v>
      </c>
      <c r="B82" s="136"/>
      <c r="C82" s="136"/>
      <c r="D82" s="136"/>
      <c r="E82" s="230">
        <v>-3257898.53</v>
      </c>
      <c r="F82" s="145"/>
      <c r="J82" s="230"/>
    </row>
    <row r="83" spans="1:10" x14ac:dyDescent="0.3">
      <c r="A83" s="231">
        <v>41486</v>
      </c>
      <c r="B83" s="230">
        <v>542929.05000000005</v>
      </c>
      <c r="C83" s="230">
        <v>1415215.72</v>
      </c>
      <c r="D83" s="230">
        <v>-872286.67</v>
      </c>
      <c r="E83" s="230">
        <v>-4130185.2</v>
      </c>
      <c r="F83" s="145"/>
      <c r="G83" s="230"/>
      <c r="H83" s="230"/>
      <c r="I83" s="230"/>
      <c r="J83" s="230"/>
    </row>
    <row r="84" spans="1:10" x14ac:dyDescent="0.3">
      <c r="A84" s="231">
        <v>41517</v>
      </c>
      <c r="B84" s="230">
        <v>3269774.66</v>
      </c>
      <c r="C84" s="230">
        <v>1684068.16</v>
      </c>
      <c r="D84" s="230">
        <v>1585706.5</v>
      </c>
      <c r="E84" s="230">
        <v>-2544478.7000000002</v>
      </c>
      <c r="F84" s="145"/>
      <c r="G84" s="230"/>
      <c r="H84" s="230"/>
      <c r="I84" s="230"/>
      <c r="J84" s="230"/>
    </row>
    <row r="85" spans="1:10" x14ac:dyDescent="0.3">
      <c r="A85" s="231">
        <v>41547</v>
      </c>
      <c r="B85" s="230">
        <v>1031203.03</v>
      </c>
      <c r="C85" s="230">
        <v>1145544.52</v>
      </c>
      <c r="D85" s="230">
        <v>-114341.49</v>
      </c>
      <c r="E85" s="230">
        <v>-2658820.19</v>
      </c>
      <c r="F85" s="145"/>
      <c r="G85" s="230"/>
      <c r="H85" s="230"/>
      <c r="I85" s="230"/>
      <c r="J85" s="230"/>
    </row>
    <row r="86" spans="1:10" x14ac:dyDescent="0.3">
      <c r="A86" s="231">
        <v>41578</v>
      </c>
      <c r="B86" s="230">
        <v>2001219.19</v>
      </c>
      <c r="C86" s="230">
        <v>2085076.27</v>
      </c>
      <c r="D86" s="230">
        <v>-83857.08</v>
      </c>
      <c r="E86" s="230">
        <v>-2742677.27</v>
      </c>
      <c r="F86" s="145"/>
      <c r="G86" s="129"/>
      <c r="H86" s="129"/>
      <c r="I86" s="129"/>
    </row>
    <row r="87" spans="1:10" x14ac:dyDescent="0.3">
      <c r="A87" s="231">
        <v>41608</v>
      </c>
      <c r="B87" s="230">
        <v>1502816.19</v>
      </c>
      <c r="C87" s="230">
        <v>2498414.38</v>
      </c>
      <c r="D87" s="230">
        <v>-995598.19</v>
      </c>
      <c r="E87" s="230">
        <v>-3738275.46</v>
      </c>
      <c r="F87" s="145"/>
      <c r="G87" s="129"/>
      <c r="H87" s="129"/>
      <c r="I87" s="129"/>
    </row>
    <row r="88" spans="1:10" x14ac:dyDescent="0.3">
      <c r="A88" s="231">
        <v>41639</v>
      </c>
      <c r="B88" s="230">
        <v>2220971.6</v>
      </c>
      <c r="C88" s="230">
        <v>2102584.2200000002</v>
      </c>
      <c r="D88" s="230">
        <v>118387.38</v>
      </c>
      <c r="E88" s="230">
        <v>-3619888.08</v>
      </c>
      <c r="F88" s="145"/>
      <c r="G88" s="129"/>
      <c r="H88" s="129"/>
      <c r="I88" s="129"/>
    </row>
    <row r="89" spans="1:10" x14ac:dyDescent="0.3">
      <c r="A89" s="231">
        <v>41670</v>
      </c>
      <c r="B89" s="230">
        <v>2097007.89</v>
      </c>
      <c r="C89" s="230">
        <v>2622011.1800000002</v>
      </c>
      <c r="D89" s="230">
        <v>-525003.29</v>
      </c>
      <c r="E89" s="230">
        <v>-4144891.37</v>
      </c>
      <c r="F89" s="145"/>
      <c r="G89" s="129"/>
      <c r="H89" s="129"/>
      <c r="I89" s="129"/>
    </row>
    <row r="90" spans="1:10" x14ac:dyDescent="0.3">
      <c r="A90" s="231">
        <v>41698</v>
      </c>
      <c r="B90" s="230">
        <v>1901959.05</v>
      </c>
      <c r="C90" s="230">
        <v>1549277.43</v>
      </c>
      <c r="D90" s="230">
        <v>352681.62</v>
      </c>
      <c r="E90" s="230">
        <v>-3792209.75</v>
      </c>
      <c r="F90" s="145"/>
      <c r="G90" s="129"/>
      <c r="H90" s="129"/>
      <c r="I90" s="129"/>
    </row>
    <row r="91" spans="1:10" x14ac:dyDescent="0.3">
      <c r="A91" s="231">
        <v>41729</v>
      </c>
      <c r="B91" s="230">
        <v>2004408.19</v>
      </c>
      <c r="C91" s="230">
        <v>2646116.42</v>
      </c>
      <c r="D91" s="230">
        <v>-641708.23</v>
      </c>
      <c r="E91" s="230">
        <v>-4433917.9800000004</v>
      </c>
      <c r="F91" s="145"/>
      <c r="G91" s="129"/>
      <c r="H91" s="129"/>
      <c r="I91" s="129"/>
    </row>
    <row r="92" spans="1:10" x14ac:dyDescent="0.3">
      <c r="A92" s="231">
        <v>41759</v>
      </c>
      <c r="B92" s="230">
        <v>1229304.1499999999</v>
      </c>
      <c r="C92" s="230">
        <v>2134635.52</v>
      </c>
      <c r="D92" s="230">
        <v>-905331.37</v>
      </c>
      <c r="E92" s="230">
        <v>-5339249.3499999996</v>
      </c>
      <c r="F92" s="145"/>
      <c r="G92" s="129"/>
      <c r="H92" s="129"/>
      <c r="I92" s="129"/>
    </row>
    <row r="93" spans="1:10" x14ac:dyDescent="0.3">
      <c r="A93" s="231">
        <v>41790</v>
      </c>
      <c r="B93" s="230">
        <v>1577373.45</v>
      </c>
      <c r="C93" s="230">
        <v>2014121.96</v>
      </c>
      <c r="D93" s="230">
        <v>-436748.51</v>
      </c>
      <c r="E93" s="230">
        <v>-5775997.8600000003</v>
      </c>
      <c r="F93" s="145"/>
      <c r="G93" s="129"/>
      <c r="H93" s="129"/>
      <c r="I93" s="129"/>
    </row>
    <row r="94" spans="1:10" x14ac:dyDescent="0.3">
      <c r="A94" s="231">
        <v>41820</v>
      </c>
      <c r="B94" s="230">
        <v>2118299.0699999998</v>
      </c>
      <c r="C94" s="230">
        <v>2352647.12</v>
      </c>
      <c r="D94" s="230">
        <v>-234348.05</v>
      </c>
      <c r="E94" s="230">
        <v>-6010345.9100000001</v>
      </c>
      <c r="F94" s="145"/>
      <c r="G94" s="129"/>
      <c r="H94" s="129"/>
      <c r="I94" s="129"/>
    </row>
    <row r="95" spans="1:10" x14ac:dyDescent="0.3">
      <c r="B95" s="136"/>
      <c r="C95" s="136"/>
      <c r="D95" s="136"/>
      <c r="E95" s="136"/>
      <c r="F95" s="129"/>
    </row>
    <row r="96" spans="1:10" x14ac:dyDescent="0.3">
      <c r="B96" s="135"/>
      <c r="C96" s="134" t="s">
        <v>96</v>
      </c>
      <c r="D96" s="130">
        <f>SUM(D83:D95)</f>
        <v>-2752447.38</v>
      </c>
      <c r="F96" s="129"/>
    </row>
    <row r="97" spans="2:9" x14ac:dyDescent="0.3">
      <c r="F97" s="129"/>
    </row>
    <row r="98" spans="2:9" x14ac:dyDescent="0.3">
      <c r="B98" s="133" t="s">
        <v>95</v>
      </c>
      <c r="C98" s="132"/>
      <c r="D98" s="131"/>
      <c r="E98" s="130">
        <f>E94-E82</f>
        <v>-2752447.3800000004</v>
      </c>
    </row>
    <row r="99" spans="2:9" x14ac:dyDescent="0.3">
      <c r="G99" s="129"/>
      <c r="H99" s="129"/>
    </row>
    <row r="100" spans="2:9" x14ac:dyDescent="0.3">
      <c r="G100" s="129"/>
      <c r="H100" s="129"/>
      <c r="I100" s="129"/>
    </row>
    <row r="101" spans="2:9" x14ac:dyDescent="0.3">
      <c r="G101" s="129"/>
      <c r="H101" s="129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ySplit="9" topLeftCell="A10" activePane="bottomLeft" state="frozen"/>
      <selection activeCell="B30" sqref="B30"/>
      <selection pane="bottomLeft"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144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151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2018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2017</v>
      </c>
      <c r="K9" s="78"/>
      <c r="L9" s="150" t="s">
        <v>68</v>
      </c>
      <c r="M9" s="80"/>
      <c r="N9" s="151" t="s">
        <v>67</v>
      </c>
      <c r="O9" s="63"/>
      <c r="P9" s="149">
        <v>2018</v>
      </c>
      <c r="Q9" s="150" t="s">
        <v>69</v>
      </c>
      <c r="R9" s="149">
        <v>2017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1217524183.3399999</v>
      </c>
      <c r="C11" s="89"/>
      <c r="D11" s="89">
        <v>907502000</v>
      </c>
      <c r="E11" s="89"/>
      <c r="F11" s="89">
        <v>261496404</v>
      </c>
      <c r="G11" s="89"/>
      <c r="H11" s="89">
        <v>0.28814967239741618</v>
      </c>
      <c r="I11" s="89"/>
      <c r="J11" s="89">
        <v>1168998404</v>
      </c>
      <c r="K11" s="89"/>
      <c r="L11" s="89">
        <v>65558076.119999997</v>
      </c>
      <c r="M11" s="92"/>
      <c r="N11" s="91">
        <v>5.9412434423123134E-2</v>
      </c>
      <c r="O11" s="93"/>
      <c r="P11" s="70">
        <v>0.11112254417283714</v>
      </c>
      <c r="Q11" s="72" t="s">
        <v>57</v>
      </c>
      <c r="R11" s="72">
        <v>0.10678348158293716</v>
      </c>
    </row>
    <row r="12" spans="1:18" x14ac:dyDescent="0.25">
      <c r="A12" s="88" t="s">
        <v>65</v>
      </c>
      <c r="B12" s="94">
        <v>896082708.53999996</v>
      </c>
      <c r="C12" s="94"/>
      <c r="D12" s="94">
        <v>108800000</v>
      </c>
      <c r="E12" s="94"/>
      <c r="F12" s="94">
        <v>766956346.52999997</v>
      </c>
      <c r="G12" s="94"/>
      <c r="H12" s="94" t="s">
        <v>57</v>
      </c>
      <c r="I12" s="94"/>
      <c r="J12" s="94">
        <v>875756346.52999997</v>
      </c>
      <c r="K12" s="94"/>
      <c r="L12" s="94">
        <v>-184712.06</v>
      </c>
      <c r="M12" s="94"/>
      <c r="N12" s="91">
        <v>-2.108727044914763E-4</v>
      </c>
      <c r="O12" s="93"/>
      <c r="P12" s="71">
        <v>9.7879740938209656E-2</v>
      </c>
      <c r="Q12" s="73">
        <v>1.0320942415876493E-2</v>
      </c>
      <c r="R12" s="73">
        <v>9.6897293789821121E-2</v>
      </c>
    </row>
    <row r="13" spans="1:18" x14ac:dyDescent="0.25">
      <c r="A13" s="88" t="s">
        <v>64</v>
      </c>
      <c r="B13" s="94">
        <v>113823825.15000001</v>
      </c>
      <c r="C13" s="94"/>
      <c r="D13" s="94">
        <v>17777000</v>
      </c>
      <c r="E13" s="94"/>
      <c r="F13" s="94">
        <v>94941634.950000003</v>
      </c>
      <c r="G13" s="94"/>
      <c r="H13" s="94" t="s">
        <v>57</v>
      </c>
      <c r="I13" s="94"/>
      <c r="J13" s="94">
        <v>112718634.95</v>
      </c>
      <c r="K13" s="94"/>
      <c r="L13" s="94">
        <v>-2356492.23</v>
      </c>
      <c r="M13" s="94"/>
      <c r="N13" s="91">
        <v>-2.0477859010435723E-2</v>
      </c>
      <c r="O13" s="93"/>
      <c r="P13" s="71">
        <v>9.3079462626261031E-2</v>
      </c>
      <c r="Q13" s="73">
        <v>1.8819763578374199E-3</v>
      </c>
      <c r="R13" s="73">
        <v>9.0698675127507705E-2</v>
      </c>
    </row>
    <row r="14" spans="1:18" x14ac:dyDescent="0.25">
      <c r="A14" s="88" t="s">
        <v>63</v>
      </c>
      <c r="B14" s="94">
        <v>19391929.129999999</v>
      </c>
      <c r="C14" s="94"/>
      <c r="D14" s="94">
        <v>378000</v>
      </c>
      <c r="E14" s="94"/>
      <c r="F14" s="94">
        <v>18678088.359999999</v>
      </c>
      <c r="G14" s="94"/>
      <c r="H14" s="94" t="s">
        <v>57</v>
      </c>
      <c r="I14" s="94"/>
      <c r="J14" s="94">
        <v>19056088.359999999</v>
      </c>
      <c r="K14" s="94"/>
      <c r="L14" s="94">
        <v>-1829724.85</v>
      </c>
      <c r="M14" s="94"/>
      <c r="N14" s="91">
        <v>-8.7606110023235248E-2</v>
      </c>
      <c r="O14" s="93"/>
      <c r="P14" s="71">
        <v>0.23349935102239852</v>
      </c>
      <c r="Q14" s="73">
        <v>3.1333930170098477E-4</v>
      </c>
      <c r="R14" s="73">
        <v>0.2272787957270353</v>
      </c>
    </row>
    <row r="15" spans="1:18" x14ac:dyDescent="0.25">
      <c r="A15" s="88" t="s">
        <v>62</v>
      </c>
      <c r="B15" s="94">
        <v>346779.57</v>
      </c>
      <c r="C15" s="188"/>
      <c r="D15" s="94">
        <v>2175488000</v>
      </c>
      <c r="E15" s="95"/>
      <c r="F15" s="94">
        <v>-2175152600.9099998</v>
      </c>
      <c r="G15" s="95"/>
      <c r="H15" s="94">
        <v>-0.99984582811304856</v>
      </c>
      <c r="I15" s="95"/>
      <c r="J15" s="94">
        <v>335399.09000000003</v>
      </c>
      <c r="K15" s="94"/>
      <c r="L15" s="94">
        <v>13178.98</v>
      </c>
      <c r="M15" s="95"/>
      <c r="N15" s="91">
        <v>4.0900550868783456E-2</v>
      </c>
      <c r="O15" s="96"/>
      <c r="P15" s="71">
        <v>4.7725935349964929E-2</v>
      </c>
      <c r="Q15" s="73">
        <v>23.838090750704026</v>
      </c>
      <c r="R15" s="73">
        <v>4.7645257205097623E-2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f>SUM(B11:B16)</f>
        <v>2247169425.73</v>
      </c>
      <c r="C17" s="188"/>
      <c r="D17" s="94" t="e">
        <v>#REF!</v>
      </c>
      <c r="E17" s="94"/>
      <c r="F17" s="94" t="e">
        <v>#REF!</v>
      </c>
      <c r="G17" s="94"/>
      <c r="H17" s="95" t="e">
        <v>#REF!</v>
      </c>
      <c r="I17" s="94"/>
      <c r="J17" s="155">
        <f>SUM(J11:J16)</f>
        <v>2176864872.9300003</v>
      </c>
      <c r="K17" s="94"/>
      <c r="L17" s="155">
        <v>61200325.959999993</v>
      </c>
      <c r="M17" s="94"/>
      <c r="N17" s="158">
        <v>2.8927235202598402E-2</v>
      </c>
      <c r="O17" s="93"/>
      <c r="P17" s="156">
        <v>0.10482426047965741</v>
      </c>
      <c r="Q17" s="73" t="e">
        <v>#REF!</v>
      </c>
      <c r="R17" s="156">
        <v>0.10200521207509805</v>
      </c>
    </row>
    <row r="18" spans="1:20" x14ac:dyDescent="0.25">
      <c r="A18" s="88" t="s">
        <v>59</v>
      </c>
      <c r="B18" s="94">
        <v>13296544.34</v>
      </c>
      <c r="C18" s="188"/>
      <c r="D18" s="94">
        <v>21934000</v>
      </c>
      <c r="E18" s="94"/>
      <c r="F18" s="94">
        <v>-10855127.34</v>
      </c>
      <c r="G18" s="94"/>
      <c r="H18" s="95">
        <v>-0.49489957782438221</v>
      </c>
      <c r="I18" s="94"/>
      <c r="J18" s="94">
        <v>11078872.66</v>
      </c>
      <c r="K18" s="94"/>
      <c r="L18" s="94">
        <v>503588.7</v>
      </c>
      <c r="M18" s="94"/>
      <c r="N18" s="99">
        <v>4.761940217442634E-2</v>
      </c>
      <c r="O18" s="96"/>
      <c r="P18" s="73">
        <v>5.3187589934312798E-3</v>
      </c>
      <c r="Q18" s="73">
        <v>1.0301285115140836E-3</v>
      </c>
      <c r="R18" s="73">
        <v>5.1693386148376963E-3</v>
      </c>
    </row>
    <row r="19" spans="1:20" x14ac:dyDescent="0.25">
      <c r="A19" s="88" t="s">
        <v>58</v>
      </c>
      <c r="B19" s="94">
        <v>53588426.789999999</v>
      </c>
      <c r="C19" s="94"/>
      <c r="D19" s="94">
        <v>2202405000</v>
      </c>
      <c r="E19" s="94"/>
      <c r="F19" s="94">
        <v>-2149749969.04</v>
      </c>
      <c r="G19" s="94"/>
      <c r="H19" s="95">
        <v>-0.97609203077544771</v>
      </c>
      <c r="I19" s="94"/>
      <c r="J19" s="94">
        <v>52655030.960000001</v>
      </c>
      <c r="K19" s="94"/>
      <c r="L19" s="94">
        <v>6095296.7599999998</v>
      </c>
      <c r="M19" s="94"/>
      <c r="N19" s="99">
        <v>0.1309134784536635</v>
      </c>
      <c r="O19" s="93"/>
      <c r="P19" s="156">
        <v>1.971331554739186E-2</v>
      </c>
      <c r="Q19" s="156" t="e">
        <v>#REF!</v>
      </c>
      <c r="R19" s="156">
        <v>2.3947782734352458E-2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2314054396.8600001</v>
      </c>
      <c r="C21" s="94"/>
      <c r="D21" s="94" t="e">
        <v>#REF!</v>
      </c>
      <c r="E21" s="94"/>
      <c r="F21" s="94" t="e">
        <v>#REF!</v>
      </c>
      <c r="G21" s="94"/>
      <c r="H21" s="95" t="e">
        <v>#REF!</v>
      </c>
      <c r="I21" s="94"/>
      <c r="J21" s="94">
        <f>SUM(J17:J19)</f>
        <v>2240598776.5500002</v>
      </c>
      <c r="K21" s="94"/>
      <c r="L21" s="94">
        <v>67799211.420000002</v>
      </c>
      <c r="M21" s="94"/>
      <c r="N21" s="99">
        <v>3.120361974848956E-2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193"/>
      <c r="T22" s="193"/>
    </row>
    <row r="23" spans="1:20" x14ac:dyDescent="0.25">
      <c r="A23" s="88" t="s">
        <v>90</v>
      </c>
      <c r="B23" s="94">
        <v>6560636.2699999996</v>
      </c>
      <c r="C23" s="95"/>
      <c r="D23" s="95">
        <v>20098000</v>
      </c>
      <c r="E23" s="95"/>
      <c r="F23" s="95">
        <v>-20243503.960000001</v>
      </c>
      <c r="G23" s="95"/>
      <c r="H23" s="95" t="s">
        <v>57</v>
      </c>
      <c r="I23" s="95"/>
      <c r="J23" s="94">
        <v>-145503.96</v>
      </c>
      <c r="K23" s="95"/>
      <c r="L23" s="94">
        <v>16652622.380000001</v>
      </c>
      <c r="M23" s="95"/>
      <c r="N23" s="99">
        <v>-0.99133808395918999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18388018.75</v>
      </c>
      <c r="C24" s="95"/>
      <c r="D24" s="95">
        <v>-9890000</v>
      </c>
      <c r="E24" s="95"/>
      <c r="F24" s="95">
        <v>28039736.41</v>
      </c>
      <c r="G24" s="95"/>
      <c r="H24" s="95" t="s">
        <v>57</v>
      </c>
      <c r="I24" s="95"/>
      <c r="J24" s="94">
        <v>18149736.41</v>
      </c>
      <c r="K24" s="95"/>
      <c r="L24" s="94">
        <v>-1827865.37</v>
      </c>
      <c r="M24" s="95"/>
      <c r="N24" s="99">
        <v>-9.1495735580729945E-2</v>
      </c>
      <c r="O24" s="96"/>
      <c r="P24" s="106"/>
      <c r="Q24" s="106"/>
      <c r="R24" s="106"/>
      <c r="S24" s="193"/>
      <c r="T24" s="194"/>
    </row>
    <row r="25" spans="1:20" x14ac:dyDescent="0.25">
      <c r="A25" s="88" t="s">
        <v>94</v>
      </c>
      <c r="B25" s="94">
        <v>-1083134.3600000001</v>
      </c>
      <c r="C25" s="95"/>
      <c r="D25" s="95">
        <v>-3918000</v>
      </c>
      <c r="E25" s="95"/>
      <c r="F25" s="95">
        <v>-11806623.49</v>
      </c>
      <c r="G25" s="95"/>
      <c r="H25" s="95" t="s">
        <v>57</v>
      </c>
      <c r="I25" s="95"/>
      <c r="J25" s="94">
        <v>-15724623.49</v>
      </c>
      <c r="K25" s="95"/>
      <c r="L25" s="94">
        <v>-228031.94</v>
      </c>
      <c r="M25" s="95"/>
      <c r="N25" s="99">
        <v>1.4714973887273939E-2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103503880.13</v>
      </c>
      <c r="C26" s="95"/>
      <c r="D26" s="155">
        <v>6290000</v>
      </c>
      <c r="E26" s="95"/>
      <c r="F26" s="155">
        <v>9812502.4700000007</v>
      </c>
      <c r="G26" s="95"/>
      <c r="H26" s="155" t="s">
        <v>57</v>
      </c>
      <c r="I26" s="95"/>
      <c r="J26" s="155">
        <v>16102502.470000001</v>
      </c>
      <c r="K26" s="95"/>
      <c r="L26" s="155">
        <v>9279356.1099999994</v>
      </c>
      <c r="M26" s="95"/>
      <c r="N26" s="158" t="s">
        <v>57</v>
      </c>
      <c r="O26" s="96"/>
      <c r="P26" s="106"/>
      <c r="Q26" s="106"/>
      <c r="R26" s="106"/>
      <c r="S26" s="193"/>
      <c r="T26" s="194"/>
    </row>
    <row r="27" spans="1:20" x14ac:dyDescent="0.25">
      <c r="A27" s="88" t="s">
        <v>85</v>
      </c>
      <c r="B27" s="155">
        <f>SUM(B23:B26)</f>
        <v>127369400.78999999</v>
      </c>
      <c r="C27" s="95"/>
      <c r="D27" s="155">
        <v>12580000</v>
      </c>
      <c r="E27" s="94"/>
      <c r="F27" s="155">
        <v>5802111.4299999997</v>
      </c>
      <c r="G27" s="94"/>
      <c r="H27" s="155">
        <v>0.46121712480127186</v>
      </c>
      <c r="I27" s="94"/>
      <c r="J27" s="155">
        <f>SUM(J23:J26)</f>
        <v>18382111.43</v>
      </c>
      <c r="K27" s="94"/>
      <c r="L27" s="155">
        <v>23876081.18</v>
      </c>
      <c r="M27" s="94"/>
      <c r="N27" s="158" t="s">
        <v>57</v>
      </c>
      <c r="O27" s="93"/>
      <c r="P27" s="104"/>
      <c r="Q27" s="104"/>
      <c r="R27" s="104"/>
      <c r="S27" s="193"/>
      <c r="T27" s="193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B27+B21</f>
        <v>2441423797.6500001</v>
      </c>
      <c r="C29" s="95"/>
      <c r="D29" s="123" t="e">
        <v>#REF!</v>
      </c>
      <c r="E29" s="89"/>
      <c r="F29" s="123" t="e">
        <v>#REF!</v>
      </c>
      <c r="G29" s="89"/>
      <c r="H29" s="123" t="e">
        <v>#REF!</v>
      </c>
      <c r="I29" s="89"/>
      <c r="J29" s="123">
        <f>J27+J21</f>
        <v>2258980887.98</v>
      </c>
      <c r="K29" s="89"/>
      <c r="L29" s="123">
        <v>91675292.599999994</v>
      </c>
      <c r="M29" s="94"/>
      <c r="N29" s="108">
        <v>4.229919988921834E-2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94">
        <v>87964898.480000004</v>
      </c>
      <c r="C32" s="89"/>
      <c r="D32" s="89">
        <v>-99172953</v>
      </c>
      <c r="E32" s="89"/>
      <c r="F32" s="89"/>
      <c r="G32" s="89"/>
      <c r="H32" s="89"/>
      <c r="I32" s="89"/>
      <c r="J32" s="94">
        <v>84628382.540000007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-79941071.370000005</v>
      </c>
      <c r="C33" s="94"/>
      <c r="D33" s="94">
        <v>101799450</v>
      </c>
      <c r="E33" s="94"/>
      <c r="F33" s="94"/>
      <c r="G33" s="94"/>
      <c r="H33" s="94"/>
      <c r="I33" s="94"/>
      <c r="J33" s="94">
        <v>-74320414.989999995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112563211.42</v>
      </c>
      <c r="C34" s="112"/>
      <c r="D34" s="94">
        <v>-55583834</v>
      </c>
      <c r="E34" s="112"/>
      <c r="F34" s="94"/>
      <c r="G34" s="112"/>
      <c r="H34" s="112"/>
      <c r="I34" s="112"/>
      <c r="J34" s="94">
        <v>98244366.890000001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-50913299.18</v>
      </c>
      <c r="C35" s="94"/>
      <c r="D35" s="94">
        <v>15813084</v>
      </c>
      <c r="E35" s="94"/>
      <c r="F35" s="94"/>
      <c r="G35" s="94"/>
      <c r="H35" s="94"/>
      <c r="I35" s="94"/>
      <c r="J35" s="94">
        <v>-55367260.32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18042996.649999999</v>
      </c>
      <c r="C36" s="94"/>
      <c r="D36" s="94">
        <v>-6161116</v>
      </c>
      <c r="E36" s="94"/>
      <c r="F36" s="94"/>
      <c r="G36" s="94"/>
      <c r="H36" s="94"/>
      <c r="I36" s="94"/>
      <c r="J36" s="94">
        <v>17265514.039999999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-6291121.3200000003</v>
      </c>
      <c r="C37" s="94"/>
      <c r="D37" s="94">
        <v>0</v>
      </c>
      <c r="E37" s="94"/>
      <c r="F37" s="94"/>
      <c r="G37" s="94"/>
      <c r="H37" s="94"/>
      <c r="I37" s="94"/>
      <c r="J37" s="94">
        <v>-6429347.2800000003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462.28</v>
      </c>
      <c r="C38" s="94"/>
      <c r="D38" s="94"/>
      <c r="E38" s="94"/>
      <c r="F38" s="94"/>
      <c r="G38" s="94"/>
      <c r="H38" s="94"/>
      <c r="I38" s="94"/>
      <c r="J38" s="94">
        <v>-7591.58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-129277.66</v>
      </c>
      <c r="C39" s="94"/>
      <c r="D39" s="94" t="e">
        <v>#REF!</v>
      </c>
      <c r="E39" s="94"/>
      <c r="F39" s="94"/>
      <c r="G39" s="94"/>
      <c r="H39" s="94"/>
      <c r="I39" s="94"/>
      <c r="J39" s="94">
        <v>-1246743.83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64539430.57</v>
      </c>
      <c r="C40" s="94"/>
      <c r="D40" s="94" t="e">
        <v>#REF!</v>
      </c>
      <c r="E40" s="94"/>
      <c r="F40" s="94"/>
      <c r="G40" s="94"/>
      <c r="H40" s="94"/>
      <c r="I40" s="94"/>
      <c r="J40" s="94">
        <v>62124157.710000001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18346888.760000002</v>
      </c>
      <c r="C41" s="94"/>
      <c r="D41" s="94" t="e">
        <v>#REF!</v>
      </c>
      <c r="E41" s="94"/>
      <c r="F41" s="94"/>
      <c r="G41" s="94"/>
      <c r="H41" s="94"/>
      <c r="I41" s="94"/>
      <c r="J41" s="94">
        <v>23830615.91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60849514.829999998</v>
      </c>
      <c r="C42" s="94"/>
      <c r="D42" s="94" t="e">
        <v>#REF!</v>
      </c>
      <c r="E42" s="94"/>
      <c r="F42" s="94"/>
      <c r="G42" s="94"/>
      <c r="H42" s="94"/>
      <c r="I42" s="94"/>
      <c r="J42" s="94">
        <v>71860508.579999998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10725516070</v>
      </c>
      <c r="C48" s="178"/>
      <c r="D48" s="178">
        <v>0</v>
      </c>
      <c r="E48" s="178"/>
      <c r="F48" s="178">
        <v>10519903163.68</v>
      </c>
      <c r="G48" s="178"/>
      <c r="H48" s="179" t="s">
        <v>57</v>
      </c>
      <c r="I48" s="178"/>
      <c r="J48" s="178">
        <v>10519903164</v>
      </c>
      <c r="K48" s="178"/>
      <c r="L48" s="178">
        <v>186466647.81799999</v>
      </c>
      <c r="M48" s="98"/>
      <c r="N48" s="99">
        <v>1.8044979279813692E-2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9069903510</v>
      </c>
      <c r="C49" s="178"/>
      <c r="D49" s="178">
        <v>10541673000</v>
      </c>
      <c r="E49" s="178"/>
      <c r="F49" s="178">
        <v>-1594404258.4239998</v>
      </c>
      <c r="G49" s="178"/>
      <c r="H49" s="179">
        <v>-0.15124774392299967</v>
      </c>
      <c r="I49" s="178"/>
      <c r="J49" s="178">
        <v>8947268742</v>
      </c>
      <c r="K49" s="178"/>
      <c r="L49" s="178">
        <v>-92623130.842999995</v>
      </c>
      <c r="M49" s="98"/>
      <c r="N49" s="99">
        <v>-1.0246044106522571E-2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1224066153</v>
      </c>
      <c r="C50" s="178"/>
      <c r="D50" s="178">
        <v>9445921000</v>
      </c>
      <c r="E50" s="178"/>
      <c r="F50" s="178">
        <v>-8234927384.7639999</v>
      </c>
      <c r="G50" s="178"/>
      <c r="H50" s="179">
        <v>-0.87179719000021283</v>
      </c>
      <c r="I50" s="178"/>
      <c r="J50" s="178">
        <v>1210993615</v>
      </c>
      <c r="K50" s="178"/>
      <c r="L50" s="178">
        <v>-57769429.188000001</v>
      </c>
      <c r="M50" s="98"/>
      <c r="N50" s="99">
        <v>-4.5532086895095907E-2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78616751</v>
      </c>
      <c r="C51" s="178"/>
      <c r="D51" s="178">
        <v>1206360000</v>
      </c>
      <c r="E51" s="178"/>
      <c r="F51" s="178">
        <v>-1124749116.3870001</v>
      </c>
      <c r="G51" s="178"/>
      <c r="H51" s="179">
        <v>-0.93234947808863033</v>
      </c>
      <c r="I51" s="178"/>
      <c r="J51" s="178">
        <v>81610884</v>
      </c>
      <c r="K51" s="178"/>
      <c r="L51" s="178">
        <v>-10284240.801000001</v>
      </c>
      <c r="M51" s="98"/>
      <c r="N51" s="99">
        <v>-0.11191280132195154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82">
        <v>7315994</v>
      </c>
      <c r="C52" s="179"/>
      <c r="D52" s="178">
        <v>91261000</v>
      </c>
      <c r="E52" s="179"/>
      <c r="F52" s="178">
        <v>-84233393.572999999</v>
      </c>
      <c r="G52" s="179"/>
      <c r="H52" s="179">
        <v>-0.92299441791126546</v>
      </c>
      <c r="I52" s="179"/>
      <c r="J52" s="178">
        <v>7027606</v>
      </c>
      <c r="K52" s="179"/>
      <c r="L52" s="178">
        <v>264706.42599999998</v>
      </c>
      <c r="M52" s="118"/>
      <c r="N52" s="99">
        <v>3.914096407766772E-2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f>SUM(B48:B53)</f>
        <v>21105418478</v>
      </c>
      <c r="C54" s="178"/>
      <c r="D54" s="178" t="e">
        <v>#REF!</v>
      </c>
      <c r="E54" s="178"/>
      <c r="F54" s="178" t="e">
        <v>#REF!</v>
      </c>
      <c r="G54" s="178"/>
      <c r="H54" s="179" t="e">
        <v>#REF!</v>
      </c>
      <c r="I54" s="178"/>
      <c r="J54" s="182">
        <f>SUM(J48:J53)</f>
        <v>20766804011</v>
      </c>
      <c r="K54" s="178"/>
      <c r="L54" s="182">
        <v>26054553.411999993</v>
      </c>
      <c r="M54" s="98"/>
      <c r="N54" s="158">
        <v>1.2562011544407256E-3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2026813328</v>
      </c>
      <c r="C55" s="178"/>
      <c r="D55" s="178">
        <v>21292489000</v>
      </c>
      <c r="E55" s="179"/>
      <c r="F55" s="178">
        <v>-19209508238.194</v>
      </c>
      <c r="G55" s="179"/>
      <c r="H55" s="179">
        <v>-0.90217297931650919</v>
      </c>
      <c r="I55" s="179"/>
      <c r="J55" s="178">
        <v>2082980762</v>
      </c>
      <c r="K55" s="179"/>
      <c r="L55" s="178">
        <v>37209581.398999929</v>
      </c>
      <c r="M55" s="118"/>
      <c r="N55" s="99">
        <v>1.8188535333456598E-2</v>
      </c>
      <c r="O55" s="116"/>
      <c r="P55" s="84"/>
      <c r="Q55" s="87"/>
      <c r="R55" s="87"/>
    </row>
    <row r="56" spans="1:18" x14ac:dyDescent="0.25">
      <c r="A56" s="88" t="s">
        <v>58</v>
      </c>
      <c r="B56" s="182">
        <v>2453157941</v>
      </c>
      <c r="C56" s="179"/>
      <c r="D56" s="178" t="e">
        <v>#REF!</v>
      </c>
      <c r="E56" s="179"/>
      <c r="F56" s="178" t="e">
        <v>#REF!</v>
      </c>
      <c r="G56" s="179"/>
      <c r="H56" s="179" t="e">
        <v>#REF!</v>
      </c>
      <c r="I56" s="179"/>
      <c r="J56" s="182">
        <v>2671038813</v>
      </c>
      <c r="K56" s="179"/>
      <c r="L56" s="178">
        <v>726819813</v>
      </c>
      <c r="M56" s="118"/>
      <c r="N56" s="99">
        <v>0.37383639034491484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f>SUM(B54:B56)</f>
        <v>25585389747</v>
      </c>
      <c r="C58" s="178"/>
      <c r="D58" s="184" t="e">
        <v>#REF!</v>
      </c>
      <c r="E58" s="178"/>
      <c r="F58" s="184" t="e">
        <v>#REF!</v>
      </c>
      <c r="G58" s="178"/>
      <c r="H58" s="184" t="e">
        <v>#REF!</v>
      </c>
      <c r="I58" s="178"/>
      <c r="J58" s="184">
        <f>SUM(J54:J56)</f>
        <v>25520823586</v>
      </c>
      <c r="K58" s="178"/>
      <c r="L58" s="184">
        <v>790083947.81099987</v>
      </c>
      <c r="M58" s="98"/>
      <c r="N58" s="108">
        <v>3.194744513876601E-2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5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pane ySplit="9" topLeftCell="A10" activePane="bottomLeft" state="frozen"/>
      <selection activeCell="E20" sqref="E20"/>
      <selection pane="bottomLeft"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157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134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2017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2016</v>
      </c>
      <c r="K9" s="78"/>
      <c r="L9" s="150" t="s">
        <v>68</v>
      </c>
      <c r="M9" s="80"/>
      <c r="N9" s="151" t="s">
        <v>67</v>
      </c>
      <c r="O9" s="63"/>
      <c r="P9" s="149">
        <v>2017</v>
      </c>
      <c r="Q9" s="150" t="s">
        <v>69</v>
      </c>
      <c r="R9" s="149">
        <v>2016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1168998404</v>
      </c>
      <c r="C11" s="89"/>
      <c r="D11" s="89">
        <v>907502000</v>
      </c>
      <c r="E11" s="89"/>
      <c r="F11" s="89">
        <v>261496404</v>
      </c>
      <c r="G11" s="89"/>
      <c r="H11" s="89">
        <v>0.28814967239741618</v>
      </c>
      <c r="I11" s="89"/>
      <c r="J11" s="89">
        <v>1103440327.8800001</v>
      </c>
      <c r="K11" s="89"/>
      <c r="L11" s="89">
        <v>65558076.119999997</v>
      </c>
      <c r="M11" s="92"/>
      <c r="N11" s="91">
        <v>5.9412434423123134E-2</v>
      </c>
      <c r="O11" s="93"/>
      <c r="P11" s="70">
        <v>0.11112254417283714</v>
      </c>
      <c r="Q11" s="72" t="s">
        <v>57</v>
      </c>
      <c r="R11" s="72">
        <v>0.10678348158293716</v>
      </c>
    </row>
    <row r="12" spans="1:18" x14ac:dyDescent="0.25">
      <c r="A12" s="88" t="s">
        <v>65</v>
      </c>
      <c r="B12" s="94">
        <v>875756346.52999997</v>
      </c>
      <c r="C12" s="94"/>
      <c r="D12" s="94">
        <v>108800000</v>
      </c>
      <c r="E12" s="94"/>
      <c r="F12" s="94">
        <v>766956346.52999997</v>
      </c>
      <c r="G12" s="94"/>
      <c r="H12" s="94" t="s">
        <v>57</v>
      </c>
      <c r="I12" s="94"/>
      <c r="J12" s="94">
        <v>875941058.59000003</v>
      </c>
      <c r="K12" s="94"/>
      <c r="L12" s="94">
        <v>-184712.06</v>
      </c>
      <c r="M12" s="94"/>
      <c r="N12" s="91">
        <v>-2.108727044914763E-4</v>
      </c>
      <c r="O12" s="93"/>
      <c r="P12" s="71">
        <v>9.7879740938209656E-2</v>
      </c>
      <c r="Q12" s="73">
        <v>1.0320942415876493E-2</v>
      </c>
      <c r="R12" s="73">
        <v>9.6897293789821121E-2</v>
      </c>
    </row>
    <row r="13" spans="1:18" x14ac:dyDescent="0.25">
      <c r="A13" s="88" t="s">
        <v>64</v>
      </c>
      <c r="B13" s="94">
        <v>112718634.95</v>
      </c>
      <c r="C13" s="94"/>
      <c r="D13" s="94">
        <v>17777000</v>
      </c>
      <c r="E13" s="94"/>
      <c r="F13" s="94">
        <v>94941634.950000003</v>
      </c>
      <c r="G13" s="94"/>
      <c r="H13" s="94" t="s">
        <v>57</v>
      </c>
      <c r="I13" s="94"/>
      <c r="J13" s="94">
        <v>115075127.18000001</v>
      </c>
      <c r="K13" s="94"/>
      <c r="L13" s="94">
        <v>-2356492.23</v>
      </c>
      <c r="M13" s="94"/>
      <c r="N13" s="91">
        <v>-2.0477859010435723E-2</v>
      </c>
      <c r="O13" s="93"/>
      <c r="P13" s="71">
        <v>9.3079462626261031E-2</v>
      </c>
      <c r="Q13" s="73">
        <v>1.8819763578374199E-3</v>
      </c>
      <c r="R13" s="73">
        <v>9.0698675127507705E-2</v>
      </c>
    </row>
    <row r="14" spans="1:18" x14ac:dyDescent="0.25">
      <c r="A14" s="88" t="s">
        <v>63</v>
      </c>
      <c r="B14" s="94">
        <v>19056088.359999999</v>
      </c>
      <c r="C14" s="94"/>
      <c r="D14" s="94">
        <v>378000</v>
      </c>
      <c r="E14" s="94"/>
      <c r="F14" s="94">
        <v>18678088.359999999</v>
      </c>
      <c r="G14" s="94"/>
      <c r="H14" s="94" t="s">
        <v>57</v>
      </c>
      <c r="I14" s="94"/>
      <c r="J14" s="94">
        <v>20885813.210000001</v>
      </c>
      <c r="K14" s="94"/>
      <c r="L14" s="94">
        <v>-1829724.85</v>
      </c>
      <c r="M14" s="94"/>
      <c r="N14" s="91">
        <v>-8.7606110023235248E-2</v>
      </c>
      <c r="O14" s="93"/>
      <c r="P14" s="71">
        <v>0.23349935102239852</v>
      </c>
      <c r="Q14" s="73">
        <v>3.1333930170098477E-4</v>
      </c>
      <c r="R14" s="73">
        <v>0.2272787957270353</v>
      </c>
    </row>
    <row r="15" spans="1:18" x14ac:dyDescent="0.25">
      <c r="A15" s="88" t="s">
        <v>62</v>
      </c>
      <c r="B15" s="94">
        <v>335399.09000000003</v>
      </c>
      <c r="C15" s="188" t="s">
        <v>152</v>
      </c>
      <c r="D15" s="94">
        <v>2175488000</v>
      </c>
      <c r="E15" s="95"/>
      <c r="F15" s="94">
        <v>-2175152600.9099998</v>
      </c>
      <c r="G15" s="95"/>
      <c r="H15" s="94">
        <v>-0.99984582811304856</v>
      </c>
      <c r="I15" s="95"/>
      <c r="J15" s="94">
        <v>322220.11</v>
      </c>
      <c r="K15" s="94"/>
      <c r="L15" s="94">
        <v>13178.98</v>
      </c>
      <c r="M15" s="95"/>
      <c r="N15" s="91">
        <v>4.0900550868783456E-2</v>
      </c>
      <c r="O15" s="96"/>
      <c r="P15" s="71">
        <v>4.7725935349964929E-2</v>
      </c>
      <c r="Q15" s="73">
        <v>23.838090750704026</v>
      </c>
      <c r="R15" s="73">
        <v>4.7645257205097623E-2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v>2176864872.9300003</v>
      </c>
      <c r="C17" s="188" t="s">
        <v>154</v>
      </c>
      <c r="D17" s="94" t="e">
        <v>#REF!</v>
      </c>
      <c r="E17" s="94"/>
      <c r="F17" s="94" t="e">
        <v>#REF!</v>
      </c>
      <c r="G17" s="94"/>
      <c r="H17" s="95" t="e">
        <v>#REF!</v>
      </c>
      <c r="I17" s="94"/>
      <c r="J17" s="155">
        <v>2115664546.9700003</v>
      </c>
      <c r="K17" s="94"/>
      <c r="L17" s="155">
        <v>61200325.959999993</v>
      </c>
      <c r="M17" s="94"/>
      <c r="N17" s="158">
        <v>2.8927235202598402E-2</v>
      </c>
      <c r="O17" s="93"/>
      <c r="P17" s="156">
        <v>0.10482426047965741</v>
      </c>
      <c r="Q17" s="73" t="e">
        <v>#REF!</v>
      </c>
      <c r="R17" s="156">
        <v>0.10200521207509805</v>
      </c>
    </row>
    <row r="18" spans="1:20" x14ac:dyDescent="0.25">
      <c r="A18" s="88" t="s">
        <v>59</v>
      </c>
      <c r="B18" s="94">
        <v>11078872.66</v>
      </c>
      <c r="C18" s="188" t="s">
        <v>155</v>
      </c>
      <c r="D18" s="94">
        <v>21934000</v>
      </c>
      <c r="E18" s="94"/>
      <c r="F18" s="94">
        <v>-10855127.34</v>
      </c>
      <c r="G18" s="94"/>
      <c r="H18" s="95">
        <v>-0.49489957782438221</v>
      </c>
      <c r="I18" s="94"/>
      <c r="J18" s="94">
        <v>10575283.960000001</v>
      </c>
      <c r="K18" s="94"/>
      <c r="L18" s="94">
        <v>503588.7</v>
      </c>
      <c r="M18" s="94"/>
      <c r="N18" s="99">
        <v>4.761940217442634E-2</v>
      </c>
      <c r="O18" s="96"/>
      <c r="P18" s="73">
        <v>5.3187589934312798E-3</v>
      </c>
      <c r="Q18" s="73">
        <v>1.0301285115140836E-3</v>
      </c>
      <c r="R18" s="73">
        <v>5.1693386148376963E-3</v>
      </c>
    </row>
    <row r="19" spans="1:20" x14ac:dyDescent="0.25">
      <c r="A19" s="88" t="s">
        <v>58</v>
      </c>
      <c r="B19" s="94">
        <v>52655030.960000001</v>
      </c>
      <c r="C19" s="94"/>
      <c r="D19" s="94">
        <v>2202405000</v>
      </c>
      <c r="E19" s="94"/>
      <c r="F19" s="94">
        <v>-2149749969.04</v>
      </c>
      <c r="G19" s="94"/>
      <c r="H19" s="95">
        <v>-0.97609203077544771</v>
      </c>
      <c r="I19" s="94"/>
      <c r="J19" s="94">
        <v>46559734.200000003</v>
      </c>
      <c r="K19" s="94"/>
      <c r="L19" s="94">
        <v>6095296.7599999998</v>
      </c>
      <c r="M19" s="94"/>
      <c r="N19" s="99">
        <v>0.1309134784536635</v>
      </c>
      <c r="O19" s="93"/>
      <c r="P19" s="156">
        <v>1.971331554739186E-2</v>
      </c>
      <c r="Q19" s="156" t="e">
        <v>#REF!</v>
      </c>
      <c r="R19" s="156">
        <v>2.3947782734352458E-2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v>2240598776.5500002</v>
      </c>
      <c r="C21" s="94"/>
      <c r="D21" s="94" t="e">
        <v>#REF!</v>
      </c>
      <c r="E21" s="94"/>
      <c r="F21" s="94" t="e">
        <v>#REF!</v>
      </c>
      <c r="G21" s="94"/>
      <c r="H21" s="95" t="e">
        <v>#REF!</v>
      </c>
      <c r="I21" s="94"/>
      <c r="J21" s="94">
        <v>2172799565.1300001</v>
      </c>
      <c r="K21" s="94"/>
      <c r="L21" s="94">
        <v>67799211.420000002</v>
      </c>
      <c r="M21" s="94"/>
      <c r="N21" s="99">
        <v>3.120361974848956E-2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221"/>
      <c r="T22" s="193"/>
    </row>
    <row r="23" spans="1:20" x14ac:dyDescent="0.25">
      <c r="A23" s="88" t="s">
        <v>90</v>
      </c>
      <c r="B23" s="94">
        <v>-145503.96</v>
      </c>
      <c r="C23" s="95"/>
      <c r="D23" s="95">
        <v>20098000</v>
      </c>
      <c r="E23" s="95"/>
      <c r="F23" s="95">
        <v>-20243503.960000001</v>
      </c>
      <c r="G23" s="95"/>
      <c r="H23" s="95" t="s">
        <v>57</v>
      </c>
      <c r="I23" s="95"/>
      <c r="J23" s="94">
        <v>-16798126.34</v>
      </c>
      <c r="K23" s="95"/>
      <c r="L23" s="94">
        <v>16652622.380000001</v>
      </c>
      <c r="M23" s="95"/>
      <c r="N23" s="99">
        <v>-0.99133808395918999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18149736.41</v>
      </c>
      <c r="C24" s="95"/>
      <c r="D24" s="95">
        <v>-9890000</v>
      </c>
      <c r="E24" s="95"/>
      <c r="F24" s="95">
        <v>28039736.41</v>
      </c>
      <c r="G24" s="95"/>
      <c r="H24" s="95" t="s">
        <v>57</v>
      </c>
      <c r="I24" s="95"/>
      <c r="J24" s="94">
        <v>19977601.780000001</v>
      </c>
      <c r="K24" s="95"/>
      <c r="L24" s="94">
        <v>-1827865.37</v>
      </c>
      <c r="M24" s="95"/>
      <c r="N24" s="99">
        <v>-9.1495735580729945E-2</v>
      </c>
      <c r="O24" s="96"/>
      <c r="P24" s="106"/>
      <c r="Q24" s="106"/>
      <c r="R24" s="106"/>
      <c r="S24" s="221"/>
      <c r="T24" s="194"/>
    </row>
    <row r="25" spans="1:20" x14ac:dyDescent="0.25">
      <c r="A25" s="88" t="s">
        <v>94</v>
      </c>
      <c r="B25" s="94">
        <v>-15724623.49</v>
      </c>
      <c r="C25" s="95"/>
      <c r="D25" s="95">
        <v>-3918000</v>
      </c>
      <c r="E25" s="95"/>
      <c r="F25" s="95">
        <v>-11806623.49</v>
      </c>
      <c r="G25" s="95"/>
      <c r="H25" s="95" t="s">
        <v>57</v>
      </c>
      <c r="I25" s="95"/>
      <c r="J25" s="94">
        <v>-15496591.550000001</v>
      </c>
      <c r="K25" s="95"/>
      <c r="L25" s="94">
        <v>-228031.94</v>
      </c>
      <c r="M25" s="95"/>
      <c r="N25" s="99">
        <v>1.4714973887273939E-2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16102502.470000001</v>
      </c>
      <c r="C26" s="95"/>
      <c r="D26" s="155">
        <v>6290000</v>
      </c>
      <c r="E26" s="95"/>
      <c r="F26" s="155">
        <v>9812502.4700000007</v>
      </c>
      <c r="G26" s="95"/>
      <c r="H26" s="155" t="s">
        <v>57</v>
      </c>
      <c r="I26" s="95"/>
      <c r="J26" s="155">
        <v>6823146.3600000003</v>
      </c>
      <c r="K26" s="95"/>
      <c r="L26" s="155">
        <v>9279356.1099999994</v>
      </c>
      <c r="M26" s="95"/>
      <c r="N26" s="158" t="s">
        <v>57</v>
      </c>
      <c r="O26" s="96"/>
      <c r="P26" s="106"/>
      <c r="Q26" s="106"/>
      <c r="R26" s="106"/>
      <c r="T26" s="187"/>
    </row>
    <row r="27" spans="1:20" x14ac:dyDescent="0.25">
      <c r="A27" s="88" t="s">
        <v>85</v>
      </c>
      <c r="B27" s="155">
        <v>18382111.43</v>
      </c>
      <c r="C27" s="94"/>
      <c r="D27" s="155">
        <v>12580000</v>
      </c>
      <c r="E27" s="94"/>
      <c r="F27" s="155">
        <v>5802111.4299999997</v>
      </c>
      <c r="G27" s="94"/>
      <c r="H27" s="155">
        <v>0.46121712480127186</v>
      </c>
      <c r="I27" s="94"/>
      <c r="J27" s="155">
        <v>-5493969.7499999991</v>
      </c>
      <c r="K27" s="94"/>
      <c r="L27" s="155">
        <v>23876081.18</v>
      </c>
      <c r="M27" s="94"/>
      <c r="N27" s="158" t="s">
        <v>57</v>
      </c>
      <c r="O27" s="93"/>
      <c r="P27" s="104"/>
      <c r="Q27" s="104"/>
      <c r="R27" s="104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v>2258980887.98</v>
      </c>
      <c r="C29" s="89"/>
      <c r="D29" s="123" t="e">
        <v>#REF!</v>
      </c>
      <c r="E29" s="89"/>
      <c r="F29" s="123" t="e">
        <v>#REF!</v>
      </c>
      <c r="G29" s="89"/>
      <c r="H29" s="123" t="e">
        <v>#REF!</v>
      </c>
      <c r="I29" s="89"/>
      <c r="J29" s="123">
        <v>2167305595.3800001</v>
      </c>
      <c r="K29" s="89"/>
      <c r="L29" s="123">
        <v>91675292.599999994</v>
      </c>
      <c r="M29" s="94"/>
      <c r="N29" s="108">
        <v>4.229919988921834E-2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84628382.540000007</v>
      </c>
      <c r="C32" s="89"/>
      <c r="D32" s="89">
        <v>-99172953</v>
      </c>
      <c r="E32" s="89"/>
      <c r="F32" s="89"/>
      <c r="G32" s="89"/>
      <c r="H32" s="89"/>
      <c r="I32" s="89"/>
      <c r="J32" s="89">
        <v>83531301.530000001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-74320414.989999995</v>
      </c>
      <c r="C33" s="94"/>
      <c r="D33" s="94">
        <v>101799450</v>
      </c>
      <c r="E33" s="94"/>
      <c r="F33" s="94"/>
      <c r="G33" s="94"/>
      <c r="H33" s="94"/>
      <c r="I33" s="94"/>
      <c r="J33" s="94">
        <v>-102042298.84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98244366.890000001</v>
      </c>
      <c r="C34" s="112"/>
      <c r="D34" s="94">
        <v>-55583834</v>
      </c>
      <c r="E34" s="112"/>
      <c r="F34" s="94"/>
      <c r="G34" s="112"/>
      <c r="H34" s="112"/>
      <c r="I34" s="112"/>
      <c r="J34" s="94">
        <v>107023080.59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-55367260.32</v>
      </c>
      <c r="C35" s="94"/>
      <c r="D35" s="94">
        <v>15813084</v>
      </c>
      <c r="E35" s="94"/>
      <c r="F35" s="94"/>
      <c r="G35" s="94"/>
      <c r="H35" s="94"/>
      <c r="I35" s="94"/>
      <c r="J35" s="94">
        <v>-53933590.460000001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17265514.039999999</v>
      </c>
      <c r="C36" s="94"/>
      <c r="D36" s="94">
        <v>-6161116</v>
      </c>
      <c r="E36" s="94"/>
      <c r="F36" s="94"/>
      <c r="G36" s="94"/>
      <c r="H36" s="94"/>
      <c r="I36" s="94"/>
      <c r="J36" s="94">
        <v>16690336.279999999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-6429347.2800000003</v>
      </c>
      <c r="C37" s="94"/>
      <c r="D37" s="94">
        <v>0</v>
      </c>
      <c r="E37" s="94"/>
      <c r="F37" s="94"/>
      <c r="G37" s="94"/>
      <c r="H37" s="94"/>
      <c r="I37" s="94"/>
      <c r="J37" s="94">
        <v>-6252333.7800000003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-7591.58</v>
      </c>
      <c r="C38" s="94"/>
      <c r="D38" s="94"/>
      <c r="E38" s="94"/>
      <c r="F38" s="94"/>
      <c r="G38" s="94"/>
      <c r="H38" s="94"/>
      <c r="I38" s="94"/>
      <c r="J38" s="94">
        <v>-7036201.54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-1246743.83</v>
      </c>
      <c r="C39" s="94"/>
      <c r="D39" s="94" t="e">
        <v>#REF!</v>
      </c>
      <c r="E39" s="94"/>
      <c r="F39" s="94"/>
      <c r="G39" s="94"/>
      <c r="H39" s="94"/>
      <c r="I39" s="94"/>
      <c r="J39" s="94">
        <v>-3164424.12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62124157.710000001</v>
      </c>
      <c r="C40" s="94"/>
      <c r="D40" s="94" t="e">
        <v>#REF!</v>
      </c>
      <c r="E40" s="94"/>
      <c r="F40" s="94"/>
      <c r="G40" s="94"/>
      <c r="H40" s="94"/>
      <c r="I40" s="94"/>
      <c r="J40" s="94">
        <v>55581726.678000003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23830615.91</v>
      </c>
      <c r="C41" s="94"/>
      <c r="D41" s="94" t="e">
        <v>#REF!</v>
      </c>
      <c r="E41" s="94"/>
      <c r="F41" s="94"/>
      <c r="G41" s="94"/>
      <c r="H41" s="94"/>
      <c r="I41" s="94"/>
      <c r="J41" s="94">
        <v>16459134.800000001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71860508.579999998</v>
      </c>
      <c r="C42" s="94"/>
      <c r="D42" s="94" t="e">
        <v>#REF!</v>
      </c>
      <c r="E42" s="94"/>
      <c r="F42" s="94"/>
      <c r="G42" s="94"/>
      <c r="H42" s="94"/>
      <c r="I42" s="94"/>
      <c r="J42" s="94">
        <v>6204140.3300000001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10519903163.68</v>
      </c>
      <c r="C48" s="178"/>
      <c r="D48" s="178">
        <v>0</v>
      </c>
      <c r="E48" s="178"/>
      <c r="F48" s="178">
        <v>10519903163.68</v>
      </c>
      <c r="G48" s="178"/>
      <c r="H48" s="179" t="s">
        <v>57</v>
      </c>
      <c r="I48" s="178"/>
      <c r="J48" s="178">
        <v>10333436515.862</v>
      </c>
      <c r="K48" s="178"/>
      <c r="L48" s="178">
        <v>186466647.81799999</v>
      </c>
      <c r="M48" s="98"/>
      <c r="N48" s="99">
        <v>1.8044979279813692E-2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8947268741.5760002</v>
      </c>
      <c r="C49" s="178"/>
      <c r="D49" s="178">
        <v>10541673000</v>
      </c>
      <c r="E49" s="178"/>
      <c r="F49" s="178">
        <v>-1594404258.4239998</v>
      </c>
      <c r="G49" s="178"/>
      <c r="H49" s="179">
        <v>-0.15124774392299967</v>
      </c>
      <c r="I49" s="178"/>
      <c r="J49" s="178">
        <v>9039891872.4190006</v>
      </c>
      <c r="K49" s="178"/>
      <c r="L49" s="178">
        <v>-92623130.842999995</v>
      </c>
      <c r="M49" s="98"/>
      <c r="N49" s="99">
        <v>-1.0246044106522571E-2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1210993615.2360001</v>
      </c>
      <c r="C50" s="178"/>
      <c r="D50" s="178">
        <v>9445921000</v>
      </c>
      <c r="E50" s="178"/>
      <c r="F50" s="178">
        <v>-8234927384.7639999</v>
      </c>
      <c r="G50" s="178"/>
      <c r="H50" s="179">
        <v>-0.87179719000021283</v>
      </c>
      <c r="I50" s="178"/>
      <c r="J50" s="178">
        <v>1268763044.424</v>
      </c>
      <c r="K50" s="178"/>
      <c r="L50" s="178">
        <v>-57769429.188000001</v>
      </c>
      <c r="M50" s="98"/>
      <c r="N50" s="99">
        <v>-4.5532086895095907E-2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81610883.613000005</v>
      </c>
      <c r="C51" s="178"/>
      <c r="D51" s="178">
        <v>1206360000</v>
      </c>
      <c r="E51" s="178"/>
      <c r="F51" s="178">
        <v>-1124749116.3870001</v>
      </c>
      <c r="G51" s="178"/>
      <c r="H51" s="179">
        <v>-0.93234947808863033</v>
      </c>
      <c r="I51" s="178"/>
      <c r="J51" s="178">
        <v>91895124.414000005</v>
      </c>
      <c r="K51" s="178"/>
      <c r="L51" s="178">
        <v>-10284240.801000001</v>
      </c>
      <c r="M51" s="98"/>
      <c r="N51" s="99">
        <v>-0.11191280132195154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78">
        <v>7027606.4270000001</v>
      </c>
      <c r="C52" s="179"/>
      <c r="D52" s="178">
        <v>91261000</v>
      </c>
      <c r="E52" s="179"/>
      <c r="F52" s="178">
        <v>-84233393.572999999</v>
      </c>
      <c r="G52" s="179"/>
      <c r="H52" s="179">
        <v>-0.92299441791126546</v>
      </c>
      <c r="I52" s="179"/>
      <c r="J52" s="178">
        <v>6762900.0010000002</v>
      </c>
      <c r="K52" s="179"/>
      <c r="L52" s="178">
        <v>264706.42599999998</v>
      </c>
      <c r="M52" s="118"/>
      <c r="N52" s="99">
        <v>3.914096407766772E-2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v>20766804010.531998</v>
      </c>
      <c r="C54" s="178"/>
      <c r="D54" s="178" t="e">
        <v>#REF!</v>
      </c>
      <c r="E54" s="178"/>
      <c r="F54" s="178" t="e">
        <v>#REF!</v>
      </c>
      <c r="G54" s="178"/>
      <c r="H54" s="179" t="e">
        <v>#REF!</v>
      </c>
      <c r="I54" s="178"/>
      <c r="J54" s="182">
        <v>20740749457.119999</v>
      </c>
      <c r="K54" s="178"/>
      <c r="L54" s="182">
        <v>26054553.411999993</v>
      </c>
      <c r="M54" s="98"/>
      <c r="N54" s="158">
        <v>1.2562011544407256E-3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2082980761.806</v>
      </c>
      <c r="C55" s="178"/>
      <c r="D55" s="178">
        <v>21292489000</v>
      </c>
      <c r="E55" s="179"/>
      <c r="F55" s="178">
        <v>-19209508238.194</v>
      </c>
      <c r="G55" s="179"/>
      <c r="H55" s="179">
        <v>-0.90217297931650919</v>
      </c>
      <c r="I55" s="179"/>
      <c r="J55" s="178">
        <v>2045771180.4070001</v>
      </c>
      <c r="K55" s="179"/>
      <c r="L55" s="178">
        <v>37209581.398999929</v>
      </c>
      <c r="M55" s="118"/>
      <c r="N55" s="99">
        <v>1.8188535333456598E-2</v>
      </c>
      <c r="O55" s="116"/>
      <c r="P55" s="84"/>
      <c r="Q55" s="87"/>
      <c r="R55" s="87"/>
    </row>
    <row r="56" spans="1:18" x14ac:dyDescent="0.25">
      <c r="A56" s="88" t="s">
        <v>58</v>
      </c>
      <c r="B56" s="178">
        <v>2671038813</v>
      </c>
      <c r="C56" s="179"/>
      <c r="D56" s="178" t="e">
        <v>#REF!</v>
      </c>
      <c r="E56" s="179"/>
      <c r="F56" s="178" t="e">
        <v>#REF!</v>
      </c>
      <c r="G56" s="179"/>
      <c r="H56" s="179" t="e">
        <v>#REF!</v>
      </c>
      <c r="I56" s="179"/>
      <c r="J56" s="178">
        <v>1944219000</v>
      </c>
      <c r="K56" s="179"/>
      <c r="L56" s="178">
        <v>726819813</v>
      </c>
      <c r="M56" s="118"/>
      <c r="N56" s="99">
        <v>0.37383639034491484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v>25520823585.337997</v>
      </c>
      <c r="C58" s="178"/>
      <c r="D58" s="184" t="e">
        <v>#REF!</v>
      </c>
      <c r="E58" s="178"/>
      <c r="F58" s="184" t="e">
        <v>#REF!</v>
      </c>
      <c r="G58" s="178"/>
      <c r="H58" s="184" t="e">
        <v>#REF!</v>
      </c>
      <c r="I58" s="178"/>
      <c r="J58" s="184">
        <v>24730739637.527</v>
      </c>
      <c r="K58" s="178"/>
      <c r="L58" s="184">
        <v>790083947.81099987</v>
      </c>
      <c r="M58" s="98"/>
      <c r="N58" s="108">
        <v>3.194744513876601E-2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Normal="100" workbookViewId="0">
      <selection activeCell="B15" sqref="B15"/>
    </sheetView>
  </sheetViews>
  <sheetFormatPr defaultColWidth="9.109375" defaultRowHeight="13.2" x14ac:dyDescent="0.25"/>
  <cols>
    <col min="1" max="1" width="41.88671875" style="161" customWidth="1"/>
    <col min="2" max="2" width="18.109375" style="161" bestFit="1" customWidth="1"/>
    <col min="3" max="3" width="3.5546875" style="161" customWidth="1"/>
    <col min="4" max="4" width="17.109375" style="161" hidden="1" customWidth="1"/>
    <col min="5" max="5" width="0.6640625" style="161" hidden="1" customWidth="1"/>
    <col min="6" max="6" width="16.109375" style="161" hidden="1" customWidth="1"/>
    <col min="7" max="7" width="0.6640625" style="161" hidden="1" customWidth="1"/>
    <col min="8" max="8" width="7.6640625" style="161" hidden="1" customWidth="1"/>
    <col min="9" max="9" width="0.6640625" style="161" hidden="1" customWidth="1"/>
    <col min="10" max="10" width="18.109375" style="161" bestFit="1" customWidth="1"/>
    <col min="11" max="11" width="0.6640625" style="161" customWidth="1"/>
    <col min="12" max="12" width="16.33203125" style="161" bestFit="1" customWidth="1"/>
    <col min="13" max="13" width="0.6640625" style="161" customWidth="1"/>
    <col min="14" max="14" width="7.6640625" style="161" bestFit="1" customWidth="1"/>
    <col min="15" max="15" width="0.6640625" style="161" customWidth="1"/>
    <col min="16" max="16" width="7.6640625" style="161" customWidth="1"/>
    <col min="17" max="17" width="9.109375" style="161" hidden="1" customWidth="1"/>
    <col min="18" max="18" width="7.88671875" style="161" customWidth="1"/>
    <col min="19" max="19" width="5.33203125" style="161" customWidth="1"/>
    <col min="20" max="20" width="16.6640625" style="161" customWidth="1"/>
    <col min="21" max="16384" width="9.109375" style="161"/>
  </cols>
  <sheetData>
    <row r="1" spans="1:18" ht="13.95" x14ac:dyDescent="0.25">
      <c r="A1" s="74" t="s">
        <v>30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95" x14ac:dyDescent="0.25">
      <c r="A2" s="74" t="s">
        <v>82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 ht="13.95" x14ac:dyDescent="0.25">
      <c r="A3" s="74" t="s">
        <v>156</v>
      </c>
      <c r="B3" s="74"/>
      <c r="C3" s="74"/>
      <c r="D3" s="74"/>
      <c r="E3" s="74"/>
      <c r="F3" s="74"/>
      <c r="G3" s="164"/>
      <c r="H3" s="74"/>
      <c r="I3" s="74"/>
      <c r="J3" s="74"/>
      <c r="K3" s="74"/>
      <c r="L3" s="74"/>
      <c r="M3" s="74"/>
      <c r="N3" s="74"/>
      <c r="O3" s="74"/>
      <c r="P3" s="165"/>
      <c r="Q3" s="74"/>
      <c r="R3" s="74"/>
    </row>
    <row r="4" spans="1:18" x14ac:dyDescent="0.25">
      <c r="A4" s="166" t="s">
        <v>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x14ac:dyDescent="0.25">
      <c r="A5" s="76" t="s">
        <v>56</v>
      </c>
      <c r="B5" s="77"/>
      <c r="C5" s="77"/>
      <c r="D5" s="77"/>
      <c r="E5" s="77"/>
      <c r="F5" s="78"/>
      <c r="G5" s="78"/>
      <c r="H5" s="78"/>
      <c r="I5" s="78"/>
      <c r="J5" s="78"/>
      <c r="K5" s="77"/>
      <c r="L5" s="77"/>
      <c r="M5" s="77"/>
      <c r="N5" s="77"/>
      <c r="O5" s="77"/>
      <c r="P5" s="77"/>
      <c r="Q5" s="77"/>
      <c r="R5" s="7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127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2016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2015</v>
      </c>
      <c r="K9" s="78"/>
      <c r="L9" s="150" t="s">
        <v>68</v>
      </c>
      <c r="M9" s="80"/>
      <c r="N9" s="151" t="s">
        <v>67</v>
      </c>
      <c r="O9" s="63"/>
      <c r="P9" s="149">
        <v>2016</v>
      </c>
      <c r="Q9" s="150" t="s">
        <v>69</v>
      </c>
      <c r="R9" s="149">
        <v>2015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1103440327.8800001</v>
      </c>
      <c r="C11" s="89"/>
      <c r="D11" s="89">
        <v>907502000</v>
      </c>
      <c r="E11" s="89"/>
      <c r="F11" s="89">
        <f>B11-D11</f>
        <v>195938327.88000011</v>
      </c>
      <c r="G11" s="89"/>
      <c r="H11" s="89">
        <f>IF(D11=0,"n/a",IF(AND(F11/D11&lt;1,F11/D11&gt;-1),F11/D11,"n/a"))</f>
        <v>0.21590952733988478</v>
      </c>
      <c r="I11" s="89"/>
      <c r="J11" s="89">
        <v>965710654.35000002</v>
      </c>
      <c r="K11" s="89"/>
      <c r="L11" s="89">
        <f>B11-J11</f>
        <v>137729673.53000009</v>
      </c>
      <c r="M11" s="92"/>
      <c r="N11" s="91">
        <f>IF(J11=0,"n/a",IF(AND(L11/J11&lt;1,L11/J11&gt;-1),L11/J11,"n/a"))</f>
        <v>0.14262002071697458</v>
      </c>
      <c r="O11" s="93"/>
      <c r="P11" s="70">
        <f>IF(B48=0,"n/a",B11/B48)</f>
        <v>0.10678348158293716</v>
      </c>
      <c r="Q11" s="72" t="str">
        <f>IF(D48=0,"n/a",D11/D48)</f>
        <v>n/a</v>
      </c>
      <c r="R11" s="72">
        <f>IF(J48=0,"n/a",J11/J48)</f>
        <v>9.592692989676245E-2</v>
      </c>
    </row>
    <row r="12" spans="1:18" x14ac:dyDescent="0.25">
      <c r="A12" s="88" t="s">
        <v>65</v>
      </c>
      <c r="B12" s="94">
        <v>875941058.59000003</v>
      </c>
      <c r="C12" s="94"/>
      <c r="D12" s="94">
        <v>108800000</v>
      </c>
      <c r="E12" s="94"/>
      <c r="F12" s="94">
        <f>B12-D12</f>
        <v>767141058.59000003</v>
      </c>
      <c r="G12" s="94"/>
      <c r="H12" s="94" t="str">
        <f>IF(D12=0,"n/a",IF(AND(F12/D12&lt;1,F12/D12&gt;-1),F12/D12,"n/a"))</f>
        <v>n/a</v>
      </c>
      <c r="I12" s="94"/>
      <c r="J12" s="94">
        <v>826841615.52999997</v>
      </c>
      <c r="K12" s="94"/>
      <c r="L12" s="94">
        <f>B12-J12</f>
        <v>49099443.060000062</v>
      </c>
      <c r="M12" s="94"/>
      <c r="N12" s="91">
        <f>IF(J12=0,"n/a",IF(AND(L12/J12&lt;1,L12/J12&gt;-1),L12/J12,"n/a"))</f>
        <v>5.9381920476423586E-2</v>
      </c>
      <c r="O12" s="93"/>
      <c r="P12" s="71">
        <f>IF(B49=0,"n/a",B12/B49)</f>
        <v>9.6897293789821121E-2</v>
      </c>
      <c r="Q12" s="73">
        <f>IF(D49=0,"n/a",D12/D49)</f>
        <v>1.0320942415876493E-2</v>
      </c>
      <c r="R12" s="73">
        <f>IF(J49=0,"n/a",J12/J49)</f>
        <v>9.2971024707117891E-2</v>
      </c>
    </row>
    <row r="13" spans="1:18" x14ac:dyDescent="0.25">
      <c r="A13" s="88" t="s">
        <v>64</v>
      </c>
      <c r="B13" s="94">
        <v>115075127.18000001</v>
      </c>
      <c r="C13" s="94"/>
      <c r="D13" s="94">
        <v>17777000</v>
      </c>
      <c r="E13" s="94"/>
      <c r="F13" s="94">
        <f>B13-D13</f>
        <v>97298127.180000007</v>
      </c>
      <c r="G13" s="94"/>
      <c r="H13" s="94" t="str">
        <f>IF(D13=0,"n/a",IF(AND(F13/D13&lt;1,F13/D13&gt;-1),F13/D13,"n/a"))</f>
        <v>n/a</v>
      </c>
      <c r="I13" s="94"/>
      <c r="J13" s="94">
        <v>110127085.34</v>
      </c>
      <c r="K13" s="94"/>
      <c r="L13" s="94">
        <f>B13-J13</f>
        <v>4948041.8400000036</v>
      </c>
      <c r="M13" s="94"/>
      <c r="N13" s="91">
        <f>IF(J13=0,"n/a",IF(AND(L13/J13&lt;1,L13/J13&gt;-1),L13/J13,"n/a"))</f>
        <v>4.4930289626059793E-2</v>
      </c>
      <c r="O13" s="93"/>
      <c r="P13" s="71">
        <f>IF(B50=0,"n/a",B13/B50)</f>
        <v>9.0698675127507705E-2</v>
      </c>
      <c r="Q13" s="73">
        <f>IF(D50=0,"n/a",D13/D50)</f>
        <v>1.8819763578374199E-3</v>
      </c>
      <c r="R13" s="73">
        <f>IF(J50=0,"n/a",J13/J50)</f>
        <v>8.8351613010441976E-2</v>
      </c>
    </row>
    <row r="14" spans="1:18" x14ac:dyDescent="0.25">
      <c r="A14" s="88" t="s">
        <v>63</v>
      </c>
      <c r="B14" s="94">
        <v>20885813.210000001</v>
      </c>
      <c r="C14" s="94"/>
      <c r="D14" s="94">
        <v>378000</v>
      </c>
      <c r="E14" s="94"/>
      <c r="F14" s="94">
        <f>B14-D14</f>
        <v>20507813.210000001</v>
      </c>
      <c r="G14" s="94"/>
      <c r="H14" s="94" t="str">
        <f>IF(D14=0,"n/a",IF(AND(F14/D14&lt;1,F14/D14&gt;-1),F14/D14,"n/a"))</f>
        <v>n/a</v>
      </c>
      <c r="I14" s="94"/>
      <c r="J14" s="94">
        <v>18825234.550000001</v>
      </c>
      <c r="K14" s="94"/>
      <c r="L14" s="94">
        <f>B14-J14</f>
        <v>2060578.6600000001</v>
      </c>
      <c r="M14" s="94"/>
      <c r="N14" s="91">
        <f>IF(J14=0,"n/a",IF(AND(L14/J14&lt;1,L14/J14&gt;-1),L14/J14,"n/a"))</f>
        <v>0.10945832597873263</v>
      </c>
      <c r="O14" s="93"/>
      <c r="P14" s="71">
        <f>IF(B51=0,"n/a",B14/B51)</f>
        <v>0.2272787957270353</v>
      </c>
      <c r="Q14" s="73">
        <f>IF(D51=0,"n/a",D14/D51)</f>
        <v>3.1333930170098477E-4</v>
      </c>
      <c r="R14" s="73">
        <f>IF(J51=0,"n/a",J14/J51)</f>
        <v>0.21464308660106457</v>
      </c>
    </row>
    <row r="15" spans="1:18" x14ac:dyDescent="0.25">
      <c r="A15" s="88" t="s">
        <v>62</v>
      </c>
      <c r="B15" s="94">
        <v>322220.11</v>
      </c>
      <c r="C15" s="188" t="s">
        <v>152</v>
      </c>
      <c r="D15" s="94">
        <v>2175488000</v>
      </c>
      <c r="E15" s="95"/>
      <c r="F15" s="94">
        <f>B15-D15</f>
        <v>-2175165779.8899999</v>
      </c>
      <c r="G15" s="95"/>
      <c r="H15" s="94">
        <f>IF(D15=0,"n/a",IF(AND(F15/D15&lt;1,F15/D15&gt;-1),F15/D15,"n/a"))</f>
        <v>-0.99985188605499087</v>
      </c>
      <c r="I15" s="95"/>
      <c r="J15" s="94">
        <v>329687.28000000003</v>
      </c>
      <c r="K15" s="94"/>
      <c r="L15" s="94">
        <f>B15-J15</f>
        <v>-7467.1700000000419</v>
      </c>
      <c r="M15" s="95"/>
      <c r="N15" s="91">
        <f>IF(J15=0,"n/a",IF(AND(L15/J15&lt;1,L15/J15&gt;-1),L15/J15,"n/a"))</f>
        <v>-2.264925113277055E-2</v>
      </c>
      <c r="O15" s="96"/>
      <c r="P15" s="71">
        <f>IF(B52=0,"n/a",B15/B52)</f>
        <v>4.7645257205097623E-2</v>
      </c>
      <c r="Q15" s="73">
        <f>IF(D52=0,"n/a",D15/D52)</f>
        <v>23.838090750704026</v>
      </c>
      <c r="R15" s="73">
        <f>IF(J52=0,"n/a",J15/J52)</f>
        <v>4.8499685188563228E-2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2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155">
        <f>SUM(B11:B16)</f>
        <v>2115664546.9700003</v>
      </c>
      <c r="C17" s="188" t="s">
        <v>154</v>
      </c>
      <c r="D17" s="94" t="e">
        <f>SUM(#REF!)</f>
        <v>#REF!</v>
      </c>
      <c r="E17" s="94"/>
      <c r="F17" s="94" t="e">
        <f>SUM(#REF!)</f>
        <v>#REF!</v>
      </c>
      <c r="G17" s="94"/>
      <c r="H17" s="95" t="e">
        <f>IF(D17=0,"n/a",IF(AND(F17/D17&lt;1,F17/D17&gt;-1),F17/D17,"n/a"))</f>
        <v>#REF!</v>
      </c>
      <c r="I17" s="94"/>
      <c r="J17" s="155">
        <f>SUM(J11:J16)</f>
        <v>1921834277.05</v>
      </c>
      <c r="K17" s="94"/>
      <c r="L17" s="155">
        <f>SUM(L11:L16)</f>
        <v>193830269.92000017</v>
      </c>
      <c r="M17" s="94"/>
      <c r="N17" s="158">
        <f>IF(J17=0,"n/a",IF(AND(L17/J17&lt;1,L17/J17&gt;-1),L17/J17,"n/a"))</f>
        <v>0.10085691166749719</v>
      </c>
      <c r="O17" s="93"/>
      <c r="P17" s="156">
        <f>IF(B54=0,"n/a",B17/B54)</f>
        <v>0.10200521207509805</v>
      </c>
      <c r="Q17" s="73" t="e">
        <f>IF(D54=0,"n/a",D17/D54)</f>
        <v>#REF!</v>
      </c>
      <c r="R17" s="156">
        <f>IF(J54=0,"n/a",J17/J54)</f>
        <v>9.4663917685678722E-2</v>
      </c>
    </row>
    <row r="18" spans="1:20" x14ac:dyDescent="0.25">
      <c r="A18" s="88" t="s">
        <v>59</v>
      </c>
      <c r="B18" s="94">
        <v>10575283.960000001</v>
      </c>
      <c r="C18" s="188" t="s">
        <v>155</v>
      </c>
      <c r="D18" s="94">
        <v>21934000</v>
      </c>
      <c r="E18" s="94"/>
      <c r="F18" s="94">
        <f>B18-D18</f>
        <v>-11358716.039999999</v>
      </c>
      <c r="G18" s="94"/>
      <c r="H18" s="95">
        <f>IF(D18=0,"n/a",IF(AND(F18/D18&lt;1,F18/D18&gt;-1),F18/D18,"n/a"))</f>
        <v>-0.51785885109875074</v>
      </c>
      <c r="I18" s="94"/>
      <c r="J18" s="94">
        <v>9477343.1300000008</v>
      </c>
      <c r="K18" s="94"/>
      <c r="L18" s="94">
        <f>B18-J18</f>
        <v>1097940.83</v>
      </c>
      <c r="M18" s="94"/>
      <c r="N18" s="99">
        <f>IF(J18=0,"n/a",IF(AND(L18/J18&lt;1,L18/J18&gt;-1),L18/J18,"n/a"))</f>
        <v>0.11584901115635769</v>
      </c>
      <c r="O18" s="96"/>
      <c r="P18" s="73">
        <f>IF(B55=0,"n/a",B18/B55)</f>
        <v>5.1693386148376963E-3</v>
      </c>
      <c r="Q18" s="73">
        <f>IF(D55=0,"n/a",D18/D55)</f>
        <v>1.0301285115140836E-3</v>
      </c>
      <c r="R18" s="73">
        <f>IF(J55=0,"n/a",J18/J55)</f>
        <v>4.565966755843128E-3</v>
      </c>
    </row>
    <row r="19" spans="1:20" x14ac:dyDescent="0.25">
      <c r="A19" s="88" t="s">
        <v>58</v>
      </c>
      <c r="B19" s="94">
        <v>46559734.200000003</v>
      </c>
      <c r="C19" s="94"/>
      <c r="D19" s="94">
        <v>2202405000</v>
      </c>
      <c r="E19" s="94"/>
      <c r="F19" s="94">
        <f>B19-D19</f>
        <v>-2155845265.8000002</v>
      </c>
      <c r="G19" s="94"/>
      <c r="H19" s="95">
        <f>IF(D19=0,"n/a",IF(AND(F19/D19&lt;1,F19/D19&gt;-1),F19/D19,"n/a"))</f>
        <v>-0.97885959476118156</v>
      </c>
      <c r="I19" s="94"/>
      <c r="J19" s="94">
        <v>33512906.949999999</v>
      </c>
      <c r="K19" s="94"/>
      <c r="L19" s="94">
        <f>B19-J19</f>
        <v>13046827.250000004</v>
      </c>
      <c r="M19" s="94"/>
      <c r="N19" s="99">
        <f>IF(J19=0,"n/a",IF(AND(L19/J19&lt;1,L19/J19&gt;-1),L19/J19,"n/a"))</f>
        <v>0.38930753662955531</v>
      </c>
      <c r="O19" s="93"/>
      <c r="P19" s="156">
        <f>IF(B56=0,"n/a",B19/B56)</f>
        <v>2.3947782734352458E-2</v>
      </c>
      <c r="Q19" s="156" t="e">
        <f>IF(D56=0,"n/a",D19/D56)</f>
        <v>#REF!</v>
      </c>
      <c r="R19" s="156">
        <f>IF(J56=0,"n/a",J19/J56)</f>
        <v>2.4881252218033223E-2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2172799565.1300001</v>
      </c>
      <c r="C21" s="94"/>
      <c r="D21" s="94" t="e">
        <f>SUM(D17:D19)</f>
        <v>#REF!</v>
      </c>
      <c r="E21" s="94"/>
      <c r="F21" s="94" t="e">
        <f>SUM(F17:F19)</f>
        <v>#REF!</v>
      </c>
      <c r="G21" s="94"/>
      <c r="H21" s="95" t="e">
        <f>IF(D21=0,"n/a",IF(AND(F21/D21&lt;1,F21/D21&gt;-1),F21/D21,"n/a"))</f>
        <v>#REF!</v>
      </c>
      <c r="I21" s="94"/>
      <c r="J21" s="94">
        <f>SUM(J17:J19)</f>
        <v>1964824527.1300001</v>
      </c>
      <c r="K21" s="94"/>
      <c r="L21" s="94">
        <f>SUM(L17:L19)</f>
        <v>207975038.00000018</v>
      </c>
      <c r="M21" s="94"/>
      <c r="N21" s="99">
        <f>IF(J21=0,"n/a",IF(AND(L21/J21&lt;1,L21/J21&gt;-1),L21/J21,"n/a"))</f>
        <v>0.10584916623765242</v>
      </c>
      <c r="O21" s="93"/>
      <c r="P21" s="92"/>
      <c r="Q21" s="104"/>
      <c r="R21" s="104"/>
      <c r="S21" s="95"/>
      <c r="T21" s="9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95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  <c r="S22" s="221"/>
      <c r="T22" s="193"/>
    </row>
    <row r="23" spans="1:20" x14ac:dyDescent="0.25">
      <c r="A23" s="88" t="s">
        <v>90</v>
      </c>
      <c r="B23" s="94">
        <v>-16798126.34</v>
      </c>
      <c r="C23" s="95"/>
      <c r="D23" s="95">
        <v>20098000</v>
      </c>
      <c r="E23" s="95"/>
      <c r="F23" s="95">
        <f>B23-D23</f>
        <v>-36896126.340000004</v>
      </c>
      <c r="G23" s="95"/>
      <c r="H23" s="95" t="str">
        <f>IF(D23=0,"n/a",IF(AND(F23/D23&lt;1,F23/D23&gt;-1),F23/D23,"n/a"))</f>
        <v>n/a</v>
      </c>
      <c r="I23" s="95"/>
      <c r="J23" s="94">
        <v>842066.54</v>
      </c>
      <c r="K23" s="95"/>
      <c r="L23" s="94">
        <f>B23-J23</f>
        <v>-17640192.879999999</v>
      </c>
      <c r="M23" s="95"/>
      <c r="N23" s="99" t="str">
        <f>IF(J23=0,"n/a",IF(AND(L23/J23&lt;1,L23/J23&gt;-1),L23/J23,"n/a"))</f>
        <v>n/a</v>
      </c>
      <c r="O23" s="96"/>
      <c r="P23" s="106"/>
      <c r="Q23" s="106"/>
      <c r="R23" s="106"/>
      <c r="S23" s="95"/>
      <c r="T23" s="95"/>
    </row>
    <row r="24" spans="1:20" x14ac:dyDescent="0.25">
      <c r="A24" s="88" t="s">
        <v>84</v>
      </c>
      <c r="B24" s="94">
        <v>19977601.780000001</v>
      </c>
      <c r="C24" s="95"/>
      <c r="D24" s="95">
        <v>-9890000</v>
      </c>
      <c r="E24" s="95"/>
      <c r="F24" s="95">
        <f>B24-D24</f>
        <v>29867601.780000001</v>
      </c>
      <c r="G24" s="95"/>
      <c r="H24" s="95" t="str">
        <f>IF(D24=0,"n/a",IF(AND(F24/D24&lt;1,F24/D24&gt;-1),F24/D24,"n/a"))</f>
        <v>n/a</v>
      </c>
      <c r="I24" s="95"/>
      <c r="J24" s="94">
        <v>22823996.34</v>
      </c>
      <c r="K24" s="95"/>
      <c r="L24" s="94">
        <f>B24-J24</f>
        <v>-2846394.5599999987</v>
      </c>
      <c r="M24" s="95"/>
      <c r="N24" s="99">
        <f>IF(J24=0,"n/a",IF(AND(L24/J24&lt;1,L24/J24&gt;-1),L24/J24,"n/a"))</f>
        <v>-0.12471061235720469</v>
      </c>
      <c r="O24" s="96"/>
      <c r="P24" s="106"/>
      <c r="Q24" s="106"/>
      <c r="R24" s="106"/>
      <c r="S24" s="221"/>
      <c r="T24" s="194"/>
    </row>
    <row r="25" spans="1:20" x14ac:dyDescent="0.25">
      <c r="A25" s="88" t="s">
        <v>94</v>
      </c>
      <c r="B25" s="94">
        <v>-15496591.550000001</v>
      </c>
      <c r="C25" s="95"/>
      <c r="D25" s="95">
        <v>-3918000</v>
      </c>
      <c r="E25" s="95"/>
      <c r="F25" s="95">
        <f>B25-D25</f>
        <v>-11578591.550000001</v>
      </c>
      <c r="G25" s="95"/>
      <c r="H25" s="95" t="str">
        <f>IF(D25=0,"n/a",IF(AND(F25/D25&lt;1,F25/D25&gt;-1),F25/D25,"n/a"))</f>
        <v>n/a</v>
      </c>
      <c r="I25" s="95"/>
      <c r="J25" s="94">
        <v>43315371.359999999</v>
      </c>
      <c r="K25" s="95"/>
      <c r="L25" s="94">
        <f>B25-J25</f>
        <v>-58811962.909999996</v>
      </c>
      <c r="M25" s="95"/>
      <c r="N25" s="99" t="str">
        <f>IF(J25=0,"n/a",IF(AND(L25/J25&lt;1,L25/J25&gt;-1),L25/J25,"n/a"))</f>
        <v>n/a</v>
      </c>
      <c r="O25" s="96"/>
      <c r="P25" s="106"/>
      <c r="Q25" s="106"/>
      <c r="R25" s="106"/>
      <c r="S25" s="95"/>
      <c r="T25" s="194"/>
    </row>
    <row r="26" spans="1:20" x14ac:dyDescent="0.25">
      <c r="A26" s="88" t="s">
        <v>91</v>
      </c>
      <c r="B26" s="155">
        <v>6823146.3600000003</v>
      </c>
      <c r="C26" s="95"/>
      <c r="D26" s="155">
        <v>6290000</v>
      </c>
      <c r="E26" s="95"/>
      <c r="F26" s="155">
        <f>B26-D26</f>
        <v>533146.36000000034</v>
      </c>
      <c r="G26" s="95"/>
      <c r="H26" s="155">
        <f>IF(D26=0,"n/a",IF(AND(F26/D26&lt;1,F26/D26&gt;-1),F26/D26,"n/a"))</f>
        <v>8.4760947535771125E-2</v>
      </c>
      <c r="I26" s="95"/>
      <c r="J26" s="155">
        <v>13728517.32</v>
      </c>
      <c r="K26" s="95"/>
      <c r="L26" s="155">
        <f>B26-J26</f>
        <v>-6905370.96</v>
      </c>
      <c r="M26" s="95"/>
      <c r="N26" s="158">
        <f>IF(J26=0,"n/a",IF(AND(L26/J26&lt;1,L26/J26&gt;-1),L26/J26,"n/a"))</f>
        <v>-0.50299466424827299</v>
      </c>
      <c r="O26" s="96"/>
      <c r="P26" s="106"/>
      <c r="Q26" s="106"/>
      <c r="R26" s="106"/>
      <c r="S26" s="193"/>
      <c r="T26" s="194"/>
    </row>
    <row r="27" spans="1:20" x14ac:dyDescent="0.25">
      <c r="A27" s="88" t="s">
        <v>85</v>
      </c>
      <c r="B27" s="155">
        <f>SUM(B23:B26)</f>
        <v>-5493969.7499999991</v>
      </c>
      <c r="C27" s="94"/>
      <c r="D27" s="155">
        <f>SUM(D23:D26)</f>
        <v>12580000</v>
      </c>
      <c r="E27" s="94"/>
      <c r="F27" s="155">
        <f>SUM(F23:F26)</f>
        <v>-18073969.750000004</v>
      </c>
      <c r="G27" s="94"/>
      <c r="H27" s="155" t="str">
        <f>IF(D27=0,"n/a",IF(AND(F27/D27&lt;1,F27/D27&gt;-1),F27/D27,"n/a"))</f>
        <v>n/a</v>
      </c>
      <c r="I27" s="94"/>
      <c r="J27" s="155">
        <f>SUM(J23:J26)</f>
        <v>80709951.560000002</v>
      </c>
      <c r="K27" s="94"/>
      <c r="L27" s="155">
        <f>SUM(L23:L26)</f>
        <v>-86203921.309999987</v>
      </c>
      <c r="M27" s="94"/>
      <c r="N27" s="158" t="str">
        <f>IF(J27=0,"n/a",IF(AND(L27/J27&lt;1,L27/J27&gt;-1),L27/J27,"n/a"))</f>
        <v>n/a</v>
      </c>
      <c r="O27" s="93"/>
      <c r="P27" s="104"/>
      <c r="Q27" s="104"/>
      <c r="R27" s="104"/>
    </row>
    <row r="28" spans="1:20" ht="6.6" customHeight="1" x14ac:dyDescent="0.25">
      <c r="A28" s="105"/>
      <c r="B28" s="167"/>
      <c r="C28" s="167"/>
      <c r="D28" s="167"/>
      <c r="E28" s="167"/>
      <c r="F28" s="167"/>
      <c r="G28" s="167"/>
      <c r="H28" s="167" t="s">
        <v>56</v>
      </c>
      <c r="I28" s="167"/>
      <c r="J28" s="167"/>
      <c r="K28" s="167"/>
      <c r="L28" s="167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+B27+B21</f>
        <v>2167305595.3800001</v>
      </c>
      <c r="C29" s="89"/>
      <c r="D29" s="123" t="e">
        <f>+D27+D21</f>
        <v>#REF!</v>
      </c>
      <c r="E29" s="89"/>
      <c r="F29" s="123" t="e">
        <f>+F27+F21</f>
        <v>#REF!</v>
      </c>
      <c r="G29" s="89"/>
      <c r="H29" s="123" t="e">
        <f>IF(D29=0,"n/a",IF(AND(F29/D29&lt;1,F29/D29&gt;-1),F29/D29,"n/a"))</f>
        <v>#REF!</v>
      </c>
      <c r="I29" s="89"/>
      <c r="J29" s="123">
        <f>+J27+J21</f>
        <v>2045534478.6900001</v>
      </c>
      <c r="K29" s="89"/>
      <c r="L29" s="123">
        <f>+L27+L21</f>
        <v>121771116.69000019</v>
      </c>
      <c r="M29" s="94"/>
      <c r="N29" s="108">
        <f>IF(J29=0,"n/a",IF(AND(L29/J29&lt;1,L29/J29&gt;-1),L29/J29,"n/a"))</f>
        <v>5.9530219587393497E-2</v>
      </c>
      <c r="O29" s="93"/>
      <c r="P29" s="104"/>
      <c r="Q29" s="104"/>
      <c r="R29" s="104"/>
    </row>
    <row r="30" spans="1:20" ht="4.2" customHeight="1" thickTop="1" x14ac:dyDescent="0.25">
      <c r="A30" s="109"/>
      <c r="B30" s="167"/>
      <c r="C30" s="89"/>
      <c r="D30" s="167"/>
      <c r="E30" s="89"/>
      <c r="F30" s="167"/>
      <c r="G30" s="89"/>
      <c r="H30" s="167"/>
      <c r="I30" s="89"/>
      <c r="J30" s="167"/>
      <c r="K30" s="89"/>
      <c r="L30" s="167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83531301.530000001</v>
      </c>
      <c r="C32" s="89"/>
      <c r="D32" s="89">
        <v>-99172953</v>
      </c>
      <c r="E32" s="89"/>
      <c r="F32" s="89"/>
      <c r="G32" s="89"/>
      <c r="H32" s="89"/>
      <c r="I32" s="89"/>
      <c r="J32" s="89">
        <v>77093333.989999995</v>
      </c>
      <c r="K32" s="89"/>
      <c r="L32" s="89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4">
        <v>-102042298.84</v>
      </c>
      <c r="C33" s="94"/>
      <c r="D33" s="94">
        <v>101799450</v>
      </c>
      <c r="E33" s="94"/>
      <c r="F33" s="94"/>
      <c r="G33" s="94"/>
      <c r="H33" s="94"/>
      <c r="I33" s="94"/>
      <c r="J33" s="94">
        <v>-144640386.16999999</v>
      </c>
      <c r="K33" s="89"/>
      <c r="L33" s="89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4">
        <v>107023080.59</v>
      </c>
      <c r="C34" s="112"/>
      <c r="D34" s="94">
        <v>-55583834</v>
      </c>
      <c r="E34" s="112"/>
      <c r="F34" s="94"/>
      <c r="G34" s="112"/>
      <c r="H34" s="112"/>
      <c r="I34" s="112"/>
      <c r="J34" s="94">
        <v>99490229.469999999</v>
      </c>
      <c r="K34" s="169"/>
      <c r="L34" s="169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4">
        <v>-53933590.460000001</v>
      </c>
      <c r="C35" s="94"/>
      <c r="D35" s="94">
        <v>15813084</v>
      </c>
      <c r="E35" s="94"/>
      <c r="F35" s="94"/>
      <c r="G35" s="94"/>
      <c r="H35" s="94"/>
      <c r="I35" s="94"/>
      <c r="J35" s="94">
        <v>-55217624.590000004</v>
      </c>
      <c r="K35" s="89"/>
      <c r="L35" s="89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4">
        <v>16690336.279999999</v>
      </c>
      <c r="C36" s="94"/>
      <c r="D36" s="94">
        <v>-6161116</v>
      </c>
      <c r="E36" s="94"/>
      <c r="F36" s="94"/>
      <c r="G36" s="94"/>
      <c r="H36" s="94"/>
      <c r="I36" s="94"/>
      <c r="J36" s="94">
        <v>15822534.99</v>
      </c>
      <c r="K36" s="89"/>
      <c r="L36" s="89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4">
        <v>-6252333.7800000003</v>
      </c>
      <c r="C37" s="94"/>
      <c r="D37" s="94">
        <v>0</v>
      </c>
      <c r="E37" s="94"/>
      <c r="F37" s="94"/>
      <c r="G37" s="94"/>
      <c r="H37" s="94"/>
      <c r="I37" s="94"/>
      <c r="J37" s="94">
        <v>-5916226.9800000004</v>
      </c>
      <c r="K37" s="89"/>
      <c r="L37" s="89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4">
        <v>-7036201.54</v>
      </c>
      <c r="C38" s="94"/>
      <c r="D38" s="94"/>
      <c r="E38" s="94"/>
      <c r="F38" s="94"/>
      <c r="G38" s="94"/>
      <c r="H38" s="94"/>
      <c r="I38" s="94"/>
      <c r="J38" s="94">
        <v>-52450495.469999999</v>
      </c>
      <c r="K38" s="89"/>
      <c r="L38" s="89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4">
        <v>-3164424.12</v>
      </c>
      <c r="C39" s="94"/>
      <c r="D39" s="94" t="e">
        <v>#REF!</v>
      </c>
      <c r="E39" s="94"/>
      <c r="F39" s="94"/>
      <c r="G39" s="94"/>
      <c r="H39" s="94"/>
      <c r="I39" s="94"/>
      <c r="J39" s="94">
        <v>-13821076.24</v>
      </c>
      <c r="K39" s="89"/>
      <c r="L39" s="89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4">
        <v>55581726.678000003</v>
      </c>
      <c r="C40" s="94"/>
      <c r="D40" s="94" t="e">
        <v>#REF!</v>
      </c>
      <c r="E40" s="94"/>
      <c r="F40" s="94"/>
      <c r="G40" s="94"/>
      <c r="H40" s="94"/>
      <c r="I40" s="94"/>
      <c r="J40" s="94">
        <v>40087390.620999999</v>
      </c>
      <c r="K40" s="89"/>
      <c r="L40" s="89"/>
      <c r="M40" s="94"/>
      <c r="N40" s="94"/>
      <c r="O40" s="104"/>
      <c r="P40" s="92"/>
      <c r="Q40" s="104"/>
      <c r="R40" s="104"/>
    </row>
    <row r="41" spans="1:18" x14ac:dyDescent="0.25">
      <c r="A41" s="88" t="s">
        <v>130</v>
      </c>
      <c r="B41" s="94">
        <v>16459134.800000001</v>
      </c>
      <c r="C41" s="94"/>
      <c r="D41" s="94" t="e">
        <v>#REF!</v>
      </c>
      <c r="E41" s="94"/>
      <c r="F41" s="94"/>
      <c r="G41" s="94"/>
      <c r="H41" s="94"/>
      <c r="I41" s="94"/>
      <c r="J41" s="94">
        <v>0</v>
      </c>
      <c r="K41" s="89"/>
      <c r="L41" s="89"/>
      <c r="M41" s="94"/>
      <c r="N41" s="94"/>
      <c r="O41" s="104"/>
      <c r="P41" s="92"/>
      <c r="Q41" s="104"/>
      <c r="R41" s="104"/>
    </row>
    <row r="42" spans="1:18" x14ac:dyDescent="0.25">
      <c r="A42" s="88" t="s">
        <v>131</v>
      </c>
      <c r="B42" s="94">
        <v>6204140.3300000001</v>
      </c>
      <c r="C42" s="94"/>
      <c r="D42" s="94" t="e">
        <v>#REF!</v>
      </c>
      <c r="E42" s="94"/>
      <c r="F42" s="94"/>
      <c r="G42" s="94"/>
      <c r="H42" s="94"/>
      <c r="I42" s="94"/>
      <c r="J42" s="94">
        <v>0</v>
      </c>
      <c r="K42" s="89"/>
      <c r="L42" s="89"/>
      <c r="M42" s="94"/>
      <c r="N42" s="94"/>
      <c r="O42" s="104"/>
      <c r="P42" s="92"/>
      <c r="Q42" s="104"/>
      <c r="R42" s="104"/>
    </row>
    <row r="43" spans="1:18" ht="12.75" customHeight="1" x14ac:dyDescent="0.25">
      <c r="A43" s="68"/>
      <c r="B43" s="89"/>
      <c r="C43" s="170"/>
      <c r="D43" s="89"/>
      <c r="E43" s="171"/>
      <c r="F43" s="89"/>
      <c r="G43" s="171"/>
      <c r="H43" s="171"/>
      <c r="I43" s="171"/>
      <c r="J43" s="89"/>
      <c r="K43" s="171"/>
      <c r="L43" s="171"/>
      <c r="M43" s="113"/>
      <c r="N43" s="113"/>
      <c r="O43" s="78"/>
      <c r="P43" s="78"/>
      <c r="Q43" s="78"/>
      <c r="R43" s="78"/>
    </row>
    <row r="44" spans="1:18" ht="13.2" customHeight="1" x14ac:dyDescent="0.25">
      <c r="A44" s="81"/>
      <c r="B44" s="171"/>
      <c r="C44" s="171"/>
      <c r="D44" s="171"/>
      <c r="E44" s="171"/>
      <c r="F44" s="172" t="s">
        <v>72</v>
      </c>
      <c r="G44" s="172"/>
      <c r="H44" s="172"/>
      <c r="I44" s="171"/>
      <c r="J44" s="171"/>
      <c r="K44" s="171"/>
      <c r="L44" s="172" t="s">
        <v>127</v>
      </c>
      <c r="M44" s="146"/>
      <c r="N44" s="146"/>
      <c r="O44" s="80"/>
      <c r="P44" s="80"/>
      <c r="Q44" s="78"/>
      <c r="R44" s="78"/>
    </row>
    <row r="45" spans="1:18" x14ac:dyDescent="0.25">
      <c r="A45" s="80"/>
      <c r="B45" s="173" t="s">
        <v>71</v>
      </c>
      <c r="C45" s="171"/>
      <c r="D45" s="173"/>
      <c r="E45" s="174"/>
      <c r="F45" s="173"/>
      <c r="G45" s="171"/>
      <c r="H45" s="171"/>
      <c r="I45" s="171"/>
      <c r="J45" s="173" t="s">
        <v>71</v>
      </c>
      <c r="K45" s="171"/>
      <c r="L45" s="171"/>
      <c r="M45" s="78"/>
      <c r="N45" s="78"/>
      <c r="O45" s="114"/>
      <c r="P45" s="80"/>
      <c r="Q45" s="78"/>
      <c r="R45" s="78"/>
    </row>
    <row r="46" spans="1:18" ht="13.2" customHeight="1" x14ac:dyDescent="0.25">
      <c r="A46" s="67" t="s">
        <v>70</v>
      </c>
      <c r="B46" s="149">
        <v>2016</v>
      </c>
      <c r="C46" s="171"/>
      <c r="D46" s="175" t="s">
        <v>69</v>
      </c>
      <c r="E46" s="171"/>
      <c r="F46" s="175" t="s">
        <v>68</v>
      </c>
      <c r="G46" s="171"/>
      <c r="H46" s="176" t="s">
        <v>67</v>
      </c>
      <c r="I46" s="171"/>
      <c r="J46" s="149">
        <v>2015</v>
      </c>
      <c r="K46" s="171"/>
      <c r="L46" s="176" t="s">
        <v>68</v>
      </c>
      <c r="M46" s="80"/>
      <c r="N46" s="151" t="s">
        <v>67</v>
      </c>
      <c r="O46" s="82"/>
      <c r="P46" s="80"/>
      <c r="Q46" s="78"/>
      <c r="R46" s="78"/>
    </row>
    <row r="47" spans="1:18" ht="6" customHeight="1" x14ac:dyDescent="0.25">
      <c r="A47" s="84"/>
      <c r="B47" s="177"/>
      <c r="C47" s="169"/>
      <c r="D47" s="177"/>
      <c r="E47" s="169"/>
      <c r="F47" s="177"/>
      <c r="G47" s="169"/>
      <c r="H47" s="177"/>
      <c r="I47" s="169"/>
      <c r="J47" s="177"/>
      <c r="K47" s="169"/>
      <c r="L47" s="177"/>
      <c r="M47" s="112"/>
      <c r="N47" s="115"/>
      <c r="O47" s="85"/>
      <c r="P47" s="84"/>
      <c r="Q47" s="87"/>
      <c r="R47" s="87"/>
    </row>
    <row r="48" spans="1:18" x14ac:dyDescent="0.25">
      <c r="A48" s="88" t="s">
        <v>66</v>
      </c>
      <c r="B48" s="178">
        <v>10333436515.862</v>
      </c>
      <c r="C48" s="178"/>
      <c r="D48" s="178">
        <v>0</v>
      </c>
      <c r="E48" s="178"/>
      <c r="F48" s="178">
        <f>B48-D48</f>
        <v>10333436515.862</v>
      </c>
      <c r="G48" s="178"/>
      <c r="H48" s="179" t="str">
        <f>IF(D48=0,"n/a",IF(AND(F48/D48&lt;1,F48/D48&gt;-1),F48/D48,"n/a"))</f>
        <v>n/a</v>
      </c>
      <c r="I48" s="178"/>
      <c r="J48" s="178">
        <v>10067148561.82</v>
      </c>
      <c r="K48" s="178"/>
      <c r="L48" s="178">
        <f>+B48-J48</f>
        <v>266287954.04199982</v>
      </c>
      <c r="M48" s="98"/>
      <c r="N48" s="99">
        <f>IF(J48=0,"n/a",IF(AND(L48/J48&lt;1,L48/J48&gt;-1),L48/J48,"n/a"))</f>
        <v>2.6451179537759665E-2</v>
      </c>
      <c r="O48" s="116"/>
      <c r="P48" s="84"/>
      <c r="Q48" s="87"/>
      <c r="R48" s="87"/>
    </row>
    <row r="49" spans="1:18" ht="12.75" customHeight="1" x14ac:dyDescent="0.25">
      <c r="A49" s="88" t="s">
        <v>65</v>
      </c>
      <c r="B49" s="178">
        <v>9039891872.4190006</v>
      </c>
      <c r="C49" s="178"/>
      <c r="D49" s="178">
        <v>10541673000</v>
      </c>
      <c r="E49" s="178"/>
      <c r="F49" s="178">
        <f>B49-D49</f>
        <v>-1501781127.5809994</v>
      </c>
      <c r="G49" s="178"/>
      <c r="H49" s="179">
        <f>IF(D49=0,"n/a",IF(AND(F49/D49&lt;1,F49/D49&gt;-1),F49/D49,"n/a"))</f>
        <v>-0.14246136524828643</v>
      </c>
      <c r="I49" s="178"/>
      <c r="J49" s="178">
        <v>8893540951.4389992</v>
      </c>
      <c r="K49" s="178"/>
      <c r="L49" s="178">
        <f>+B49-J49</f>
        <v>146350920.98000145</v>
      </c>
      <c r="M49" s="98"/>
      <c r="N49" s="99">
        <f>IF(J49=0,"n/a",IF(AND(L49/J49&lt;1,L49/J49&gt;-1),L49/J49,"n/a"))</f>
        <v>1.6455866316815178E-2</v>
      </c>
      <c r="O49" s="116"/>
      <c r="P49" s="84"/>
      <c r="Q49" s="87"/>
      <c r="R49" s="87"/>
    </row>
    <row r="50" spans="1:18" x14ac:dyDescent="0.25">
      <c r="A50" s="88" t="s">
        <v>64</v>
      </c>
      <c r="B50" s="178">
        <v>1268763044.424</v>
      </c>
      <c r="C50" s="178"/>
      <c r="D50" s="178">
        <v>9445921000</v>
      </c>
      <c r="E50" s="178"/>
      <c r="F50" s="178">
        <f>B50-D50</f>
        <v>-8177157955.5760002</v>
      </c>
      <c r="G50" s="178"/>
      <c r="H50" s="179">
        <f>IF(D50=0,"n/a",IF(AND(F50/D50&lt;1,F50/D50&gt;-1),F50/D50,"n/a"))</f>
        <v>-0.86568138306217046</v>
      </c>
      <c r="I50" s="178"/>
      <c r="J50" s="178">
        <v>1246463777.9389999</v>
      </c>
      <c r="K50" s="178"/>
      <c r="L50" s="178">
        <f>+B50-J50</f>
        <v>22299266.485000134</v>
      </c>
      <c r="M50" s="98"/>
      <c r="N50" s="99">
        <f>IF(J50=0,"n/a",IF(AND(L50/J50&lt;1,L50/J50&gt;-1),L50/J50,"n/a"))</f>
        <v>1.7890023665085138E-2</v>
      </c>
      <c r="O50" s="116"/>
      <c r="P50" s="84"/>
      <c r="Q50" s="87"/>
      <c r="R50" s="87"/>
    </row>
    <row r="51" spans="1:18" x14ac:dyDescent="0.25">
      <c r="A51" s="88" t="s">
        <v>63</v>
      </c>
      <c r="B51" s="178">
        <v>91895124.414000005</v>
      </c>
      <c r="C51" s="178"/>
      <c r="D51" s="178">
        <v>1206360000</v>
      </c>
      <c r="E51" s="178"/>
      <c r="F51" s="178">
        <f>B51-D51</f>
        <v>-1114464875.586</v>
      </c>
      <c r="G51" s="178"/>
      <c r="H51" s="179">
        <f>IF(D51=0,"n/a",IF(AND(F51/D51&lt;1,F51/D51&gt;-1),F51/D51,"n/a"))</f>
        <v>-0.92382446001691032</v>
      </c>
      <c r="I51" s="178"/>
      <c r="J51" s="178">
        <v>87704825.942000002</v>
      </c>
      <c r="K51" s="178"/>
      <c r="L51" s="178">
        <f>+B51-J51</f>
        <v>4190298.4720000029</v>
      </c>
      <c r="M51" s="98"/>
      <c r="N51" s="99">
        <f>IF(J51=0,"n/a",IF(AND(L51/J51&lt;1,L51/J51&gt;-1),L51/J51,"n/a"))</f>
        <v>4.7777285080881242E-2</v>
      </c>
      <c r="O51" s="116"/>
      <c r="P51" s="117"/>
      <c r="Q51" s="87"/>
      <c r="R51" s="87"/>
    </row>
    <row r="52" spans="1:18" ht="12.75" customHeight="1" x14ac:dyDescent="0.25">
      <c r="A52" s="88" t="s">
        <v>62</v>
      </c>
      <c r="B52" s="178">
        <v>6762900.0010000002</v>
      </c>
      <c r="C52" s="179"/>
      <c r="D52" s="178">
        <v>91261000</v>
      </c>
      <c r="E52" s="179"/>
      <c r="F52" s="178">
        <f>B52-D52</f>
        <v>-84498099.998999998</v>
      </c>
      <c r="G52" s="179"/>
      <c r="H52" s="179">
        <f>IF(D52=0,"n/a",IF(AND(F52/D52&lt;1,F52/D52&gt;-1),F52/D52,"n/a"))</f>
        <v>-0.92589496059653076</v>
      </c>
      <c r="I52" s="179"/>
      <c r="J52" s="178">
        <v>6797720</v>
      </c>
      <c r="K52" s="179"/>
      <c r="L52" s="178">
        <f>+B52-J52</f>
        <v>-34819.998999999836</v>
      </c>
      <c r="M52" s="118"/>
      <c r="N52" s="99">
        <f>IF(J52=0,"n/a",IF(AND(L52/J52&lt;1,L52/J52&gt;-1),L52/J52,"n/a"))</f>
        <v>-5.1223055671607296E-3</v>
      </c>
      <c r="O52" s="116"/>
      <c r="P52" s="84"/>
      <c r="Q52" s="87"/>
      <c r="R52" s="87"/>
    </row>
    <row r="53" spans="1:18" ht="6" customHeight="1" x14ac:dyDescent="0.25">
      <c r="A53" s="84"/>
      <c r="B53" s="180"/>
      <c r="C53" s="181"/>
      <c r="D53" s="180"/>
      <c r="E53" s="181"/>
      <c r="F53" s="180"/>
      <c r="G53" s="181"/>
      <c r="H53" s="180"/>
      <c r="I53" s="181"/>
      <c r="J53" s="180"/>
      <c r="K53" s="181"/>
      <c r="L53" s="180"/>
      <c r="M53" s="119"/>
      <c r="N53" s="159"/>
      <c r="O53" s="78"/>
      <c r="P53" s="78"/>
      <c r="Q53" s="78"/>
      <c r="R53" s="78"/>
    </row>
    <row r="54" spans="1:18" ht="12.75" customHeight="1" x14ac:dyDescent="0.25">
      <c r="A54" s="97" t="s">
        <v>60</v>
      </c>
      <c r="B54" s="182">
        <f>SUM(B48:B53)</f>
        <v>20740749457.119999</v>
      </c>
      <c r="C54" s="178"/>
      <c r="D54" s="178" t="e">
        <f>SUM(#REF!)</f>
        <v>#REF!</v>
      </c>
      <c r="E54" s="178"/>
      <c r="F54" s="178" t="e">
        <f>SUM(#REF!)</f>
        <v>#REF!</v>
      </c>
      <c r="G54" s="178"/>
      <c r="H54" s="179" t="e">
        <f>IF(D54=0,"n/a",IF(AND(F54/D54&lt;1,F54/D54&gt;-1),F54/D54,"n/a"))</f>
        <v>#REF!</v>
      </c>
      <c r="I54" s="178"/>
      <c r="J54" s="182">
        <f>SUM(J48:J53)</f>
        <v>20301655837.139999</v>
      </c>
      <c r="K54" s="178"/>
      <c r="L54" s="182">
        <f>SUM(L48:L53)</f>
        <v>439093619.98000139</v>
      </c>
      <c r="M54" s="98"/>
      <c r="N54" s="158">
        <f>IF(J54=0,"n/a",IF(AND(L54/J54&lt;1,L54/J54&gt;-1),L54/J54,"n/a"))</f>
        <v>2.1628463387539074E-2</v>
      </c>
      <c r="O54" s="116"/>
      <c r="P54" s="87"/>
      <c r="Q54" s="87"/>
      <c r="R54" s="87"/>
    </row>
    <row r="55" spans="1:18" x14ac:dyDescent="0.25">
      <c r="A55" s="88" t="s">
        <v>59</v>
      </c>
      <c r="B55" s="178">
        <v>2045771180.4070001</v>
      </c>
      <c r="C55" s="178"/>
      <c r="D55" s="178">
        <v>21292489000</v>
      </c>
      <c r="E55" s="179"/>
      <c r="F55" s="178">
        <f>B55-D55</f>
        <v>-19246717819.592999</v>
      </c>
      <c r="G55" s="179"/>
      <c r="H55" s="179">
        <f>IF(D55=0,"n/a",IF(AND(F55/D55&lt;1,F55/D55&gt;-1),F55/D55,"n/a"))</f>
        <v>-0.90392052425590064</v>
      </c>
      <c r="I55" s="179"/>
      <c r="J55" s="178">
        <v>2075648737.0109999</v>
      </c>
      <c r="K55" s="179"/>
      <c r="L55" s="178">
        <f>+B55-J55</f>
        <v>-29877556.603999853</v>
      </c>
      <c r="M55" s="118"/>
      <c r="N55" s="99">
        <f>IF(J55=0,"n/a",IF(AND(L55/J55&lt;1,L55/J55&gt;-1),L55/J55,"n/a"))</f>
        <v>-1.4394322156370487E-2</v>
      </c>
      <c r="O55" s="116"/>
      <c r="P55" s="84"/>
      <c r="Q55" s="87"/>
      <c r="R55" s="87"/>
    </row>
    <row r="56" spans="1:18" x14ac:dyDescent="0.25">
      <c r="A56" s="88" t="s">
        <v>58</v>
      </c>
      <c r="B56" s="178">
        <v>1944219000</v>
      </c>
      <c r="C56" s="179"/>
      <c r="D56" s="178" t="e">
        <v>#REF!</v>
      </c>
      <c r="E56" s="179"/>
      <c r="F56" s="178" t="e">
        <f>B56-D56</f>
        <v>#REF!</v>
      </c>
      <c r="G56" s="179"/>
      <c r="H56" s="179" t="e">
        <f>IF(D56=0,"n/a",IF(AND(F56/D56&lt;1,F56/D56&gt;-1),F56/D56,"n/a"))</f>
        <v>#REF!</v>
      </c>
      <c r="I56" s="179"/>
      <c r="J56" s="178">
        <v>1346914000</v>
      </c>
      <c r="K56" s="179"/>
      <c r="L56" s="178">
        <f>+B56-J56</f>
        <v>597305000</v>
      </c>
      <c r="M56" s="118"/>
      <c r="N56" s="99">
        <f>IF(J56=0,"n/a",IF(AND(L56/J56&lt;1,L56/J56&gt;-1),L56/J56,"n/a"))</f>
        <v>0.44346186913195645</v>
      </c>
      <c r="O56" s="116"/>
      <c r="P56" s="84"/>
      <c r="Q56" s="87"/>
      <c r="R56" s="87"/>
    </row>
    <row r="57" spans="1:18" ht="6" customHeight="1" x14ac:dyDescent="0.25">
      <c r="A57" s="78"/>
      <c r="B57" s="183"/>
      <c r="C57" s="178"/>
      <c r="D57" s="183"/>
      <c r="E57" s="178"/>
      <c r="F57" s="183"/>
      <c r="G57" s="178"/>
      <c r="H57" s="183"/>
      <c r="I57" s="178"/>
      <c r="J57" s="183"/>
      <c r="K57" s="178"/>
      <c r="L57" s="183"/>
      <c r="M57" s="98"/>
      <c r="N57" s="160"/>
      <c r="O57" s="78"/>
      <c r="P57" s="78"/>
      <c r="Q57" s="78"/>
      <c r="R57" s="78"/>
    </row>
    <row r="58" spans="1:18" ht="13.8" thickBot="1" x14ac:dyDescent="0.3">
      <c r="A58" s="97" t="s">
        <v>132</v>
      </c>
      <c r="B58" s="184">
        <f>SUM(B54:B56)</f>
        <v>24730739637.527</v>
      </c>
      <c r="C58" s="178"/>
      <c r="D58" s="184" t="e">
        <f>SUM(D54:D56)</f>
        <v>#REF!</v>
      </c>
      <c r="E58" s="178"/>
      <c r="F58" s="184" t="e">
        <f>SUM(F54:F56)</f>
        <v>#REF!</v>
      </c>
      <c r="G58" s="178"/>
      <c r="H58" s="184" t="e">
        <f>IF(D58=0,"n/a",IF(AND(F58/D58&lt;1,F58/D58&gt;-1),F58/D58,"n/a"))</f>
        <v>#REF!</v>
      </c>
      <c r="I58" s="178"/>
      <c r="J58" s="184">
        <f>SUM(J54:J56)</f>
        <v>23724218574.151001</v>
      </c>
      <c r="K58" s="178"/>
      <c r="L58" s="184">
        <f>SUM(L54:L56)</f>
        <v>1006521063.3760016</v>
      </c>
      <c r="M58" s="98"/>
      <c r="N58" s="108">
        <f>IF(J58=0,"n/a",IF(AND(L58/J58&lt;1,L58/J58&gt;-1),L58/J58,"n/a"))</f>
        <v>4.2425888980498115E-2</v>
      </c>
      <c r="O58" s="116"/>
      <c r="P58" s="87"/>
      <c r="Q58" s="87"/>
      <c r="R58" s="87"/>
    </row>
    <row r="59" spans="1:18" ht="13.8" thickTop="1" x14ac:dyDescent="0.25">
      <c r="A59" s="80"/>
      <c r="B59" s="185"/>
      <c r="C59" s="113"/>
      <c r="D59" s="185"/>
      <c r="E59" s="113"/>
      <c r="F59" s="185"/>
      <c r="G59" s="186"/>
      <c r="H59" s="185"/>
      <c r="I59" s="113"/>
      <c r="J59" s="185"/>
      <c r="K59" s="113"/>
      <c r="L59" s="185"/>
      <c r="M59" s="121"/>
      <c r="N59" s="120"/>
      <c r="O59" s="114"/>
      <c r="P59" s="78"/>
      <c r="Q59" s="78"/>
      <c r="R59" s="78"/>
    </row>
    <row r="60" spans="1:18" x14ac:dyDescent="0.25"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</row>
    <row r="61" spans="1:18" x14ac:dyDescent="0.25">
      <c r="A61" s="234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workbookViewId="0">
      <pane ySplit="9" topLeftCell="A10" activePane="bottomLeft" state="frozen"/>
      <selection activeCell="E20" sqref="E20"/>
      <selection pane="bottomLeft" activeCell="B23" sqref="B23"/>
    </sheetView>
  </sheetViews>
  <sheetFormatPr defaultColWidth="9.109375" defaultRowHeight="13.2" x14ac:dyDescent="0.25"/>
  <cols>
    <col min="1" max="1" width="41.88671875" style="212" customWidth="1"/>
    <col min="2" max="2" width="17.44140625" style="212" customWidth="1"/>
    <col min="3" max="3" width="2.6640625" style="212" customWidth="1"/>
    <col min="4" max="4" width="17.109375" style="212" hidden="1" customWidth="1"/>
    <col min="5" max="5" width="0.6640625" style="212" hidden="1" customWidth="1"/>
    <col min="6" max="6" width="16.109375" style="212" hidden="1" customWidth="1"/>
    <col min="7" max="7" width="0.6640625" style="212" hidden="1" customWidth="1"/>
    <col min="8" max="8" width="7.6640625" style="212" hidden="1" customWidth="1"/>
    <col min="9" max="9" width="0.6640625" style="212" hidden="1" customWidth="1"/>
    <col min="10" max="10" width="17.44140625" style="212" bestFit="1" customWidth="1"/>
    <col min="11" max="11" width="0.6640625" style="212" customWidth="1"/>
    <col min="12" max="12" width="16.109375" style="212" bestFit="1" customWidth="1"/>
    <col min="13" max="13" width="0.6640625" style="212" customWidth="1"/>
    <col min="14" max="14" width="7.6640625" style="212" bestFit="1" customWidth="1"/>
    <col min="15" max="15" width="0.6640625" style="212" customWidth="1"/>
    <col min="16" max="16" width="7.6640625" style="212" customWidth="1"/>
    <col min="17" max="17" width="9.109375" style="212" hidden="1" customWidth="1"/>
    <col min="18" max="18" width="7.88671875" style="212" customWidth="1"/>
    <col min="19" max="19" width="4.33203125" style="212" customWidth="1"/>
    <col min="20" max="20" width="16.6640625" style="212" customWidth="1"/>
    <col min="21" max="16384" width="9.109375" style="212"/>
  </cols>
  <sheetData>
    <row r="1" spans="1:18" ht="13.95" x14ac:dyDescent="0.25">
      <c r="A1" s="211" t="s">
        <v>30</v>
      </c>
      <c r="B1" s="211"/>
      <c r="C1" s="211"/>
      <c r="D1" s="74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ht="13.95" x14ac:dyDescent="0.25">
      <c r="A2" s="211" t="s">
        <v>82</v>
      </c>
      <c r="B2" s="211"/>
      <c r="C2" s="211"/>
      <c r="D2" s="74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13.95" x14ac:dyDescent="0.25">
      <c r="A3" s="211" t="s">
        <v>143</v>
      </c>
      <c r="B3" s="211"/>
      <c r="C3" s="211"/>
      <c r="D3" s="74"/>
      <c r="E3" s="211"/>
      <c r="F3" s="211"/>
      <c r="G3" s="213"/>
      <c r="H3" s="211"/>
      <c r="I3" s="211"/>
      <c r="J3" s="211"/>
      <c r="K3" s="211"/>
      <c r="L3" s="211"/>
      <c r="M3" s="211"/>
      <c r="N3" s="211"/>
      <c r="O3" s="211"/>
      <c r="P3" s="214"/>
      <c r="Q3" s="211"/>
      <c r="R3" s="211"/>
    </row>
    <row r="4" spans="1:18" x14ac:dyDescent="0.25">
      <c r="A4" s="215" t="s">
        <v>81</v>
      </c>
      <c r="B4" s="216"/>
      <c r="C4" s="216"/>
      <c r="D4" s="7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18" x14ac:dyDescent="0.25">
      <c r="A5" s="76" t="s">
        <v>56</v>
      </c>
      <c r="B5" s="217"/>
      <c r="C5" s="217"/>
      <c r="D5" s="77"/>
      <c r="E5" s="217"/>
      <c r="F5" s="218"/>
      <c r="G5" s="218"/>
      <c r="H5" s="218"/>
      <c r="I5" s="218"/>
      <c r="J5" s="218"/>
      <c r="K5" s="217"/>
      <c r="L5" s="217"/>
      <c r="M5" s="217"/>
      <c r="N5" s="217"/>
      <c r="O5" s="217"/>
      <c r="P5" s="217"/>
      <c r="Q5" s="217"/>
      <c r="R5" s="21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133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hidden="1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2015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2014</v>
      </c>
      <c r="K9" s="78"/>
      <c r="L9" s="150" t="s">
        <v>68</v>
      </c>
      <c r="M9" s="80"/>
      <c r="N9" s="151" t="s">
        <v>67</v>
      </c>
      <c r="O9" s="63"/>
      <c r="P9" s="149">
        <v>2015</v>
      </c>
      <c r="Q9" s="150" t="s">
        <v>69</v>
      </c>
      <c r="R9" s="149">
        <v>2014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965710654.35000002</v>
      </c>
      <c r="C11" s="89"/>
      <c r="D11" s="89">
        <v>875188000</v>
      </c>
      <c r="E11" s="89"/>
      <c r="F11" s="89">
        <f>B11-D11</f>
        <v>90522654.350000024</v>
      </c>
      <c r="G11" s="90"/>
      <c r="H11" s="91">
        <f>IF(D11=0,"n/a",IF(AND(F11/D11&lt;1,F11/D11&gt;-1),F11/D11,"n/a"))</f>
        <v>0.10343223895894371</v>
      </c>
      <c r="I11" s="92"/>
      <c r="J11" s="89">
        <v>1108437058.51</v>
      </c>
      <c r="K11" s="89"/>
      <c r="L11" s="89">
        <v>-142726404.16</v>
      </c>
      <c r="M11" s="92"/>
      <c r="N11" s="91">
        <f>IF(J11=0,"n/a",IF(AND(L11/J11&lt;1,L11/J11&gt;-1),L11/J11,"n/a"))</f>
        <v>-0.12876365244577606</v>
      </c>
      <c r="O11" s="93"/>
      <c r="P11" s="70">
        <f>IF(B46=0,"n/a",B11/B46)</f>
        <v>9.592692989676245E-2</v>
      </c>
      <c r="Q11" s="72" t="str">
        <f>IF(D46=0,"n/a",D11/D46)</f>
        <v>n/a</v>
      </c>
      <c r="R11" s="72">
        <f>IF(J46=0,"n/a",J11/J46)</f>
        <v>0.10346002698234039</v>
      </c>
    </row>
    <row r="12" spans="1:18" x14ac:dyDescent="0.25">
      <c r="A12" s="88" t="s">
        <v>65</v>
      </c>
      <c r="B12" s="94">
        <v>826841615.52999997</v>
      </c>
      <c r="C12" s="94"/>
      <c r="D12" s="94">
        <v>108384000</v>
      </c>
      <c r="E12" s="94"/>
      <c r="F12" s="94">
        <f>B12-D12</f>
        <v>718457615.52999997</v>
      </c>
      <c r="G12" s="94"/>
      <c r="H12" s="91" t="str">
        <f>IF(D12=0,"n/a",IF(AND(F12/D12&lt;1,F12/D12&gt;-1),F12/D12,"n/a"))</f>
        <v>n/a</v>
      </c>
      <c r="I12" s="94"/>
      <c r="J12" s="94">
        <v>841600189.48000002</v>
      </c>
      <c r="K12" s="94"/>
      <c r="L12" s="94">
        <v>-14758573.949999999</v>
      </c>
      <c r="M12" s="94"/>
      <c r="N12" s="91">
        <f>IF(J12=0,"n/a",IF(AND(L12/J12&lt;1,L12/J12&gt;-1),L12/J12,"n/a"))</f>
        <v>-1.7536324414469163E-2</v>
      </c>
      <c r="O12" s="93"/>
      <c r="P12" s="71">
        <f>IF(B47=0,"n/a",B12/B47)</f>
        <v>9.2971024707117891E-2</v>
      </c>
      <c r="Q12" s="73">
        <f>IF(D47=0,"n/a",D12/D47)</f>
        <v>1.0244648838346202E-2</v>
      </c>
      <c r="R12" s="73">
        <f>IF(J47=0,"n/a",J12/J47)</f>
        <v>9.3077665141320515E-2</v>
      </c>
    </row>
    <row r="13" spans="1:18" x14ac:dyDescent="0.25">
      <c r="A13" s="88" t="s">
        <v>64</v>
      </c>
      <c r="B13" s="94">
        <v>110127085.34</v>
      </c>
      <c r="C13" s="94"/>
      <c r="D13" s="94">
        <v>19127000</v>
      </c>
      <c r="E13" s="94"/>
      <c r="F13" s="94">
        <f>B13-D13</f>
        <v>91000085.340000004</v>
      </c>
      <c r="G13" s="94"/>
      <c r="H13" s="91" t="str">
        <f>IF(D13=0,"n/a",IF(AND(F13/D13&lt;1,F13/D13&gt;-1),F13/D13,"n/a"))</f>
        <v>n/a</v>
      </c>
      <c r="I13" s="94"/>
      <c r="J13" s="94">
        <v>106803747.08</v>
      </c>
      <c r="K13" s="94"/>
      <c r="L13" s="94">
        <v>3323338.26</v>
      </c>
      <c r="M13" s="94"/>
      <c r="N13" s="91">
        <f>IF(J13=0,"n/a",IF(AND(L13/J13&lt;1,L13/J13&gt;-1),L13/J13,"n/a"))</f>
        <v>3.1116307721963117E-2</v>
      </c>
      <c r="O13" s="93"/>
      <c r="P13" s="71">
        <f>IF(B48=0,"n/a",B13/B48)</f>
        <v>8.8351613010441976E-2</v>
      </c>
      <c r="Q13" s="73">
        <f>IF(D48=0,"n/a",D13/D48)</f>
        <v>2.0613312598239779E-3</v>
      </c>
      <c r="R13" s="73">
        <f>IF(J48=0,"n/a",J13/J48)</f>
        <v>8.8267765445765214E-2</v>
      </c>
    </row>
    <row r="14" spans="1:18" x14ac:dyDescent="0.25">
      <c r="A14" s="88" t="s">
        <v>63</v>
      </c>
      <c r="B14" s="94">
        <v>18825234.550000001</v>
      </c>
      <c r="C14" s="94"/>
      <c r="D14" s="94">
        <v>384000</v>
      </c>
      <c r="E14" s="94"/>
      <c r="F14" s="94">
        <f>B14-D14</f>
        <v>18441234.550000001</v>
      </c>
      <c r="G14" s="94"/>
      <c r="H14" s="91" t="str">
        <f>IF(D14=0,"n/a",IF(AND(F14/D14&lt;1,F14/D14&gt;-1),F14/D14,"n/a"))</f>
        <v>n/a</v>
      </c>
      <c r="I14" s="94"/>
      <c r="J14" s="94">
        <v>18471833.609999999</v>
      </c>
      <c r="K14" s="94"/>
      <c r="L14" s="94">
        <v>353400.94</v>
      </c>
      <c r="M14" s="94"/>
      <c r="N14" s="91">
        <f>IF(J14=0,"n/a",IF(AND(L14/J14&lt;1,L14/J14&gt;-1),L14/J14,"n/a"))</f>
        <v>1.913188194856201E-2</v>
      </c>
      <c r="O14" s="93"/>
      <c r="P14" s="71">
        <f>IF(B49=0,"n/a",B14/B49)</f>
        <v>0.21464308660106457</v>
      </c>
      <c r="Q14" s="73">
        <f>IF(D49=0,"n/a",D14/D49)</f>
        <v>3.2072832056127457E-4</v>
      </c>
      <c r="R14" s="73">
        <f>IF(J49=0,"n/a",J14/J49)</f>
        <v>0.20690336942321655</v>
      </c>
    </row>
    <row r="15" spans="1:18" x14ac:dyDescent="0.25">
      <c r="A15" s="88" t="s">
        <v>62</v>
      </c>
      <c r="B15" s="94">
        <v>329687.28000000003</v>
      </c>
      <c r="C15" s="188" t="s">
        <v>152</v>
      </c>
      <c r="D15" s="94">
        <v>2094522000</v>
      </c>
      <c r="E15" s="95"/>
      <c r="F15" s="94">
        <f>B15-D15</f>
        <v>-2094192312.72</v>
      </c>
      <c r="G15" s="95"/>
      <c r="H15" s="91">
        <f>IF(D15=0,"n/a",IF(AND(F15/D15&lt;1,F15/D15&gt;-1),F15/D15,"n/a"))</f>
        <v>-0.99984259545614707</v>
      </c>
      <c r="I15" s="95"/>
      <c r="J15" s="94">
        <v>355687.48</v>
      </c>
      <c r="K15" s="95"/>
      <c r="L15" s="94">
        <v>-26000.2</v>
      </c>
      <c r="M15" s="95"/>
      <c r="N15" s="91">
        <f>IF(J15=0,"n/a",IF(AND(L15/J15&lt;1,L15/J15&gt;-1),L15/J15,"n/a"))</f>
        <v>-7.3098440237480397E-2</v>
      </c>
      <c r="O15" s="96"/>
      <c r="P15" s="71">
        <f>IF(B50=0,"n/a",B15/B50)</f>
        <v>4.8499685188563228E-2</v>
      </c>
      <c r="Q15" s="73">
        <f>IF(D50=0,"n/a",D15/D50)</f>
        <v>21.042013261000601</v>
      </c>
      <c r="R15" s="73">
        <f>IF(J50=0,"n/a",J15/J50)</f>
        <v>4.8350897683615494E-2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3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60</v>
      </c>
      <c r="B17" s="94">
        <f>SUM(B11:B15)</f>
        <v>1921834277.05</v>
      </c>
      <c r="C17" s="94"/>
      <c r="D17" s="94">
        <f>SUM(D11:D15)</f>
        <v>3097605000</v>
      </c>
      <c r="E17" s="94"/>
      <c r="F17" s="94">
        <f>SUM(F11:F15)</f>
        <v>-1175770722.95</v>
      </c>
      <c r="G17" s="94"/>
      <c r="H17" s="99">
        <f>IF(D17=0,"n/a",IF(AND(F17/D17&lt;1,F17/D17&gt;-1),F17/D17,"n/a"))</f>
        <v>-0.37957412999720752</v>
      </c>
      <c r="I17" s="94"/>
      <c r="J17" s="94">
        <f>SUM(J11:J15)</f>
        <v>2075668516.1599998</v>
      </c>
      <c r="K17" s="94"/>
      <c r="L17" s="94">
        <f>SUM(L11:L15)</f>
        <v>-153834239.10999998</v>
      </c>
      <c r="M17" s="94"/>
      <c r="N17" s="99">
        <f>IF(J17=0,"n/a",IF(AND(L17/J17&lt;1,L17/J17&gt;-1),L17/J17,"n/a"))</f>
        <v>-7.4113105205543275E-2</v>
      </c>
      <c r="O17" s="93"/>
      <c r="P17" s="71">
        <f>IF(B52=0,"n/a",B17/B52)</f>
        <v>9.4663917685678722E-2</v>
      </c>
      <c r="Q17" s="73">
        <f>IF(D52=0,"n/a",D17/D52)</f>
        <v>0.14642188247299429</v>
      </c>
      <c r="R17" s="73">
        <f>IF(J52=0,"n/a",J17/J52)</f>
        <v>9.8549374338258791E-2</v>
      </c>
    </row>
    <row r="18" spans="1:20" x14ac:dyDescent="0.25">
      <c r="A18" s="88" t="s">
        <v>59</v>
      </c>
      <c r="B18" s="94">
        <v>9477343.1300000008</v>
      </c>
      <c r="C18" s="188" t="s">
        <v>155</v>
      </c>
      <c r="D18" s="94">
        <v>4744000</v>
      </c>
      <c r="E18" s="94"/>
      <c r="F18" s="94">
        <f>B18-D18</f>
        <v>4733343.1300000008</v>
      </c>
      <c r="G18" s="94"/>
      <c r="H18" s="99">
        <f>IF(D18=0,"n/a",IF(AND(F18/D18&lt;1,F18/D18&gt;-1),F18/D18,"n/a"))</f>
        <v>0.99775361087689729</v>
      </c>
      <c r="I18" s="94"/>
      <c r="J18" s="94">
        <v>9178187.3599999994</v>
      </c>
      <c r="K18" s="94"/>
      <c r="L18" s="94">
        <f>B18-J18</f>
        <v>299155.77000000142</v>
      </c>
      <c r="M18" s="94"/>
      <c r="N18" s="99">
        <f>IF(J18=0,"n/a",IF(AND(L18/J18&lt;1,L18/J18&gt;-1),L18/J18,"n/a"))</f>
        <v>3.2594210410627468E-2</v>
      </c>
      <c r="O18" s="96"/>
      <c r="P18" s="73">
        <f>IF(B54=0,"n/a",B18/B54)</f>
        <v>4.565966755843128E-3</v>
      </c>
      <c r="Q18" s="73">
        <f>IF(D54=0,"n/a",D18/D54)</f>
        <v>2.2406453058480843E-4</v>
      </c>
      <c r="R18" s="73">
        <f>IF(J54=0,"n/a",J18/J54)</f>
        <v>4.3730733973934592E-3</v>
      </c>
    </row>
    <row r="19" spans="1:20" x14ac:dyDescent="0.25">
      <c r="A19" s="88" t="s">
        <v>58</v>
      </c>
      <c r="B19" s="94">
        <v>33512906.949999999</v>
      </c>
      <c r="C19" s="94"/>
      <c r="D19" s="94">
        <v>2106094000</v>
      </c>
      <c r="E19" s="94"/>
      <c r="F19" s="94">
        <f>B19-D19</f>
        <v>-2072581093.05</v>
      </c>
      <c r="G19" s="94"/>
      <c r="H19" s="99">
        <f>IF(D19=0,"n/a",IF(AND(F19/D19&lt;1,F19/D19&gt;-1),F19/D19,"n/a"))</f>
        <v>-0.98408764900806889</v>
      </c>
      <c r="I19" s="94"/>
      <c r="J19" s="94">
        <v>61281977.329999998</v>
      </c>
      <c r="K19" s="94"/>
      <c r="L19" s="94">
        <f>B19-J19</f>
        <v>-27769070.379999999</v>
      </c>
      <c r="M19" s="94"/>
      <c r="N19" s="99">
        <f>IF(J19=0,"n/a",IF(AND(L19/J19&lt;1,L19/J19&gt;-1),L19/J19,"n/a"))</f>
        <v>-0.45313600490508193</v>
      </c>
      <c r="O19" s="93"/>
      <c r="P19" s="156">
        <f>IF(B55=0,"n/a",B19/B55)</f>
        <v>2.4881252218033223E-2</v>
      </c>
      <c r="Q19" s="156">
        <f>IF(D55=0,"n/a",D19/D55)</f>
        <v>1.0049486501794369</v>
      </c>
      <c r="R19" s="156">
        <f>IF(J55=0,"n/a",J19/J55)</f>
        <v>3.4991918846263216E-2</v>
      </c>
    </row>
    <row r="20" spans="1:20" ht="6" customHeight="1" x14ac:dyDescent="0.25">
      <c r="A20" s="87"/>
      <c r="B20" s="157"/>
      <c r="C20" s="100"/>
      <c r="D20" s="157"/>
      <c r="E20" s="100"/>
      <c r="F20" s="157"/>
      <c r="G20" s="100"/>
      <c r="H20" s="157" t="s">
        <v>56</v>
      </c>
      <c r="I20" s="100"/>
      <c r="J20" s="157"/>
      <c r="K20" s="100"/>
      <c r="L20" s="157"/>
      <c r="M20" s="100"/>
      <c r="N20" s="157" t="s">
        <v>56</v>
      </c>
      <c r="O20" s="102"/>
      <c r="P20" s="102"/>
      <c r="Q20" s="102"/>
      <c r="R20" s="102"/>
    </row>
    <row r="21" spans="1:20" x14ac:dyDescent="0.25">
      <c r="A21" s="103" t="s">
        <v>78</v>
      </c>
      <c r="B21" s="94">
        <f>SUM(B17:B19)</f>
        <v>1964824527.1300001</v>
      </c>
      <c r="C21" s="94"/>
      <c r="D21" s="94">
        <f>SUM(D18:D19)</f>
        <v>2110838000</v>
      </c>
      <c r="E21" s="94"/>
      <c r="F21" s="94">
        <f>SUM(F18:F19)</f>
        <v>-2067847749.9199998</v>
      </c>
      <c r="G21" s="94"/>
      <c r="H21" s="99">
        <f>IF(D21=0,"n/a",IF(AND(F21/D21&lt;1,F21/D21&gt;-1),F21/D21,"n/a"))</f>
        <v>-0.97963356255667178</v>
      </c>
      <c r="I21" s="94"/>
      <c r="J21" s="94">
        <f>SUM(J17:J19)</f>
        <v>2146128680.8499997</v>
      </c>
      <c r="K21" s="94"/>
      <c r="L21" s="94">
        <f>SUM(L17:L19)</f>
        <v>-181304153.71999997</v>
      </c>
      <c r="M21" s="94"/>
      <c r="N21" s="99">
        <f>IF(J21=0,"n/a",IF(AND(L21/J21&lt;1,L21/J21&gt;-1),L21/J21,"n/a"))</f>
        <v>-8.4479628522643999E-2</v>
      </c>
      <c r="O21" s="93"/>
      <c r="P21" s="92"/>
      <c r="Q21" s="104"/>
      <c r="R21" s="104"/>
      <c r="S21" s="94"/>
      <c r="T21" s="225"/>
    </row>
    <row r="22" spans="1:20" ht="6.6" customHeight="1" x14ac:dyDescent="0.25">
      <c r="A22" s="105"/>
      <c r="B22" s="95"/>
      <c r="C22" s="95"/>
      <c r="D22" s="95"/>
      <c r="E22" s="95"/>
      <c r="F22" s="95"/>
      <c r="G22" s="95"/>
      <c r="H22" s="106" t="s">
        <v>56</v>
      </c>
      <c r="I22" s="95"/>
      <c r="J22" s="95"/>
      <c r="K22" s="95"/>
      <c r="L22" s="95"/>
      <c r="M22" s="95"/>
      <c r="N22" s="106" t="s">
        <v>56</v>
      </c>
      <c r="O22" s="96"/>
      <c r="P22" s="106"/>
      <c r="Q22" s="106"/>
      <c r="R22" s="106"/>
    </row>
    <row r="23" spans="1:20" x14ac:dyDescent="0.25">
      <c r="A23" s="88" t="s">
        <v>90</v>
      </c>
      <c r="B23" s="95">
        <v>842066.54</v>
      </c>
      <c r="C23" s="95"/>
      <c r="D23" s="95">
        <v>19608000</v>
      </c>
      <c r="E23" s="95"/>
      <c r="F23" s="95">
        <f>B23-D23</f>
        <v>-18765933.460000001</v>
      </c>
      <c r="G23" s="95"/>
      <c r="H23" s="99">
        <f>IF(D23=0,"n/a",IF(AND(F23/D23&lt;1,F23/D23&gt;-1),F23/D23,"n/a"))</f>
        <v>-0.95705495002039986</v>
      </c>
      <c r="I23" s="95"/>
      <c r="J23" s="95">
        <v>1308956.94</v>
      </c>
      <c r="K23" s="95"/>
      <c r="L23" s="95">
        <f>B23-J23</f>
        <v>-466890.39999999991</v>
      </c>
      <c r="M23" s="95"/>
      <c r="N23" s="99">
        <f>IF(J23=0,"n/a",IF(AND(L23/J23&lt;1,L23/J23&gt;-1),L23/J23,"n/a"))</f>
        <v>-0.35668889153832661</v>
      </c>
      <c r="O23" s="96"/>
      <c r="P23" s="106"/>
      <c r="Q23" s="106"/>
      <c r="R23" s="106"/>
      <c r="S23" s="94"/>
      <c r="T23" s="220"/>
    </row>
    <row r="24" spans="1:20" x14ac:dyDescent="0.25">
      <c r="A24" s="88" t="s">
        <v>84</v>
      </c>
      <c r="B24" s="95">
        <v>22823996.34</v>
      </c>
      <c r="C24" s="95"/>
      <c r="D24" s="95">
        <v>20057000</v>
      </c>
      <c r="E24" s="95"/>
      <c r="F24" s="95">
        <f>B24-D24</f>
        <v>2766996.34</v>
      </c>
      <c r="G24" s="95"/>
      <c r="H24" s="99">
        <f>IF(D24=0,"n/a",IF(AND(F24/D24&lt;1,F24/D24&gt;-1),F24/D24,"n/a"))</f>
        <v>0.13795664057436305</v>
      </c>
      <c r="I24" s="95"/>
      <c r="J24" s="95">
        <v>22509882.91</v>
      </c>
      <c r="K24" s="95"/>
      <c r="L24" s="95">
        <f>B24-J24</f>
        <v>314113.4299999997</v>
      </c>
      <c r="M24" s="95"/>
      <c r="N24" s="99">
        <f>IF(J24=0,"n/a",IF(AND(L24/J24&lt;1,L24/J24&gt;-1),L24/J24,"n/a"))</f>
        <v>1.3954467522372362E-2</v>
      </c>
      <c r="O24" s="96"/>
      <c r="P24" s="106"/>
      <c r="Q24" s="106"/>
      <c r="R24" s="106"/>
      <c r="T24" s="220"/>
    </row>
    <row r="25" spans="1:20" x14ac:dyDescent="0.25">
      <c r="A25" s="88" t="s">
        <v>94</v>
      </c>
      <c r="B25" s="95">
        <v>43315371.359999999</v>
      </c>
      <c r="C25" s="95"/>
      <c r="D25" s="95">
        <v>7478000</v>
      </c>
      <c r="E25" s="95"/>
      <c r="F25" s="95">
        <f>B25-D25</f>
        <v>35837371.359999999</v>
      </c>
      <c r="G25" s="95"/>
      <c r="H25" s="99" t="str">
        <f>IF(D25=0,"n/a",IF(AND(F25/D25&lt;1,F25/D25&gt;-1),F25/D25,"n/a"))</f>
        <v>n/a</v>
      </c>
      <c r="I25" s="95"/>
      <c r="J25" s="95">
        <v>-5642212</v>
      </c>
      <c r="K25" s="95"/>
      <c r="L25" s="95">
        <f>B25-J25</f>
        <v>48957583.359999999</v>
      </c>
      <c r="M25" s="95"/>
      <c r="N25" s="99" t="str">
        <f>IF(J25=0,"n/a",IF(AND(L25/J25&lt;1,L25/J25&gt;-1),L25/J25,"n/a"))</f>
        <v>n/a</v>
      </c>
      <c r="O25" s="96"/>
      <c r="P25" s="106"/>
      <c r="Q25" s="106"/>
      <c r="R25" s="106"/>
      <c r="S25" s="94"/>
      <c r="T25" s="220"/>
    </row>
    <row r="26" spans="1:20" x14ac:dyDescent="0.25">
      <c r="A26" s="88" t="s">
        <v>91</v>
      </c>
      <c r="B26" s="155">
        <v>13728517.32</v>
      </c>
      <c r="C26" s="95"/>
      <c r="D26" s="155">
        <v>47143000</v>
      </c>
      <c r="E26" s="95"/>
      <c r="F26" s="155">
        <f>B26-D26</f>
        <v>-33414482.68</v>
      </c>
      <c r="G26" s="95"/>
      <c r="H26" s="158">
        <f>IF(D26=0,"n/a",IF(AND(F26/D26&lt;1,F26/D26&gt;-1),F26/D26,"n/a"))</f>
        <v>-0.70878990900027572</v>
      </c>
      <c r="I26" s="95"/>
      <c r="J26" s="155">
        <v>3823765.05</v>
      </c>
      <c r="K26" s="95"/>
      <c r="L26" s="155">
        <f>B26-J26</f>
        <v>9904752.2699999996</v>
      </c>
      <c r="M26" s="95"/>
      <c r="N26" s="158" t="str">
        <f>IF(J26=0,"n/a",IF(AND(L26/J26&lt;1,L26/J26&gt;-1),L26/J26,"n/a"))</f>
        <v>n/a</v>
      </c>
      <c r="O26" s="96"/>
      <c r="P26" s="106"/>
      <c r="Q26" s="106"/>
      <c r="R26" s="106"/>
      <c r="T26" s="225"/>
    </row>
    <row r="27" spans="1:20" x14ac:dyDescent="0.25">
      <c r="A27" s="88" t="s">
        <v>85</v>
      </c>
      <c r="B27" s="155">
        <f>SUM(B23:B26)</f>
        <v>80709951.560000002</v>
      </c>
      <c r="C27" s="94"/>
      <c r="D27" s="155">
        <f>SUM(D23:D26)</f>
        <v>94286000</v>
      </c>
      <c r="E27" s="94"/>
      <c r="F27" s="155">
        <f>SUM(F23:F26)</f>
        <v>-13576048.440000001</v>
      </c>
      <c r="G27" s="94"/>
      <c r="H27" s="158">
        <f>IF(D27=0,"n/a",IF(AND(F27/D27&lt;1,F27/D27&gt;-1),F27/D27,"n/a"))</f>
        <v>-0.14398795621831451</v>
      </c>
      <c r="I27" s="94"/>
      <c r="J27" s="155">
        <f>SUM(J23:J26)</f>
        <v>22000392.900000002</v>
      </c>
      <c r="K27" s="94"/>
      <c r="L27" s="155">
        <f>SUM(L23:L26)</f>
        <v>58709558.659999996</v>
      </c>
      <c r="M27" s="94"/>
      <c r="N27" s="158" t="str">
        <f>IF(J27=0,"n/a",IF(AND(L27/J27&lt;1,L27/J27&gt;-1),L27/J27,"n/a"))</f>
        <v>n/a</v>
      </c>
      <c r="O27" s="93"/>
      <c r="P27" s="104"/>
      <c r="Q27" s="104"/>
      <c r="R27" s="104"/>
    </row>
    <row r="28" spans="1:20" ht="6.6" customHeight="1" x14ac:dyDescent="0.25">
      <c r="A28" s="105"/>
      <c r="B28" s="95"/>
      <c r="C28" s="95"/>
      <c r="D28" s="95"/>
      <c r="E28" s="95"/>
      <c r="F28" s="95"/>
      <c r="G28" s="95"/>
      <c r="H28" s="106" t="s">
        <v>56</v>
      </c>
      <c r="I28" s="95"/>
      <c r="J28" s="95"/>
      <c r="K28" s="95"/>
      <c r="L28" s="95"/>
      <c r="M28" s="95"/>
      <c r="N28" s="106" t="s">
        <v>56</v>
      </c>
      <c r="O28" s="96"/>
      <c r="P28" s="106"/>
      <c r="Q28" s="106"/>
      <c r="R28" s="106"/>
    </row>
    <row r="29" spans="1:20" ht="13.95" thickBot="1" x14ac:dyDescent="0.3">
      <c r="A29" s="107" t="s">
        <v>77</v>
      </c>
      <c r="B29" s="123">
        <f>+B27+B21</f>
        <v>2045534478.6900001</v>
      </c>
      <c r="C29" s="94"/>
      <c r="D29" s="123">
        <f>+D27+D21</f>
        <v>2205124000</v>
      </c>
      <c r="E29" s="94"/>
      <c r="F29" s="123">
        <f>+F27+F21</f>
        <v>-2081423798.3599999</v>
      </c>
      <c r="G29" s="94"/>
      <c r="H29" s="108">
        <f>IF(D29=0,"n/a",IF(AND(F29/D29&lt;1,F29/D29&gt;-1),F29/D29,"n/a"))</f>
        <v>-0.94390328995557615</v>
      </c>
      <c r="I29" s="94"/>
      <c r="J29" s="123">
        <f>+J27+J21</f>
        <v>2168129073.7499995</v>
      </c>
      <c r="K29" s="94"/>
      <c r="L29" s="123">
        <f>+L27+L21</f>
        <v>-122594595.05999997</v>
      </c>
      <c r="M29" s="94"/>
      <c r="N29" s="108">
        <f>IF(J29=0,"n/a",IF(AND(L29/J29&lt;1,L29/J29&gt;-1),L29/J29,"n/a"))</f>
        <v>-5.6543956051454153E-2</v>
      </c>
      <c r="O29" s="93"/>
      <c r="P29" s="104"/>
      <c r="Q29" s="104"/>
      <c r="R29" s="104"/>
    </row>
    <row r="30" spans="1:20" ht="4.2" customHeight="1" thickTop="1" x14ac:dyDescent="0.25">
      <c r="A30" s="109"/>
      <c r="B30" s="95"/>
      <c r="C30" s="94"/>
      <c r="D30" s="95"/>
      <c r="E30" s="94"/>
      <c r="F30" s="95"/>
      <c r="G30" s="94"/>
      <c r="H30" s="95"/>
      <c r="I30" s="94"/>
      <c r="J30" s="95"/>
      <c r="K30" s="94"/>
      <c r="L30" s="95"/>
      <c r="M30" s="94"/>
      <c r="N30" s="110"/>
      <c r="O30" s="93"/>
      <c r="P30" s="104"/>
      <c r="Q30" s="104"/>
      <c r="R30" s="104"/>
    </row>
    <row r="31" spans="1:20" ht="13.2" customHeight="1" x14ac:dyDescent="0.25">
      <c r="A31" s="87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94"/>
      <c r="O31" s="111"/>
      <c r="P31" s="102"/>
      <c r="Q31" s="102"/>
      <c r="R31" s="102"/>
    </row>
    <row r="32" spans="1:20" x14ac:dyDescent="0.25">
      <c r="A32" s="88" t="s">
        <v>76</v>
      </c>
      <c r="B32" s="89">
        <v>77093333.989999995</v>
      </c>
      <c r="C32" s="94"/>
      <c r="D32" s="89">
        <v>-103471550</v>
      </c>
      <c r="E32" s="94"/>
      <c r="F32" s="89"/>
      <c r="G32" s="94"/>
      <c r="H32" s="94"/>
      <c r="I32" s="94"/>
      <c r="J32" s="89">
        <v>80476142.489999995</v>
      </c>
      <c r="K32" s="94"/>
      <c r="L32" s="94"/>
      <c r="M32" s="94"/>
      <c r="N32" s="94"/>
      <c r="O32" s="104"/>
      <c r="P32" s="92"/>
      <c r="Q32" s="104"/>
      <c r="R32" s="104"/>
    </row>
    <row r="33" spans="1:18" x14ac:dyDescent="0.25">
      <c r="A33" s="88" t="s">
        <v>75</v>
      </c>
      <c r="B33" s="95">
        <v>-144640386.16999999</v>
      </c>
      <c r="C33" s="226"/>
      <c r="D33" s="226">
        <v>99139343</v>
      </c>
      <c r="E33" s="226"/>
      <c r="F33" s="226"/>
      <c r="G33" s="226"/>
      <c r="H33" s="226"/>
      <c r="I33" s="226"/>
      <c r="J33" s="95">
        <v>-90336303.790000007</v>
      </c>
      <c r="K33" s="94"/>
      <c r="L33" s="94"/>
      <c r="M33" s="94"/>
      <c r="N33" s="94"/>
      <c r="O33" s="93"/>
      <c r="P33" s="92"/>
      <c r="Q33" s="104"/>
      <c r="R33" s="104"/>
    </row>
    <row r="34" spans="1:18" ht="12" customHeight="1" x14ac:dyDescent="0.25">
      <c r="A34" s="88" t="s">
        <v>74</v>
      </c>
      <c r="B34" s="95">
        <v>99490229.469999999</v>
      </c>
      <c r="C34" s="227"/>
      <c r="D34" s="226">
        <v>-57620967</v>
      </c>
      <c r="E34" s="227"/>
      <c r="F34" s="226"/>
      <c r="G34" s="227"/>
      <c r="H34" s="227"/>
      <c r="I34" s="227"/>
      <c r="J34" s="95">
        <v>92349698.260000005</v>
      </c>
      <c r="K34" s="112"/>
      <c r="L34" s="112"/>
      <c r="M34" s="112"/>
      <c r="N34" s="112"/>
      <c r="O34" s="87"/>
      <c r="P34" s="84"/>
      <c r="Q34" s="87"/>
      <c r="R34" s="87"/>
    </row>
    <row r="35" spans="1:18" x14ac:dyDescent="0.25">
      <c r="A35" s="88" t="s">
        <v>86</v>
      </c>
      <c r="B35" s="95">
        <v>-55217624.590000004</v>
      </c>
      <c r="C35" s="226"/>
      <c r="D35" s="226">
        <v>16298907</v>
      </c>
      <c r="E35" s="226"/>
      <c r="F35" s="226"/>
      <c r="G35" s="226"/>
      <c r="H35" s="226"/>
      <c r="I35" s="226"/>
      <c r="J35" s="95">
        <v>-63308423.68</v>
      </c>
      <c r="K35" s="94"/>
      <c r="L35" s="94"/>
      <c r="M35" s="94"/>
      <c r="N35" s="94"/>
      <c r="O35" s="104"/>
      <c r="P35" s="92"/>
      <c r="Q35" s="104"/>
      <c r="R35" s="104"/>
    </row>
    <row r="36" spans="1:18" x14ac:dyDescent="0.25">
      <c r="A36" s="88" t="s">
        <v>73</v>
      </c>
      <c r="B36" s="95">
        <v>15822534.99</v>
      </c>
      <c r="C36" s="226"/>
      <c r="D36" s="226">
        <v>-6126624</v>
      </c>
      <c r="E36" s="226"/>
      <c r="F36" s="226"/>
      <c r="G36" s="226"/>
      <c r="H36" s="226"/>
      <c r="I36" s="226"/>
      <c r="J36" s="95">
        <v>15710712.83</v>
      </c>
      <c r="K36" s="94"/>
      <c r="L36" s="94"/>
      <c r="M36" s="94"/>
      <c r="N36" s="94"/>
      <c r="O36" s="104"/>
      <c r="P36" s="92"/>
      <c r="Q36" s="104"/>
      <c r="R36" s="104"/>
    </row>
    <row r="37" spans="1:18" x14ac:dyDescent="0.25">
      <c r="A37" s="88" t="s">
        <v>83</v>
      </c>
      <c r="B37" s="95">
        <v>-5916226.9800000004</v>
      </c>
      <c r="C37" s="226"/>
      <c r="D37" s="226">
        <v>0</v>
      </c>
      <c r="E37" s="226"/>
      <c r="F37" s="226"/>
      <c r="G37" s="226"/>
      <c r="H37" s="226"/>
      <c r="I37" s="226"/>
      <c r="J37" s="95">
        <v>-6038688.4900000002</v>
      </c>
      <c r="K37" s="94"/>
      <c r="L37" s="94"/>
      <c r="M37" s="94"/>
      <c r="N37" s="94"/>
      <c r="O37" s="104"/>
      <c r="P37" s="92"/>
      <c r="Q37" s="104"/>
      <c r="R37" s="104"/>
    </row>
    <row r="38" spans="1:18" x14ac:dyDescent="0.25">
      <c r="A38" s="88" t="s">
        <v>128</v>
      </c>
      <c r="B38" s="95">
        <v>-52450495.469999999</v>
      </c>
      <c r="C38" s="226"/>
      <c r="D38" s="226"/>
      <c r="E38" s="226"/>
      <c r="F38" s="226"/>
      <c r="G38" s="226"/>
      <c r="H38" s="226"/>
      <c r="I38" s="226"/>
      <c r="J38" s="95">
        <v>0</v>
      </c>
      <c r="K38" s="94"/>
      <c r="L38" s="94"/>
      <c r="M38" s="94"/>
      <c r="N38" s="94"/>
      <c r="O38" s="104"/>
      <c r="P38" s="92"/>
      <c r="Q38" s="104"/>
      <c r="R38" s="104"/>
    </row>
    <row r="39" spans="1:18" x14ac:dyDescent="0.25">
      <c r="A39" s="88" t="s">
        <v>87</v>
      </c>
      <c r="B39" s="95">
        <v>-13821076.24</v>
      </c>
      <c r="C39" s="226"/>
      <c r="D39" s="226" t="e">
        <v>#REF!</v>
      </c>
      <c r="E39" s="226"/>
      <c r="F39" s="226"/>
      <c r="G39" s="226"/>
      <c r="H39" s="226"/>
      <c r="I39" s="226"/>
      <c r="J39" s="95">
        <v>-8776502.9700000007</v>
      </c>
      <c r="K39" s="94"/>
      <c r="L39" s="94"/>
      <c r="M39" s="94"/>
      <c r="N39" s="94"/>
      <c r="O39" s="104"/>
      <c r="P39" s="92"/>
      <c r="Q39" s="104"/>
      <c r="R39" s="104"/>
    </row>
    <row r="40" spans="1:18" x14ac:dyDescent="0.25">
      <c r="A40" s="88" t="s">
        <v>129</v>
      </c>
      <c r="B40" s="95">
        <v>40087390.620999999</v>
      </c>
      <c r="C40" s="226"/>
      <c r="D40" s="226" t="e">
        <v>#REF!</v>
      </c>
      <c r="E40" s="226"/>
      <c r="F40" s="226"/>
      <c r="G40" s="226"/>
      <c r="H40" s="226"/>
      <c r="I40" s="226"/>
      <c r="J40" s="95">
        <v>0</v>
      </c>
      <c r="K40" s="94"/>
      <c r="L40" s="94"/>
      <c r="M40" s="94"/>
      <c r="N40" s="94"/>
      <c r="O40" s="104"/>
      <c r="P40" s="92"/>
      <c r="Q40" s="104"/>
      <c r="R40" s="104"/>
    </row>
    <row r="41" spans="1:18" ht="12.75" customHeight="1" x14ac:dyDescent="0.25">
      <c r="A41" s="68"/>
      <c r="B41" s="94"/>
      <c r="C41" s="222"/>
      <c r="D41" s="94"/>
      <c r="E41" s="113"/>
      <c r="F41" s="94"/>
      <c r="G41" s="113"/>
      <c r="H41" s="113"/>
      <c r="I41" s="113"/>
      <c r="J41" s="94"/>
      <c r="K41" s="113"/>
      <c r="L41" s="113"/>
      <c r="M41" s="113"/>
      <c r="N41" s="113"/>
      <c r="O41" s="78"/>
      <c r="P41" s="78"/>
      <c r="Q41" s="78"/>
      <c r="R41" s="78"/>
    </row>
    <row r="42" spans="1:18" ht="13.2" customHeight="1" x14ac:dyDescent="0.25">
      <c r="A42" s="81"/>
      <c r="B42" s="80"/>
      <c r="C42" s="80"/>
      <c r="D42" s="80"/>
      <c r="E42" s="80"/>
      <c r="F42" s="146" t="s">
        <v>72</v>
      </c>
      <c r="G42" s="146"/>
      <c r="H42" s="146"/>
      <c r="I42" s="80"/>
      <c r="J42" s="80"/>
      <c r="K42" s="78"/>
      <c r="L42" s="146" t="s">
        <v>133</v>
      </c>
      <c r="M42" s="146"/>
      <c r="N42" s="146"/>
      <c r="O42" s="80"/>
      <c r="P42" s="80"/>
      <c r="Q42" s="78"/>
      <c r="R42" s="78"/>
    </row>
    <row r="43" spans="1:18" x14ac:dyDescent="0.25">
      <c r="A43" s="80"/>
      <c r="B43" s="82" t="s">
        <v>71</v>
      </c>
      <c r="C43" s="80"/>
      <c r="D43" s="82"/>
      <c r="E43" s="81"/>
      <c r="F43" s="82"/>
      <c r="G43" s="78"/>
      <c r="H43" s="78"/>
      <c r="I43" s="80"/>
      <c r="J43" s="82" t="s">
        <v>71</v>
      </c>
      <c r="K43" s="78"/>
      <c r="L43" s="78"/>
      <c r="M43" s="78"/>
      <c r="N43" s="78"/>
      <c r="O43" s="114"/>
      <c r="P43" s="80"/>
      <c r="Q43" s="78"/>
      <c r="R43" s="78"/>
    </row>
    <row r="44" spans="1:18" ht="13.2" customHeight="1" x14ac:dyDescent="0.25">
      <c r="A44" s="67" t="s">
        <v>70</v>
      </c>
      <c r="B44" s="149">
        <v>2015</v>
      </c>
      <c r="C44" s="80"/>
      <c r="D44" s="149" t="s">
        <v>69</v>
      </c>
      <c r="E44" s="80"/>
      <c r="F44" s="149" t="s">
        <v>68</v>
      </c>
      <c r="G44" s="80"/>
      <c r="H44" s="151" t="s">
        <v>67</v>
      </c>
      <c r="I44" s="80"/>
      <c r="J44" s="149">
        <v>2014</v>
      </c>
      <c r="K44" s="78"/>
      <c r="L44" s="150" t="s">
        <v>68</v>
      </c>
      <c r="M44" s="80"/>
      <c r="N44" s="151" t="s">
        <v>67</v>
      </c>
      <c r="O44" s="82"/>
      <c r="P44" s="80"/>
      <c r="Q44" s="78"/>
      <c r="R44" s="78"/>
    </row>
    <row r="45" spans="1:18" ht="6" customHeight="1" x14ac:dyDescent="0.25">
      <c r="A45" s="84"/>
      <c r="B45" s="115"/>
      <c r="C45" s="112"/>
      <c r="D45" s="115"/>
      <c r="E45" s="112"/>
      <c r="F45" s="115"/>
      <c r="G45" s="112"/>
      <c r="H45" s="115"/>
      <c r="I45" s="112"/>
      <c r="J45" s="115"/>
      <c r="K45" s="112"/>
      <c r="L45" s="115"/>
      <c r="M45" s="112"/>
      <c r="N45" s="115"/>
      <c r="O45" s="85"/>
      <c r="P45" s="84"/>
      <c r="Q45" s="87"/>
      <c r="R45" s="87"/>
    </row>
    <row r="46" spans="1:18" x14ac:dyDescent="0.25">
      <c r="A46" s="88" t="s">
        <v>66</v>
      </c>
      <c r="B46" s="124">
        <v>10067148561.82</v>
      </c>
      <c r="C46" s="98"/>
      <c r="D46" s="124">
        <v>0</v>
      </c>
      <c r="E46" s="98"/>
      <c r="F46" s="124">
        <v>10067148561.82</v>
      </c>
      <c r="G46" s="98"/>
      <c r="H46" s="99" t="s">
        <v>57</v>
      </c>
      <c r="I46" s="98"/>
      <c r="J46" s="124">
        <v>10713674554.707001</v>
      </c>
      <c r="K46" s="98"/>
      <c r="L46" s="124">
        <v>-646525992.88699996</v>
      </c>
      <c r="M46" s="98"/>
      <c r="N46" s="99">
        <v>-6.0345868225290818E-2</v>
      </c>
      <c r="O46" s="116"/>
      <c r="P46" s="84"/>
      <c r="Q46" s="87"/>
      <c r="R46" s="87"/>
    </row>
    <row r="47" spans="1:18" ht="12.75" customHeight="1" x14ac:dyDescent="0.25">
      <c r="A47" s="88" t="s">
        <v>65</v>
      </c>
      <c r="B47" s="124">
        <v>8893540951.4389992</v>
      </c>
      <c r="C47" s="98"/>
      <c r="D47" s="124">
        <v>10579572000</v>
      </c>
      <c r="E47" s="98"/>
      <c r="F47" s="124">
        <v>-1686031048.5610008</v>
      </c>
      <c r="G47" s="98"/>
      <c r="H47" s="99">
        <v>-0.15936665949822931</v>
      </c>
      <c r="I47" s="98"/>
      <c r="J47" s="124">
        <v>9041913419.3169994</v>
      </c>
      <c r="K47" s="98"/>
      <c r="L47" s="124">
        <v>-148372467.87799999</v>
      </c>
      <c r="M47" s="98"/>
      <c r="N47" s="99">
        <v>-1.6409410375575972E-2</v>
      </c>
      <c r="O47" s="116"/>
      <c r="P47" s="84"/>
      <c r="Q47" s="87"/>
      <c r="R47" s="87"/>
    </row>
    <row r="48" spans="1:18" x14ac:dyDescent="0.25">
      <c r="A48" s="88" t="s">
        <v>64</v>
      </c>
      <c r="B48" s="124">
        <v>1246463777.9389999</v>
      </c>
      <c r="C48" s="98"/>
      <c r="D48" s="124">
        <v>9278955000</v>
      </c>
      <c r="E48" s="98"/>
      <c r="F48" s="124">
        <v>-8032491222.0609999</v>
      </c>
      <c r="G48" s="98"/>
      <c r="H48" s="99">
        <v>-0.86566765568547321</v>
      </c>
      <c r="I48" s="98"/>
      <c r="J48" s="124">
        <v>1209997177.799</v>
      </c>
      <c r="K48" s="98"/>
      <c r="L48" s="124">
        <v>36466600.140000001</v>
      </c>
      <c r="M48" s="98"/>
      <c r="N48" s="99">
        <v>3.0137756359343914E-2</v>
      </c>
      <c r="O48" s="116"/>
      <c r="P48" s="84"/>
      <c r="Q48" s="87"/>
      <c r="R48" s="87"/>
    </row>
    <row r="49" spans="1:18" x14ac:dyDescent="0.25">
      <c r="A49" s="88" t="s">
        <v>63</v>
      </c>
      <c r="B49" s="124">
        <v>87704825.942000002</v>
      </c>
      <c r="C49" s="98"/>
      <c r="D49" s="124">
        <v>1197275000</v>
      </c>
      <c r="E49" s="98"/>
      <c r="F49" s="124">
        <v>-1109570174.0580001</v>
      </c>
      <c r="G49" s="98"/>
      <c r="H49" s="99">
        <v>-0.92674629810026943</v>
      </c>
      <c r="I49" s="98"/>
      <c r="J49" s="124">
        <v>89277587.221000001</v>
      </c>
      <c r="K49" s="98"/>
      <c r="L49" s="124">
        <v>-1572761.2790000001</v>
      </c>
      <c r="M49" s="98"/>
      <c r="N49" s="99">
        <v>-1.7616529836393842E-2</v>
      </c>
      <c r="O49" s="116"/>
      <c r="P49" s="117"/>
      <c r="Q49" s="87"/>
      <c r="R49" s="87"/>
    </row>
    <row r="50" spans="1:18" ht="12.75" customHeight="1" x14ac:dyDescent="0.25">
      <c r="A50" s="88" t="s">
        <v>62</v>
      </c>
      <c r="B50" s="124">
        <v>6797720</v>
      </c>
      <c r="C50" s="118"/>
      <c r="D50" s="124">
        <v>99540000</v>
      </c>
      <c r="E50" s="118"/>
      <c r="F50" s="124">
        <v>-92742280</v>
      </c>
      <c r="G50" s="118"/>
      <c r="H50" s="99">
        <v>-0.93170865983524209</v>
      </c>
      <c r="I50" s="118"/>
      <c r="J50" s="124">
        <v>7356378</v>
      </c>
      <c r="K50" s="118"/>
      <c r="L50" s="124">
        <v>-558658</v>
      </c>
      <c r="M50" s="118"/>
      <c r="N50" s="99">
        <v>-7.5941992105354017E-2</v>
      </c>
      <c r="O50" s="116"/>
      <c r="P50" s="84"/>
      <c r="Q50" s="87"/>
      <c r="R50" s="87"/>
    </row>
    <row r="51" spans="1:18" ht="6" customHeight="1" x14ac:dyDescent="0.25">
      <c r="A51" s="84"/>
      <c r="B51" s="159"/>
      <c r="C51" s="119"/>
      <c r="D51" s="159"/>
      <c r="E51" s="119"/>
      <c r="F51" s="159"/>
      <c r="G51" s="119"/>
      <c r="H51" s="159"/>
      <c r="I51" s="119"/>
      <c r="J51" s="159"/>
      <c r="K51" s="119"/>
      <c r="L51" s="159"/>
      <c r="M51" s="119"/>
      <c r="N51" s="159"/>
      <c r="O51" s="78"/>
      <c r="P51" s="78"/>
      <c r="Q51" s="78"/>
      <c r="R51" s="78"/>
    </row>
    <row r="52" spans="1:18" x14ac:dyDescent="0.25">
      <c r="A52" s="97" t="s">
        <v>60</v>
      </c>
      <c r="B52" s="124">
        <v>20301655837.139999</v>
      </c>
      <c r="C52" s="98"/>
      <c r="D52" s="124">
        <v>21155342000</v>
      </c>
      <c r="E52" s="98"/>
      <c r="F52" s="124">
        <v>-853686162.86000109</v>
      </c>
      <c r="G52" s="98"/>
      <c r="H52" s="99">
        <v>-4.0353219667164972E-2</v>
      </c>
      <c r="I52" s="98"/>
      <c r="J52" s="124">
        <v>21062219117.044003</v>
      </c>
      <c r="K52" s="98"/>
      <c r="L52" s="124">
        <v>-760563279.90400004</v>
      </c>
      <c r="M52" s="98"/>
      <c r="N52" s="99">
        <v>-3.6110310868836031E-2</v>
      </c>
      <c r="O52" s="116"/>
      <c r="P52" s="84"/>
      <c r="Q52" s="87"/>
      <c r="R52" s="87"/>
    </row>
    <row r="53" spans="1:18" ht="6" customHeight="1" x14ac:dyDescent="0.25">
      <c r="A53" s="87"/>
      <c r="B53" s="159"/>
      <c r="C53" s="119"/>
      <c r="D53" s="159"/>
      <c r="E53" s="119"/>
      <c r="F53" s="159"/>
      <c r="G53" s="119"/>
      <c r="H53" s="159"/>
      <c r="I53" s="119"/>
      <c r="J53" s="159"/>
      <c r="K53" s="119"/>
      <c r="L53" s="159"/>
      <c r="M53" s="119"/>
      <c r="N53" s="159"/>
      <c r="O53" s="78"/>
      <c r="P53" s="78"/>
      <c r="Q53" s="78"/>
      <c r="R53" s="78"/>
    </row>
    <row r="54" spans="1:18" x14ac:dyDescent="0.25">
      <c r="A54" s="88" t="s">
        <v>59</v>
      </c>
      <c r="B54" s="124">
        <v>2075648737.0109999</v>
      </c>
      <c r="C54" s="118"/>
      <c r="D54" s="124">
        <v>21172472000</v>
      </c>
      <c r="E54" s="118"/>
      <c r="F54" s="124">
        <v>-19096823262.988998</v>
      </c>
      <c r="G54" s="118"/>
      <c r="H54" s="99">
        <v>-0.90196474285048045</v>
      </c>
      <c r="I54" s="118"/>
      <c r="J54" s="124">
        <v>2098795635.461</v>
      </c>
      <c r="K54" s="118"/>
      <c r="L54" s="124">
        <v>-23146898.449999999</v>
      </c>
      <c r="M54" s="118"/>
      <c r="N54" s="99">
        <v>-1.1028657606730628E-2</v>
      </c>
      <c r="O54" s="116"/>
      <c r="P54" s="84"/>
      <c r="Q54" s="87"/>
      <c r="R54" s="87"/>
    </row>
    <row r="55" spans="1:18" x14ac:dyDescent="0.25">
      <c r="A55" s="88" t="s">
        <v>58</v>
      </c>
      <c r="B55" s="124">
        <v>1346914000</v>
      </c>
      <c r="C55" s="118"/>
      <c r="D55" s="124">
        <v>2095723000</v>
      </c>
      <c r="E55" s="118"/>
      <c r="F55" s="124">
        <v>-748809000</v>
      </c>
      <c r="G55" s="118"/>
      <c r="H55" s="99">
        <v>-0.35730342225570844</v>
      </c>
      <c r="I55" s="118"/>
      <c r="J55" s="124">
        <v>1751318000</v>
      </c>
      <c r="K55" s="118"/>
      <c r="L55" s="124">
        <v>-404404000</v>
      </c>
      <c r="M55" s="118"/>
      <c r="N55" s="99">
        <v>-0.23091408870347932</v>
      </c>
      <c r="O55" s="116"/>
      <c r="P55" s="84"/>
      <c r="Q55" s="87"/>
      <c r="R55" s="87"/>
    </row>
    <row r="56" spans="1:18" ht="6" customHeight="1" x14ac:dyDescent="0.25">
      <c r="A56" s="78"/>
      <c r="B56" s="160"/>
      <c r="C56" s="98"/>
      <c r="D56" s="160"/>
      <c r="E56" s="98"/>
      <c r="F56" s="160"/>
      <c r="G56" s="98"/>
      <c r="H56" s="160"/>
      <c r="I56" s="98"/>
      <c r="J56" s="160"/>
      <c r="K56" s="98"/>
      <c r="L56" s="160"/>
      <c r="M56" s="98"/>
      <c r="N56" s="160"/>
      <c r="O56" s="78"/>
      <c r="P56" s="78"/>
      <c r="Q56" s="78"/>
      <c r="R56" s="78"/>
    </row>
    <row r="57" spans="1:18" ht="13.8" thickBot="1" x14ac:dyDescent="0.3">
      <c r="A57" s="97" t="s">
        <v>55</v>
      </c>
      <c r="B57" s="125">
        <v>23724218574.151001</v>
      </c>
      <c r="C57" s="98"/>
      <c r="D57" s="125">
        <v>23268195000</v>
      </c>
      <c r="E57" s="98"/>
      <c r="F57" s="125">
        <v>-19845632262.988998</v>
      </c>
      <c r="G57" s="98"/>
      <c r="H57" s="108">
        <v>-0.85290811182341386</v>
      </c>
      <c r="I57" s="98"/>
      <c r="J57" s="125">
        <v>24912332752.505001</v>
      </c>
      <c r="K57" s="98"/>
      <c r="L57" s="125">
        <v>-1188114178.3540001</v>
      </c>
      <c r="M57" s="98"/>
      <c r="N57" s="108">
        <v>-4.76918075138721E-2</v>
      </c>
      <c r="O57" s="116"/>
      <c r="P57" s="87"/>
      <c r="Q57" s="87"/>
      <c r="R57" s="87"/>
    </row>
    <row r="58" spans="1:18" ht="13.8" thickTop="1" x14ac:dyDescent="0.25">
      <c r="A58" s="80"/>
      <c r="B58" s="120"/>
      <c r="C58" s="121"/>
      <c r="D58" s="120"/>
      <c r="E58" s="121"/>
      <c r="F58" s="120"/>
      <c r="G58" s="122"/>
      <c r="H58" s="120"/>
      <c r="I58" s="121"/>
      <c r="J58" s="120"/>
      <c r="K58" s="121"/>
      <c r="L58" s="120"/>
      <c r="M58" s="121"/>
      <c r="N58" s="120"/>
      <c r="O58" s="224"/>
      <c r="P58" s="218"/>
      <c r="Q58" s="218"/>
      <c r="R58" s="218"/>
    </row>
  </sheetData>
  <printOptions horizontalCentered="1"/>
  <pageMargins left="0.25" right="0.25" top="0.25" bottom="0.38" header="0" footer="0"/>
  <pageSetup scale="80" orientation="landscape" r:id="rId1"/>
  <headerFooter alignWithMargins="0">
    <oddFooter>&amp;C5d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zoomScale="90" zoomScaleNormal="90" workbookViewId="0">
      <selection activeCell="B15" sqref="B15"/>
    </sheetView>
  </sheetViews>
  <sheetFormatPr defaultColWidth="9.109375" defaultRowHeight="13.2" x14ac:dyDescent="0.25"/>
  <cols>
    <col min="1" max="1" width="41.88671875" style="212" customWidth="1"/>
    <col min="2" max="2" width="17.44140625" style="212" customWidth="1"/>
    <col min="3" max="3" width="4" style="212" customWidth="1"/>
    <col min="4" max="4" width="17.109375" style="212" hidden="1" customWidth="1"/>
    <col min="5" max="5" width="0.6640625" style="212" hidden="1" customWidth="1"/>
    <col min="6" max="6" width="16.109375" style="212" hidden="1" customWidth="1"/>
    <col min="7" max="7" width="0.6640625" style="212" hidden="1" customWidth="1"/>
    <col min="8" max="8" width="7.6640625" style="212" hidden="1" customWidth="1"/>
    <col min="9" max="9" width="0.6640625" style="212" hidden="1" customWidth="1"/>
    <col min="10" max="10" width="17.44140625" style="212" bestFit="1" customWidth="1"/>
    <col min="11" max="11" width="0.6640625" style="212" customWidth="1"/>
    <col min="12" max="12" width="16.109375" style="212" bestFit="1" customWidth="1"/>
    <col min="13" max="13" width="0.6640625" style="212" customWidth="1"/>
    <col min="14" max="14" width="7.6640625" style="161" bestFit="1" customWidth="1"/>
    <col min="15" max="15" width="0.6640625" style="212" customWidth="1"/>
    <col min="16" max="16" width="7.6640625" style="212" customWidth="1"/>
    <col min="17" max="17" width="9.109375" style="212" hidden="1" customWidth="1"/>
    <col min="18" max="18" width="7.88671875" style="212" customWidth="1"/>
    <col min="19" max="19" width="9.109375" style="212"/>
    <col min="20" max="20" width="17.6640625" style="212" bestFit="1" customWidth="1"/>
    <col min="21" max="16384" width="9.109375" style="212"/>
  </cols>
  <sheetData>
    <row r="1" spans="1:18" ht="13.95" x14ac:dyDescent="0.25">
      <c r="A1" s="211" t="s">
        <v>30</v>
      </c>
      <c r="B1" s="211"/>
      <c r="C1" s="211"/>
      <c r="D1" s="74"/>
      <c r="E1" s="211"/>
      <c r="F1" s="211"/>
      <c r="G1" s="211"/>
      <c r="H1" s="211"/>
      <c r="I1" s="211"/>
      <c r="J1" s="211"/>
      <c r="K1" s="211"/>
      <c r="L1" s="211"/>
      <c r="M1" s="211"/>
      <c r="N1" s="74"/>
      <c r="O1" s="211"/>
      <c r="P1" s="211"/>
      <c r="Q1" s="211"/>
      <c r="R1" s="211"/>
    </row>
    <row r="2" spans="1:18" ht="13.95" x14ac:dyDescent="0.25">
      <c r="A2" s="211" t="s">
        <v>82</v>
      </c>
      <c r="B2" s="211"/>
      <c r="C2" s="211"/>
      <c r="D2" s="74"/>
      <c r="E2" s="211"/>
      <c r="F2" s="211"/>
      <c r="G2" s="211"/>
      <c r="H2" s="211"/>
      <c r="I2" s="211"/>
      <c r="J2" s="211"/>
      <c r="K2" s="211"/>
      <c r="L2" s="211"/>
      <c r="M2" s="211"/>
      <c r="N2" s="74"/>
      <c r="O2" s="211"/>
      <c r="P2" s="211"/>
      <c r="Q2" s="211"/>
      <c r="R2" s="211"/>
    </row>
    <row r="3" spans="1:18" ht="13.95" x14ac:dyDescent="0.25">
      <c r="A3" s="211" t="s">
        <v>142</v>
      </c>
      <c r="B3" s="211"/>
      <c r="C3" s="211"/>
      <c r="D3" s="74"/>
      <c r="E3" s="211"/>
      <c r="F3" s="211"/>
      <c r="G3" s="213"/>
      <c r="H3" s="211"/>
      <c r="I3" s="211"/>
      <c r="J3" s="211"/>
      <c r="K3" s="211"/>
      <c r="L3" s="211"/>
      <c r="M3" s="211"/>
      <c r="N3" s="74"/>
      <c r="O3" s="211"/>
      <c r="P3" s="214"/>
      <c r="Q3" s="211"/>
      <c r="R3" s="211"/>
    </row>
    <row r="4" spans="1:18" x14ac:dyDescent="0.25">
      <c r="A4" s="215" t="s">
        <v>81</v>
      </c>
      <c r="B4" s="216"/>
      <c r="C4" s="216"/>
      <c r="D4" s="75"/>
      <c r="E4" s="216"/>
      <c r="F4" s="216"/>
      <c r="G4" s="216"/>
      <c r="H4" s="216"/>
      <c r="I4" s="216"/>
      <c r="J4" s="216"/>
      <c r="K4" s="216"/>
      <c r="L4" s="216"/>
      <c r="M4" s="216"/>
      <c r="N4" s="75"/>
      <c r="O4" s="216"/>
      <c r="P4" s="216"/>
      <c r="Q4" s="216"/>
      <c r="R4" s="216"/>
    </row>
    <row r="5" spans="1:18" x14ac:dyDescent="0.25">
      <c r="A5" s="76" t="s">
        <v>56</v>
      </c>
      <c r="B5" s="217"/>
      <c r="C5" s="217"/>
      <c r="D5" s="77"/>
      <c r="E5" s="217"/>
      <c r="F5" s="218"/>
      <c r="G5" s="218"/>
      <c r="H5" s="218"/>
      <c r="I5" s="218"/>
      <c r="J5" s="218"/>
      <c r="K5" s="217"/>
      <c r="L5" s="217"/>
      <c r="M5" s="217"/>
      <c r="N5" s="77"/>
      <c r="O5" s="217"/>
      <c r="P5" s="217"/>
      <c r="Q5" s="217"/>
      <c r="R5" s="217"/>
    </row>
    <row r="6" spans="1:18" x14ac:dyDescent="0.25">
      <c r="A6" s="79" t="s">
        <v>56</v>
      </c>
      <c r="B6" s="80"/>
      <c r="C6" s="80"/>
      <c r="D6" s="80"/>
      <c r="E6" s="80"/>
      <c r="F6" s="146" t="s">
        <v>72</v>
      </c>
      <c r="G6" s="146"/>
      <c r="H6" s="146"/>
      <c r="I6" s="80"/>
      <c r="J6" s="80"/>
      <c r="K6" s="78"/>
      <c r="L6" s="146" t="s">
        <v>111</v>
      </c>
      <c r="M6" s="146"/>
      <c r="N6" s="146"/>
      <c r="O6" s="61"/>
      <c r="P6" s="147" t="s">
        <v>89</v>
      </c>
      <c r="Q6" s="148"/>
      <c r="R6" s="148"/>
    </row>
    <row r="7" spans="1:18" x14ac:dyDescent="0.25">
      <c r="A7" s="81"/>
      <c r="B7" s="82" t="s">
        <v>71</v>
      </c>
      <c r="C7" s="80"/>
      <c r="D7" s="83"/>
      <c r="E7" s="81"/>
      <c r="F7" s="78"/>
      <c r="G7" s="78"/>
      <c r="H7" s="78"/>
      <c r="I7" s="80"/>
      <c r="J7" s="82" t="s">
        <v>71</v>
      </c>
      <c r="K7" s="78"/>
      <c r="L7" s="78"/>
      <c r="M7" s="78"/>
      <c r="N7" s="78"/>
      <c r="O7" s="78"/>
      <c r="P7" s="78"/>
      <c r="Q7" s="62"/>
      <c r="R7" s="78"/>
    </row>
    <row r="8" spans="1:18" ht="13.2" customHeight="1" x14ac:dyDescent="0.25">
      <c r="A8" s="81"/>
      <c r="B8" s="81"/>
      <c r="C8" s="80"/>
      <c r="D8" s="81"/>
      <c r="E8" s="81"/>
      <c r="F8" s="63"/>
      <c r="G8" s="64"/>
      <c r="H8" s="78"/>
      <c r="I8" s="80"/>
      <c r="J8" s="81"/>
      <c r="K8" s="65"/>
      <c r="L8" s="64"/>
      <c r="M8" s="61"/>
      <c r="N8" s="65"/>
      <c r="O8" s="61"/>
      <c r="P8" s="64"/>
      <c r="Q8" s="66"/>
      <c r="R8" s="65"/>
    </row>
    <row r="9" spans="1:18" ht="12.75" customHeight="1" x14ac:dyDescent="0.25">
      <c r="A9" s="67" t="s">
        <v>80</v>
      </c>
      <c r="B9" s="149">
        <v>2014</v>
      </c>
      <c r="C9" s="80"/>
      <c r="D9" s="150" t="s">
        <v>69</v>
      </c>
      <c r="E9" s="80"/>
      <c r="F9" s="150" t="s">
        <v>68</v>
      </c>
      <c r="G9" s="80"/>
      <c r="H9" s="151" t="s">
        <v>67</v>
      </c>
      <c r="I9" s="80"/>
      <c r="J9" s="149">
        <v>2013</v>
      </c>
      <c r="K9" s="78"/>
      <c r="L9" s="150" t="s">
        <v>68</v>
      </c>
      <c r="M9" s="80"/>
      <c r="N9" s="151" t="s">
        <v>67</v>
      </c>
      <c r="O9" s="63"/>
      <c r="P9" s="149">
        <v>2014</v>
      </c>
      <c r="Q9" s="150" t="s">
        <v>69</v>
      </c>
      <c r="R9" s="149">
        <v>2013</v>
      </c>
    </row>
    <row r="10" spans="1:18" ht="6.6" customHeight="1" x14ac:dyDescent="0.25">
      <c r="A10" s="84"/>
      <c r="B10" s="85"/>
      <c r="C10" s="84"/>
      <c r="D10" s="85"/>
      <c r="E10" s="84"/>
      <c r="F10" s="85"/>
      <c r="G10" s="84"/>
      <c r="H10" s="86"/>
      <c r="I10" s="84"/>
      <c r="J10" s="85"/>
      <c r="K10" s="87"/>
      <c r="L10" s="85"/>
      <c r="M10" s="84"/>
      <c r="N10" s="86"/>
      <c r="O10" s="85"/>
      <c r="P10" s="85"/>
      <c r="Q10" s="85"/>
      <c r="R10" s="85"/>
    </row>
    <row r="11" spans="1:18" x14ac:dyDescent="0.25">
      <c r="A11" s="88" t="s">
        <v>66</v>
      </c>
      <c r="B11" s="89">
        <v>1106429878.5699999</v>
      </c>
      <c r="C11" s="89"/>
      <c r="D11" s="89">
        <v>856914000</v>
      </c>
      <c r="E11" s="89"/>
      <c r="F11" s="89">
        <f>B11-D11</f>
        <v>249515878.56999993</v>
      </c>
      <c r="G11" s="90"/>
      <c r="H11" s="91">
        <f>IF(D11=0,"n/a",IF(AND(F11/D11&lt;1,F11/D11&gt;-1),F11/D11,"n/a"))</f>
        <v>0.29117960328574388</v>
      </c>
      <c r="I11" s="92"/>
      <c r="J11" s="89">
        <v>1119036610.3399999</v>
      </c>
      <c r="K11" s="89"/>
      <c r="L11" s="89">
        <f>B11-J11</f>
        <v>-12606731.769999981</v>
      </c>
      <c r="M11" s="92"/>
      <c r="N11" s="91">
        <f>IF(J11=0,"n/a",IF(AND(L11/J11&lt;1,L11/J11&gt;-1),L11/J11,"n/a"))</f>
        <v>-1.1265700919445025E-2</v>
      </c>
      <c r="O11" s="93"/>
      <c r="P11" s="70">
        <f>IF(B47=0,"n/a",B11/B47)</f>
        <v>0.10334824067701344</v>
      </c>
      <c r="Q11" s="72">
        <f>IF(D47=0,"n/a",D11/D47)</f>
        <v>8.1187945269853845E-2</v>
      </c>
      <c r="R11" s="72">
        <f>IF(J47=0,"n/a",J11/J47)</f>
        <v>0.10401638981950689</v>
      </c>
    </row>
    <row r="12" spans="1:18" x14ac:dyDescent="0.25">
      <c r="A12" s="88" t="s">
        <v>65</v>
      </c>
      <c r="B12" s="94">
        <v>834180415.07000005</v>
      </c>
      <c r="C12" s="94"/>
      <c r="D12" s="94">
        <v>110095000</v>
      </c>
      <c r="E12" s="94"/>
      <c r="F12" s="94">
        <f>B12-D12</f>
        <v>724085415.07000005</v>
      </c>
      <c r="G12" s="94"/>
      <c r="H12" s="91" t="str">
        <f>IF(D12=0,"n/a",IF(AND(F12/D12&lt;1,F12/D12&gt;-1),F12/D12,"n/a"))</f>
        <v>n/a</v>
      </c>
      <c r="I12" s="94"/>
      <c r="J12" s="94">
        <v>855235041.72000003</v>
      </c>
      <c r="K12" s="94"/>
      <c r="L12" s="94">
        <f>B12-J12</f>
        <v>-21054626.649999976</v>
      </c>
      <c r="M12" s="94"/>
      <c r="N12" s="91">
        <f>IF(J12=0,"n/a",IF(AND(L12/J12&lt;1,L12/J12&gt;-1),L12/J12,"n/a"))</f>
        <v>-2.4618526630592812E-2</v>
      </c>
      <c r="O12" s="93"/>
      <c r="P12" s="71">
        <f>IF(B48=0,"n/a",B12/B48)</f>
        <v>9.33872775855243E-2</v>
      </c>
      <c r="Q12" s="73">
        <f>IF(D48=0,"n/a",D12/D48)</f>
        <v>1.1968514311612301E-2</v>
      </c>
      <c r="R12" s="73">
        <f>IF(J48=0,"n/a",J12/J48)</f>
        <v>9.3949200120676632E-2</v>
      </c>
    </row>
    <row r="13" spans="1:18" x14ac:dyDescent="0.25">
      <c r="A13" s="88" t="s">
        <v>64</v>
      </c>
      <c r="B13" s="94">
        <v>106034239.93000001</v>
      </c>
      <c r="C13" s="94"/>
      <c r="D13" s="94">
        <v>17452000</v>
      </c>
      <c r="E13" s="94"/>
      <c r="F13" s="94">
        <f>B13-D13</f>
        <v>88582239.930000007</v>
      </c>
      <c r="G13" s="94"/>
      <c r="H13" s="91" t="str">
        <f>IF(D13=0,"n/a",IF(AND(F13/D13&lt;1,F13/D13&gt;-1),F13/D13,"n/a"))</f>
        <v>n/a</v>
      </c>
      <c r="I13" s="94"/>
      <c r="J13" s="94">
        <v>109237854.45999999</v>
      </c>
      <c r="K13" s="94"/>
      <c r="L13" s="94">
        <f>B13-J13</f>
        <v>-3203614.5299999863</v>
      </c>
      <c r="M13" s="94"/>
      <c r="N13" s="91">
        <f>IF(J13=0,"n/a",IF(AND(L13/J13&lt;1,L13/J13&gt;-1),L13/J13,"n/a"))</f>
        <v>-2.9326963128638389E-2</v>
      </c>
      <c r="O13" s="93"/>
      <c r="P13" s="71">
        <f>IF(B49=0,"n/a",B13/B49)</f>
        <v>8.8445172954220927E-2</v>
      </c>
      <c r="Q13" s="73">
        <f>IF(D49=0,"n/a",D13/D49)</f>
        <v>1.4190452261715131E-2</v>
      </c>
      <c r="R13" s="73">
        <f>IF(J49=0,"n/a",J13/J49)</f>
        <v>9.0482297887654078E-2</v>
      </c>
    </row>
    <row r="14" spans="1:18" x14ac:dyDescent="0.25">
      <c r="A14" s="88" t="s">
        <v>63</v>
      </c>
      <c r="B14" s="94">
        <v>18833448.379999999</v>
      </c>
      <c r="C14" s="94"/>
      <c r="D14" s="94">
        <v>378000</v>
      </c>
      <c r="E14" s="94"/>
      <c r="F14" s="94">
        <f>B14-D14</f>
        <v>18455448.379999999</v>
      </c>
      <c r="G14" s="94"/>
      <c r="H14" s="91" t="str">
        <f>IF(D14=0,"n/a",IF(AND(F14/D14&lt;1,F14/D14&gt;-1),F14/D14,"n/a"))</f>
        <v>n/a</v>
      </c>
      <c r="I14" s="94"/>
      <c r="J14" s="94">
        <v>18907341.829999998</v>
      </c>
      <c r="K14" s="94"/>
      <c r="L14" s="94">
        <f>B14-J14</f>
        <v>-73893.449999999255</v>
      </c>
      <c r="M14" s="94"/>
      <c r="N14" s="91">
        <f>IF(J14=0,"n/a",IF(AND(L14/J14&lt;1,L14/J14&gt;-1),L14/J14,"n/a"))</f>
        <v>-3.9081881876570097E-3</v>
      </c>
      <c r="O14" s="93"/>
      <c r="P14" s="71">
        <f>IF(B50=0,"n/a",B14/B50)</f>
        <v>0.2078338296321548</v>
      </c>
      <c r="Q14" s="73">
        <f>IF(D50=0,"n/a",D14/D50)</f>
        <v>3.9558783515080478E-3</v>
      </c>
      <c r="R14" s="73">
        <f>IF(J50=0,"n/a",J14/J50)</f>
        <v>0.20272147604739016</v>
      </c>
    </row>
    <row r="15" spans="1:18" x14ac:dyDescent="0.25">
      <c r="A15" s="88" t="s">
        <v>62</v>
      </c>
      <c r="B15" s="94">
        <v>352692.47999999998</v>
      </c>
      <c r="C15" s="94" t="s">
        <v>152</v>
      </c>
      <c r="D15" s="94">
        <v>2073444000</v>
      </c>
      <c r="E15" s="95"/>
      <c r="F15" s="94">
        <f>B15-D15</f>
        <v>-2073091307.52</v>
      </c>
      <c r="G15" s="95"/>
      <c r="H15" s="91">
        <f>IF(D15=0,"n/a",IF(AND(F15/D15&lt;1,F15/D15&gt;-1),F15/D15,"n/a"))</f>
        <v>-0.9998299001661004</v>
      </c>
      <c r="I15" s="95"/>
      <c r="J15" s="94">
        <v>357010.46</v>
      </c>
      <c r="K15" s="95"/>
      <c r="L15" s="94">
        <f>B15-J15</f>
        <v>-4317.9800000000396</v>
      </c>
      <c r="M15" s="95"/>
      <c r="N15" s="91">
        <f>IF(J15=0,"n/a",IF(AND(L15/J15&lt;1,L15/J15&gt;-1),L15/J15,"n/a"))</f>
        <v>-1.2094827697765605E-2</v>
      </c>
      <c r="O15" s="96"/>
      <c r="P15" s="71">
        <f>IF(B51=0,"n/a",B15/B51)</f>
        <v>4.8390415667029521E-2</v>
      </c>
      <c r="Q15" s="73">
        <f>IF(D51=0,"n/a",D15/D51)</f>
        <v>277.94155495978555</v>
      </c>
      <c r="R15" s="73">
        <f>IF(J51=0,"n/a",J15/J51)</f>
        <v>4.7584860513800141E-2</v>
      </c>
    </row>
    <row r="16" spans="1:18" ht="8.4" customHeight="1" x14ac:dyDescent="0.25">
      <c r="A16" s="84"/>
      <c r="B16" s="152"/>
      <c r="C16" s="94"/>
      <c r="D16" s="152"/>
      <c r="E16" s="94"/>
      <c r="F16" s="152"/>
      <c r="G16" s="94"/>
      <c r="H16" s="153" t="s">
        <v>56</v>
      </c>
      <c r="I16" s="94"/>
      <c r="J16" s="152"/>
      <c r="K16" s="94"/>
      <c r="L16" s="152"/>
      <c r="M16" s="94"/>
      <c r="N16" s="153" t="s">
        <v>56</v>
      </c>
      <c r="O16" s="93"/>
      <c r="P16" s="154"/>
      <c r="Q16" s="154" t="s">
        <v>79</v>
      </c>
      <c r="R16" s="154" t="s">
        <v>79</v>
      </c>
    </row>
    <row r="17" spans="1:20" x14ac:dyDescent="0.25">
      <c r="A17" s="97" t="s">
        <v>153</v>
      </c>
      <c r="B17" s="94">
        <f>SUM(B11:B15)</f>
        <v>2065830674.4300001</v>
      </c>
      <c r="C17" s="94"/>
      <c r="D17" s="94">
        <f>SUM(D11:D15)</f>
        <v>3058283000</v>
      </c>
      <c r="E17" s="94"/>
      <c r="F17" s="94">
        <f>SUM(F11:F15)</f>
        <v>-992452325.56999993</v>
      </c>
      <c r="G17" s="94"/>
      <c r="H17" s="99">
        <f>IF(D17=0,"n/a",IF(AND(F17/D17&lt;1,F17/D17&gt;-1),F17/D17,"n/a"))</f>
        <v>-0.32451291315094122</v>
      </c>
      <c r="I17" s="94"/>
      <c r="J17" s="94">
        <f>SUM(J11:J15)</f>
        <v>2102773858.8099999</v>
      </c>
      <c r="K17" s="94"/>
      <c r="L17" s="94">
        <f>SUM(L11:L15)</f>
        <v>-36943184.379999943</v>
      </c>
      <c r="M17" s="94"/>
      <c r="N17" s="99">
        <f>IF(J17=0,"n/a",IF(AND(L17/J17&lt;1,L17/J17&gt;-1),L17/J17,"n/a"))</f>
        <v>-1.756878621313411E-2</v>
      </c>
      <c r="O17" s="93"/>
      <c r="P17" s="71">
        <f>IF(B53=0,"n/a",B17/B53)</f>
        <v>9.8677841256580356E-2</v>
      </c>
      <c r="Q17" s="73">
        <f>IF(D53=0,"n/a",D17/D53)</f>
        <v>0.14503670611429648</v>
      </c>
      <c r="R17" s="73">
        <f>IF(J53=0,"n/a",J17/J53)</f>
        <v>9.9330392390987315E-2</v>
      </c>
    </row>
    <row r="18" spans="1:20" x14ac:dyDescent="0.25">
      <c r="A18" s="88" t="s">
        <v>61</v>
      </c>
      <c r="B18" s="155">
        <v>9837841.7300000004</v>
      </c>
      <c r="C18" s="95"/>
      <c r="D18" s="155">
        <v>2075228000</v>
      </c>
      <c r="E18" s="95"/>
      <c r="F18" s="155">
        <f>B18-D18</f>
        <v>-2065390158.27</v>
      </c>
      <c r="G18" s="95"/>
      <c r="H18" s="91">
        <f>IF(D18=0,"n/a",IF(AND(F18/D18&lt;1,F18/D18&gt;-1),F18/D18,"n/a"))</f>
        <v>-0.9952593923511055</v>
      </c>
      <c r="I18" s="95"/>
      <c r="J18" s="155">
        <v>9206990.7200000007</v>
      </c>
      <c r="K18" s="95"/>
      <c r="L18" s="155">
        <f>B18-J18</f>
        <v>630851.00999999978</v>
      </c>
      <c r="M18" s="95"/>
      <c r="N18" s="91">
        <f>IF(J18=0,"n/a",IF(AND(L18/J18&lt;1,L18/J18&gt;-1),L18/J18,"n/a"))</f>
        <v>6.851869727962534E-2</v>
      </c>
      <c r="O18" s="96"/>
      <c r="P18" s="156" t="s">
        <v>57</v>
      </c>
      <c r="Q18" s="156">
        <f>IF(D54=0,"n/a",D18/D54)</f>
        <v>422.99796167957601</v>
      </c>
      <c r="R18" s="156" t="s">
        <v>57</v>
      </c>
    </row>
    <row r="19" spans="1:20" ht="6" customHeight="1" x14ac:dyDescent="0.25">
      <c r="A19" s="87"/>
      <c r="B19" s="100"/>
      <c r="C19" s="100"/>
      <c r="D19" s="100"/>
      <c r="E19" s="100"/>
      <c r="F19" s="100"/>
      <c r="G19" s="100"/>
      <c r="H19" s="157" t="s">
        <v>56</v>
      </c>
      <c r="I19" s="101"/>
      <c r="J19" s="100"/>
      <c r="K19" s="100"/>
      <c r="L19" s="100"/>
      <c r="M19" s="100"/>
      <c r="N19" s="157" t="s">
        <v>56</v>
      </c>
      <c r="O19" s="102"/>
      <c r="P19" s="219"/>
      <c r="Q19" s="219"/>
      <c r="R19" s="219"/>
    </row>
    <row r="20" spans="1:20" x14ac:dyDescent="0.25">
      <c r="A20" s="97" t="s">
        <v>60</v>
      </c>
      <c r="B20" s="94">
        <f>SUM(B17:B18)</f>
        <v>2075668516.1600001</v>
      </c>
      <c r="C20" s="94" t="s">
        <v>154</v>
      </c>
      <c r="D20" s="94">
        <f>SUM(D17:D18)</f>
        <v>5133511000</v>
      </c>
      <c r="E20" s="94"/>
      <c r="F20" s="94">
        <f>SUM(F17:F18)</f>
        <v>-3057842483.8400002</v>
      </c>
      <c r="G20" s="94"/>
      <c r="H20" s="99">
        <f>IF(D20=0,"n/a",IF(AND(F20/D20&lt;1,F20/D20&gt;-1),F20/D20,"n/a"))</f>
        <v>-0.59566298462007783</v>
      </c>
      <c r="I20" s="94"/>
      <c r="J20" s="94">
        <f>SUM(J17:J18)</f>
        <v>2111980849.53</v>
      </c>
      <c r="K20" s="94"/>
      <c r="L20" s="94">
        <f>SUM(L17:L18)</f>
        <v>-36312333.369999945</v>
      </c>
      <c r="M20" s="94"/>
      <c r="N20" s="99">
        <f>IF(J20=0,"n/a",IF(AND(L20/J20&lt;1,L20/J20&gt;-1),L20/J20,"n/a"))</f>
        <v>-1.7193495565114091E-2</v>
      </c>
      <c r="O20" s="93"/>
      <c r="P20" s="71">
        <f>IF(B56=0,"n/a",B20/B56)</f>
        <v>9.8549374338258791E-2</v>
      </c>
      <c r="Q20" s="73">
        <f>IF(D56=0,"n/a",D20/D56)</f>
        <v>0.2433961597682443</v>
      </c>
      <c r="R20" s="73">
        <f>IF(J56=0,"n/a",J20/J56)</f>
        <v>9.9670354905896166E-2</v>
      </c>
    </row>
    <row r="21" spans="1:20" x14ac:dyDescent="0.25">
      <c r="A21" s="88" t="s">
        <v>59</v>
      </c>
      <c r="B21" s="94">
        <v>9178187.3599999994</v>
      </c>
      <c r="C21" s="94" t="s">
        <v>155</v>
      </c>
      <c r="D21" s="94">
        <v>0</v>
      </c>
      <c r="E21" s="94"/>
      <c r="F21" s="94">
        <f>B21-D21</f>
        <v>9178187.3599999994</v>
      </c>
      <c r="G21" s="94"/>
      <c r="H21" s="99" t="str">
        <f>IF(D21=0,"n/a",IF(AND(F21/D21&lt;1,F21/D21&gt;-1),F21/D21,"n/a"))</f>
        <v>n/a</v>
      </c>
      <c r="I21" s="94"/>
      <c r="J21" s="94">
        <v>8669375.9100000001</v>
      </c>
      <c r="K21" s="94"/>
      <c r="L21" s="94">
        <f>B21-J21</f>
        <v>508811.44999999925</v>
      </c>
      <c r="M21" s="94"/>
      <c r="N21" s="99">
        <f>IF(J21=0,"n/a",IF(AND(L21/J21&lt;1,L21/J21&gt;-1),L21/J21,"n/a"))</f>
        <v>5.8690666465747852E-2</v>
      </c>
      <c r="O21" s="96"/>
      <c r="P21" s="73">
        <f>IF(B57=0,"n/a",B21/B57)</f>
        <v>4.3730733973934592E-3</v>
      </c>
      <c r="Q21" s="73">
        <f>IF(D57=0,"n/a",D21/D57)</f>
        <v>0</v>
      </c>
      <c r="R21" s="73">
        <f>IF(J57=0,"n/a",J21/J57)</f>
        <v>4.4600419452023397E-3</v>
      </c>
    </row>
    <row r="22" spans="1:20" x14ac:dyDescent="0.25">
      <c r="A22" s="88" t="s">
        <v>58</v>
      </c>
      <c r="B22" s="94">
        <v>61281977.329999998</v>
      </c>
      <c r="C22" s="94"/>
      <c r="D22" s="94">
        <v>2085205000</v>
      </c>
      <c r="E22" s="94"/>
      <c r="F22" s="94">
        <f>B22-D22</f>
        <v>-2023923022.6700001</v>
      </c>
      <c r="G22" s="94"/>
      <c r="H22" s="99">
        <f>IF(D22=0,"n/a",IF(AND(F22/D22&lt;1,F22/D22&gt;-1),F22/D22,"n/a"))</f>
        <v>-0.97061105391076663</v>
      </c>
      <c r="I22" s="94"/>
      <c r="J22" s="94">
        <v>23404894.739999998</v>
      </c>
      <c r="K22" s="94"/>
      <c r="L22" s="94">
        <f>B22-J22</f>
        <v>37877082.590000004</v>
      </c>
      <c r="M22" s="94"/>
      <c r="N22" s="99" t="str">
        <f>IF(J22=0,"n/a",IF(AND(L22/J22&lt;1,L22/J22&gt;-1),L22/J22,"n/a"))</f>
        <v>n/a</v>
      </c>
      <c r="O22" s="93"/>
      <c r="P22" s="156">
        <f>IF(B58=0,"n/a",B22/B58)</f>
        <v>3.4991918846263216E-2</v>
      </c>
      <c r="Q22" s="156" t="str">
        <f>IF(D58=0,"n/a",D22/D58)</f>
        <v>n/a</v>
      </c>
      <c r="R22" s="156">
        <f>IF(J58=0,"n/a",J22/J58)</f>
        <v>1.7386400839126969E-2</v>
      </c>
    </row>
    <row r="23" spans="1:20" ht="6" customHeight="1" x14ac:dyDescent="0.25">
      <c r="A23" s="87"/>
      <c r="B23" s="157"/>
      <c r="C23" s="100"/>
      <c r="D23" s="157"/>
      <c r="E23" s="100"/>
      <c r="F23" s="157"/>
      <c r="G23" s="100"/>
      <c r="H23" s="157" t="s">
        <v>56</v>
      </c>
      <c r="I23" s="100"/>
      <c r="J23" s="157"/>
      <c r="K23" s="100"/>
      <c r="L23" s="157"/>
      <c r="M23" s="100"/>
      <c r="N23" s="157" t="s">
        <v>56</v>
      </c>
      <c r="O23" s="102"/>
      <c r="P23" s="102"/>
      <c r="Q23" s="102"/>
      <c r="R23" s="102"/>
    </row>
    <row r="24" spans="1:20" x14ac:dyDescent="0.25">
      <c r="A24" s="103" t="s">
        <v>78</v>
      </c>
      <c r="B24" s="94">
        <f>SUM(B20:B22)</f>
        <v>2146128680.8499999</v>
      </c>
      <c r="C24" s="94"/>
      <c r="D24" s="94">
        <f>SUM(D20:D22)</f>
        <v>7218716000</v>
      </c>
      <c r="E24" s="94"/>
      <c r="F24" s="94">
        <f>SUM(F20:F22)</f>
        <v>-5072587319.1499996</v>
      </c>
      <c r="G24" s="94"/>
      <c r="H24" s="99">
        <f>IF(D24=0,"n/a",IF(AND(F24/D24&lt;1,F24/D24&gt;-1),F24/D24,"n/a"))</f>
        <v>-0.7026993885269901</v>
      </c>
      <c r="I24" s="94"/>
      <c r="J24" s="94">
        <f>SUM(J20:J22)</f>
        <v>2144055120.1800001</v>
      </c>
      <c r="K24" s="94"/>
      <c r="L24" s="94">
        <f>SUM(L20:L22)</f>
        <v>2073560.6700000614</v>
      </c>
      <c r="M24" s="94"/>
      <c r="N24" s="99">
        <f>IF(J24=0,"n/a",IF(AND(L24/J24&lt;1,L24/J24&gt;-1),L24/J24,"n/a"))</f>
        <v>9.6712097113715043E-4</v>
      </c>
      <c r="O24" s="93"/>
      <c r="P24" s="92"/>
      <c r="Q24" s="104"/>
      <c r="R24" s="104"/>
      <c r="S24" s="95"/>
      <c r="T24" s="220"/>
    </row>
    <row r="25" spans="1:20" ht="6.6" customHeight="1" x14ac:dyDescent="0.25">
      <c r="A25" s="105"/>
      <c r="B25" s="95"/>
      <c r="C25" s="95"/>
      <c r="D25" s="95"/>
      <c r="E25" s="95"/>
      <c r="F25" s="95"/>
      <c r="G25" s="95"/>
      <c r="H25" s="106" t="s">
        <v>56</v>
      </c>
      <c r="I25" s="95"/>
      <c r="J25" s="95"/>
      <c r="K25" s="95"/>
      <c r="L25" s="95"/>
      <c r="M25" s="95"/>
      <c r="N25" s="106" t="s">
        <v>56</v>
      </c>
      <c r="O25" s="96"/>
      <c r="P25" s="106"/>
      <c r="Q25" s="106"/>
      <c r="R25" s="106"/>
      <c r="S25" s="221"/>
      <c r="T25" s="221"/>
    </row>
    <row r="26" spans="1:20" x14ac:dyDescent="0.25">
      <c r="A26" s="88" t="s">
        <v>90</v>
      </c>
      <c r="B26" s="95">
        <v>1308956.94</v>
      </c>
      <c r="C26" s="95"/>
      <c r="D26" s="95">
        <v>13864000</v>
      </c>
      <c r="E26" s="95"/>
      <c r="F26" s="95">
        <f>B26-D26</f>
        <v>-12555043.060000001</v>
      </c>
      <c r="G26" s="95"/>
      <c r="H26" s="99">
        <f>IF(D26=0,"n/a",IF(AND(F26/D26&lt;1,F26/D26&gt;-1),F26/D26,"n/a"))</f>
        <v>-0.90558591027120605</v>
      </c>
      <c r="I26" s="95"/>
      <c r="J26" s="95">
        <v>-23316092.640000001</v>
      </c>
      <c r="K26" s="95"/>
      <c r="L26" s="95">
        <f>B26-J26</f>
        <v>24625049.580000002</v>
      </c>
      <c r="M26" s="95"/>
      <c r="N26" s="99" t="str">
        <f>IF(J26=0,"n/a",IF(AND(L26/J26&lt;1,L26/J26&gt;-1),L26/J26,"n/a"))</f>
        <v>n/a</v>
      </c>
      <c r="O26" s="96"/>
      <c r="P26" s="106"/>
      <c r="Q26" s="106"/>
      <c r="R26" s="106"/>
      <c r="S26" s="95"/>
      <c r="T26" s="220"/>
    </row>
    <row r="27" spans="1:20" x14ac:dyDescent="0.25">
      <c r="A27" s="88" t="s">
        <v>84</v>
      </c>
      <c r="B27" s="95">
        <v>22509882.91</v>
      </c>
      <c r="C27" s="95"/>
      <c r="D27" s="95">
        <v>17937000</v>
      </c>
      <c r="E27" s="95"/>
      <c r="F27" s="95">
        <f>B27-D27</f>
        <v>4572882.91</v>
      </c>
      <c r="G27" s="95"/>
      <c r="H27" s="99">
        <f>IF(D27=0,"n/a",IF(AND(F27/D27&lt;1,F27/D27&gt;-1),F27/D27,"n/a"))</f>
        <v>0.25494134526397949</v>
      </c>
      <c r="I27" s="95"/>
      <c r="J27" s="95">
        <v>17783489.719999999</v>
      </c>
      <c r="K27" s="95"/>
      <c r="L27" s="95">
        <f>B27-J27</f>
        <v>4726393.1900000013</v>
      </c>
      <c r="M27" s="95"/>
      <c r="N27" s="99">
        <f>IF(J27=0,"n/a",IF(AND(L27/J27&lt;1,L27/J27&gt;-1),L27/J27,"n/a"))</f>
        <v>0.26577422454292066</v>
      </c>
      <c r="O27" s="96"/>
      <c r="P27" s="106"/>
      <c r="Q27" s="106"/>
      <c r="R27" s="106"/>
      <c r="S27" s="221"/>
      <c r="T27" s="220"/>
    </row>
    <row r="28" spans="1:20" x14ac:dyDescent="0.25">
      <c r="A28" s="88" t="s">
        <v>94</v>
      </c>
      <c r="B28" s="95">
        <v>-5642212</v>
      </c>
      <c r="C28" s="95"/>
      <c r="D28" s="95">
        <v>4541000</v>
      </c>
      <c r="E28" s="95"/>
      <c r="F28" s="95">
        <f>B28-D28</f>
        <v>-10183212</v>
      </c>
      <c r="G28" s="95"/>
      <c r="H28" s="99" t="str">
        <f>IF(D28=0,"n/a",IF(AND(F28/D28&lt;1,F28/D28&gt;-1),F28/D28,"n/a"))</f>
        <v>n/a</v>
      </c>
      <c r="I28" s="95"/>
      <c r="J28" s="95">
        <v>0</v>
      </c>
      <c r="K28" s="95"/>
      <c r="L28" s="95">
        <f>B28-J28</f>
        <v>-5642212</v>
      </c>
      <c r="M28" s="95"/>
      <c r="N28" s="99" t="str">
        <f>IF(J28=0,"n/a",IF(AND(L28/J28&lt;1,L28/J28&gt;-1),L28/J28,"n/a"))</f>
        <v>n/a</v>
      </c>
      <c r="O28" s="96"/>
      <c r="P28" s="106"/>
      <c r="Q28" s="106"/>
      <c r="R28" s="106"/>
      <c r="S28" s="95"/>
      <c r="T28" s="220"/>
    </row>
    <row r="29" spans="1:20" x14ac:dyDescent="0.25">
      <c r="A29" s="88" t="s">
        <v>91</v>
      </c>
      <c r="B29" s="155">
        <v>3823765.05</v>
      </c>
      <c r="C29" s="95"/>
      <c r="D29" s="155">
        <v>36342000</v>
      </c>
      <c r="E29" s="95"/>
      <c r="F29" s="155">
        <f>B29-D29</f>
        <v>-32518234.949999999</v>
      </c>
      <c r="G29" s="95"/>
      <c r="H29" s="158">
        <f>IF(D29=0,"n/a",IF(AND(F29/D29&lt;1,F29/D29&gt;-1),F29/D29,"n/a"))</f>
        <v>-0.89478385752022449</v>
      </c>
      <c r="I29" s="95"/>
      <c r="J29" s="155">
        <v>1327367.55</v>
      </c>
      <c r="K29" s="95"/>
      <c r="L29" s="155">
        <f>B29-J29</f>
        <v>2496397.5</v>
      </c>
      <c r="M29" s="95"/>
      <c r="N29" s="158" t="str">
        <f>IF(J29=0,"n/a",IF(AND(L29/J29&lt;1,L29/J29&gt;-1),L29/J29,"n/a"))</f>
        <v>n/a</v>
      </c>
      <c r="O29" s="96"/>
      <c r="P29" s="106"/>
      <c r="Q29" s="106"/>
      <c r="R29" s="106"/>
      <c r="S29" s="221"/>
      <c r="T29" s="220"/>
    </row>
    <row r="30" spans="1:20" x14ac:dyDescent="0.25">
      <c r="A30" s="88" t="s">
        <v>85</v>
      </c>
      <c r="B30" s="155">
        <f>SUM(B26:B29)</f>
        <v>22000392.900000002</v>
      </c>
      <c r="C30" s="94"/>
      <c r="D30" s="155">
        <f>SUM(D26:D29)</f>
        <v>72684000</v>
      </c>
      <c r="E30" s="94"/>
      <c r="F30" s="155">
        <f>SUM(F26:F29)</f>
        <v>-50683607.099999994</v>
      </c>
      <c r="G30" s="94"/>
      <c r="H30" s="158">
        <f>IF(D30=0,"n/a",IF(AND(F30/D30&lt;1,F30/D30&gt;-1),F30/D30,"n/a"))</f>
        <v>-0.6973144997523526</v>
      </c>
      <c r="I30" s="94"/>
      <c r="J30" s="155">
        <f>SUM(J26:J29)</f>
        <v>-4205235.370000002</v>
      </c>
      <c r="K30" s="94"/>
      <c r="L30" s="155">
        <f>SUM(L26:L29)</f>
        <v>26205628.270000003</v>
      </c>
      <c r="M30" s="94"/>
      <c r="N30" s="158" t="str">
        <f>IF(J30=0,"n/a",IF(AND(L30/J30&lt;1,L30/J30&gt;-1),L30/J30,"n/a"))</f>
        <v>n/a</v>
      </c>
      <c r="O30" s="93"/>
      <c r="P30" s="104"/>
      <c r="Q30" s="104"/>
      <c r="R30" s="104"/>
    </row>
    <row r="31" spans="1:20" ht="6.6" customHeight="1" x14ac:dyDescent="0.25">
      <c r="A31" s="105"/>
      <c r="B31" s="95"/>
      <c r="C31" s="95"/>
      <c r="D31" s="95"/>
      <c r="E31" s="95"/>
      <c r="F31" s="95"/>
      <c r="G31" s="95"/>
      <c r="H31" s="106" t="s">
        <v>56</v>
      </c>
      <c r="I31" s="95"/>
      <c r="J31" s="95"/>
      <c r="K31" s="95"/>
      <c r="L31" s="95"/>
      <c r="M31" s="95"/>
      <c r="N31" s="106" t="s">
        <v>56</v>
      </c>
      <c r="O31" s="96"/>
      <c r="P31" s="106"/>
      <c r="Q31" s="106"/>
      <c r="R31" s="106"/>
    </row>
    <row r="32" spans="1:20" ht="13.95" thickBot="1" x14ac:dyDescent="0.3">
      <c r="A32" s="107" t="s">
        <v>77</v>
      </c>
      <c r="B32" s="123">
        <f>+B30+B24</f>
        <v>2168129073.75</v>
      </c>
      <c r="C32" s="94"/>
      <c r="D32" s="123">
        <f>+D30+D24</f>
        <v>7291400000</v>
      </c>
      <c r="E32" s="94"/>
      <c r="F32" s="123">
        <f>+F30+F24</f>
        <v>-5123270926.25</v>
      </c>
      <c r="G32" s="94"/>
      <c r="H32" s="108">
        <f>IF(D32=0,"n/a",IF(AND(F32/D32&lt;1,F32/D32&gt;-1),F32/D32,"n/a"))</f>
        <v>-0.7026457095002332</v>
      </c>
      <c r="I32" s="94"/>
      <c r="J32" s="123">
        <f>+J30+J24</f>
        <v>2139849884.8100002</v>
      </c>
      <c r="K32" s="94"/>
      <c r="L32" s="123">
        <f>+L30+L24</f>
        <v>28279188.940000065</v>
      </c>
      <c r="M32" s="94"/>
      <c r="N32" s="108">
        <f>IF(J32=0,"n/a",IF(AND(L32/J32&lt;1,L32/J32&gt;-1),L32/J32,"n/a"))</f>
        <v>1.3215501302564972E-2</v>
      </c>
      <c r="O32" s="93"/>
      <c r="P32" s="104"/>
      <c r="Q32" s="104"/>
      <c r="R32" s="104"/>
    </row>
    <row r="33" spans="1:18" ht="4.2" customHeight="1" thickTop="1" x14ac:dyDescent="0.25">
      <c r="A33" s="109"/>
      <c r="B33" s="95"/>
      <c r="C33" s="94"/>
      <c r="D33" s="95"/>
      <c r="E33" s="94"/>
      <c r="F33" s="95"/>
      <c r="G33" s="94"/>
      <c r="H33" s="95"/>
      <c r="I33" s="94"/>
      <c r="J33" s="95"/>
      <c r="K33" s="94"/>
      <c r="L33" s="95"/>
      <c r="M33" s="94"/>
      <c r="N33" s="110"/>
      <c r="O33" s="93"/>
      <c r="P33" s="104"/>
      <c r="Q33" s="104"/>
      <c r="R33" s="104"/>
    </row>
    <row r="34" spans="1:18" ht="13.2" customHeight="1" x14ac:dyDescent="0.25">
      <c r="A34" s="87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94"/>
      <c r="O34" s="111"/>
      <c r="P34" s="102"/>
      <c r="Q34" s="102"/>
      <c r="R34" s="102"/>
    </row>
    <row r="35" spans="1:18" x14ac:dyDescent="0.25">
      <c r="A35" s="88" t="s">
        <v>76</v>
      </c>
      <c r="B35" s="89">
        <v>80476142.489999995</v>
      </c>
      <c r="C35" s="94"/>
      <c r="D35" s="89">
        <v>-79059764</v>
      </c>
      <c r="E35" s="94"/>
      <c r="F35" s="89"/>
      <c r="G35" s="94"/>
      <c r="H35" s="94"/>
      <c r="I35" s="94"/>
      <c r="J35" s="89">
        <v>80124381.180000007</v>
      </c>
      <c r="K35" s="94"/>
      <c r="L35" s="94"/>
      <c r="M35" s="94"/>
      <c r="N35" s="94"/>
      <c r="O35" s="104"/>
      <c r="P35" s="92"/>
      <c r="Q35" s="104"/>
      <c r="R35" s="104"/>
    </row>
    <row r="36" spans="1:18" x14ac:dyDescent="0.25">
      <c r="A36" s="88" t="s">
        <v>75</v>
      </c>
      <c r="B36" s="89">
        <v>-90336303.790000007</v>
      </c>
      <c r="C36" s="94"/>
      <c r="D36" s="94">
        <v>91579466</v>
      </c>
      <c r="E36" s="94"/>
      <c r="F36" s="94"/>
      <c r="G36" s="94"/>
      <c r="H36" s="94"/>
      <c r="I36" s="94"/>
      <c r="J36" s="89">
        <v>-76864983.890000001</v>
      </c>
      <c r="K36" s="94"/>
      <c r="L36" s="94"/>
      <c r="M36" s="94"/>
      <c r="N36" s="94"/>
      <c r="O36" s="93"/>
      <c r="P36" s="92"/>
      <c r="Q36" s="104"/>
      <c r="R36" s="104"/>
    </row>
    <row r="37" spans="1:18" ht="12" customHeight="1" x14ac:dyDescent="0.25">
      <c r="A37" s="88" t="s">
        <v>74</v>
      </c>
      <c r="B37" s="89">
        <v>92349698.260000005</v>
      </c>
      <c r="C37" s="112"/>
      <c r="D37" s="94">
        <v>-51164675</v>
      </c>
      <c r="E37" s="112"/>
      <c r="F37" s="94"/>
      <c r="G37" s="112"/>
      <c r="H37" s="112"/>
      <c r="I37" s="112"/>
      <c r="J37" s="89">
        <v>89167785.920000002</v>
      </c>
      <c r="K37" s="112"/>
      <c r="L37" s="112"/>
      <c r="M37" s="112"/>
      <c r="N37" s="112"/>
      <c r="O37" s="87"/>
      <c r="P37" s="84"/>
      <c r="Q37" s="87"/>
      <c r="R37" s="87"/>
    </row>
    <row r="38" spans="1:18" x14ac:dyDescent="0.25">
      <c r="A38" s="88" t="s">
        <v>86</v>
      </c>
      <c r="B38" s="89">
        <v>-63308423.68</v>
      </c>
      <c r="C38" s="94"/>
      <c r="D38" s="94">
        <v>15358149</v>
      </c>
      <c r="E38" s="94"/>
      <c r="F38" s="94"/>
      <c r="G38" s="94"/>
      <c r="H38" s="94"/>
      <c r="I38" s="94"/>
      <c r="J38" s="89">
        <v>-12925218.550000001</v>
      </c>
      <c r="K38" s="94"/>
      <c r="L38" s="94"/>
      <c r="M38" s="94"/>
      <c r="N38" s="94"/>
      <c r="O38" s="104"/>
      <c r="P38" s="92"/>
      <c r="Q38" s="104"/>
      <c r="R38" s="104"/>
    </row>
    <row r="39" spans="1:18" x14ac:dyDescent="0.25">
      <c r="A39" s="88" t="s">
        <v>73</v>
      </c>
      <c r="B39" s="89">
        <v>15710712.83</v>
      </c>
      <c r="C39" s="94"/>
      <c r="D39" s="94">
        <v>-6477307</v>
      </c>
      <c r="E39" s="94"/>
      <c r="F39" s="94"/>
      <c r="G39" s="94"/>
      <c r="H39" s="94"/>
      <c r="I39" s="94"/>
      <c r="J39" s="89">
        <v>13099950.039999999</v>
      </c>
      <c r="K39" s="94"/>
      <c r="L39" s="94"/>
      <c r="M39" s="94"/>
      <c r="N39" s="94"/>
      <c r="O39" s="104"/>
      <c r="P39" s="92"/>
      <c r="Q39" s="104"/>
      <c r="R39" s="104"/>
    </row>
    <row r="40" spans="1:18" x14ac:dyDescent="0.25">
      <c r="A40" s="88" t="s">
        <v>83</v>
      </c>
      <c r="B40" s="89">
        <v>-6038688.4900000002</v>
      </c>
      <c r="C40" s="94"/>
      <c r="D40" s="94">
        <v>0</v>
      </c>
      <c r="E40" s="94"/>
      <c r="F40" s="94"/>
      <c r="G40" s="94"/>
      <c r="H40" s="94"/>
      <c r="I40" s="94"/>
      <c r="J40" s="89">
        <v>-6058186.5999999996</v>
      </c>
      <c r="K40" s="94"/>
      <c r="L40" s="94"/>
      <c r="M40" s="94"/>
      <c r="N40" s="94"/>
      <c r="O40" s="104"/>
      <c r="P40" s="92"/>
      <c r="Q40" s="104"/>
      <c r="R40" s="104"/>
    </row>
    <row r="41" spans="1:18" x14ac:dyDescent="0.25">
      <c r="A41" s="88" t="s">
        <v>87</v>
      </c>
      <c r="B41" s="89">
        <v>-8776502.9700000007</v>
      </c>
      <c r="C41" s="94"/>
      <c r="D41" s="94" t="e">
        <v>#REF!</v>
      </c>
      <c r="E41" s="94"/>
      <c r="F41" s="94"/>
      <c r="G41" s="94"/>
      <c r="H41" s="94"/>
      <c r="I41" s="94"/>
      <c r="J41" s="89">
        <v>-8009430.6299999999</v>
      </c>
      <c r="K41" s="94"/>
      <c r="L41" s="94"/>
      <c r="M41" s="94"/>
      <c r="N41" s="94"/>
      <c r="O41" s="104"/>
      <c r="P41" s="92"/>
      <c r="Q41" s="104"/>
      <c r="R41" s="104"/>
    </row>
    <row r="42" spans="1:18" ht="12.75" customHeight="1" x14ac:dyDescent="0.25">
      <c r="A42" s="68"/>
      <c r="B42" s="94"/>
      <c r="C42" s="222"/>
      <c r="D42" s="94"/>
      <c r="E42" s="113"/>
      <c r="F42" s="94"/>
      <c r="G42" s="113"/>
      <c r="H42" s="113"/>
      <c r="I42" s="113"/>
      <c r="J42" s="94"/>
      <c r="K42" s="113"/>
      <c r="L42" s="113"/>
      <c r="M42" s="113"/>
      <c r="N42" s="113"/>
      <c r="O42" s="78"/>
      <c r="P42" s="78"/>
      <c r="Q42" s="78"/>
      <c r="R42" s="78"/>
    </row>
    <row r="43" spans="1:18" ht="13.2" customHeight="1" x14ac:dyDescent="0.25">
      <c r="A43" s="81"/>
      <c r="B43" s="80"/>
      <c r="C43" s="80"/>
      <c r="D43" s="80"/>
      <c r="E43" s="80"/>
      <c r="F43" s="146" t="s">
        <v>72</v>
      </c>
      <c r="G43" s="146"/>
      <c r="H43" s="146"/>
      <c r="I43" s="80"/>
      <c r="J43" s="80"/>
      <c r="K43" s="78"/>
      <c r="L43" s="146" t="s">
        <v>111</v>
      </c>
      <c r="M43" s="146"/>
      <c r="N43" s="146"/>
      <c r="O43" s="80"/>
      <c r="P43" s="80"/>
      <c r="Q43" s="78"/>
      <c r="R43" s="78"/>
    </row>
    <row r="44" spans="1:18" x14ac:dyDescent="0.25">
      <c r="A44" s="80"/>
      <c r="B44" s="82" t="s">
        <v>71</v>
      </c>
      <c r="C44" s="80"/>
      <c r="D44" s="82"/>
      <c r="E44" s="81"/>
      <c r="F44" s="82"/>
      <c r="G44" s="78"/>
      <c r="H44" s="78"/>
      <c r="I44" s="80"/>
      <c r="J44" s="82" t="s">
        <v>71</v>
      </c>
      <c r="K44" s="78"/>
      <c r="L44" s="78"/>
      <c r="M44" s="78"/>
      <c r="N44" s="78"/>
      <c r="O44" s="114"/>
      <c r="P44" s="80"/>
      <c r="Q44" s="78"/>
      <c r="R44" s="78"/>
    </row>
    <row r="45" spans="1:18" ht="13.2" customHeight="1" x14ac:dyDescent="0.25">
      <c r="A45" s="67" t="s">
        <v>70</v>
      </c>
      <c r="B45" s="149">
        <v>2014</v>
      </c>
      <c r="C45" s="80"/>
      <c r="D45" s="149" t="s">
        <v>69</v>
      </c>
      <c r="E45" s="80"/>
      <c r="F45" s="149" t="s">
        <v>68</v>
      </c>
      <c r="G45" s="80"/>
      <c r="H45" s="151" t="s">
        <v>67</v>
      </c>
      <c r="I45" s="80"/>
      <c r="J45" s="149">
        <v>2013</v>
      </c>
      <c r="K45" s="78"/>
      <c r="L45" s="150" t="s">
        <v>68</v>
      </c>
      <c r="M45" s="80"/>
      <c r="N45" s="151" t="s">
        <v>67</v>
      </c>
      <c r="O45" s="82"/>
      <c r="P45" s="80"/>
      <c r="Q45" s="78"/>
      <c r="R45" s="78"/>
    </row>
    <row r="46" spans="1:18" ht="6" customHeight="1" x14ac:dyDescent="0.25">
      <c r="A46" s="84"/>
      <c r="B46" s="115"/>
      <c r="C46" s="112"/>
      <c r="D46" s="115"/>
      <c r="E46" s="112"/>
      <c r="F46" s="115"/>
      <c r="G46" s="112"/>
      <c r="H46" s="115"/>
      <c r="I46" s="112"/>
      <c r="J46" s="115"/>
      <c r="K46" s="112"/>
      <c r="L46" s="115"/>
      <c r="M46" s="112"/>
      <c r="N46" s="115"/>
      <c r="O46" s="85"/>
      <c r="P46" s="84"/>
      <c r="Q46" s="87"/>
      <c r="R46" s="87"/>
    </row>
    <row r="47" spans="1:18" x14ac:dyDescent="0.25">
      <c r="A47" s="88" t="s">
        <v>66</v>
      </c>
      <c r="B47" s="124">
        <v>10705841447.537001</v>
      </c>
      <c r="C47" s="98"/>
      <c r="D47" s="124">
        <v>10554695000</v>
      </c>
      <c r="E47" s="98"/>
      <c r="F47" s="124">
        <f>B47-D47</f>
        <v>151146447.53700066</v>
      </c>
      <c r="G47" s="98"/>
      <c r="H47" s="99">
        <f>IF(D47=0,"n/a",IF(AND(F47/D47&lt;1,F47/D47&gt;-1),F47/D47,"n/a"))</f>
        <v>1.4320304616760661E-2</v>
      </c>
      <c r="I47" s="98"/>
      <c r="J47" s="124">
        <v>10758271963.503</v>
      </c>
      <c r="K47" s="98"/>
      <c r="L47" s="124">
        <f>+B47-J47</f>
        <v>-52430515.965999603</v>
      </c>
      <c r="M47" s="98"/>
      <c r="N47" s="99">
        <f>IF(J47=0,"n/a",IF(AND(L47/J47&lt;1,L47/J47&gt;-1),L47/J47,"n/a"))</f>
        <v>-4.8735072085803362E-3</v>
      </c>
      <c r="O47" s="116"/>
      <c r="P47" s="84"/>
      <c r="Q47" s="87"/>
      <c r="R47" s="87"/>
    </row>
    <row r="48" spans="1:18" ht="12.75" customHeight="1" x14ac:dyDescent="0.25">
      <c r="A48" s="88" t="s">
        <v>65</v>
      </c>
      <c r="B48" s="124">
        <v>8932484559.3239994</v>
      </c>
      <c r="C48" s="98"/>
      <c r="D48" s="124">
        <v>9198719000</v>
      </c>
      <c r="E48" s="98"/>
      <c r="F48" s="124">
        <f>B48-D48</f>
        <v>-266234440.6760006</v>
      </c>
      <c r="G48" s="98"/>
      <c r="H48" s="99">
        <f>IF(D48=0,"n/a",IF(AND(F48/D48&lt;1,F48/D48&gt;-1),F48/D48,"n/a"))</f>
        <v>-2.8942556096778323E-2</v>
      </c>
      <c r="I48" s="98"/>
      <c r="J48" s="124">
        <v>9103164695.6170006</v>
      </c>
      <c r="K48" s="98"/>
      <c r="L48" s="124">
        <f>+B48-J48</f>
        <v>-170680136.29300117</v>
      </c>
      <c r="M48" s="98"/>
      <c r="N48" s="99">
        <f>IF(J48=0,"n/a",IF(AND(L48/J48&lt;1,L48/J48&gt;-1),L48/J48,"n/a"))</f>
        <v>-1.8749538429770517E-2</v>
      </c>
      <c r="O48" s="116"/>
      <c r="P48" s="84"/>
      <c r="Q48" s="87"/>
      <c r="R48" s="87"/>
    </row>
    <row r="49" spans="1:18" x14ac:dyDescent="0.25">
      <c r="A49" s="88" t="s">
        <v>64</v>
      </c>
      <c r="B49" s="124">
        <v>1198869722.2049999</v>
      </c>
      <c r="C49" s="98"/>
      <c r="D49" s="124">
        <v>1229841000</v>
      </c>
      <c r="E49" s="98"/>
      <c r="F49" s="124">
        <f>B49-D49</f>
        <v>-30971277.795000076</v>
      </c>
      <c r="G49" s="98"/>
      <c r="H49" s="99">
        <f>IF(D49=0,"n/a",IF(AND(F49/D49&lt;1,F49/D49&gt;-1),F49/D49,"n/a"))</f>
        <v>-2.5183156029925883E-2</v>
      </c>
      <c r="I49" s="98"/>
      <c r="J49" s="124">
        <v>1207284264.549</v>
      </c>
      <c r="K49" s="98"/>
      <c r="L49" s="124">
        <f>+B49-J49</f>
        <v>-8414542.3440001011</v>
      </c>
      <c r="M49" s="98"/>
      <c r="N49" s="99">
        <f>IF(J49=0,"n/a",IF(AND(L49/J49&lt;1,L49/J49&gt;-1),L49/J49,"n/a"))</f>
        <v>-6.9698103347213634E-3</v>
      </c>
      <c r="O49" s="116"/>
      <c r="P49" s="84"/>
      <c r="Q49" s="87"/>
      <c r="R49" s="87"/>
    </row>
    <row r="50" spans="1:18" x14ac:dyDescent="0.25">
      <c r="A50" s="88" t="s">
        <v>63</v>
      </c>
      <c r="B50" s="124">
        <v>90617819.116999999</v>
      </c>
      <c r="C50" s="98"/>
      <c r="D50" s="124">
        <v>95554000</v>
      </c>
      <c r="E50" s="98"/>
      <c r="F50" s="124">
        <f>B50-D50</f>
        <v>-4936180.8830000013</v>
      </c>
      <c r="G50" s="98"/>
      <c r="H50" s="99">
        <f>IF(D50=0,"n/a",IF(AND(F50/D50&lt;1,F50/D50&gt;-1),F50/D50,"n/a"))</f>
        <v>-5.1658547868221126E-2</v>
      </c>
      <c r="I50" s="98"/>
      <c r="J50" s="124">
        <v>93267581.702000007</v>
      </c>
      <c r="K50" s="98"/>
      <c r="L50" s="124">
        <f>+B50-J50</f>
        <v>-2649762.5850000083</v>
      </c>
      <c r="M50" s="98"/>
      <c r="N50" s="99">
        <f>IF(J50=0,"n/a",IF(AND(L50/J50&lt;1,L50/J50&gt;-1),L50/J50,"n/a"))</f>
        <v>-2.841032796868569E-2</v>
      </c>
      <c r="O50" s="116"/>
      <c r="P50" s="117"/>
      <c r="Q50" s="87"/>
      <c r="R50" s="87"/>
    </row>
    <row r="51" spans="1:18" ht="12.75" customHeight="1" x14ac:dyDescent="0.25">
      <c r="A51" s="88" t="s">
        <v>62</v>
      </c>
      <c r="B51" s="124">
        <v>7288478</v>
      </c>
      <c r="C51" s="118"/>
      <c r="D51" s="124">
        <v>7460000</v>
      </c>
      <c r="E51" s="118"/>
      <c r="F51" s="124">
        <f>B51-D51</f>
        <v>-171522</v>
      </c>
      <c r="G51" s="118"/>
      <c r="H51" s="99">
        <f>IF(D51=0,"n/a",IF(AND(F51/D51&lt;1,F51/D51&gt;-1),F51/D51,"n/a"))</f>
        <v>-2.2992225201072386E-2</v>
      </c>
      <c r="I51" s="118"/>
      <c r="J51" s="124">
        <v>7502606</v>
      </c>
      <c r="K51" s="118"/>
      <c r="L51" s="124">
        <f>+B51-J51</f>
        <v>-214128</v>
      </c>
      <c r="M51" s="118"/>
      <c r="N51" s="99">
        <f>IF(J51=0,"n/a",IF(AND(L51/J51&lt;1,L51/J51&gt;-1),L51/J51,"n/a"))</f>
        <v>-2.854048313346056E-2</v>
      </c>
      <c r="O51" s="116"/>
      <c r="P51" s="84"/>
      <c r="Q51" s="87"/>
      <c r="R51" s="87"/>
    </row>
    <row r="52" spans="1:18" ht="6" customHeight="1" x14ac:dyDescent="0.25">
      <c r="A52" s="84"/>
      <c r="B52" s="159"/>
      <c r="C52" s="119"/>
      <c r="D52" s="159"/>
      <c r="E52" s="119"/>
      <c r="F52" s="159"/>
      <c r="G52" s="119"/>
      <c r="H52" s="159"/>
      <c r="I52" s="119"/>
      <c r="J52" s="159"/>
      <c r="K52" s="119"/>
      <c r="L52" s="159"/>
      <c r="M52" s="119"/>
      <c r="N52" s="159"/>
      <c r="O52" s="78"/>
      <c r="P52" s="78"/>
      <c r="Q52" s="78"/>
      <c r="R52" s="78"/>
    </row>
    <row r="53" spans="1:18" x14ac:dyDescent="0.25">
      <c r="A53" s="97" t="s">
        <v>153</v>
      </c>
      <c r="B53" s="124">
        <f>SUM(B47:B51)</f>
        <v>20935102026.183002</v>
      </c>
      <c r="C53" s="98"/>
      <c r="D53" s="124">
        <f>SUM(D47:D51)</f>
        <v>21086269000</v>
      </c>
      <c r="E53" s="98"/>
      <c r="F53" s="124">
        <f>SUM(F47:F51)</f>
        <v>-151166973.81700003</v>
      </c>
      <c r="G53" s="98"/>
      <c r="H53" s="99">
        <f>IF(D53=0,"n/a",IF(AND(F53/D53&lt;1,F53/D53&gt;-1),F53/D53,"n/a"))</f>
        <v>-7.1689768264362004E-3</v>
      </c>
      <c r="I53" s="98"/>
      <c r="J53" s="124">
        <f>SUM(J47:J51)</f>
        <v>21169491111.371002</v>
      </c>
      <c r="K53" s="98"/>
      <c r="L53" s="124">
        <f>SUM(L47:L51)</f>
        <v>-234389085.18800089</v>
      </c>
      <c r="M53" s="98"/>
      <c r="N53" s="99">
        <f>IF(J53=0,"n/a",IF(AND(L53/J53&lt;1,L53/J53&gt;-1),L53/J53,"n/a"))</f>
        <v>-1.1072022655381682E-2</v>
      </c>
      <c r="O53" s="116"/>
      <c r="P53" s="84"/>
      <c r="Q53" s="87"/>
      <c r="R53" s="87"/>
    </row>
    <row r="54" spans="1:18" x14ac:dyDescent="0.25">
      <c r="A54" s="88" t="s">
        <v>61</v>
      </c>
      <c r="B54" s="124">
        <v>127117090.861</v>
      </c>
      <c r="C54" s="118"/>
      <c r="D54" s="124">
        <v>4906000</v>
      </c>
      <c r="E54" s="118"/>
      <c r="F54" s="124">
        <f>B54-D54</f>
        <v>122211090.861</v>
      </c>
      <c r="G54" s="118"/>
      <c r="H54" s="99" t="str">
        <f>IF(D54=0,"n/a",IF(AND(F54/D54&lt;1,F54/D54&gt;-1),F54/D54,"n/a"))</f>
        <v>n/a</v>
      </c>
      <c r="I54" s="118"/>
      <c r="J54" s="124">
        <v>20168055.831</v>
      </c>
      <c r="K54" s="118"/>
      <c r="L54" s="124">
        <f>+B54-J54</f>
        <v>106949035.03</v>
      </c>
      <c r="M54" s="98"/>
      <c r="N54" s="99" t="str">
        <f>IF(J54=0,"n/a",IF(AND(L54/J54&lt;1,L54/J54&gt;-1),L54/J54,"n/a"))</f>
        <v>n/a</v>
      </c>
      <c r="O54" s="223"/>
      <c r="P54" s="84"/>
      <c r="Q54" s="87"/>
      <c r="R54" s="87"/>
    </row>
    <row r="55" spans="1:18" ht="6" customHeight="1" x14ac:dyDescent="0.25">
      <c r="A55" s="87"/>
      <c r="B55" s="159"/>
      <c r="C55" s="119"/>
      <c r="D55" s="159"/>
      <c r="E55" s="119"/>
      <c r="F55" s="159"/>
      <c r="G55" s="119"/>
      <c r="H55" s="159"/>
      <c r="I55" s="119"/>
      <c r="J55" s="159"/>
      <c r="K55" s="119"/>
      <c r="L55" s="159"/>
      <c r="M55" s="119"/>
      <c r="N55" s="159"/>
      <c r="O55" s="78"/>
      <c r="P55" s="78"/>
      <c r="Q55" s="78"/>
      <c r="R55" s="78"/>
    </row>
    <row r="56" spans="1:18" ht="12.75" customHeight="1" x14ac:dyDescent="0.25">
      <c r="A56" s="97" t="s">
        <v>60</v>
      </c>
      <c r="B56" s="124">
        <f>SUM(B53:B54)</f>
        <v>21062219117.044003</v>
      </c>
      <c r="C56" s="98"/>
      <c r="D56" s="124">
        <f>SUM(D53:D54)</f>
        <v>21091175000</v>
      </c>
      <c r="E56" s="98"/>
      <c r="F56" s="124">
        <f>SUM(F53:F54)</f>
        <v>-28955882.95600003</v>
      </c>
      <c r="G56" s="98"/>
      <c r="H56" s="99">
        <f>IF(D56=0,"n/a",IF(AND(F56/D56&lt;1,F56/D56&gt;-1),F56/D56,"n/a"))</f>
        <v>-1.3728909345259346E-3</v>
      </c>
      <c r="I56" s="98"/>
      <c r="J56" s="124">
        <f>SUM(J53:J54)</f>
        <v>21189659167.202003</v>
      </c>
      <c r="K56" s="98"/>
      <c r="L56" s="124">
        <f>SUM(L53:L54)</f>
        <v>-127440050.15800089</v>
      </c>
      <c r="M56" s="98"/>
      <c r="N56" s="99">
        <f>IF(J56=0,"n/a",IF(AND(L56/J56&lt;1,L56/J56&gt;-1),L56/J56,"n/a"))</f>
        <v>-6.014256725528481E-3</v>
      </c>
      <c r="O56" s="116"/>
      <c r="P56" s="87"/>
      <c r="Q56" s="87"/>
      <c r="R56" s="87"/>
    </row>
    <row r="57" spans="1:18" x14ac:dyDescent="0.25">
      <c r="A57" s="88" t="s">
        <v>59</v>
      </c>
      <c r="B57" s="124">
        <v>2098795635.461</v>
      </c>
      <c r="C57" s="118"/>
      <c r="D57" s="124">
        <v>2063505000</v>
      </c>
      <c r="E57" s="118"/>
      <c r="F57" s="124">
        <f>B57-D57</f>
        <v>35290635.460999966</v>
      </c>
      <c r="G57" s="118"/>
      <c r="H57" s="99">
        <f>IF(D57=0,"n/a",IF(AND(F57/D57&lt;1,F57/D57&gt;-1),F57/D57,"n/a"))</f>
        <v>1.7102277659128504E-2</v>
      </c>
      <c r="I57" s="118"/>
      <c r="J57" s="124">
        <v>1943787977</v>
      </c>
      <c r="K57" s="118"/>
      <c r="L57" s="124">
        <f>+B57-J57</f>
        <v>155007658.46099997</v>
      </c>
      <c r="M57" s="118"/>
      <c r="N57" s="99">
        <f>IF(J57=0,"n/a",IF(AND(L57/J57&lt;1,L57/J57&gt;-1),L57/J57,"n/a"))</f>
        <v>7.9745147256356327E-2</v>
      </c>
      <c r="O57" s="116"/>
      <c r="P57" s="84"/>
      <c r="Q57" s="87"/>
      <c r="R57" s="87"/>
    </row>
    <row r="58" spans="1:18" x14ac:dyDescent="0.25">
      <c r="A58" s="88" t="s">
        <v>58</v>
      </c>
      <c r="B58" s="124">
        <v>1751318000</v>
      </c>
      <c r="C58" s="118"/>
      <c r="D58" s="124">
        <v>0</v>
      </c>
      <c r="E58" s="118"/>
      <c r="F58" s="124">
        <f>B58-D58</f>
        <v>1751318000</v>
      </c>
      <c r="G58" s="118"/>
      <c r="H58" s="99" t="str">
        <f>IF(D58=0,"n/a",IF(AND(F58/D58&lt;1,F58/D58&gt;-1),F58/D58,"n/a"))</f>
        <v>n/a</v>
      </c>
      <c r="I58" s="118"/>
      <c r="J58" s="124">
        <v>1346161000</v>
      </c>
      <c r="K58" s="118"/>
      <c r="L58" s="124">
        <f>+B58-J58</f>
        <v>405157000</v>
      </c>
      <c r="M58" s="118"/>
      <c r="N58" s="99">
        <f>IF(J58=0,"n/a",IF(AND(L58/J58&lt;1,L58/J58&gt;-1),L58/J58,"n/a"))</f>
        <v>0.30097217197645748</v>
      </c>
      <c r="O58" s="116"/>
      <c r="P58" s="84"/>
      <c r="Q58" s="87"/>
      <c r="R58" s="87"/>
    </row>
    <row r="59" spans="1:18" ht="6" customHeight="1" x14ac:dyDescent="0.25">
      <c r="A59" s="78"/>
      <c r="B59" s="160"/>
      <c r="C59" s="98"/>
      <c r="D59" s="160"/>
      <c r="E59" s="98"/>
      <c r="F59" s="160"/>
      <c r="G59" s="98"/>
      <c r="H59" s="160"/>
      <c r="I59" s="98"/>
      <c r="J59" s="160"/>
      <c r="K59" s="98"/>
      <c r="L59" s="160"/>
      <c r="M59" s="98"/>
      <c r="N59" s="160"/>
      <c r="O59" s="78"/>
      <c r="P59" s="78"/>
      <c r="Q59" s="78"/>
      <c r="R59" s="78"/>
    </row>
    <row r="60" spans="1:18" ht="13.8" thickBot="1" x14ac:dyDescent="0.3">
      <c r="A60" s="97" t="s">
        <v>55</v>
      </c>
      <c r="B60" s="125">
        <f>SUM(B56:B58)</f>
        <v>24912332752.505001</v>
      </c>
      <c r="C60" s="98"/>
      <c r="D60" s="125">
        <f>SUM(D56:D58)</f>
        <v>23154680000</v>
      </c>
      <c r="E60" s="98"/>
      <c r="F60" s="125">
        <f>SUM(F56:F58)</f>
        <v>1757652752.5049999</v>
      </c>
      <c r="G60" s="98"/>
      <c r="H60" s="108">
        <f>IF(D60=0,"n/a",IF(AND(F60/D60&lt;1,F60/D60&gt;-1),F60/D60,"n/a"))</f>
        <v>7.5909179159677431E-2</v>
      </c>
      <c r="I60" s="98"/>
      <c r="J60" s="125">
        <f>SUM(J56:J58)</f>
        <v>24479608144.202003</v>
      </c>
      <c r="K60" s="98"/>
      <c r="L60" s="125">
        <f>SUM(L56:L58)</f>
        <v>432724608.30299908</v>
      </c>
      <c r="M60" s="98"/>
      <c r="N60" s="108">
        <f>IF(J60=0,"n/a",IF(AND(L60/J60&lt;1,L60/J60&gt;-1),L60/J60,"n/a"))</f>
        <v>1.7676941793918786E-2</v>
      </c>
      <c r="O60" s="116"/>
      <c r="P60" s="87"/>
      <c r="Q60" s="87"/>
      <c r="R60" s="87"/>
    </row>
    <row r="61" spans="1:18" ht="13.8" thickTop="1" x14ac:dyDescent="0.25">
      <c r="A61" s="80"/>
      <c r="B61" s="120"/>
      <c r="C61" s="121"/>
      <c r="D61" s="120"/>
      <c r="E61" s="121"/>
      <c r="F61" s="120"/>
      <c r="G61" s="122"/>
      <c r="H61" s="120"/>
      <c r="I61" s="121"/>
      <c r="J61" s="120"/>
      <c r="K61" s="121"/>
      <c r="L61" s="120"/>
      <c r="M61" s="121"/>
      <c r="N61" s="120"/>
      <c r="O61" s="224"/>
      <c r="P61" s="218"/>
      <c r="Q61" s="218"/>
      <c r="R61" s="218"/>
    </row>
  </sheetData>
  <printOptions horizontalCentered="1"/>
  <pageMargins left="0.25" right="0.25" top="0.25" bottom="0.38" header="0" footer="0"/>
  <pageSetup scale="81" orientation="landscape" r:id="rId1"/>
  <headerFooter alignWithMargins="0">
    <oddFooter>&amp;C5d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3DC2CB9-F248-4436-A40F-FFD641244792}"/>
</file>

<file path=customXml/itemProps2.xml><?xml version="1.0" encoding="utf-8"?>
<ds:datastoreItem xmlns:ds="http://schemas.openxmlformats.org/officeDocument/2006/customXml" ds:itemID="{695C3F51-977A-4A06-9CD3-1795F2107CA5}"/>
</file>

<file path=customXml/itemProps3.xml><?xml version="1.0" encoding="utf-8"?>
<ds:datastoreItem xmlns:ds="http://schemas.openxmlformats.org/officeDocument/2006/customXml" ds:itemID="{BAE9C644-3D8D-44D2-888A-E5EC38826390}"/>
</file>

<file path=customXml/itemProps4.xml><?xml version="1.0" encoding="utf-8"?>
<ds:datastoreItem xmlns:ds="http://schemas.openxmlformats.org/officeDocument/2006/customXml" ds:itemID="{5304CC43-FCF9-4CD6-AA0D-4A3BA95BF3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</vt:lpstr>
      <vt:lpstr>3-YR AVERAGE-ELEC</vt:lpstr>
      <vt:lpstr>NetWriteoffs-Elec</vt:lpstr>
      <vt:lpstr>BS Acct-Elec</vt:lpstr>
      <vt:lpstr>SOE 12ME 02-2018</vt:lpstr>
      <vt:lpstr>SOE 12ME 2-2017</vt:lpstr>
      <vt:lpstr>SOE 12ME 2-2016</vt:lpstr>
      <vt:lpstr>SOE 12ME 2-2015</vt:lpstr>
      <vt:lpstr>SOE 12ME 2-2014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KR</cp:lastModifiedBy>
  <cp:lastPrinted>2018-03-01T15:53:07Z</cp:lastPrinted>
  <dcterms:created xsi:type="dcterms:W3CDTF">2010-08-24T19:04:01Z</dcterms:created>
  <dcterms:modified xsi:type="dcterms:W3CDTF">2018-11-05T23:31:39Z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