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me\Documents\Megan's Docs\4 - Energy and Environment\Cascade Natural Gas\2024 MYRC\Zach Harris\Exhibits\"/>
    </mc:Choice>
  </mc:AlternateContent>
  <xr:revisionPtr revIDLastSave="0" documentId="13_ncr:1_{22976F80-7C9F-4341-9357-251137D4C2C8}" xr6:coauthVersionLast="47" xr6:coauthVersionMax="47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Exh. ZLH-2 (COVID Deferral)" sheetId="1" r:id="rId1"/>
    <sheet name="Work Papers --&gt;" sheetId="8" r:id="rId2"/>
    <sheet name="COVID-19 WP" sheetId="6" r:id="rId3"/>
    <sheet name="Bad Debt WP" sheetId="5" r:id="rId4"/>
    <sheet name="Waived Late Payment Charges WP" sheetId="3" r:id="rId5"/>
    <sheet name="Reconnection Fees WP" sheetId="2" r:id="rId6"/>
    <sheet name="Other Direct Benefits WP" sheetId="4" r:id="rId7"/>
    <sheet name="Exh RJA-3 Excerpt WP" sheetId="7" r:id="rId8"/>
  </sheets>
  <externalReferences>
    <externalReference r:id="rId9"/>
  </externalReferences>
  <definedNames>
    <definedName name="\0">#REF!</definedName>
    <definedName name="\a">#REF!</definedName>
    <definedName name="\b">#REF!</definedName>
    <definedName name="\b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>#REF!</definedName>
    <definedName name="___apr99">#REF!</definedName>
    <definedName name="___re22">#REF!</definedName>
    <definedName name="___y1212">#REF!</definedName>
    <definedName name="__apr98">#REF!</definedName>
    <definedName name="__aug98">#REF!</definedName>
    <definedName name="__Aug99">#REF!</definedName>
    <definedName name="__dec98">#REF!</definedName>
    <definedName name="__dec99">#REF!</definedName>
    <definedName name="__feb98">#REF!</definedName>
    <definedName name="__FEB99">#REF!</definedName>
    <definedName name="__jan98">#REF!</definedName>
    <definedName name="__jan99">#REF!</definedName>
    <definedName name="__jul98">#REF!</definedName>
    <definedName name="__jul99">#REF!</definedName>
    <definedName name="__jun98">#REF!</definedName>
    <definedName name="__mar98">#REF!</definedName>
    <definedName name="__MAR99">#REF!</definedName>
    <definedName name="__may98">#REF!</definedName>
    <definedName name="__may99">#REF!</definedName>
    <definedName name="__nov98">#REF!</definedName>
    <definedName name="__nov99">#REF!</definedName>
    <definedName name="__oct98">#REF!</definedName>
    <definedName name="__oct99">#REF!</definedName>
    <definedName name="__sep98">#REF!</definedName>
    <definedName name="__sep99">#REF!</definedName>
    <definedName name="_12_91">#REF!</definedName>
    <definedName name="_1994DD">#REF!</definedName>
    <definedName name="_228">#REF!</definedName>
    <definedName name="_230">#REF!</definedName>
    <definedName name="_244">#REF!</definedName>
    <definedName name="_246">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UG92">#REF!</definedName>
    <definedName name="_DEC91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SEP92">#REF!</definedName>
    <definedName name="_WA321">#REF!</definedName>
    <definedName name="_WA324">#REF!</definedName>
    <definedName name="_WA325">#REF!</definedName>
    <definedName name="AGREE">#REF!</definedName>
    <definedName name="alc">#REF!</definedName>
    <definedName name="ALCOA1">#REF!</definedName>
    <definedName name="ALCOA2">#REF!</definedName>
    <definedName name="Alloc_Factor_Name">'[1]Input-Ext Allocators'!$B$8:$B$63</definedName>
    <definedName name="BalancesJuly">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#REF!</definedName>
    <definedName name="C_">#REF!</definedName>
    <definedName name="canadian_toll_DataTable">#REF!</definedName>
    <definedName name="Canadian_tolls_DataTable">#REF!</definedName>
    <definedName name="CAP">#REF!</definedName>
    <definedName name="CENTRAL_STORES">#REF!</definedName>
    <definedName name="Check_Limit">'[1]General Inputs'!$D$32</definedName>
    <definedName name="Citygate_all_monts_DataTable">#REF!</definedName>
    <definedName name="Citygate_DataTable">#REF!</definedName>
    <definedName name="Citygate_Delivery_DataTable">#REF!</definedName>
    <definedName name="Citygate_info_DataTable">#REF!</definedName>
    <definedName name="Class_Factor_Names">'[1]Input-Func_Class'!$B$23:$B$28</definedName>
    <definedName name="CODINT22">#REF!</definedName>
    <definedName name="CODINT23">#REF!</definedName>
    <definedName name="CODINT24">#REF!</definedName>
    <definedName name="COMBINTAX">#REF!</definedName>
    <definedName name="CPRINT">#N/A</definedName>
    <definedName name="_xlnm.Criteria">#REF!</definedName>
    <definedName name="Criteria_MI">#REF!</definedName>
    <definedName name="CUST">#REF!</definedName>
    <definedName name="Daily_Flow_DataTable">#REF!</definedName>
    <definedName name="Data">#REF!</definedName>
    <definedName name="_xlnm.Database">#REF!</definedName>
    <definedName name="Database_MI">#REF!</definedName>
    <definedName name="DATE">#REF!</definedName>
    <definedName name="DAY">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>#REF!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5">#REF!</definedName>
    <definedName name="FERCINT06">#REF!</definedName>
    <definedName name="FERCINT07">#REF!</definedName>
    <definedName name="FERCINT08">#REF!</definedName>
    <definedName name="FERCINT09">#REF!</definedName>
    <definedName name="FERCINT10">#REF!</definedName>
    <definedName name="FERCINTRATE">#REF!</definedName>
    <definedName name="FERCINTRATE02">#REF!</definedName>
    <definedName name="FERCINTRATE03">#REF!</definedName>
    <definedName name="FERCOR">#REF!</definedName>
    <definedName name="FERCWA">#REF!</definedName>
    <definedName name="FILE">#REF!</definedName>
    <definedName name="FIT">#REF!</definedName>
    <definedName name="FITRBADJ">#REF!</definedName>
    <definedName name="FO3_4">#N/A</definedName>
    <definedName name="FORM2259">#REF!</definedName>
    <definedName name="Func_Factor_Name">'[1]Input-Func_Class'!$B$9:$B$20</definedName>
    <definedName name="Gas_Price_DataTable">#REF!</definedName>
    <definedName name="gas_yr2009_10_DataTable">#REF!</definedName>
    <definedName name="GC">#REF!</definedName>
    <definedName name="gcnew">#REF!</definedName>
    <definedName name="GEN_OFFICE">#REF!</definedName>
    <definedName name="HOQUIAM_24_HR_A">#REF!</definedName>
    <definedName name="HOQUIAM_MAX">#REF!</definedName>
    <definedName name="HOQUIAM_MAX_MIN">#REF!</definedName>
    <definedName name="HOQUIAM_MIN">#REF!</definedName>
    <definedName name="I">#REF!</definedName>
    <definedName name="ID">#REF!</definedName>
    <definedName name="IMPORT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>#REF!</definedName>
    <definedName name="IntCY09">#REF!</definedName>
    <definedName name="intdate">#REF!</definedName>
    <definedName name="InterestDuringAmort">#REF!</definedName>
    <definedName name="INTERSTATE">#REF!</definedName>
    <definedName name="INTFY05">#REF!</definedName>
    <definedName name="INTFY06">#REF!</definedName>
    <definedName name="INTFY07">#REF!</definedName>
    <definedName name="JANSEP">#N/A</definedName>
    <definedName name="jjjj">#REF!</definedName>
    <definedName name="jjjjjjjjj">#REF!</definedName>
    <definedName name="JRS">#REF!</definedName>
    <definedName name="july_int_rate">#REF!</definedName>
    <definedName name="kkkkkk">#REF!</definedName>
    <definedName name="LEGEND">#REF!</definedName>
    <definedName name="llllll">#REF!</definedName>
    <definedName name="M">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#REF!</definedName>
    <definedName name="NCT">#REF!</definedName>
    <definedName name="new">#REF!</definedName>
    <definedName name="new_int">#REF!</definedName>
    <definedName name="njnjn">#REF!</definedName>
    <definedName name="NN">#REF!</definedName>
    <definedName name="nnnnn">#REF!</definedName>
    <definedName name="Oct_07">"INTCY08"</definedName>
    <definedName name="OF">#REF!</definedName>
    <definedName name="old_int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#REF!</definedName>
    <definedName name="OVER">#REF!</definedName>
    <definedName name="Page1">#REF!</definedName>
    <definedName name="Page2">#REF!</definedName>
    <definedName name="Page4">#REF!</definedName>
    <definedName name="Page5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>#REF!</definedName>
    <definedName name="PGAPeriodVolumes">#REF!</definedName>
    <definedName name="pint3">[0]!pint3</definedName>
    <definedName name="pint3r">[0]!pint3r</definedName>
    <definedName name="ppopo">#REF!</definedName>
    <definedName name="ppppp">#REF!</definedName>
    <definedName name="PRINT">#REF!</definedName>
    <definedName name="_xlnm.Print_Area" localSheetId="2">'COVID-19 WP'!$A$1:$BT$32</definedName>
    <definedName name="_xlnm.Print_Area" localSheetId="7">'Exh RJA-3 Excerpt WP'!$A$1:$K$35</definedName>
    <definedName name="Print_Area_MI">#REF!</definedName>
    <definedName name="_xlnm.Print_Titles" localSheetId="7">'Exh RJA-3 Excerpt WP'!$A:$D,'Exh RJA-3 Excerpt WP'!$1:$6</definedName>
    <definedName name="print1">#REF!</definedName>
    <definedName name="print10">[0]!print10</definedName>
    <definedName name="print2">#REF!</definedName>
    <definedName name="print3">#REF!</definedName>
    <definedName name="pzint3">[0]!pzint3</definedName>
    <definedName name="qqqq">#REF!</definedName>
    <definedName name="QUIT">#REF!</definedName>
    <definedName name="revsens">#REF!</definedName>
    <definedName name="ROR_System">'[1]General Inputs'!$D$19</definedName>
    <definedName name="S">#REF!</definedName>
    <definedName name="SAVE">#REF!</definedName>
    <definedName name="scenario_2790_DataTable">#REF!</definedName>
    <definedName name="Sheet1_DataTable">#REF!</definedName>
    <definedName name="Sheet3_DataTable">#REF!</definedName>
    <definedName name="Sheet5_DataTable">#REF!</definedName>
    <definedName name="SSPBILL">#REF!</definedName>
    <definedName name="SSPREF">#REF!</definedName>
    <definedName name="Storage_DataTable">#REF!</definedName>
    <definedName name="storage_info_DataTable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#REF!</definedName>
    <definedName name="TAXINT18">#REF!</definedName>
    <definedName name="TAXINT19">#REF!</definedName>
    <definedName name="TESTPERIOD">#REF!</definedName>
    <definedName name="TestPeriodVolumes">#REF!</definedName>
    <definedName name="TITLES">#REF!</definedName>
    <definedName name="TOTALCustomerSheets">OFFSET('[1]Required Sheets'!$I$24:$I$35,,,12-COUNTBLANK('[1]Required Sheets'!$I$24:$I$35))</definedName>
    <definedName name="TOTALDemandSheets">OFFSET('[1]Required Sheets'!$G$24:$G$35,,,12-COUNTBLANK('[1]Required Sheets'!$G$24:$G$35))</definedName>
    <definedName name="TOTALECSheets">OFFSET('[1]Required Sheets'!$H$24:$H$35,,,12-COUNTBLANK('[1]Required Sheets'!$H$24:$H$35))</definedName>
    <definedName name="TRANSPORT">#REF!</definedName>
    <definedName name="Transport_DataTable">#REF!</definedName>
    <definedName name="Transport_Info_DataTable">#REF!</definedName>
    <definedName name="TRNSPTREV">#REF!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_revsens">#REF!</definedName>
    <definedName name="WA320A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>[0]!xyz5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39" i="1"/>
  <c r="D37" i="1"/>
  <c r="D35" i="1"/>
  <c r="D33" i="1"/>
  <c r="D31" i="1"/>
  <c r="E30" i="7"/>
  <c r="F30" i="7"/>
  <c r="G30" i="7"/>
  <c r="G32" i="7" s="1"/>
  <c r="H30" i="7"/>
  <c r="I30" i="7"/>
  <c r="J30" i="7"/>
  <c r="K30" i="7"/>
  <c r="D30" i="7"/>
  <c r="E23" i="7"/>
  <c r="E32" i="7" s="1"/>
  <c r="F23" i="7"/>
  <c r="G23" i="7"/>
  <c r="H23" i="7"/>
  <c r="I23" i="7"/>
  <c r="J23" i="7"/>
  <c r="K23" i="7"/>
  <c r="D23" i="7"/>
  <c r="E16" i="7"/>
  <c r="F16" i="7"/>
  <c r="G16" i="7"/>
  <c r="H16" i="7"/>
  <c r="I16" i="7"/>
  <c r="J16" i="7"/>
  <c r="K16" i="7"/>
  <c r="D16" i="7"/>
  <c r="C6" i="4"/>
  <c r="B18" i="4"/>
  <c r="C18" i="4"/>
  <c r="D18" i="4"/>
  <c r="E18" i="4"/>
  <c r="F18" i="4"/>
  <c r="G18" i="4"/>
  <c r="H18" i="4"/>
  <c r="I18" i="4"/>
  <c r="J18" i="4"/>
  <c r="K18" i="4"/>
  <c r="L18" i="4"/>
  <c r="M18" i="4"/>
  <c r="E2" i="2"/>
  <c r="E3" i="2"/>
  <c r="E4" i="2"/>
  <c r="K5" i="2" s="1"/>
  <c r="L5" i="2" s="1"/>
  <c r="E5" i="2"/>
  <c r="E6" i="2"/>
  <c r="E7" i="2"/>
  <c r="E8" i="2"/>
  <c r="K9" i="2" s="1"/>
  <c r="L9" i="2" s="1"/>
  <c r="K8" i="2"/>
  <c r="L8" i="2"/>
  <c r="E9" i="2"/>
  <c r="E10" i="2"/>
  <c r="K10" i="2"/>
  <c r="L10" i="2" s="1"/>
  <c r="E11" i="2"/>
  <c r="K11" i="2"/>
  <c r="L11" i="2"/>
  <c r="E12" i="2"/>
  <c r="K13" i="2" s="1"/>
  <c r="L13" i="2" s="1"/>
  <c r="K12" i="2"/>
  <c r="L12" i="2"/>
  <c r="E13" i="2"/>
  <c r="E14" i="2"/>
  <c r="E15" i="2"/>
  <c r="E16" i="2"/>
  <c r="E17" i="2"/>
  <c r="E18" i="2"/>
  <c r="K7" i="2" s="1"/>
  <c r="L7" i="2" s="1"/>
  <c r="E19" i="2"/>
  <c r="E20" i="2"/>
  <c r="E21" i="2"/>
  <c r="E22" i="2"/>
  <c r="E23" i="2"/>
  <c r="E24" i="2"/>
  <c r="E25" i="2"/>
  <c r="K14" i="2" s="1"/>
  <c r="L14" i="2" s="1"/>
  <c r="E26" i="2"/>
  <c r="K15" i="2" s="1"/>
  <c r="L15" i="2" s="1"/>
  <c r="E27" i="2"/>
  <c r="K4" i="2" s="1"/>
  <c r="E28" i="2"/>
  <c r="E29" i="2"/>
  <c r="K6" i="2" s="1"/>
  <c r="L6" i="2" s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B15" i="3"/>
  <c r="C15" i="3"/>
  <c r="D15" i="3"/>
  <c r="E15" i="3"/>
  <c r="F15" i="3"/>
  <c r="G15" i="3"/>
  <c r="H15" i="3"/>
  <c r="I15" i="3"/>
  <c r="J15" i="3"/>
  <c r="K15" i="3"/>
  <c r="L15" i="3"/>
  <c r="M15" i="3"/>
  <c r="F4" i="5"/>
  <c r="G4" i="5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E8" i="5"/>
  <c r="E10" i="5" s="1"/>
  <c r="F8" i="5"/>
  <c r="F10" i="5" s="1"/>
  <c r="G8" i="5"/>
  <c r="H8" i="5"/>
  <c r="H10" i="5" s="1"/>
  <c r="I8" i="5"/>
  <c r="J8" i="5"/>
  <c r="K8" i="5"/>
  <c r="L8" i="5"/>
  <c r="M8" i="5"/>
  <c r="N8" i="5"/>
  <c r="O8" i="5"/>
  <c r="P8" i="5"/>
  <c r="Q8" i="5"/>
  <c r="Q10" i="5" s="1"/>
  <c r="R8" i="5"/>
  <c r="R10" i="5" s="1"/>
  <c r="G10" i="5"/>
  <c r="I10" i="5"/>
  <c r="J10" i="5"/>
  <c r="K10" i="5"/>
  <c r="L10" i="5"/>
  <c r="M10" i="5"/>
  <c r="N10" i="5"/>
  <c r="O10" i="5"/>
  <c r="P10" i="5"/>
  <c r="O15" i="4"/>
  <c r="O13" i="4"/>
  <c r="O11" i="4"/>
  <c r="O9" i="4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H25" i="6"/>
  <c r="G25" i="6"/>
  <c r="E25" i="6"/>
  <c r="AQ13" i="6"/>
  <c r="L12" i="6"/>
  <c r="BF12" i="6" s="1"/>
  <c r="BC11" i="6"/>
  <c r="BC13" i="6" s="1"/>
  <c r="BB11" i="6"/>
  <c r="BB13" i="6" s="1"/>
  <c r="BA11" i="6"/>
  <c r="BA13" i="6" s="1"/>
  <c r="AZ11" i="6"/>
  <c r="AZ13" i="6" s="1"/>
  <c r="AY11" i="6"/>
  <c r="AY13" i="6" s="1"/>
  <c r="AX11" i="6"/>
  <c r="AX13" i="6" s="1"/>
  <c r="AW11" i="6"/>
  <c r="AW13" i="6" s="1"/>
  <c r="AV11" i="6"/>
  <c r="AV13" i="6" s="1"/>
  <c r="AU11" i="6"/>
  <c r="AU13" i="6" s="1"/>
  <c r="AT11" i="6"/>
  <c r="AT13" i="6" s="1"/>
  <c r="AS11" i="6"/>
  <c r="AS13" i="6" s="1"/>
  <c r="AR11" i="6"/>
  <c r="AR13" i="6" s="1"/>
  <c r="L11" i="6"/>
  <c r="AP13" i="6"/>
  <c r="AO13" i="6"/>
  <c r="K13" i="6"/>
  <c r="J13" i="6"/>
  <c r="I13" i="6"/>
  <c r="H13" i="6"/>
  <c r="G3" i="6"/>
  <c r="G13" i="6" s="1"/>
  <c r="F3" i="6"/>
  <c r="C6" i="1" s="1"/>
  <c r="E13" i="6"/>
  <c r="BF9" i="6"/>
  <c r="BF8" i="6"/>
  <c r="AK13" i="6"/>
  <c r="AH13" i="6"/>
  <c r="AD13" i="6"/>
  <c r="AB13" i="6"/>
  <c r="V13" i="6"/>
  <c r="M13" i="6"/>
  <c r="BF6" i="6"/>
  <c r="BF5" i="6"/>
  <c r="BF4" i="6"/>
  <c r="BF16" i="6"/>
  <c r="BB15" i="6"/>
  <c r="C11" i="1"/>
  <c r="R13" i="6"/>
  <c r="C9" i="1"/>
  <c r="C7" i="1"/>
  <c r="W13" i="6"/>
  <c r="AI13" i="6"/>
  <c r="C8" i="1"/>
  <c r="K16" i="2"/>
  <c r="L16" i="2" s="1"/>
  <c r="L4" i="2"/>
  <c r="L17" i="2" s="1"/>
  <c r="O6" i="4" l="1"/>
  <c r="O16" i="4" s="1"/>
  <c r="N12" i="3"/>
  <c r="N10" i="3"/>
  <c r="N8" i="3"/>
  <c r="N6" i="3"/>
  <c r="N4" i="3"/>
  <c r="N13" i="3" l="1"/>
  <c r="C13" i="1"/>
  <c r="C12" i="1"/>
  <c r="C10" i="1" l="1"/>
  <c r="C14" i="1" s="1"/>
  <c r="D43" i="1" l="1"/>
  <c r="C43" i="1" l="1"/>
  <c r="D34" i="7" l="1"/>
  <c r="F34" i="7" s="1"/>
  <c r="H34" i="7" l="1"/>
  <c r="E34" i="7"/>
  <c r="J34" i="7"/>
  <c r="G34" i="7"/>
  <c r="I34" i="7"/>
  <c r="K32" i="7"/>
  <c r="J32" i="7"/>
  <c r="I32" i="7"/>
  <c r="H32" i="7"/>
  <c r="F32" i="7"/>
  <c r="D32" i="7"/>
  <c r="B8" i="7"/>
  <c r="A8" i="7"/>
  <c r="K6" i="7"/>
  <c r="J6" i="7"/>
  <c r="I6" i="7"/>
  <c r="H6" i="7"/>
  <c r="G6" i="7"/>
  <c r="F6" i="7"/>
  <c r="E6" i="7"/>
  <c r="AZ25" i="6"/>
  <c r="AY25" i="6"/>
  <c r="AW25" i="6"/>
  <c r="I24" i="6"/>
  <c r="C17" i="1" s="1"/>
  <c r="BF23" i="6"/>
  <c r="BF22" i="6"/>
  <c r="BF21" i="6"/>
  <c r="BF20" i="6"/>
  <c r="BF19" i="6"/>
  <c r="BC18" i="6"/>
  <c r="BC25" i="6" s="1"/>
  <c r="BB18" i="6"/>
  <c r="BB25" i="6" s="1"/>
  <c r="BA18" i="6"/>
  <c r="BA25" i="6" s="1"/>
  <c r="AZ18" i="6"/>
  <c r="AY18" i="6"/>
  <c r="AX18" i="6"/>
  <c r="AX25" i="6" s="1"/>
  <c r="AW18" i="6"/>
  <c r="AV18" i="6"/>
  <c r="AV25" i="6" s="1"/>
  <c r="AU18" i="6"/>
  <c r="AU25" i="6" s="1"/>
  <c r="AT18" i="6"/>
  <c r="AT25" i="6" s="1"/>
  <c r="AS18" i="6"/>
  <c r="AS25" i="6" s="1"/>
  <c r="AR18" i="6"/>
  <c r="BD18" i="6" s="1"/>
  <c r="BD25" i="6" s="1"/>
  <c r="F18" i="6"/>
  <c r="F25" i="6" s="1"/>
  <c r="BC15" i="6"/>
  <c r="BA15" i="6"/>
  <c r="AZ15" i="6"/>
  <c r="AY15" i="6"/>
  <c r="AX15" i="6"/>
  <c r="AW15" i="6"/>
  <c r="AV15" i="6"/>
  <c r="AU15" i="6"/>
  <c r="AT15" i="6"/>
  <c r="AS15" i="6"/>
  <c r="AR15" i="6"/>
  <c r="BD15" i="6" s="1"/>
  <c r="AN13" i="6"/>
  <c r="AM13" i="6"/>
  <c r="AL13" i="6"/>
  <c r="AJ13" i="6"/>
  <c r="AG13" i="6"/>
  <c r="AF13" i="6"/>
  <c r="AE13" i="6"/>
  <c r="AC13" i="6"/>
  <c r="AA13" i="6"/>
  <c r="Z13" i="6"/>
  <c r="Y13" i="6"/>
  <c r="X13" i="6"/>
  <c r="U13" i="6"/>
  <c r="T13" i="6"/>
  <c r="S13" i="6"/>
  <c r="Q13" i="6"/>
  <c r="P13" i="6"/>
  <c r="O13" i="6"/>
  <c r="N13" i="6"/>
  <c r="L13" i="6"/>
  <c r="F13" i="6"/>
  <c r="BD11" i="6"/>
  <c r="BD13" i="6" s="1"/>
  <c r="BF10" i="6"/>
  <c r="BR5" i="6" s="1"/>
  <c r="BF7" i="6"/>
  <c r="BH9" i="6" s="1"/>
  <c r="BF3" i="6"/>
  <c r="BR4" i="6" s="1"/>
  <c r="BH10" i="6" l="1"/>
  <c r="BF11" i="6"/>
  <c r="BF24" i="6"/>
  <c r="BH6" i="6"/>
  <c r="BF13" i="6"/>
  <c r="BF15" i="6"/>
  <c r="I25" i="6"/>
  <c r="C16" i="1"/>
  <c r="C18" i="1" s="1"/>
  <c r="C21" i="1" s="1"/>
  <c r="C23" i="1" s="1"/>
  <c r="C25" i="1" s="1"/>
  <c r="C26" i="1" s="1"/>
  <c r="BF18" i="6"/>
  <c r="E31" i="1" l="1"/>
  <c r="E39" i="1"/>
  <c r="G39" i="1" s="1"/>
  <c r="E35" i="1"/>
  <c r="G35" i="1" s="1"/>
  <c r="E37" i="1"/>
  <c r="G37" i="1" s="1"/>
  <c r="E41" i="1"/>
  <c r="G41" i="1" s="1"/>
  <c r="E33" i="1"/>
  <c r="G33" i="1" s="1"/>
  <c r="BH17" i="6"/>
  <c r="BH23" i="6"/>
  <c r="BF25" i="6"/>
  <c r="BN26" i="6" s="1"/>
  <c r="BR9" i="6"/>
  <c r="BH24" i="6"/>
  <c r="BR10" i="6"/>
  <c r="BH15" i="6"/>
  <c r="BR6" i="6"/>
  <c r="BR7" i="6" s="1"/>
  <c r="BH12" i="6"/>
  <c r="BF29" i="6"/>
  <c r="BH25" i="6" l="1"/>
  <c r="G31" i="1"/>
  <c r="E43" i="1"/>
  <c r="E46" i="1" s="1"/>
  <c r="BH27" i="6"/>
  <c r="BR11" i="6"/>
  <c r="BR12" i="6" s="1"/>
  <c r="BF27" i="6"/>
</calcChain>
</file>

<file path=xl/sharedStrings.xml><?xml version="1.0" encoding="utf-8"?>
<sst xmlns="http://schemas.openxmlformats.org/spreadsheetml/2006/main" count="419" uniqueCount="274">
  <si>
    <t>Cascade Natural Gas Corp</t>
  </si>
  <si>
    <t>COVID-19 Adjustments as of January 2024</t>
  </si>
  <si>
    <t xml:space="preserve">2 Year Amortization </t>
  </si>
  <si>
    <t>Deferral Type</t>
  </si>
  <si>
    <t>WA</t>
  </si>
  <si>
    <t>Bad Debt Expense</t>
  </si>
  <si>
    <t>Past Due Interest</t>
  </si>
  <si>
    <t>Other Direct Costs</t>
  </si>
  <si>
    <t>Credit &amp; Collections</t>
  </si>
  <si>
    <t>Total 186</t>
  </si>
  <si>
    <t>Add Reconnect Fees/Late Payment Fees</t>
  </si>
  <si>
    <t>Other Direct Benefits</t>
  </si>
  <si>
    <t>Remove Past Due Interest</t>
  </si>
  <si>
    <t>Remove Credit &amp; Collections</t>
  </si>
  <si>
    <t>Total Adjusted 186</t>
  </si>
  <si>
    <t xml:space="preserve">CARES Act Tax Benefit </t>
  </si>
  <si>
    <t>Total 253</t>
  </si>
  <si>
    <t>Total Ending Balance 1.31.2024</t>
  </si>
  <si>
    <t>Estimated Additional Costs Through February 2025</t>
  </si>
  <si>
    <t>Total to be Amortized</t>
  </si>
  <si>
    <t>Two Year Amortization</t>
  </si>
  <si>
    <t xml:space="preserve">Grossed up for Revenue Sensitive </t>
  </si>
  <si>
    <t>Rate Class</t>
  </si>
  <si>
    <t>Volumes</t>
  </si>
  <si>
    <t xml:space="preserve">Total </t>
  </si>
  <si>
    <t>Washington</t>
  </si>
  <si>
    <t>Accrual</t>
  </si>
  <si>
    <t>Est</t>
  </si>
  <si>
    <t>Bad Debt Costs</t>
  </si>
  <si>
    <t>Dollars in Rate Case</t>
  </si>
  <si>
    <t>Factor in Rate Case</t>
  </si>
  <si>
    <t xml:space="preserve">Revenues Estimated </t>
  </si>
  <si>
    <t>Plan</t>
  </si>
  <si>
    <t>Uncoll Allowance approved rates</t>
  </si>
  <si>
    <t>COVID -19 Prov Object 5960</t>
  </si>
  <si>
    <t>COVID Uncoll Deferral</t>
  </si>
  <si>
    <t>May-2020</t>
  </si>
  <si>
    <t>Jun-2020</t>
  </si>
  <si>
    <t>Jul-2020</t>
  </si>
  <si>
    <t>Aug-2020</t>
  </si>
  <si>
    <t>Sep-2020</t>
  </si>
  <si>
    <t>Oct-2020</t>
  </si>
  <si>
    <t>Nov-2020</t>
  </si>
  <si>
    <t>Dec-2020</t>
  </si>
  <si>
    <t>Total</t>
  </si>
  <si>
    <t>Jan-2021</t>
  </si>
  <si>
    <t>Feb-2021</t>
  </si>
  <si>
    <t>Mar-2021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</si>
  <si>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</si>
  <si>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</si>
  <si>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</si>
  <si>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</si>
  <si>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</si>
  <si>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</si>
  <si>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</si>
  <si>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</si>
  <si>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</si>
  <si>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</si>
  <si>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</si>
  <si>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</si>
  <si>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</si>
  <si>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</si>
  <si>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</si>
  <si>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</si>
  <si>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</si>
  <si>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</si>
  <si>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</si>
  <si>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</si>
  <si>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</si>
  <si>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</si>
  <si>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</si>
  <si>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</si>
  <si>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</si>
  <si>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</si>
  <si>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</si>
  <si>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</si>
  <si>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</si>
  <si>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</si>
  <si>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</si>
  <si>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</si>
  <si>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</si>
  <si>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Average</t>
  </si>
  <si>
    <t>Month</t>
  </si>
  <si>
    <t>CIS_DIVISION</t>
  </si>
  <si>
    <t>Count of After Hours Reconnects</t>
  </si>
  <si>
    <t>Count of Regular Hours Reconnects</t>
  </si>
  <si>
    <t>2017-01</t>
  </si>
  <si>
    <t>CNGWA</t>
  </si>
  <si>
    <t>Estimate</t>
  </si>
  <si>
    <t>Reconnect Fee</t>
  </si>
  <si>
    <t>2017-02</t>
  </si>
  <si>
    <t>Reconnects</t>
  </si>
  <si>
    <t>2017-03</t>
  </si>
  <si>
    <t>2024-2</t>
  </si>
  <si>
    <t>2017-04</t>
  </si>
  <si>
    <t>2024-3</t>
  </si>
  <si>
    <t>2017-05</t>
  </si>
  <si>
    <t>2024-4</t>
  </si>
  <si>
    <t>2017-06</t>
  </si>
  <si>
    <t>2024-5</t>
  </si>
  <si>
    <t>2017-07</t>
  </si>
  <si>
    <t>2024-6</t>
  </si>
  <si>
    <t>2017-08</t>
  </si>
  <si>
    <t>2024-7</t>
  </si>
  <si>
    <t>2017-09</t>
  </si>
  <si>
    <t>2024-8</t>
  </si>
  <si>
    <t>2017-10</t>
  </si>
  <si>
    <t>2024-9</t>
  </si>
  <si>
    <t>2017-11</t>
  </si>
  <si>
    <t>2024-10</t>
  </si>
  <si>
    <t>2017-12</t>
  </si>
  <si>
    <t>2024-11</t>
  </si>
  <si>
    <t>2018-01</t>
  </si>
  <si>
    <t>2024-12</t>
  </si>
  <si>
    <t>2018-02</t>
  </si>
  <si>
    <t>2025-01</t>
  </si>
  <si>
    <t>2018-03</t>
  </si>
  <si>
    <t>2025-02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</si>
  <si>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</si>
  <si>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</si>
  <si>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</si>
  <si>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</si>
  <si>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</si>
  <si>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</si>
  <si>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</si>
  <si>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</si>
  <si>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</si>
  <si>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2019-1</t>
  </si>
  <si>
    <t>2019-2</t>
  </si>
  <si>
    <t>2019-3</t>
  </si>
  <si>
    <t>2019-4</t>
  </si>
  <si>
    <t>2019-5</t>
  </si>
  <si>
    <t>2019-6</t>
  </si>
  <si>
    <t>2019-7</t>
  </si>
  <si>
    <t>2019-8</t>
  </si>
  <si>
    <t>2019-9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</si>
  <si>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</si>
  <si>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</si>
  <si>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</si>
  <si>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</si>
  <si>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</si>
  <si>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</si>
  <si>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</si>
  <si>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</si>
  <si>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</si>
  <si>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</si>
  <si>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</si>
  <si>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</si>
  <si>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</si>
  <si>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</si>
  <si>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</si>
  <si>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2021-1</t>
  </si>
  <si>
    <t>2021-2</t>
  </si>
  <si>
    <t>2021-3</t>
  </si>
  <si>
    <t>2021-4</t>
  </si>
  <si>
    <t>2021-5</t>
  </si>
  <si>
    <t>2021-6</t>
  </si>
  <si>
    <t>2021-7</t>
  </si>
  <si>
    <t>2021-8</t>
  </si>
  <si>
    <t>2021-9</t>
  </si>
  <si>
    <t>2021-10</t>
  </si>
  <si>
    <t>2021-11</t>
  </si>
  <si>
    <t>2021-12</t>
  </si>
  <si>
    <t>2022-1</t>
  </si>
  <si>
    <t>2022-2</t>
  </si>
  <si>
    <t>2022-3</t>
  </si>
  <si>
    <t>2022-4</t>
  </si>
  <si>
    <t>2022-5</t>
  </si>
  <si>
    <t>2022-6</t>
  </si>
  <si>
    <t>2022-7</t>
  </si>
  <si>
    <t>2022-8</t>
  </si>
  <si>
    <t>2022-9</t>
  </si>
  <si>
    <t>2022-10</t>
  </si>
  <si>
    <t>Starting here the data was provided as a combined count for regular hours and after hours reconnects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</si>
  <si>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</si>
  <si>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</si>
  <si>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</si>
  <si>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</si>
  <si>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</si>
  <si>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</si>
  <si>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</si>
  <si>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</si>
  <si>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</si>
  <si>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</si>
  <si>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</si>
  <si>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</si>
  <si>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</si>
  <si>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</si>
  <si>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COVID Savings</t>
  </si>
  <si>
    <t xml:space="preserve">COVID-19 Deferral </t>
  </si>
  <si>
    <t>Bad Debts - True-up Jan-21</t>
  </si>
  <si>
    <t>Bad Debts - True-up Dec-20</t>
  </si>
  <si>
    <t>Bad Debt</t>
  </si>
  <si>
    <t>Reconnect Fees/Late Payment Fees</t>
  </si>
  <si>
    <t>Interest - Past Due Bal Apr-20-May-21</t>
  </si>
  <si>
    <t>4767000 - Credit &amp; Collections</t>
  </si>
  <si>
    <t>GL Balance</t>
  </si>
  <si>
    <t>Total Ending Balance 12.31.2022</t>
  </si>
  <si>
    <t>Total Ending Balance</t>
  </si>
  <si>
    <t>Variance</t>
  </si>
  <si>
    <t>Washington - COVID-19 Costs &amp; Savings</t>
  </si>
  <si>
    <t>Est.</t>
  </si>
  <si>
    <t>Summary</t>
  </si>
  <si>
    <t>Notes</t>
  </si>
  <si>
    <t>Reconciliation to G/L</t>
  </si>
  <si>
    <t>Bad Debts - Costs</t>
  </si>
  <si>
    <t xml:space="preserve">• See JEs - Covid-19 Deferral True-up </t>
  </si>
  <si>
    <t>Bad Debts - Not Recoverable Mar-Apr-20</t>
  </si>
  <si>
    <t>Interest - Past Due Balance - Over 30 days</t>
  </si>
  <si>
    <t>• Interest on Past Due Balances will be expensed out and not</t>
  </si>
  <si>
    <t>Interest - Past Due Bal corrects Oct-21 - Over 30 days</t>
  </si>
  <si>
    <t xml:space="preserve">    included in requested amount.</t>
  </si>
  <si>
    <t xml:space="preserve">Interest on Past Due </t>
  </si>
  <si>
    <t>• Backup included, this is just placeholder</t>
  </si>
  <si>
    <t>O&amp;M Workorder - Costs</t>
  </si>
  <si>
    <t>O&amp;M Workorder Costs</t>
  </si>
  <si>
    <t>• Backup included</t>
  </si>
  <si>
    <t xml:space="preserve">• Credit &amp; Collection is a placeholder for Waived Late Payment </t>
  </si>
  <si>
    <t>4767000 - Credit &amp; Collections May-20-May-21</t>
  </si>
  <si>
    <t>Credit &amp; Collection</t>
  </si>
  <si>
    <t xml:space="preserve">    Fees. Per auditors we are not allowed to collect lost revenue</t>
  </si>
  <si>
    <t>Total Costs 47WA.1860.20489</t>
  </si>
  <si>
    <t xml:space="preserve">    without an order from the commission.</t>
  </si>
  <si>
    <t>47WA.1860.20489</t>
  </si>
  <si>
    <t>Waived LPC - Not booked</t>
  </si>
  <si>
    <t>Waived LPC, Not booked</t>
  </si>
  <si>
    <t>• Backup included - I can provide monthly Excel files from Terri</t>
  </si>
  <si>
    <t>Waived Reconnection Fees - Not Booked</t>
  </si>
  <si>
    <t>Reconnection, Not booked</t>
  </si>
  <si>
    <t>• Backup included - See Reconnection Fees tab</t>
  </si>
  <si>
    <t>Savings</t>
  </si>
  <si>
    <t xml:space="preserve">Savings - True-up Feb-21 </t>
  </si>
  <si>
    <t>Savings - True-up Jan-21</t>
  </si>
  <si>
    <t>Savings - True-up Dec-20</t>
  </si>
  <si>
    <t>Savings - True-up May-Nov-20</t>
  </si>
  <si>
    <t>Savings - Not Recoverable Mar &amp; Apr-20</t>
  </si>
  <si>
    <t>Savings - Cares Act Credit</t>
  </si>
  <si>
    <t>CARES Act</t>
  </si>
  <si>
    <t>Total Savings 47WA.2530.01290</t>
  </si>
  <si>
    <t>47WA.2530.01290</t>
  </si>
  <si>
    <t>Allocated Amount</t>
  </si>
  <si>
    <t>Schedule 556 Rate</t>
  </si>
  <si>
    <t>Revenue Allocation</t>
  </si>
  <si>
    <t>Schedule 556, COVID-19 Adjustment Rate</t>
  </si>
  <si>
    <t>Overall Revenue Increase</t>
  </si>
  <si>
    <t>Unadjusted Revenues</t>
  </si>
  <si>
    <t>Line No.</t>
  </si>
  <si>
    <t>Account Description</t>
  </si>
  <si>
    <t>FERC Account</t>
  </si>
  <si>
    <t>Account Balance</t>
  </si>
  <si>
    <t>Customer Accounts, Service, and Sales Expense</t>
  </si>
  <si>
    <t>Customer Account</t>
  </si>
  <si>
    <t xml:space="preserve">Supervision </t>
  </si>
  <si>
    <t>Meter reading expenses</t>
  </si>
  <si>
    <t>Customer records and collection expenses</t>
  </si>
  <si>
    <t>Uncollectible accounts</t>
  </si>
  <si>
    <t xml:space="preserve">Miscellaneous customer accounts expenses </t>
  </si>
  <si>
    <t>Subtotal - Customer Account</t>
  </si>
  <si>
    <t/>
  </si>
  <si>
    <t>Customer Service &amp; Information Expenses</t>
  </si>
  <si>
    <t xml:space="preserve">Customer assistance expenses </t>
  </si>
  <si>
    <t xml:space="preserve">Informational and instructional advertising expenses </t>
  </si>
  <si>
    <t>Miscellaneous customer service and informational expenses</t>
  </si>
  <si>
    <t>Subtotal - Customer Service &amp; Information Expenses</t>
  </si>
  <si>
    <t>Sales Expenses</t>
  </si>
  <si>
    <t>Supervision</t>
  </si>
  <si>
    <t>Demonstrating and selling expenses</t>
  </si>
  <si>
    <t>Advertising expenses</t>
  </si>
  <si>
    <t>Miscellaneous sales expenses</t>
  </si>
  <si>
    <t>Subtotal - Sales Expenses</t>
  </si>
  <si>
    <t>Total Customer Accounts, Service, and Sales Expense</t>
  </si>
  <si>
    <t>Excerpt from Exhibit RJA-3</t>
  </si>
  <si>
    <t>Schedule 5 - Cost of Service Allocation Study Detail by Account</t>
  </si>
  <si>
    <t>Allocation 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</si>
</sst>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"/>
    <numFmt numFmtId="166" formatCode="General_)"/>
    <numFmt numFmtId="167" formatCode="&quot;$&quot;#,##0.00"/>
    <numFmt numFmtId="168" formatCode="&quot;$&quot;#,##0.00000_);\(&quot;$&quot;#,##0.00000\)"/>
    <numFmt numFmtId="169" formatCode="&quot;$&quot;#,##0.00000_);[Red]\(&quot;$&quot;#,##0.00000\)"/>
    <numFmt numFmtId="170" formatCode="_(&quot;$&quot;* #,##0_);_(&quot;$&quot;* \(#,##0\);_(&quot;$&quot;* &quot;-&quot;??_);_(@_)"/>
    <numFmt numFmtId="171" formatCode="[$-409]mmm\-yy;@"/>
    <numFmt numFmtId="172" formatCode="_(* #,##0.00000_);_(* \(#,##0.00000\);_(* &quot;-&quot;??_);_(@_)"/>
    <numFmt numFmtId="173" formatCode="_(* #,##0.000_);_(* \(#,##0.000\);_(* &quot;-&quot;??_);_(@_)"/>
    <numFmt numFmtId="174" formatCode="0.00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Dialog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4" fillId="0" borderId="0" applyProtection="0"/>
    <xf numFmtId="166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2" borderId="4" applyNumberFormat="0" applyAlignment="0" applyProtection="0"/>
    <xf numFmtId="9" fontId="1" fillId="0" borderId="0" applyFont="0" applyFill="0" applyBorder="0" applyAlignment="0" applyProtection="0"/>
    <xf numFmtId="0" fontId="12" fillId="0" borderId="0"/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6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165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/>
    <xf numFmtId="0" fontId="8" fillId="0" borderId="0" xfId="0" applyFont="1"/>
    <xf numFmtId="8" fontId="8" fillId="0" borderId="0" xfId="0" applyNumberFormat="1" applyFont="1"/>
    <xf numFmtId="167" fontId="0" fillId="0" borderId="0" xfId="0" applyNumberFormat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8" fontId="0" fillId="0" borderId="0" xfId="0" applyNumberFormat="1"/>
    <xf numFmtId="8" fontId="0" fillId="0" borderId="0" xfId="2" applyNumberFormat="1" applyFont="1" applyFill="1"/>
    <xf numFmtId="8" fontId="0" fillId="0" borderId="3" xfId="2" applyNumberFormat="1" applyFont="1" applyFill="1" applyBorder="1"/>
    <xf numFmtId="8" fontId="0" fillId="0" borderId="0" xfId="0" applyNumberFormat="1" applyAlignment="1">
      <alignment horizontal="center"/>
    </xf>
    <xf numFmtId="8" fontId="9" fillId="0" borderId="0" xfId="1" applyNumberFormat="1" applyFont="1" applyBorder="1" applyAlignment="1">
      <alignment horizontal="left" indent="2"/>
    </xf>
    <xf numFmtId="8" fontId="9" fillId="0" borderId="0" xfId="1" applyNumberFormat="1" applyFont="1" applyBorder="1"/>
    <xf numFmtId="8" fontId="0" fillId="0" borderId="0" xfId="1" applyNumberFormat="1" applyFont="1"/>
    <xf numFmtId="8" fontId="0" fillId="0" borderId="0" xfId="2" applyNumberFormat="1" applyFont="1"/>
    <xf numFmtId="8" fontId="0" fillId="0" borderId="2" xfId="0" applyNumberFormat="1" applyBorder="1" applyAlignment="1">
      <alignment horizontal="center"/>
    </xf>
    <xf numFmtId="0" fontId="12" fillId="0" borderId="0" xfId="10" applyAlignment="1">
      <alignment horizontal="center"/>
    </xf>
    <xf numFmtId="0" fontId="12" fillId="0" borderId="0" xfId="10" applyAlignment="1">
      <alignment horizontal="center" wrapText="1"/>
    </xf>
    <xf numFmtId="0" fontId="12" fillId="0" borderId="0" xfId="10"/>
    <xf numFmtId="1" fontId="12" fillId="0" borderId="0" xfId="10" applyNumberFormat="1"/>
    <xf numFmtId="0" fontId="13" fillId="0" borderId="0" xfId="10" applyFont="1" applyAlignment="1">
      <alignment horizontal="right"/>
    </xf>
    <xf numFmtId="44" fontId="12" fillId="0" borderId="0" xfId="2" applyFont="1"/>
    <xf numFmtId="44" fontId="12" fillId="0" borderId="0" xfId="10" applyNumberFormat="1"/>
    <xf numFmtId="0" fontId="14" fillId="0" borderId="7" xfId="1" applyNumberFormat="1" applyFont="1" applyFill="1" applyBorder="1" applyAlignment="1">
      <alignment horizontal="center"/>
    </xf>
    <xf numFmtId="17" fontId="0" fillId="0" borderId="0" xfId="0" applyNumberFormat="1"/>
    <xf numFmtId="43" fontId="0" fillId="0" borderId="0" xfId="0" applyNumberFormat="1"/>
    <xf numFmtId="43" fontId="0" fillId="0" borderId="0" xfId="1" applyFont="1" applyFill="1"/>
    <xf numFmtId="43" fontId="14" fillId="0" borderId="0" xfId="1" applyFont="1" applyFill="1"/>
    <xf numFmtId="0" fontId="14" fillId="0" borderId="0" xfId="1" applyNumberFormat="1" applyFont="1" applyFill="1" applyBorder="1" applyAlignment="1"/>
    <xf numFmtId="0" fontId="14" fillId="0" borderId="0" xfId="1" applyNumberFormat="1" applyFont="1" applyFill="1" applyBorder="1" applyAlignment="1">
      <alignment horizontal="center"/>
    </xf>
    <xf numFmtId="0" fontId="14" fillId="0" borderId="0" xfId="11" applyFont="1"/>
    <xf numFmtId="43" fontId="14" fillId="0" borderId="6" xfId="1" applyFont="1" applyFill="1" applyBorder="1"/>
    <xf numFmtId="43" fontId="14" fillId="0" borderId="7" xfId="11" applyNumberFormat="1" applyFont="1" applyBorder="1"/>
    <xf numFmtId="43" fontId="14" fillId="0" borderId="8" xfId="1" applyFont="1" applyFill="1" applyBorder="1"/>
    <xf numFmtId="43" fontId="14" fillId="0" borderId="0" xfId="1" applyFont="1" applyFill="1" applyBorder="1"/>
    <xf numFmtId="43" fontId="14" fillId="0" borderId="9" xfId="1" applyFont="1" applyFill="1" applyBorder="1"/>
    <xf numFmtId="43" fontId="14" fillId="0" borderId="3" xfId="1" applyFont="1" applyFill="1" applyBorder="1"/>
    <xf numFmtId="43" fontId="14" fillId="0" borderId="10" xfId="11" applyNumberFormat="1" applyFont="1" applyBorder="1"/>
    <xf numFmtId="0" fontId="15" fillId="0" borderId="0" xfId="11" applyFont="1"/>
    <xf numFmtId="43" fontId="14" fillId="0" borderId="0" xfId="11" applyNumberFormat="1" applyFont="1"/>
    <xf numFmtId="0" fontId="16" fillId="0" borderId="0" xfId="1" applyNumberFormat="1" applyFont="1" applyFill="1" applyBorder="1" applyAlignment="1">
      <alignment horizontal="center"/>
    </xf>
    <xf numFmtId="0" fontId="16" fillId="0" borderId="5" xfId="1" applyNumberFormat="1" applyFont="1" applyFill="1" applyBorder="1" applyAlignment="1">
      <alignment horizontal="center"/>
    </xf>
    <xf numFmtId="0" fontId="16" fillId="0" borderId="6" xfId="1" applyNumberFormat="1" applyFont="1" applyFill="1" applyBorder="1" applyAlignment="1">
      <alignment horizontal="center"/>
    </xf>
    <xf numFmtId="17" fontId="16" fillId="0" borderId="0" xfId="1" applyNumberFormat="1" applyFont="1" applyFill="1" applyBorder="1" applyAlignment="1">
      <alignment horizontal="center"/>
    </xf>
    <xf numFmtId="17" fontId="16" fillId="0" borderId="6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3" fontId="0" fillId="0" borderId="0" xfId="1" applyFont="1" applyFill="1" applyBorder="1"/>
    <xf numFmtId="0" fontId="14" fillId="0" borderId="0" xfId="0" applyFont="1"/>
    <xf numFmtId="0" fontId="15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7" fillId="0" borderId="0" xfId="0" applyFont="1"/>
    <xf numFmtId="171" fontId="17" fillId="0" borderId="3" xfId="0" applyNumberFormat="1" applyFont="1" applyBorder="1" applyAlignment="1">
      <alignment horizontal="left"/>
    </xf>
    <xf numFmtId="171" fontId="17" fillId="0" borderId="3" xfId="0" applyNumberFormat="1" applyFont="1" applyBorder="1" applyAlignment="1">
      <alignment horizontal="center"/>
    </xf>
    <xf numFmtId="0" fontId="18" fillId="0" borderId="0" xfId="1" applyNumberFormat="1" applyFont="1" applyFill="1" applyAlignment="1">
      <alignment horizontal="left"/>
    </xf>
    <xf numFmtId="43" fontId="18" fillId="0" borderId="11" xfId="1" applyFont="1" applyFill="1" applyBorder="1"/>
    <xf numFmtId="0" fontId="18" fillId="0" borderId="3" xfId="1" applyNumberFormat="1" applyFont="1" applyFill="1" applyBorder="1" applyAlignment="1">
      <alignment horizontal="left"/>
    </xf>
    <xf numFmtId="0" fontId="14" fillId="0" borderId="3" xfId="0" applyFont="1" applyBorder="1"/>
    <xf numFmtId="172" fontId="18" fillId="0" borderId="3" xfId="1" applyNumberFormat="1" applyFont="1" applyFill="1" applyBorder="1"/>
    <xf numFmtId="43" fontId="19" fillId="0" borderId="0" xfId="1" applyFont="1" applyFill="1"/>
    <xf numFmtId="4" fontId="14" fillId="0" borderId="3" xfId="0" applyNumberFormat="1" applyFont="1" applyBorder="1"/>
    <xf numFmtId="43" fontId="19" fillId="0" borderId="3" xfId="1" applyFont="1" applyFill="1" applyBorder="1"/>
    <xf numFmtId="0" fontId="14" fillId="0" borderId="11" xfId="0" applyFont="1" applyBorder="1"/>
    <xf numFmtId="43" fontId="14" fillId="0" borderId="0" xfId="0" applyNumberFormat="1" applyFont="1"/>
    <xf numFmtId="43" fontId="0" fillId="0" borderId="0" xfId="13" applyFont="1" applyFill="1"/>
    <xf numFmtId="43" fontId="14" fillId="0" borderId="0" xfId="13" applyFont="1" applyFill="1"/>
    <xf numFmtId="43" fontId="0" fillId="0" borderId="0" xfId="13" applyFont="1" applyFill="1" applyBorder="1"/>
    <xf numFmtId="43" fontId="14" fillId="0" borderId="0" xfId="13" applyFont="1" applyFill="1" applyBorder="1"/>
    <xf numFmtId="164" fontId="15" fillId="0" borderId="6" xfId="13" applyNumberFormat="1" applyFont="1" applyFill="1" applyBorder="1"/>
    <xf numFmtId="43" fontId="0" fillId="0" borderId="3" xfId="13" applyFont="1" applyFill="1" applyBorder="1"/>
    <xf numFmtId="43" fontId="0" fillId="0" borderId="0" xfId="13" applyFont="1" applyFill="1" applyBorder="1" applyAlignment="1"/>
    <xf numFmtId="43" fontId="0" fillId="0" borderId="11" xfId="13" applyFont="1" applyFill="1" applyBorder="1" applyAlignment="1"/>
    <xf numFmtId="43" fontId="9" fillId="0" borderId="17" xfId="13" applyFont="1" applyFill="1" applyBorder="1"/>
    <xf numFmtId="43" fontId="15" fillId="0" borderId="6" xfId="13" applyFont="1" applyFill="1" applyBorder="1"/>
    <xf numFmtId="43" fontId="0" fillId="0" borderId="8" xfId="13" applyFont="1" applyFill="1" applyBorder="1"/>
    <xf numFmtId="43" fontId="0" fillId="0" borderId="11" xfId="13" applyFont="1" applyFill="1" applyBorder="1"/>
    <xf numFmtId="164" fontId="15" fillId="0" borderId="18" xfId="13" applyNumberFormat="1" applyFont="1" applyFill="1" applyBorder="1"/>
    <xf numFmtId="164" fontId="15" fillId="0" borderId="7" xfId="13" applyNumberFormat="1" applyFont="1" applyFill="1" applyBorder="1"/>
    <xf numFmtId="0" fontId="0" fillId="0" borderId="3" xfId="13" applyNumberFormat="1" applyFont="1" applyFill="1" applyBorder="1" applyAlignment="1">
      <alignment horizontal="left"/>
    </xf>
    <xf numFmtId="43" fontId="0" fillId="0" borderId="3" xfId="13" applyFont="1" applyFill="1" applyBorder="1" applyAlignment="1">
      <alignment horizontal="right"/>
    </xf>
    <xf numFmtId="44" fontId="12" fillId="0" borderId="3" xfId="10" applyNumberFormat="1" applyBorder="1"/>
    <xf numFmtId="43" fontId="0" fillId="0" borderId="3" xfId="0" applyNumberFormat="1" applyBorder="1"/>
    <xf numFmtId="8" fontId="7" fillId="0" borderId="22" xfId="0" applyNumberFormat="1" applyFont="1" applyBorder="1" applyAlignment="1">
      <alignment horizontal="center"/>
    </xf>
    <xf numFmtId="169" fontId="7" fillId="0" borderId="23" xfId="0" applyNumberFormat="1" applyFont="1" applyBorder="1"/>
    <xf numFmtId="168" fontId="7" fillId="0" borderId="23" xfId="0" applyNumberFormat="1" applyFont="1" applyBorder="1"/>
    <xf numFmtId="169" fontId="7" fillId="0" borderId="24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8" fontId="8" fillId="0" borderId="0" xfId="0" applyNumberFormat="1" applyFont="1" applyBorder="1"/>
    <xf numFmtId="40" fontId="0" fillId="0" borderId="0" xfId="1" applyNumberFormat="1" applyFont="1" applyBorder="1"/>
    <xf numFmtId="43" fontId="0" fillId="0" borderId="0" xfId="1" applyFont="1" applyBorder="1"/>
    <xf numFmtId="170" fontId="0" fillId="0" borderId="0" xfId="2" applyNumberFormat="1" applyFont="1" applyBorder="1" applyAlignment="1">
      <alignment horizontal="center"/>
    </xf>
    <xf numFmtId="170" fontId="0" fillId="0" borderId="0" xfId="2" applyNumberFormat="1" applyFont="1" applyBorder="1"/>
    <xf numFmtId="8" fontId="11" fillId="0" borderId="0" xfId="0" applyNumberFormat="1" applyFont="1" applyBorder="1" applyAlignment="1">
      <alignment horizontal="right"/>
    </xf>
    <xf numFmtId="8" fontId="0" fillId="0" borderId="0" xfId="0" applyNumberFormat="1" applyBorder="1"/>
    <xf numFmtId="8" fontId="20" fillId="0" borderId="0" xfId="0" applyNumberFormat="1" applyFont="1" applyBorder="1"/>
    <xf numFmtId="0" fontId="20" fillId="0" borderId="0" xfId="0" applyFont="1" applyBorder="1"/>
    <xf numFmtId="43" fontId="20" fillId="0" borderId="0" xfId="1" applyFont="1" applyFill="1" applyBorder="1"/>
    <xf numFmtId="8" fontId="7" fillId="0" borderId="0" xfId="0" applyNumberFormat="1" applyFont="1" applyBorder="1" applyAlignment="1">
      <alignment horizontal="right"/>
    </xf>
    <xf numFmtId="44" fontId="8" fillId="0" borderId="0" xfId="2" applyFont="1" applyFill="1"/>
    <xf numFmtId="8" fontId="8" fillId="0" borderId="0" xfId="0" applyNumberFormat="1" applyFont="1" applyFill="1"/>
    <xf numFmtId="44" fontId="8" fillId="0" borderId="3" xfId="2" applyFont="1" applyFill="1" applyBorder="1"/>
    <xf numFmtId="43" fontId="8" fillId="0" borderId="0" xfId="0" applyNumberFormat="1" applyFont="1" applyFill="1"/>
    <xf numFmtId="43" fontId="8" fillId="0" borderId="3" xfId="0" applyNumberFormat="1" applyFont="1" applyFill="1" applyBorder="1"/>
    <xf numFmtId="8" fontId="0" fillId="0" borderId="0" xfId="0" applyNumberFormat="1" applyFill="1"/>
    <xf numFmtId="44" fontId="0" fillId="0" borderId="0" xfId="0" applyNumberFormat="1" applyFill="1"/>
    <xf numFmtId="8" fontId="0" fillId="0" borderId="3" xfId="2" applyNumberFormat="1" applyFont="1" applyFill="1" applyBorder="1" applyAlignment="1">
      <alignment horizontal="right"/>
    </xf>
    <xf numFmtId="8" fontId="7" fillId="0" borderId="0" xfId="2" applyNumberFormat="1" applyFont="1"/>
    <xf numFmtId="167" fontId="7" fillId="0" borderId="0" xfId="0" applyNumberFormat="1" applyFont="1" applyAlignment="1">
      <alignment horizontal="center"/>
    </xf>
    <xf numFmtId="0" fontId="14" fillId="0" borderId="0" xfId="12" applyFill="1"/>
    <xf numFmtId="164" fontId="0" fillId="0" borderId="0" xfId="13" applyNumberFormat="1" applyFont="1" applyFill="1"/>
    <xf numFmtId="43" fontId="16" fillId="0" borderId="0" xfId="12" applyNumberFormat="1" applyFont="1" applyFill="1"/>
    <xf numFmtId="164" fontId="0" fillId="0" borderId="0" xfId="13" applyNumberFormat="1" applyFont="1" applyFill="1" applyBorder="1"/>
    <xf numFmtId="164" fontId="0" fillId="0" borderId="3" xfId="13" applyNumberFormat="1" applyFont="1" applyFill="1" applyBorder="1"/>
    <xf numFmtId="0" fontId="14" fillId="0" borderId="3" xfId="12" applyFill="1" applyBorder="1"/>
    <xf numFmtId="0" fontId="14" fillId="0" borderId="0" xfId="12" applyFill="1" applyAlignment="1">
      <alignment vertical="center"/>
    </xf>
    <xf numFmtId="17" fontId="17" fillId="0" borderId="6" xfId="11" applyNumberFormat="1" applyFont="1" applyFill="1" applyBorder="1" applyAlignment="1">
      <alignment horizontal="center" vertical="center"/>
    </xf>
    <xf numFmtId="0" fontId="14" fillId="0" borderId="6" xfId="12" applyFill="1" applyBorder="1"/>
    <xf numFmtId="43" fontId="14" fillId="0" borderId="6" xfId="12" applyNumberFormat="1" applyFill="1" applyBorder="1"/>
    <xf numFmtId="43" fontId="15" fillId="0" borderId="15" xfId="13" applyFont="1" applyFill="1" applyBorder="1" applyAlignment="1">
      <alignment horizontal="left" indent="1"/>
    </xf>
    <xf numFmtId="164" fontId="15" fillId="0" borderId="16" xfId="13" applyNumberFormat="1" applyFont="1" applyFill="1" applyBorder="1" applyAlignment="1">
      <alignment horizontal="center"/>
    </xf>
    <xf numFmtId="0" fontId="14" fillId="0" borderId="7" xfId="12" applyFill="1" applyBorder="1"/>
    <xf numFmtId="43" fontId="15" fillId="0" borderId="0" xfId="13" applyFont="1" applyFill="1"/>
    <xf numFmtId="164" fontId="15" fillId="0" borderId="0" xfId="13" applyNumberFormat="1" applyFont="1" applyFill="1" applyBorder="1"/>
    <xf numFmtId="43" fontId="14" fillId="0" borderId="7" xfId="12" applyNumberFormat="1" applyFill="1" applyBorder="1"/>
    <xf numFmtId="43" fontId="14" fillId="0" borderId="0" xfId="12" applyNumberFormat="1" applyFill="1"/>
    <xf numFmtId="43" fontId="9" fillId="0" borderId="11" xfId="13" applyFont="1" applyFill="1" applyBorder="1" applyAlignment="1">
      <alignment horizontal="left" indent="1"/>
    </xf>
    <xf numFmtId="43" fontId="9" fillId="0" borderId="0" xfId="13" applyFont="1" applyFill="1" applyBorder="1" applyAlignment="1">
      <alignment horizontal="left" indent="1"/>
    </xf>
    <xf numFmtId="43" fontId="0" fillId="0" borderId="6" xfId="13" applyFont="1" applyFill="1" applyBorder="1"/>
    <xf numFmtId="43" fontId="15" fillId="0" borderId="9" xfId="13" applyFont="1" applyFill="1" applyBorder="1"/>
    <xf numFmtId="0" fontId="14" fillId="0" borderId="11" xfId="12" applyFill="1" applyBorder="1"/>
    <xf numFmtId="43" fontId="9" fillId="0" borderId="20" xfId="13" applyFont="1" applyFill="1" applyBorder="1" applyAlignment="1">
      <alignment horizontal="left" indent="2"/>
    </xf>
    <xf numFmtId="0" fontId="14" fillId="0" borderId="8" xfId="12" applyFill="1" applyBorder="1"/>
    <xf numFmtId="164" fontId="15" fillId="0" borderId="21" xfId="13" applyNumberFormat="1" applyFont="1" applyFill="1" applyBorder="1"/>
    <xf numFmtId="0" fontId="15" fillId="0" borderId="0" xfId="12" applyFont="1" applyFill="1" applyAlignment="1">
      <alignment horizontal="center" vertical="center"/>
    </xf>
    <xf numFmtId="43" fontId="14" fillId="0" borderId="10" xfId="12" applyNumberFormat="1" applyFill="1" applyBorder="1"/>
    <xf numFmtId="0" fontId="14" fillId="0" borderId="11" xfId="12" applyFill="1" applyBorder="1" applyAlignment="1">
      <alignment horizontal="left" indent="1"/>
    </xf>
    <xf numFmtId="43" fontId="14" fillId="0" borderId="11" xfId="12" applyNumberFormat="1" applyFill="1" applyBorder="1"/>
    <xf numFmtId="0" fontId="14" fillId="0" borderId="0" xfId="12" applyFill="1" applyAlignment="1">
      <alignment horizontal="left"/>
    </xf>
    <xf numFmtId="0" fontId="14" fillId="0" borderId="0" xfId="12" applyFill="1" applyAlignment="1">
      <alignment horizontal="left" indent="1"/>
    </xf>
    <xf numFmtId="0" fontId="14" fillId="0" borderId="9" xfId="12" applyFill="1" applyBorder="1"/>
    <xf numFmtId="0" fontId="14" fillId="0" borderId="18" xfId="12" applyFill="1" applyBorder="1"/>
    <xf numFmtId="43" fontId="16" fillId="0" borderId="10" xfId="12" applyNumberFormat="1" applyFont="1" applyFill="1" applyBorder="1"/>
    <xf numFmtId="0" fontId="21" fillId="0" borderId="0" xfId="12" applyFont="1" applyFill="1" applyAlignment="1">
      <alignment vertical="center"/>
    </xf>
    <xf numFmtId="0" fontId="21" fillId="0" borderId="0" xfId="12" applyFont="1" applyFill="1" applyAlignment="1">
      <alignment horizontal="center" vertical="center"/>
    </xf>
    <xf numFmtId="17" fontId="22" fillId="0" borderId="8" xfId="11" applyNumberFormat="1" applyFont="1" applyFill="1" applyBorder="1" applyAlignment="1">
      <alignment horizontal="center" vertical="center"/>
    </xf>
    <xf numFmtId="0" fontId="15" fillId="0" borderId="12" xfId="12" applyFont="1" applyFill="1" applyBorder="1"/>
    <xf numFmtId="0" fontId="15" fillId="0" borderId="0" xfId="12" applyFont="1" applyFill="1"/>
    <xf numFmtId="0" fontId="15" fillId="0" borderId="11" xfId="12" applyFont="1" applyFill="1" applyBorder="1"/>
    <xf numFmtId="0" fontId="15" fillId="0" borderId="6" xfId="12" applyFont="1" applyFill="1" applyBorder="1"/>
    <xf numFmtId="43" fontId="15" fillId="0" borderId="6" xfId="12" applyNumberFormat="1" applyFont="1" applyFill="1" applyBorder="1"/>
    <xf numFmtId="43" fontId="16" fillId="0" borderId="7" xfId="12" applyNumberFormat="1" applyFont="1" applyFill="1" applyBorder="1"/>
    <xf numFmtId="43" fontId="14" fillId="0" borderId="8" xfId="12" applyNumberFormat="1" applyFill="1" applyBorder="1"/>
    <xf numFmtId="43" fontId="15" fillId="0" borderId="8" xfId="12" applyNumberFormat="1" applyFont="1" applyFill="1" applyBorder="1"/>
    <xf numFmtId="0" fontId="14" fillId="0" borderId="8" xfId="12" applyFill="1" applyBorder="1" applyAlignment="1">
      <alignment horizontal="left"/>
    </xf>
    <xf numFmtId="0" fontId="15" fillId="0" borderId="7" xfId="12" applyFont="1" applyFill="1" applyBorder="1"/>
    <xf numFmtId="43" fontId="15" fillId="0" borderId="7" xfId="13" applyFont="1" applyFill="1" applyBorder="1"/>
    <xf numFmtId="164" fontId="15" fillId="0" borderId="8" xfId="13" applyNumberFormat="1" applyFont="1" applyFill="1" applyBorder="1"/>
    <xf numFmtId="173" fontId="0" fillId="0" borderId="0" xfId="13" applyNumberFormat="1" applyFont="1" applyFill="1" applyBorder="1"/>
    <xf numFmtId="43" fontId="15" fillId="0" borderId="8" xfId="13" applyFont="1" applyFill="1" applyBorder="1"/>
    <xf numFmtId="49" fontId="14" fillId="0" borderId="0" xfId="12" applyNumberFormat="1" applyFill="1"/>
    <xf numFmtId="43" fontId="0" fillId="0" borderId="8" xfId="13" applyFont="1" applyFill="1" applyBorder="1" applyAlignment="1"/>
    <xf numFmtId="49" fontId="14" fillId="0" borderId="8" xfId="12" applyNumberFormat="1" applyFill="1" applyBorder="1"/>
    <xf numFmtId="43" fontId="0" fillId="0" borderId="9" xfId="13" applyFont="1" applyFill="1" applyBorder="1" applyAlignment="1"/>
    <xf numFmtId="43" fontId="0" fillId="0" borderId="3" xfId="13" applyFont="1" applyFill="1" applyBorder="1" applyAlignment="1"/>
    <xf numFmtId="43" fontId="15" fillId="0" borderId="9" xfId="12" applyNumberFormat="1" applyFont="1" applyFill="1" applyBorder="1" applyAlignment="1">
      <alignment horizontal="center"/>
    </xf>
    <xf numFmtId="43" fontId="15" fillId="0" borderId="18" xfId="12" applyNumberFormat="1" applyFont="1" applyFill="1" applyBorder="1"/>
    <xf numFmtId="0" fontId="14" fillId="0" borderId="6" xfId="12" applyFill="1" applyBorder="1" applyAlignment="1">
      <alignment horizontal="center" vertical="center"/>
    </xf>
    <xf numFmtId="43" fontId="15" fillId="0" borderId="7" xfId="12" applyNumberFormat="1" applyFont="1" applyFill="1" applyBorder="1"/>
    <xf numFmtId="43" fontId="14" fillId="0" borderId="19" xfId="12" applyNumberFormat="1" applyFill="1" applyBorder="1"/>
    <xf numFmtId="164" fontId="14" fillId="0" borderId="8" xfId="12" applyNumberFormat="1" applyFill="1" applyBorder="1"/>
    <xf numFmtId="0" fontId="14" fillId="0" borderId="8" xfId="12" applyFill="1" applyBorder="1" applyAlignment="1">
      <alignment horizontal="center" vertical="center"/>
    </xf>
    <xf numFmtId="43" fontId="15" fillId="0" borderId="3" xfId="13" applyFont="1" applyFill="1" applyBorder="1"/>
    <xf numFmtId="0" fontId="15" fillId="0" borderId="18" xfId="12" applyFont="1" applyFill="1" applyBorder="1"/>
    <xf numFmtId="0" fontId="14" fillId="0" borderId="0" xfId="12" applyFill="1" applyBorder="1"/>
    <xf numFmtId="0" fontId="14" fillId="0" borderId="0" xfId="12" applyFill="1" applyBorder="1" applyAlignment="1">
      <alignment horizontal="left" indent="1"/>
    </xf>
    <xf numFmtId="164" fontId="14" fillId="0" borderId="0" xfId="12" applyNumberFormat="1" applyFill="1" applyBorder="1"/>
    <xf numFmtId="43" fontId="15" fillId="0" borderId="0" xfId="13" applyFont="1" applyFill="1" applyBorder="1"/>
    <xf numFmtId="0" fontId="15" fillId="0" borderId="0" xfId="12" applyFont="1" applyFill="1" applyBorder="1"/>
    <xf numFmtId="0" fontId="0" fillId="0" borderId="6" xfId="0" applyFill="1" applyBorder="1"/>
    <xf numFmtId="0" fontId="0" fillId="0" borderId="8" xfId="0" applyFill="1" applyBorder="1"/>
    <xf numFmtId="43" fontId="0" fillId="0" borderId="10" xfId="0" applyNumberFormat="1" applyFill="1" applyBorder="1"/>
    <xf numFmtId="43" fontId="0" fillId="0" borderId="7" xfId="0" applyNumberFormat="1" applyFill="1" applyBorder="1"/>
    <xf numFmtId="0" fontId="0" fillId="0" borderId="7" xfId="0" applyFill="1" applyBorder="1"/>
    <xf numFmtId="43" fontId="0" fillId="0" borderId="6" xfId="0" applyNumberFormat="1" applyFill="1" applyBorder="1"/>
    <xf numFmtId="43" fontId="15" fillId="0" borderId="8" xfId="0" applyNumberFormat="1" applyFont="1" applyFill="1" applyBorder="1"/>
    <xf numFmtId="43" fontId="15" fillId="0" borderId="9" xfId="0" applyNumberFormat="1" applyFont="1" applyFill="1" applyBorder="1"/>
    <xf numFmtId="43" fontId="15" fillId="0" borderId="18" xfId="0" applyNumberFormat="1" applyFont="1" applyFill="1" applyBorder="1"/>
    <xf numFmtId="43" fontId="0" fillId="0" borderId="0" xfId="0" applyNumberFormat="1" applyFill="1"/>
    <xf numFmtId="0" fontId="0" fillId="0" borderId="0" xfId="0" applyFill="1"/>
    <xf numFmtId="43" fontId="0" fillId="0" borderId="8" xfId="13" applyFont="1" applyFill="1" applyBorder="1" applyAlignment="1">
      <alignment horizontal="center"/>
    </xf>
    <xf numFmtId="43" fontId="0" fillId="0" borderId="0" xfId="13" applyFont="1" applyFill="1" applyAlignment="1">
      <alignment horizontal="center"/>
    </xf>
    <xf numFmtId="173" fontId="0" fillId="0" borderId="7" xfId="0" applyNumberFormat="1" applyFill="1" applyBorder="1"/>
    <xf numFmtId="43" fontId="16" fillId="0" borderId="7" xfId="0" applyNumberFormat="1" applyFont="1" applyFill="1" applyBorder="1"/>
    <xf numFmtId="43" fontId="15" fillId="0" borderId="6" xfId="0" applyNumberFormat="1" applyFont="1" applyFill="1" applyBorder="1"/>
    <xf numFmtId="173" fontId="14" fillId="0" borderId="6" xfId="12" applyNumberFormat="1" applyFill="1" applyBorder="1"/>
    <xf numFmtId="0" fontId="14" fillId="0" borderId="8" xfId="12" applyFill="1" applyBorder="1" applyAlignment="1">
      <alignment horizontal="left" indent="1"/>
    </xf>
    <xf numFmtId="0" fontId="14" fillId="0" borderId="7" xfId="12" applyFill="1" applyBorder="1" applyAlignment="1">
      <alignment horizontal="center" vertical="center"/>
    </xf>
    <xf numFmtId="0" fontId="14" fillId="0" borderId="8" xfId="12" applyFill="1" applyBorder="1" applyAlignment="1">
      <alignment horizontal="left" vertical="center" indent="1"/>
    </xf>
    <xf numFmtId="0" fontId="14" fillId="0" borderId="12" xfId="12" applyFill="1" applyBorder="1"/>
    <xf numFmtId="43" fontId="14" fillId="0" borderId="12" xfId="12" applyNumberFormat="1" applyFill="1" applyBorder="1"/>
    <xf numFmtId="173" fontId="14" fillId="0" borderId="19" xfId="12" applyNumberFormat="1" applyFill="1" applyBorder="1"/>
    <xf numFmtId="164" fontId="15" fillId="0" borderId="12" xfId="12" applyNumberFormat="1" applyFont="1" applyFill="1" applyBorder="1"/>
    <xf numFmtId="43" fontId="15" fillId="0" borderId="17" xfId="12" applyNumberFormat="1" applyFont="1" applyFill="1" applyBorder="1"/>
    <xf numFmtId="0" fontId="14" fillId="0" borderId="19" xfId="12" applyFill="1" applyBorder="1"/>
    <xf numFmtId="43" fontId="14" fillId="0" borderId="17" xfId="12" applyNumberFormat="1" applyFill="1" applyBorder="1"/>
    <xf numFmtId="0" fontId="14" fillId="0" borderId="0" xfId="12" applyFill="1" applyAlignment="1">
      <alignment horizontal="left" indent="3"/>
    </xf>
    <xf numFmtId="43" fontId="14" fillId="0" borderId="3" xfId="12" applyNumberFormat="1" applyFill="1" applyBorder="1"/>
    <xf numFmtId="43" fontId="15" fillId="0" borderId="8" xfId="12" applyNumberFormat="1" applyFont="1" applyFill="1" applyBorder="1" applyAlignment="1">
      <alignment horizontal="left"/>
    </xf>
    <xf numFmtId="173" fontId="0" fillId="0" borderId="6" xfId="13" applyNumberFormat="1" applyFont="1" applyFill="1" applyBorder="1"/>
    <xf numFmtId="164" fontId="15" fillId="0" borderId="9" xfId="12" applyNumberFormat="1" applyFont="1" applyFill="1" applyBorder="1"/>
    <xf numFmtId="43" fontId="14" fillId="0" borderId="9" xfId="12" applyNumberFormat="1" applyFill="1" applyBorder="1"/>
    <xf numFmtId="43" fontId="14" fillId="0" borderId="18" xfId="12" applyNumberFormat="1" applyFill="1" applyBorder="1"/>
    <xf numFmtId="2" fontId="14" fillId="0" borderId="0" xfId="12" applyNumberFormat="1" applyFill="1"/>
    <xf numFmtId="38" fontId="0" fillId="0" borderId="0" xfId="1" applyNumberFormat="1" applyFont="1" applyFill="1" applyAlignment="1">
      <alignment horizontal="center"/>
    </xf>
    <xf numFmtId="10" fontId="0" fillId="0" borderId="0" xfId="9" applyNumberFormat="1" applyFont="1" applyFill="1"/>
    <xf numFmtId="8" fontId="0" fillId="0" borderId="0" xfId="1" applyNumberFormat="1" applyFont="1" applyFill="1" applyAlignment="1">
      <alignment horizontal="center"/>
    </xf>
    <xf numFmtId="9" fontId="0" fillId="0" borderId="0" xfId="9" applyFont="1" applyFill="1"/>
    <xf numFmtId="3" fontId="0" fillId="0" borderId="0" xfId="1" applyNumberFormat="1" applyFont="1" applyFill="1" applyAlignment="1">
      <alignment horizontal="center"/>
    </xf>
    <xf numFmtId="3" fontId="0" fillId="0" borderId="1" xfId="1" applyNumberFormat="1" applyFont="1" applyFill="1" applyBorder="1" applyAlignment="1">
      <alignment horizontal="center"/>
    </xf>
    <xf numFmtId="10" fontId="0" fillId="0" borderId="0" xfId="9" applyNumberFormat="1" applyFont="1"/>
    <xf numFmtId="164" fontId="0" fillId="0" borderId="0" xfId="1" applyNumberFormat="1" applyFont="1"/>
    <xf numFmtId="37" fontId="7" fillId="0" borderId="0" xfId="0" applyNumberFormat="1" applyFont="1"/>
    <xf numFmtId="0" fontId="23" fillId="0" borderId="0" xfId="15" applyAlignment="1">
      <alignment vertical="center"/>
    </xf>
    <xf numFmtId="0" fontId="23" fillId="0" borderId="0" xfId="15"/>
    <xf numFmtId="0" fontId="24" fillId="0" borderId="0" xfId="0" applyFont="1" applyAlignment="1">
      <alignment horizontal="center" wrapText="1"/>
    </xf>
    <xf numFmtId="0" fontId="24" fillId="0" borderId="0" xfId="0" applyFont="1"/>
    <xf numFmtId="37" fontId="24" fillId="0" borderId="0" xfId="0" applyNumberFormat="1" applyFont="1" applyAlignment="1">
      <alignment horizontal="center" wrapText="1"/>
    </xf>
    <xf numFmtId="41" fontId="0" fillId="0" borderId="0" xfId="0" applyNumberFormat="1"/>
    <xf numFmtId="37" fontId="20" fillId="0" borderId="0" xfId="0" applyNumberFormat="1" applyFont="1" applyAlignment="1" applyProtection="1">
      <alignment horizontal="left" indent="1"/>
      <protection locked="0"/>
    </xf>
    <xf numFmtId="41" fontId="0" fillId="0" borderId="11" xfId="0" applyNumberFormat="1" applyBorder="1"/>
    <xf numFmtId="0" fontId="7" fillId="0" borderId="0" xfId="0" applyFont="1" applyAlignment="1">
      <alignment horizontal="left"/>
    </xf>
    <xf numFmtId="0" fontId="7" fillId="0" borderId="13" xfId="0" applyFont="1" applyFill="1" applyBorder="1" applyAlignment="1">
      <alignment horizontal="right"/>
    </xf>
    <xf numFmtId="0" fontId="7" fillId="0" borderId="25" xfId="0" applyFont="1" applyFill="1" applyBorder="1" applyAlignment="1">
      <alignment horizontal="center"/>
    </xf>
    <xf numFmtId="41" fontId="7" fillId="0" borderId="25" xfId="0" applyNumberFormat="1" applyFont="1" applyFill="1" applyBorder="1"/>
    <xf numFmtId="174" fontId="7" fillId="0" borderId="25" xfId="9" applyNumberFormat="1" applyFont="1" applyFill="1" applyBorder="1"/>
    <xf numFmtId="174" fontId="7" fillId="0" borderId="14" xfId="9" applyNumberFormat="1" applyFont="1" applyFill="1" applyBorder="1"/>
    <xf numFmtId="0" fontId="22" fillId="0" borderId="0" xfId="12" applyFont="1" applyFill="1" applyAlignment="1">
      <alignment horizontal="center" vertical="center"/>
    </xf>
    <xf numFmtId="173" fontId="22" fillId="0" borderId="8" xfId="11" applyNumberFormat="1" applyFont="1" applyFill="1" applyBorder="1" applyAlignment="1">
      <alignment horizontal="center" vertical="center"/>
    </xf>
    <xf numFmtId="43" fontId="0" fillId="0" borderId="11" xfId="13" applyFont="1" applyFill="1" applyBorder="1" applyAlignment="1">
      <alignment horizontal="right"/>
    </xf>
    <xf numFmtId="43" fontId="0" fillId="0" borderId="0" xfId="13" applyFont="1" applyFill="1" applyBorder="1" applyAlignment="1">
      <alignment horizontal="right"/>
    </xf>
    <xf numFmtId="0" fontId="15" fillId="0" borderId="9" xfId="12" applyFont="1" applyFill="1" applyBorder="1" applyAlignment="1">
      <alignment horizontal="center" vertical="center"/>
    </xf>
    <xf numFmtId="0" fontId="15" fillId="0" borderId="18" xfId="12" applyFont="1" applyFill="1" applyBorder="1" applyAlignment="1">
      <alignment horizontal="center" vertical="center"/>
    </xf>
    <xf numFmtId="0" fontId="14" fillId="0" borderId="11" xfId="12" applyFill="1" applyBorder="1" applyAlignment="1">
      <alignment horizontal="left" indent="1"/>
    </xf>
    <xf numFmtId="0" fontId="0" fillId="0" borderId="0" xfId="13" applyNumberFormat="1" applyFont="1" applyFill="1" applyBorder="1" applyAlignment="1">
      <alignment horizontal="left"/>
    </xf>
    <xf numFmtId="0" fontId="0" fillId="0" borderId="6" xfId="13" applyNumberFormat="1" applyFont="1" applyFill="1" applyBorder="1" applyAlignment="1">
      <alignment horizontal="left"/>
    </xf>
    <xf numFmtId="49" fontId="14" fillId="0" borderId="0" xfId="12" applyNumberFormat="1" applyFill="1" applyAlignment="1">
      <alignment horizontal="left"/>
    </xf>
    <xf numFmtId="0" fontId="22" fillId="0" borderId="0" xfId="12" applyFont="1" applyFill="1" applyAlignment="1">
      <alignment horizontal="center" vertical="center"/>
    </xf>
    <xf numFmtId="0" fontId="14" fillId="0" borderId="0" xfId="12" applyFill="1" applyAlignment="1">
      <alignment horizontal="left"/>
    </xf>
    <xf numFmtId="49" fontId="14" fillId="0" borderId="9" xfId="12" applyNumberFormat="1" applyFill="1" applyBorder="1" applyAlignment="1">
      <alignment horizontal="left"/>
    </xf>
    <xf numFmtId="49" fontId="14" fillId="0" borderId="3" xfId="12" applyNumberFormat="1" applyFill="1" applyBorder="1" applyAlignment="1">
      <alignment horizontal="left"/>
    </xf>
    <xf numFmtId="0" fontId="17" fillId="0" borderId="0" xfId="11" applyFont="1" applyFill="1" applyAlignment="1">
      <alignment horizontal="left"/>
    </xf>
    <xf numFmtId="0" fontId="12" fillId="0" borderId="0" xfId="10" applyAlignment="1">
      <alignment horizontal="center"/>
    </xf>
  </cellXfs>
  <cellStyles count="16">
    <cellStyle name="Comma" xfId="1" builtinId="3"/>
    <cellStyle name="Comma 2" xfId="6" xr:uid="{033C57CD-82A8-4023-A780-E3EA767BFCC3}"/>
    <cellStyle name="Comma 3" xfId="13" xr:uid="{17B64939-A197-4589-AED2-C9184EB45571}"/>
    <cellStyle name="Currency" xfId="2" builtinId="4"/>
    <cellStyle name="Currency 2" xfId="5" xr:uid="{618A103F-F107-4320-A343-1CFD1D910580}"/>
    <cellStyle name="Currency 3" xfId="14" xr:uid="{EE0E0587-C144-4FAE-9C19-EF417438E08F}"/>
    <cellStyle name="Hyperlink" xfId="15" builtinId="8"/>
    <cellStyle name="Input 2" xfId="8" xr:uid="{35728EFC-7678-41D2-9BE9-B6F98A2BB2C3}"/>
    <cellStyle name="Normal" xfId="0" builtinId="0"/>
    <cellStyle name="Normal 14" xfId="11" xr:uid="{7410B84F-A598-4378-B74D-8423C1F829AD}"/>
    <cellStyle name="Normal 2" xfId="3" xr:uid="{1F60754E-DEFF-41E9-9B14-74A592D51ABD}"/>
    <cellStyle name="Normal 25 3" xfId="4" xr:uid="{2D33B624-464D-4034-ACDF-786CE85FE331}"/>
    <cellStyle name="Normal 3" xfId="10" xr:uid="{0F3E2B8F-0EA4-43A9-A649-3700023CFD44}"/>
    <cellStyle name="Normal 4" xfId="12" xr:uid="{45CD3E35-7E41-497A-9788-14C1AC57322B}"/>
    <cellStyle name="Percent" xfId="9" builtinId="5"/>
    <cellStyle name="Percent 2" xfId="7" xr:uid="{05FB9E02-9CB0-4C6F-85C4-1FC9F3763F9C}"/>
  </cellStyles>
  <dxfs count="0"/>
  <tableStyles count="1" defaultTableStyle="TableStyleMedium2" defaultPivotStyle="PivotStyleLight16">
    <tableStyle name="Invisible" pivot="0" table="0" count="0" xr9:uid="{04740C5D-4A10-48AB-A0DD-D16BC28A351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32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EEB0FB-4859-43D7-856E-ABC27D1A5356}"/>
            </a:ext>
          </a:extLst>
        </xdr:cNvPr>
        <xdr:cNvSpPr txBox="1"/>
      </xdr:nvSpPr>
      <xdr:spPr>
        <a:xfrm>
          <a:off x="10454290" y="1160473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76</xdr:col>
      <xdr:colOff>630049</xdr:colOff>
      <xdr:row>0</xdr:row>
      <xdr:rowOff>0</xdr:rowOff>
    </xdr:from>
    <xdr:to>
      <xdr:col>89</xdr:col>
      <xdr:colOff>369090</xdr:colOff>
      <xdr:row>16</xdr:row>
      <xdr:rowOff>18311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75FCD8-B88C-462D-B45E-0E490EC71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7674" y="0"/>
          <a:ext cx="8654442" cy="3306117"/>
        </a:xfrm>
        <a:prstGeom prst="rect">
          <a:avLst/>
        </a:prstGeom>
      </xdr:spPr>
    </xdr:pic>
    <xdr:clientData/>
  </xdr:twoCellAnchor>
  <xdr:twoCellAnchor editAs="oneCell">
    <xdr:from>
      <xdr:col>84</xdr:col>
      <xdr:colOff>14348</xdr:colOff>
      <xdr:row>0</xdr:row>
      <xdr:rowOff>72472</xdr:rowOff>
    </xdr:from>
    <xdr:to>
      <xdr:col>96</xdr:col>
      <xdr:colOff>87829</xdr:colOff>
      <xdr:row>15</xdr:row>
      <xdr:rowOff>116150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24A93F-BF9A-447C-B885-E83BC4BB7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38373" y="272497"/>
          <a:ext cx="8303080" cy="31202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achary.Harris\Washington\2024%20MYRP\UTC%20Fees%20and%20COVID%2019\Cascade%20WA%20COSA%202024_DRAFT_03_25_Delivered%20for%20UTC%20and%20COVID%20Allo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eneral Inputs"/>
      <sheetName val="Input-Func_Class"/>
      <sheetName val="Input-Ext Allocators"/>
      <sheetName val="Input-Accounts"/>
      <sheetName val="Functionalization"/>
      <sheetName val="Classification"/>
      <sheetName val="GasSupply_Dem"/>
      <sheetName val="GasSupply_Comm"/>
      <sheetName val="Trans_Dem"/>
      <sheetName val="Trans_Comm"/>
      <sheetName val="Dist_Dem"/>
      <sheetName val="Dist_Comm"/>
      <sheetName val="Dist_Cust"/>
      <sheetName val="Template"/>
      <sheetName val="DemandTotal"/>
      <sheetName val="CommodityTotal"/>
      <sheetName val="CustomerTotal"/>
      <sheetName val="GrandTotal"/>
      <sheetName val="Summary"/>
      <sheetName val="Rate Spread"/>
      <sheetName val="Internal Alloc"/>
      <sheetName val="UnitCost"/>
      <sheetName val="Tables for Testimony"/>
      <sheetName val="ErrorCheck"/>
      <sheetName val="Required Sheets"/>
      <sheetName val="Macros"/>
      <sheetName val="Change Log"/>
    </sheetNames>
    <sheetDataSet>
      <sheetData sheetId="0"/>
      <sheetData sheetId="1">
        <row r="17">
          <cell r="D17" t="str">
            <v>Res
503</v>
          </cell>
          <cell r="E17" t="str">
            <v>GSC
504</v>
          </cell>
          <cell r="F17" t="str">
            <v>GSI
505</v>
          </cell>
          <cell r="G17" t="str">
            <v>GSLV
511</v>
          </cell>
          <cell r="H17" t="str">
            <v>Interruptible
570</v>
          </cell>
          <cell r="I17" t="str">
            <v>Transport
663</v>
          </cell>
          <cell r="J17" t="str">
            <v>Spl Contracts</v>
          </cell>
        </row>
        <row r="19">
          <cell r="D19">
            <v>7.8940000164946539E-2</v>
          </cell>
        </row>
        <row r="32">
          <cell r="D32">
            <v>1</v>
          </cell>
        </row>
      </sheetData>
      <sheetData sheetId="2">
        <row r="9">
          <cell r="B9" t="str">
            <v>GAS SUPPLY</v>
          </cell>
        </row>
        <row r="10">
          <cell r="B10" t="str">
            <v>STORAGE</v>
          </cell>
        </row>
        <row r="11">
          <cell r="B11" t="str">
            <v>TRANSMISSION</v>
          </cell>
        </row>
        <row r="12">
          <cell r="B12" t="str">
            <v>DISTRIBUTION</v>
          </cell>
        </row>
        <row r="13">
          <cell r="B13" t="str">
            <v>FUNCTION 5</v>
          </cell>
        </row>
        <row r="14">
          <cell r="B14" t="str">
            <v>FUNCTION 6</v>
          </cell>
        </row>
        <row r="15">
          <cell r="B15" t="str">
            <v>FUNCTION 7</v>
          </cell>
        </row>
        <row r="16">
          <cell r="B16" t="str">
            <v>FUNCTION 8</v>
          </cell>
        </row>
        <row r="17">
          <cell r="B17" t="str">
            <v>FUNCTION 9</v>
          </cell>
        </row>
        <row r="18">
          <cell r="B18" t="str">
            <v>FUNCTION 10</v>
          </cell>
        </row>
        <row r="19">
          <cell r="B19" t="str">
            <v>FUNCTION 11</v>
          </cell>
        </row>
        <row r="20">
          <cell r="B20" t="str">
            <v>FUNCTION 12</v>
          </cell>
        </row>
        <row r="23">
          <cell r="B23" t="str">
            <v>DEMAND</v>
          </cell>
        </row>
        <row r="24">
          <cell r="B24" t="str">
            <v>COMMODITY</v>
          </cell>
        </row>
        <row r="25">
          <cell r="B25" t="str">
            <v>CUSTOMER</v>
          </cell>
        </row>
        <row r="26">
          <cell r="B26" t="str">
            <v>PEAK_AVG</v>
          </cell>
        </row>
        <row r="27">
          <cell r="B27" t="str">
            <v>ACCT_813</v>
          </cell>
        </row>
        <row r="28">
          <cell r="B28"/>
        </row>
      </sheetData>
      <sheetData sheetId="3">
        <row r="8">
          <cell r="B8"/>
        </row>
        <row r="9">
          <cell r="B9" t="str">
            <v>*DEMAND ALLOCATION FACTORS</v>
          </cell>
        </row>
        <row r="10">
          <cell r="B10" t="str">
            <v>DESIGN_DAY</v>
          </cell>
        </row>
        <row r="11">
          <cell r="B11" t="str">
            <v>DesignDay_ST&gt;6"</v>
          </cell>
        </row>
        <row r="12">
          <cell r="B12" t="str">
            <v>DesignDay_ST&gt;4-6"</v>
          </cell>
        </row>
        <row r="13">
          <cell r="B13" t="str">
            <v>DesignDay_ST2-4"</v>
          </cell>
        </row>
        <row r="14">
          <cell r="B14" t="str">
            <v>DesignDay_ST&lt;=2"</v>
          </cell>
        </row>
        <row r="15">
          <cell r="B15" t="str">
            <v>DesignDay_PL6"</v>
          </cell>
        </row>
        <row r="16">
          <cell r="B16" t="str">
            <v>DesignDay_PL4"</v>
          </cell>
        </row>
        <row r="17">
          <cell r="B17" t="str">
            <v>DesignDay_PL&lt;=2"</v>
          </cell>
        </row>
        <row r="18">
          <cell r="B18" t="str">
            <v>DesignDay_xSPL</v>
          </cell>
        </row>
        <row r="19">
          <cell r="B19" t="str">
            <v>Peak&amp;Average</v>
          </cell>
        </row>
        <row r="20">
          <cell r="B20" t="str">
            <v>Peak&amp;Avg_ST&gt;6"</v>
          </cell>
        </row>
        <row r="21">
          <cell r="B21" t="str">
            <v>Peak&amp;Avg_ST&gt;4-6"</v>
          </cell>
        </row>
        <row r="22">
          <cell r="B22" t="str">
            <v>Peak&amp;Avg_ST2-4"</v>
          </cell>
        </row>
        <row r="23">
          <cell r="B23" t="str">
            <v>Peak&amp;Avg_ST&lt;=2"</v>
          </cell>
        </row>
        <row r="24">
          <cell r="B24" t="str">
            <v>Peak&amp;Avg_PL6"</v>
          </cell>
        </row>
        <row r="25">
          <cell r="B25" t="str">
            <v>Peak&amp;Avg_PL4"</v>
          </cell>
        </row>
        <row r="26">
          <cell r="B26" t="str">
            <v>Peak&amp;Avg_PL&lt;=2"</v>
          </cell>
        </row>
        <row r="27">
          <cell r="B27" t="str">
            <v>Peak&amp;Avg_xSPL</v>
          </cell>
        </row>
        <row r="28">
          <cell r="B28" t="str">
            <v>*CUSTOMER ALLOCATORS</v>
          </cell>
        </row>
        <row r="29">
          <cell r="B29" t="str">
            <v>CUSTOMERS</v>
          </cell>
        </row>
        <row r="30">
          <cell r="B30" t="str">
            <v>Large_CUST</v>
          </cell>
        </row>
        <row r="31">
          <cell r="B31" t="str">
            <v>METERS</v>
          </cell>
        </row>
        <row r="32">
          <cell r="B32" t="str">
            <v>REGULATORS</v>
          </cell>
        </row>
        <row r="33">
          <cell r="B33" t="str">
            <v>SERVICES</v>
          </cell>
        </row>
        <row r="34">
          <cell r="B34" t="str">
            <v>ACCT_385</v>
          </cell>
        </row>
        <row r="35">
          <cell r="B35" t="str">
            <v>Write-offs</v>
          </cell>
        </row>
        <row r="36">
          <cell r="B36" t="str">
            <v>METER_READ</v>
          </cell>
        </row>
        <row r="37">
          <cell r="B37" t="str">
            <v>ACCT_813_DEM</v>
          </cell>
        </row>
        <row r="38">
          <cell r="B38" t="str">
            <v>ACCT_813_COMM</v>
          </cell>
        </row>
        <row r="39">
          <cell r="B39" t="str">
            <v>ACCT_871</v>
          </cell>
        </row>
        <row r="40">
          <cell r="B40" t="str">
            <v>*COMMODITY and REVENUE ALLOCATORS</v>
          </cell>
        </row>
        <row r="41">
          <cell r="B41" t="str">
            <v>Thruput</v>
          </cell>
        </row>
        <row r="42">
          <cell r="B42" t="str">
            <v>Thruput_ST&gt;6"</v>
          </cell>
        </row>
        <row r="43">
          <cell r="B43" t="str">
            <v>Thruput_ST&gt;4-6"</v>
          </cell>
        </row>
        <row r="44">
          <cell r="B44" t="str">
            <v>Thruput_ST2-4"</v>
          </cell>
        </row>
        <row r="45">
          <cell r="B45" t="str">
            <v>Thruput_ST&lt;=2"</v>
          </cell>
        </row>
        <row r="46">
          <cell r="B46" t="str">
            <v>Thruput_PL6"</v>
          </cell>
        </row>
        <row r="47">
          <cell r="B47" t="str">
            <v>Thruput_PL4"</v>
          </cell>
        </row>
        <row r="48">
          <cell r="B48" t="str">
            <v>Thruput_PL&lt;=2"</v>
          </cell>
        </row>
        <row r="49">
          <cell r="B49" t="str">
            <v>Thruput_xSPL</v>
          </cell>
        </row>
        <row r="50">
          <cell r="B50" t="str">
            <v>REVENUE</v>
          </cell>
        </row>
        <row r="51">
          <cell r="B51" t="str">
            <v>SALES_MARGIN</v>
          </cell>
        </row>
        <row r="52">
          <cell r="B52" t="str">
            <v>TRANSPORT_MARGIN</v>
          </cell>
        </row>
        <row r="53">
          <cell r="B53" t="str">
            <v>SALES_Non-Margin</v>
          </cell>
        </row>
        <row r="54">
          <cell r="B54" t="str">
            <v>TRANSPORT_Non-Margin</v>
          </cell>
        </row>
        <row r="55">
          <cell r="B55" t="str">
            <v>*Direct Assignments</v>
          </cell>
        </row>
        <row r="56">
          <cell r="B56" t="str">
            <v>MAINS-DIRECT</v>
          </cell>
        </row>
        <row r="57">
          <cell r="B57" t="str">
            <v>SERVICE-DIRECT</v>
          </cell>
        </row>
        <row r="58">
          <cell r="B58"/>
        </row>
        <row r="59">
          <cell r="B59"/>
        </row>
        <row r="60">
          <cell r="B60"/>
        </row>
        <row r="61">
          <cell r="B61"/>
        </row>
        <row r="62">
          <cell r="B62"/>
        </row>
        <row r="63">
          <cell r="B63"/>
        </row>
      </sheetData>
      <sheetData sheetId="4">
        <row r="153">
          <cell r="A153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4">
          <cell r="G24" t="str">
            <v>GasSupply_Dem</v>
          </cell>
          <cell r="H24" t="str">
            <v>GasSupply_Comm</v>
          </cell>
          <cell r="I24" t="str">
            <v>Dist_Cust</v>
          </cell>
        </row>
        <row r="25">
          <cell r="G25" t="str">
            <v>Trans_Dem</v>
          </cell>
          <cell r="H25" t="str">
            <v>Trans_Comm</v>
          </cell>
          <cell r="I25" t="str">
            <v/>
          </cell>
        </row>
        <row r="26">
          <cell r="G26" t="str">
            <v>Dist_Dem</v>
          </cell>
          <cell r="H26" t="str">
            <v>Dist_Comm</v>
          </cell>
          <cell r="I26" t="str">
            <v/>
          </cell>
        </row>
        <row r="27">
          <cell r="G27" t="str">
            <v/>
          </cell>
          <cell r="H27" t="str">
            <v/>
          </cell>
          <cell r="I27" t="str">
            <v/>
          </cell>
        </row>
        <row r="28">
          <cell r="G28" t="str">
            <v/>
          </cell>
          <cell r="H28" t="str">
            <v/>
          </cell>
          <cell r="I28" t="str">
            <v/>
          </cell>
        </row>
        <row r="29">
          <cell r="G29" t="str">
            <v/>
          </cell>
          <cell r="H29" t="str">
            <v/>
          </cell>
          <cell r="I29" t="str">
            <v/>
          </cell>
        </row>
        <row r="30">
          <cell r="G30" t="str">
            <v/>
          </cell>
          <cell r="H30" t="str">
            <v/>
          </cell>
          <cell r="I30" t="str">
            <v/>
          </cell>
        </row>
        <row r="31">
          <cell r="G31" t="str">
            <v/>
          </cell>
          <cell r="H31" t="str">
            <v/>
          </cell>
          <cell r="I31" t="str">
            <v/>
          </cell>
        </row>
        <row r="32">
          <cell r="G32" t="str">
            <v/>
          </cell>
          <cell r="H32" t="str">
            <v/>
          </cell>
          <cell r="I32" t="str">
            <v/>
          </cell>
        </row>
        <row r="33">
          <cell r="G33" t="str">
            <v/>
          </cell>
          <cell r="H33" t="str">
            <v/>
          </cell>
          <cell r="I33" t="str">
            <v/>
          </cell>
        </row>
        <row r="34">
          <cell r="G34" t="str">
            <v/>
          </cell>
          <cell r="H34" t="str">
            <v/>
          </cell>
          <cell r="I34" t="str">
            <v/>
          </cell>
        </row>
        <row r="35">
          <cell r="G35" t="str">
            <v/>
          </cell>
          <cell r="H35" t="str">
            <v/>
          </cell>
          <cell r="I35" t="str">
            <v/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0"/>
  <sheetViews>
    <sheetView zoomScale="70" zoomScaleNormal="70" workbookViewId="0">
      <selection activeCell="I27" sqref="I27"/>
    </sheetView>
  </sheetViews>
  <sheetFormatPr defaultRowHeight="15"/>
  <cols>
    <col min="1" max="1" width="6.85546875" customWidth="1"/>
    <col min="2" max="2" width="45.42578125" bestFit="1" customWidth="1"/>
    <col min="3" max="3" width="22" customWidth="1"/>
    <col min="4" max="4" width="17" customWidth="1"/>
    <col min="5" max="5" width="18.28515625" customWidth="1"/>
    <col min="6" max="6" width="6" bestFit="1" customWidth="1"/>
    <col min="7" max="7" width="17.5703125" customWidth="1"/>
    <col min="8" max="8" width="14.42578125" style="2" bestFit="1" customWidth="1"/>
    <col min="9" max="9" width="14.7109375" bestFit="1" customWidth="1"/>
    <col min="10" max="11" width="12.7109375" bestFit="1" customWidth="1"/>
    <col min="12" max="12" width="14.140625" bestFit="1" customWidth="1"/>
    <col min="13" max="13" width="13.7109375" bestFit="1" customWidth="1"/>
    <col min="14" max="14" width="14" bestFit="1" customWidth="1"/>
    <col min="15" max="16" width="12.7109375" bestFit="1" customWidth="1"/>
    <col min="17" max="18" width="12.5703125" bestFit="1" customWidth="1"/>
    <col min="19" max="19" width="12.85546875" bestFit="1" customWidth="1"/>
    <col min="20" max="21" width="12.140625" bestFit="1" customWidth="1"/>
  </cols>
  <sheetData>
    <row r="1" spans="1:26">
      <c r="B1" t="s">
        <v>0</v>
      </c>
    </row>
    <row r="2" spans="1:26">
      <c r="B2" t="s">
        <v>1</v>
      </c>
    </row>
    <row r="3" spans="1:26">
      <c r="B3" t="s">
        <v>2</v>
      </c>
    </row>
    <row r="4" spans="1:26">
      <c r="G4" s="92"/>
      <c r="H4" s="93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6">
      <c r="A5">
        <v>1</v>
      </c>
      <c r="B5" s="12" t="s">
        <v>3</v>
      </c>
      <c r="C5" s="12"/>
      <c r="G5" s="94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6" ht="15.75" customHeight="1">
      <c r="A6">
        <v>2</v>
      </c>
      <c r="B6" s="8" t="s">
        <v>5</v>
      </c>
      <c r="C6" s="107">
        <f>SUM('COVID-19 WP'!E3:AQ6)</f>
        <v>1067047.2</v>
      </c>
      <c r="D6" s="14"/>
      <c r="E6" s="14"/>
      <c r="F6" s="14"/>
      <c r="G6" s="96"/>
      <c r="H6" s="53"/>
      <c r="I6" s="97"/>
      <c r="J6" s="97"/>
      <c r="K6" s="98"/>
      <c r="L6" s="98"/>
      <c r="M6" s="98"/>
      <c r="N6" s="98"/>
      <c r="O6" s="98"/>
      <c r="P6" s="98"/>
      <c r="Q6" s="97"/>
      <c r="R6" s="97"/>
      <c r="S6" s="98"/>
      <c r="T6" s="98"/>
      <c r="V6" s="14"/>
      <c r="W6" s="14"/>
      <c r="X6" s="14"/>
      <c r="Y6" s="14"/>
      <c r="Z6" s="14"/>
    </row>
    <row r="7" spans="1:26">
      <c r="A7">
        <v>3</v>
      </c>
      <c r="B7" s="8" t="s">
        <v>6</v>
      </c>
      <c r="C7" s="108">
        <f>SUM('COVID-19 WP'!E7:AQ9)</f>
        <v>668580.02999999991</v>
      </c>
      <c r="D7" s="14"/>
      <c r="E7" s="14"/>
      <c r="F7" s="14"/>
      <c r="G7" s="92"/>
      <c r="H7" s="99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V7" s="14"/>
      <c r="W7" s="14"/>
      <c r="X7" s="14"/>
      <c r="Y7" s="14"/>
      <c r="Z7" s="14"/>
    </row>
    <row r="8" spans="1:26">
      <c r="A8">
        <v>4</v>
      </c>
      <c r="B8" s="8" t="s">
        <v>7</v>
      </c>
      <c r="C8" s="107">
        <f>SUM('COVID-19 WP'!E10:AQ10)</f>
        <v>124102.42000000001</v>
      </c>
      <c r="D8" s="14"/>
      <c r="E8" s="14"/>
      <c r="F8" s="14"/>
      <c r="G8" s="96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V8" s="14"/>
      <c r="W8" s="14"/>
      <c r="X8" s="14"/>
      <c r="Y8" s="14"/>
      <c r="Z8" s="14"/>
    </row>
    <row r="9" spans="1:26">
      <c r="A9">
        <v>5</v>
      </c>
      <c r="B9" t="s">
        <v>8</v>
      </c>
      <c r="C9" s="109">
        <f>SUM('COVID-19 WP'!E11:AQ12)</f>
        <v>1109045.72</v>
      </c>
      <c r="D9" s="14"/>
      <c r="E9" s="14"/>
      <c r="F9" s="14"/>
      <c r="G9" s="101"/>
      <c r="H9" s="102"/>
      <c r="I9" s="102"/>
      <c r="J9" s="102"/>
      <c r="K9" s="102"/>
      <c r="L9" s="102"/>
      <c r="M9" s="102"/>
      <c r="N9" s="102"/>
      <c r="O9" s="102"/>
      <c r="P9" s="103"/>
      <c r="Q9" s="103"/>
      <c r="R9" s="103"/>
      <c r="S9" s="102"/>
      <c r="T9" s="102"/>
      <c r="V9" s="14"/>
      <c r="W9" s="14"/>
      <c r="X9" s="14"/>
      <c r="Y9" s="14"/>
      <c r="Z9" s="14"/>
    </row>
    <row r="10" spans="1:26">
      <c r="A10">
        <v>6</v>
      </c>
      <c r="B10" s="11" t="s">
        <v>9</v>
      </c>
      <c r="C10" s="108">
        <f>SUM(C6:C9)</f>
        <v>2968775.37</v>
      </c>
      <c r="D10" s="14"/>
      <c r="E10" s="14"/>
      <c r="F10" s="14"/>
      <c r="G10" s="92"/>
      <c r="H10" s="93"/>
      <c r="I10" s="92"/>
      <c r="J10" s="92"/>
      <c r="K10" s="92"/>
      <c r="L10" s="92"/>
      <c r="M10" s="92"/>
      <c r="N10" s="92"/>
      <c r="O10" s="92"/>
      <c r="P10" s="104"/>
      <c r="Q10" s="104"/>
      <c r="R10" s="104"/>
      <c r="S10" s="92"/>
      <c r="T10" s="92"/>
      <c r="V10" s="14"/>
      <c r="W10" s="14"/>
      <c r="X10" s="14"/>
      <c r="Y10" s="14"/>
      <c r="Z10" s="14"/>
    </row>
    <row r="11" spans="1:26">
      <c r="A11">
        <v>7</v>
      </c>
      <c r="B11" s="8" t="s">
        <v>10</v>
      </c>
      <c r="C11" s="110">
        <f>SUM('COVID-19 WP'!E15:AQ16)</f>
        <v>5884412.0400000019</v>
      </c>
      <c r="D11" s="32"/>
      <c r="E11" s="14"/>
      <c r="F11" s="14"/>
      <c r="G11" s="96"/>
      <c r="H11" s="53"/>
      <c r="I11" s="53"/>
      <c r="J11" s="53"/>
      <c r="K11" s="53"/>
      <c r="L11" s="53"/>
      <c r="M11" s="53"/>
      <c r="N11" s="53"/>
      <c r="O11" s="53"/>
      <c r="P11" s="105"/>
      <c r="Q11" s="105"/>
      <c r="R11" s="105"/>
      <c r="S11" s="53"/>
      <c r="T11" s="53"/>
      <c r="V11" s="14"/>
      <c r="W11" s="14"/>
      <c r="X11" s="14"/>
      <c r="Y11" s="14"/>
      <c r="Z11" s="14"/>
    </row>
    <row r="12" spans="1:26">
      <c r="A12">
        <v>8</v>
      </c>
      <c r="B12" t="s">
        <v>12</v>
      </c>
      <c r="C12" s="15">
        <f>-C7</f>
        <v>-668580.02999999991</v>
      </c>
      <c r="D12" s="14"/>
      <c r="E12" s="14"/>
      <c r="F12" s="14"/>
      <c r="G12" s="92"/>
      <c r="H12" s="92"/>
      <c r="I12" s="92"/>
      <c r="J12" s="92"/>
      <c r="K12" s="92"/>
      <c r="L12" s="92"/>
      <c r="M12" s="92"/>
      <c r="N12" s="92"/>
      <c r="O12" s="92"/>
      <c r="P12" s="104"/>
      <c r="Q12" s="104"/>
      <c r="R12" s="104"/>
      <c r="S12" s="92"/>
      <c r="T12" s="92"/>
      <c r="V12" s="14"/>
      <c r="W12" s="14"/>
      <c r="X12" s="14"/>
      <c r="Y12" s="14"/>
      <c r="Z12" s="14"/>
    </row>
    <row r="13" spans="1:26">
      <c r="A13">
        <v>9</v>
      </c>
      <c r="B13" t="s">
        <v>13</v>
      </c>
      <c r="C13" s="16">
        <f>-C9</f>
        <v>-1109045.72</v>
      </c>
      <c r="D13" s="14"/>
      <c r="E13" s="14"/>
      <c r="F13" s="14"/>
      <c r="G13" s="106"/>
      <c r="H13" s="102"/>
      <c r="I13" s="102"/>
      <c r="J13" s="102"/>
      <c r="K13" s="102"/>
      <c r="L13" s="102"/>
      <c r="M13" s="102"/>
      <c r="N13" s="102"/>
      <c r="O13" s="102"/>
      <c r="P13" s="103"/>
      <c r="Q13" s="103"/>
      <c r="R13" s="103"/>
      <c r="S13" s="102"/>
      <c r="T13" s="102"/>
      <c r="V13" s="14"/>
      <c r="W13" s="14"/>
      <c r="X13" s="14"/>
      <c r="Y13" s="14"/>
      <c r="Z13" s="14"/>
    </row>
    <row r="14" spans="1:26">
      <c r="A14">
        <v>10</v>
      </c>
      <c r="B14" s="13" t="s">
        <v>14</v>
      </c>
      <c r="C14" s="108">
        <f>SUM(C10:C13)</f>
        <v>7075561.660000002</v>
      </c>
      <c r="D14" s="14"/>
      <c r="E14" s="14"/>
      <c r="F14" s="14"/>
      <c r="V14" s="14"/>
      <c r="W14" s="14"/>
      <c r="X14" s="14"/>
      <c r="Y14" s="14"/>
      <c r="Z14" s="14"/>
    </row>
    <row r="15" spans="1:26">
      <c r="C15" s="108"/>
      <c r="D15" s="14"/>
      <c r="E15" s="14"/>
      <c r="F15" s="14"/>
      <c r="V15" s="14"/>
      <c r="W15" s="14"/>
      <c r="X15" s="14"/>
      <c r="Y15" s="14"/>
      <c r="Z15" s="14"/>
    </row>
    <row r="16" spans="1:26">
      <c r="A16">
        <v>11</v>
      </c>
      <c r="B16" s="8" t="s">
        <v>11</v>
      </c>
      <c r="C16" s="110">
        <f>SUM('COVID-19 WP'!E18:AQ23)</f>
        <v>-1055334.4400000002</v>
      </c>
      <c r="D16" s="32"/>
      <c r="E16" s="14"/>
      <c r="F16" s="14"/>
      <c r="V16" s="14"/>
      <c r="W16" s="14"/>
      <c r="X16" s="14"/>
      <c r="Y16" s="14"/>
      <c r="Z16" s="14"/>
    </row>
    <row r="17" spans="1:26">
      <c r="A17">
        <v>12</v>
      </c>
      <c r="B17" s="8" t="s">
        <v>15</v>
      </c>
      <c r="C17" s="111">
        <f>SUM('COVID-19 WP'!E24:AQ24)</f>
        <v>-158487.77000000002</v>
      </c>
      <c r="D17" s="32"/>
      <c r="E17" s="14"/>
      <c r="F17" s="14"/>
      <c r="V17" s="14"/>
      <c r="W17" s="14"/>
      <c r="X17" s="14"/>
      <c r="Y17" s="14"/>
      <c r="Z17" s="14"/>
    </row>
    <row r="18" spans="1:26">
      <c r="A18">
        <v>13</v>
      </c>
      <c r="B18" s="11" t="s">
        <v>16</v>
      </c>
      <c r="C18" s="108">
        <f>SUM(C16:C17)</f>
        <v>-1213822.2100000002</v>
      </c>
      <c r="D18" s="14"/>
      <c r="E18" s="14"/>
      <c r="F18" s="14"/>
      <c r="V18" s="14"/>
      <c r="W18" s="14"/>
      <c r="X18" s="14"/>
      <c r="Y18" s="14"/>
      <c r="Z18" s="14"/>
    </row>
    <row r="19" spans="1:26">
      <c r="A19">
        <v>14</v>
      </c>
      <c r="C19" s="112"/>
      <c r="D19" s="14"/>
      <c r="E19" s="14"/>
      <c r="F19" s="14"/>
      <c r="V19" s="14"/>
      <c r="W19" s="14"/>
      <c r="X19" s="14"/>
      <c r="Y19" s="14"/>
      <c r="Z19" s="14"/>
    </row>
    <row r="20" spans="1:26">
      <c r="A20">
        <v>15</v>
      </c>
      <c r="C20" s="112"/>
      <c r="D20" s="14"/>
      <c r="E20" s="14"/>
      <c r="F20" s="14"/>
      <c r="G20" s="14"/>
      <c r="H20" s="17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>
      <c r="A21">
        <v>16</v>
      </c>
      <c r="B21" s="13" t="s">
        <v>17</v>
      </c>
      <c r="C21" s="15">
        <f>+C14+C18</f>
        <v>5861739.450000002</v>
      </c>
      <c r="D21" s="14"/>
      <c r="E21" s="14"/>
      <c r="F21" s="14"/>
      <c r="G21" s="14"/>
      <c r="H21" s="17"/>
      <c r="I21" s="14"/>
      <c r="J21" s="14"/>
      <c r="K21" s="18"/>
      <c r="L21" s="19"/>
      <c r="M21" s="2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>
      <c r="A22">
        <v>17</v>
      </c>
      <c r="B22" s="6" t="s">
        <v>18</v>
      </c>
      <c r="C22" s="113">
        <v>2062982.3900000001</v>
      </c>
      <c r="D22" s="14"/>
      <c r="E22" s="14"/>
      <c r="F22" s="14"/>
      <c r="G22" s="14"/>
      <c r="H22" s="17"/>
      <c r="I22" s="14"/>
      <c r="J22" s="14"/>
      <c r="K22" s="18"/>
      <c r="L22" s="19"/>
      <c r="M22" s="20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>
      <c r="A23">
        <v>18</v>
      </c>
      <c r="B23" s="13" t="s">
        <v>19</v>
      </c>
      <c r="C23" s="112">
        <f>+C21+C22</f>
        <v>7924721.8400000017</v>
      </c>
      <c r="D23" s="14"/>
      <c r="E23" s="14"/>
      <c r="F23" s="14"/>
      <c r="G23" s="14"/>
      <c r="H23" s="17"/>
      <c r="I23" s="14"/>
      <c r="J23" s="14"/>
      <c r="K23" s="14"/>
      <c r="L23" s="19"/>
      <c r="M23" s="20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>
      <c r="C24" s="14"/>
      <c r="D24" s="14"/>
      <c r="E24" s="14"/>
      <c r="F24" s="14"/>
      <c r="G24" s="14"/>
      <c r="H24" s="17"/>
      <c r="I24" s="14"/>
      <c r="J24" s="14"/>
      <c r="K24" s="18"/>
      <c r="L24" s="19"/>
      <c r="M24" s="20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>
      <c r="A25">
        <v>19</v>
      </c>
      <c r="B25" s="8" t="s">
        <v>20</v>
      </c>
      <c r="C25" s="114">
        <f>+C23/2</f>
        <v>3962360.9200000009</v>
      </c>
      <c r="D25" s="14"/>
      <c r="E25" s="14"/>
      <c r="F25" s="14"/>
      <c r="G25" s="14"/>
      <c r="H25" s="17"/>
      <c r="I25" s="2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>
      <c r="A26">
        <v>20</v>
      </c>
      <c r="B26" t="s">
        <v>21</v>
      </c>
      <c r="C26" s="115">
        <f>+C25/(1-0.04924)</f>
        <v>4167572.173839876</v>
      </c>
      <c r="D26" s="14"/>
      <c r="E26" s="14"/>
      <c r="F26" s="14"/>
      <c r="G26" s="14"/>
      <c r="H26" s="17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C27" s="14"/>
      <c r="D27" s="14"/>
      <c r="E27" s="14"/>
      <c r="F27" s="14"/>
      <c r="G27" s="14"/>
      <c r="H27" s="17"/>
      <c r="I27" s="14"/>
      <c r="J27" s="9"/>
      <c r="K27" s="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>
      <c r="A28">
        <v>21</v>
      </c>
      <c r="B28" t="s">
        <v>243</v>
      </c>
      <c r="C28" s="14"/>
      <c r="D28" s="14"/>
      <c r="E28" s="14"/>
      <c r="F28" s="14"/>
      <c r="G28" s="14"/>
      <c r="H28" s="17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thickBot="1">
      <c r="C29" s="14"/>
      <c r="D29" s="14"/>
      <c r="E29" s="14"/>
      <c r="F29" s="14"/>
      <c r="G29" s="14"/>
      <c r="H29" s="17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thickBot="1">
      <c r="A30">
        <v>22</v>
      </c>
      <c r="B30" s="3" t="s">
        <v>22</v>
      </c>
      <c r="C30" s="22" t="s">
        <v>23</v>
      </c>
      <c r="D30" t="s">
        <v>242</v>
      </c>
      <c r="E30" s="14" t="s">
        <v>240</v>
      </c>
      <c r="F30" s="14"/>
      <c r="G30" s="88" t="s">
        <v>241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6">
      <c r="A31">
        <v>23</v>
      </c>
      <c r="B31" s="2">
        <v>503</v>
      </c>
      <c r="C31" s="222">
        <v>132185007</v>
      </c>
      <c r="D31" s="223">
        <f>'Exh RJA-3 Excerpt WP'!E34</f>
        <v>0.838644458553651</v>
      </c>
      <c r="E31" s="17">
        <f>+C26*D31</f>
        <v>3495111.3092132052</v>
      </c>
      <c r="F31" s="17"/>
      <c r="G31" s="89">
        <f>ROUND(E31/C31,5)</f>
        <v>2.6440000000000002E-2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6">
      <c r="B32" s="2"/>
      <c r="C32" s="224"/>
      <c r="D32" s="225"/>
      <c r="E32" s="17"/>
      <c r="F32" s="17"/>
      <c r="G32" s="89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>
      <c r="A33">
        <v>24</v>
      </c>
      <c r="B33" s="2">
        <v>504</v>
      </c>
      <c r="C33" s="226">
        <v>93408945</v>
      </c>
      <c r="D33" s="223">
        <f>'Exh RJA-3 Excerpt WP'!F34</f>
        <v>0.1370087305481609</v>
      </c>
      <c r="E33" s="17">
        <f>+C26*D33</f>
        <v>570993.77300564072</v>
      </c>
      <c r="F33" s="17"/>
      <c r="G33" s="89">
        <f>ROUND(E33/C33,5)</f>
        <v>6.11E-3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>
      <c r="B34" s="2"/>
      <c r="C34" s="226"/>
      <c r="D34" s="225"/>
      <c r="E34" s="10"/>
      <c r="F34" s="10"/>
      <c r="G34" s="90"/>
      <c r="H34" s="14"/>
    </row>
    <row r="35" spans="1:25">
      <c r="A35">
        <v>25</v>
      </c>
      <c r="B35" s="2">
        <v>505</v>
      </c>
      <c r="C35" s="226">
        <v>12346309</v>
      </c>
      <c r="D35" s="223">
        <f>'Exh RJA-3 Excerpt WP'!G34</f>
        <v>1.7763673718470565E-2</v>
      </c>
      <c r="E35" s="10">
        <f>+C26*D35</f>
        <v>74031.392294268648</v>
      </c>
      <c r="F35" s="10"/>
      <c r="G35" s="89">
        <f>ROUND(E35/C35,5)</f>
        <v>6.0000000000000001E-3</v>
      </c>
      <c r="H35" s="14"/>
    </row>
    <row r="36" spans="1:25">
      <c r="B36" s="2"/>
      <c r="C36" s="226"/>
      <c r="D36" s="225"/>
      <c r="E36" s="10"/>
      <c r="F36" s="10"/>
      <c r="G36" s="90"/>
      <c r="H36" s="14"/>
    </row>
    <row r="37" spans="1:25">
      <c r="A37">
        <v>26</v>
      </c>
      <c r="B37" s="2">
        <v>511</v>
      </c>
      <c r="C37" s="226">
        <v>16688677</v>
      </c>
      <c r="D37" s="223">
        <f>'Exh RJA-3 Excerpt WP'!H34</f>
        <v>2.1792195123483352E-3</v>
      </c>
      <c r="E37" s="10">
        <f>+C26*D37</f>
        <v>9082.0546003518266</v>
      </c>
      <c r="F37" s="10"/>
      <c r="G37" s="89">
        <f>ROUND(E37/C37,5)</f>
        <v>5.4000000000000001E-4</v>
      </c>
      <c r="H37" s="14"/>
    </row>
    <row r="38" spans="1:25">
      <c r="B38" s="2"/>
      <c r="C38" s="226"/>
      <c r="D38" s="225"/>
      <c r="E38" s="10"/>
      <c r="F38" s="10"/>
      <c r="G38" s="90"/>
      <c r="H38" s="14"/>
    </row>
    <row r="39" spans="1:25">
      <c r="A39">
        <v>27</v>
      </c>
      <c r="B39" s="2">
        <v>663</v>
      </c>
      <c r="C39" s="226">
        <v>854941070</v>
      </c>
      <c r="D39" s="223">
        <f>'Exh RJA-3 Excerpt WP'!J34</f>
        <v>4.2502788257031904E-3</v>
      </c>
      <c r="E39" s="10">
        <f>+C26*D39</f>
        <v>17713.34376506144</v>
      </c>
      <c r="F39" s="10"/>
      <c r="G39" s="89">
        <f>ROUND(E39/C39,5)</f>
        <v>2.0000000000000002E-5</v>
      </c>
      <c r="H39" s="14"/>
    </row>
    <row r="40" spans="1:25">
      <c r="B40" s="2"/>
      <c r="C40" s="226"/>
      <c r="D40" s="225"/>
      <c r="E40" s="10"/>
      <c r="F40" s="10"/>
      <c r="G40" s="90"/>
      <c r="H40" s="14"/>
    </row>
    <row r="41" spans="1:25" ht="15.75" thickBot="1">
      <c r="A41">
        <v>28</v>
      </c>
      <c r="B41" s="2">
        <v>570</v>
      </c>
      <c r="C41" s="227">
        <v>2097598</v>
      </c>
      <c r="D41" s="223">
        <f>'Exh RJA-3 Excerpt WP'!I34</f>
        <v>1.5363884166601514E-4</v>
      </c>
      <c r="E41" s="10">
        <f>+C26*D41</f>
        <v>640.30096134827522</v>
      </c>
      <c r="F41" s="10"/>
      <c r="G41" s="91">
        <f>ROUND(E41/C41,5)</f>
        <v>3.1E-4</v>
      </c>
      <c r="H41" s="14"/>
    </row>
    <row r="42" spans="1:25" ht="15.75" thickTop="1">
      <c r="E42" s="2"/>
      <c r="F42" s="2"/>
      <c r="H42" s="14"/>
    </row>
    <row r="43" spans="1:25">
      <c r="A43">
        <v>29</v>
      </c>
      <c r="B43" s="6" t="s">
        <v>24</v>
      </c>
      <c r="C43" s="1">
        <f>SUM(C31:C42)</f>
        <v>1111667606</v>
      </c>
      <c r="D43" s="7">
        <f>SUM(D31:D42)</f>
        <v>0.99999999999999989</v>
      </c>
      <c r="E43" s="116">
        <f>SUM(E31:E42)</f>
        <v>4167572.173839876</v>
      </c>
      <c r="F43" s="10"/>
      <c r="H43"/>
    </row>
    <row r="45" spans="1:25">
      <c r="B45" s="6" t="s">
        <v>245</v>
      </c>
      <c r="E45" s="229">
        <v>370707520</v>
      </c>
      <c r="F45" s="228"/>
      <c r="G45" s="5"/>
    </row>
    <row r="46" spans="1:25">
      <c r="B46" s="6" t="s">
        <v>244</v>
      </c>
      <c r="E46" s="228">
        <f>+E43/E45</f>
        <v>1.1242211039689391E-2</v>
      </c>
    </row>
    <row r="49" spans="2:12">
      <c r="B49" s="4"/>
    </row>
    <row r="56" spans="2:12">
      <c r="L56" s="6"/>
    </row>
    <row r="57" spans="2:12">
      <c r="L57" s="6"/>
    </row>
    <row r="58" spans="2:12">
      <c r="L58" s="6"/>
    </row>
    <row r="59" spans="2:12">
      <c r="L59" s="6"/>
    </row>
    <row r="60" spans="2:12">
      <c r="L60" s="6"/>
    </row>
    <row r="61" spans="2:12">
      <c r="L61" s="6"/>
    </row>
    <row r="62" spans="2:12">
      <c r="L62" s="6"/>
    </row>
    <row r="63" spans="2:12">
      <c r="L63" s="6"/>
    </row>
    <row r="64" spans="2:12">
      <c r="L64" s="6"/>
    </row>
    <row r="65" spans="12:12">
      <c r="L65" s="6"/>
    </row>
    <row r="66" spans="12:12">
      <c r="L66" s="6"/>
    </row>
    <row r="67" spans="12:12">
      <c r="L67" s="6"/>
    </row>
    <row r="68" spans="12:12">
      <c r="L68" s="6"/>
    </row>
    <row r="69" spans="12:12">
      <c r="L69" s="6"/>
    </row>
    <row r="70" spans="12:12">
      <c r="L70" s="6"/>
    </row>
  </sheetData>
  <phoneticPr fontId="3" type="noConversion"/>
  <pageMargins left="0.7" right="0.7" top="0.75" bottom="0.75" header="0.3" footer="0.3"/>
  <pageSetup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D45F1-2E37-4492-BC20-8BFB677CDF63}">
  <sheetPr>
    <tabColor rgb="FF00B050"/>
  </sheetPr>
  <dimension ref="A1"/>
  <sheetViews>
    <sheetView workbookViewId="0">
      <selection activeCell="L35" sqref="L3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0AC52-02EF-4A3B-8D93-D6F9DB04470F}">
  <sheetPr>
    <tabColor theme="0"/>
  </sheetPr>
  <dimension ref="A1:BU32"/>
  <sheetViews>
    <sheetView showGridLines="0" topLeftCell="Q1" zoomScale="85" zoomScaleNormal="85" zoomScaleSheetLayoutView="85" workbookViewId="0">
      <selection activeCell="U36" sqref="U36"/>
    </sheetView>
  </sheetViews>
  <sheetFormatPr defaultColWidth="9.140625" defaultRowHeight="15"/>
  <cols>
    <col min="1" max="1" width="3.7109375" style="117" customWidth="1"/>
    <col min="2" max="2" width="2" style="117" customWidth="1"/>
    <col min="3" max="3" width="22" style="117" customWidth="1"/>
    <col min="4" max="4" width="46.28515625" style="117" customWidth="1"/>
    <col min="5" max="5" width="13.5703125" style="117" customWidth="1"/>
    <col min="6" max="6" width="14" style="117" customWidth="1"/>
    <col min="7" max="8" width="13.42578125" style="117" customWidth="1"/>
    <col min="9" max="9" width="14" style="117" customWidth="1"/>
    <col min="10" max="11" width="13.140625" style="117" customWidth="1"/>
    <col min="12" max="23" width="14.42578125" style="117" customWidth="1"/>
    <col min="24" max="24" width="12.7109375" style="117" customWidth="1"/>
    <col min="25" max="35" width="14.42578125" style="117" customWidth="1"/>
    <col min="36" max="37" width="12.7109375" style="117" customWidth="1"/>
    <col min="38" max="39" width="12.7109375" style="117" bestFit="1" customWidth="1"/>
    <col min="40" max="56" width="14.42578125" style="117" customWidth="1"/>
    <col min="57" max="57" width="1.5703125" style="117" customWidth="1"/>
    <col min="58" max="58" width="18" style="117" bestFit="1" customWidth="1"/>
    <col min="59" max="59" width="1.85546875" style="117" customWidth="1"/>
    <col min="60" max="60" width="16.7109375" style="117" customWidth="1"/>
    <col min="61" max="61" width="28.28515625" style="117" customWidth="1"/>
    <col min="62" max="62" width="1.85546875" style="117" customWidth="1"/>
    <col min="63" max="63" width="67.42578125" style="117" customWidth="1"/>
    <col min="64" max="64" width="1.85546875" style="117" hidden="1" customWidth="1"/>
    <col min="65" max="65" width="18.28515625" style="117" hidden="1" customWidth="1"/>
    <col min="66" max="66" width="15.42578125" style="117" hidden="1" customWidth="1"/>
    <col min="67" max="67" width="6.28515625" style="117" customWidth="1"/>
    <col min="68" max="68" width="2.5703125" style="70" customWidth="1"/>
    <col min="69" max="69" width="49.85546875" style="70" customWidth="1"/>
    <col min="70" max="70" width="18.42578125" style="118" bestFit="1" customWidth="1"/>
    <col min="71" max="71" width="2.42578125" style="117" customWidth="1"/>
    <col min="72" max="72" width="1.85546875" style="117" customWidth="1"/>
    <col min="73" max="16384" width="9.140625" style="117"/>
  </cols>
  <sheetData>
    <row r="1" spans="1:73" ht="15.75" customHeight="1">
      <c r="B1" s="151" t="s">
        <v>200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2" t="s">
        <v>26</v>
      </c>
      <c r="AR1" s="152" t="s">
        <v>201</v>
      </c>
      <c r="AS1" s="152" t="s">
        <v>201</v>
      </c>
      <c r="AT1" s="152" t="s">
        <v>201</v>
      </c>
      <c r="AU1" s="152" t="s">
        <v>201</v>
      </c>
      <c r="AV1" s="152" t="s">
        <v>201</v>
      </c>
      <c r="AW1" s="152" t="s">
        <v>201</v>
      </c>
      <c r="AX1" s="152" t="s">
        <v>201</v>
      </c>
      <c r="AY1" s="152" t="s">
        <v>201</v>
      </c>
      <c r="AZ1" s="152" t="s">
        <v>201</v>
      </c>
      <c r="BA1" s="152" t="s">
        <v>201</v>
      </c>
      <c r="BB1" s="152" t="s">
        <v>201</v>
      </c>
      <c r="BC1" s="152" t="s">
        <v>201</v>
      </c>
      <c r="BD1" s="152" t="s">
        <v>201</v>
      </c>
      <c r="BE1" s="151"/>
      <c r="BF1" s="151"/>
      <c r="BG1" s="119"/>
      <c r="BQ1" s="75"/>
      <c r="BR1" s="121"/>
    </row>
    <row r="2" spans="1:73" ht="12" customHeight="1" thickBot="1">
      <c r="B2" s="259" t="s">
        <v>189</v>
      </c>
      <c r="C2" s="259"/>
      <c r="D2" s="259"/>
      <c r="E2" s="153">
        <v>43952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4"/>
      <c r="BF2" s="246" t="s">
        <v>44</v>
      </c>
      <c r="BG2" s="119"/>
      <c r="BH2" s="255" t="s">
        <v>202</v>
      </c>
      <c r="BI2" s="255"/>
      <c r="BJ2" s="123"/>
      <c r="BK2" s="245" t="s">
        <v>203</v>
      </c>
      <c r="BM2" s="255" t="s">
        <v>204</v>
      </c>
      <c r="BN2" s="255"/>
      <c r="BO2" s="123"/>
      <c r="BP2" s="154"/>
      <c r="BQ2" s="155"/>
      <c r="BR2" s="155"/>
      <c r="BS2" s="156"/>
      <c r="BT2" s="140"/>
    </row>
    <row r="3" spans="1:73" ht="16.5" customHeight="1">
      <c r="A3" s="125"/>
      <c r="C3" s="256" t="s">
        <v>205</v>
      </c>
      <c r="D3" s="256"/>
      <c r="E3" s="80">
        <v>95087.75</v>
      </c>
      <c r="F3" s="70">
        <f>225943.22-F10-J5</f>
        <v>215508.29</v>
      </c>
      <c r="G3" s="70">
        <f>4122.11-G10-I4</f>
        <v>-4356.18</v>
      </c>
      <c r="H3" s="70">
        <v>55165.84</v>
      </c>
      <c r="I3" s="70">
        <v>-41970.52</v>
      </c>
      <c r="J3" s="70">
        <v>-76832.52</v>
      </c>
      <c r="K3" s="70">
        <v>32913.49</v>
      </c>
      <c r="L3" s="70">
        <v>206292.17</v>
      </c>
      <c r="M3" s="70">
        <v>-89920.36</v>
      </c>
      <c r="N3" s="70">
        <v>7792.44</v>
      </c>
      <c r="O3" s="70">
        <v>-83970.18</v>
      </c>
      <c r="P3" s="70">
        <v>-86758.71</v>
      </c>
      <c r="Q3" s="70">
        <v>-171853.01</v>
      </c>
      <c r="R3" s="70">
        <v>-158238.84</v>
      </c>
      <c r="S3" s="70">
        <v>-2421.84</v>
      </c>
      <c r="T3" s="70">
        <v>-61922.69</v>
      </c>
      <c r="U3" s="70">
        <v>-420442.57</v>
      </c>
      <c r="V3" s="70">
        <v>-46712.73</v>
      </c>
      <c r="W3" s="70">
        <v>132894.85</v>
      </c>
      <c r="X3" s="71">
        <v>-50807.28</v>
      </c>
      <c r="Y3" s="70">
        <v>5709.59</v>
      </c>
      <c r="Z3" s="70">
        <v>128634.29</v>
      </c>
      <c r="AA3" s="71">
        <v>64545.88</v>
      </c>
      <c r="AB3" s="71">
        <v>67014.55</v>
      </c>
      <c r="AC3" s="71">
        <v>-61096.82</v>
      </c>
      <c r="AD3" s="71">
        <v>54711.07</v>
      </c>
      <c r="AE3" s="71">
        <v>71094.73</v>
      </c>
      <c r="AF3" s="71">
        <v>13721.07</v>
      </c>
      <c r="AG3" s="70">
        <v>11950.58</v>
      </c>
      <c r="AH3" s="70">
        <v>-34851.75</v>
      </c>
      <c r="AI3" s="70">
        <v>173034.08</v>
      </c>
      <c r="AJ3" s="70">
        <v>55326.82</v>
      </c>
      <c r="AK3" s="70">
        <v>117482.99</v>
      </c>
      <c r="AL3" s="70">
        <v>190327.14</v>
      </c>
      <c r="AM3" s="70">
        <v>52366.22</v>
      </c>
      <c r="AN3" s="70">
        <v>23465.9</v>
      </c>
      <c r="AO3" s="70">
        <v>246762.6</v>
      </c>
      <c r="AP3" s="70">
        <v>311344.13</v>
      </c>
      <c r="AQ3" s="70">
        <v>159102.67000000001</v>
      </c>
      <c r="AR3" s="70">
        <v>69711.12</v>
      </c>
      <c r="AS3" s="70">
        <v>-47635.85</v>
      </c>
      <c r="AT3" s="70">
        <v>-27964</v>
      </c>
      <c r="AU3" s="70">
        <v>90060.71</v>
      </c>
      <c r="AV3" s="70">
        <v>49951.73</v>
      </c>
      <c r="AW3" s="70">
        <v>37236.120000000003</v>
      </c>
      <c r="AX3" s="70">
        <v>76760.83</v>
      </c>
      <c r="AY3" s="70">
        <v>80498.78</v>
      </c>
      <c r="AZ3" s="70">
        <v>30214.59</v>
      </c>
      <c r="BA3" s="70">
        <v>-139244.17000000001</v>
      </c>
      <c r="BB3" s="70">
        <v>-281967.78999999998</v>
      </c>
      <c r="BC3" s="70">
        <v>119198.99</v>
      </c>
      <c r="BD3" s="70">
        <v>69711.12</v>
      </c>
      <c r="BE3" s="143"/>
      <c r="BF3" s="126">
        <f>SUM(E3:BD3)</f>
        <v>1226625.3199999998</v>
      </c>
      <c r="BG3" s="159"/>
      <c r="BH3" s="160"/>
      <c r="BI3" s="126"/>
      <c r="BJ3" s="126"/>
      <c r="BK3" s="74" t="s">
        <v>206</v>
      </c>
      <c r="BL3" s="161"/>
      <c r="BM3" s="161"/>
      <c r="BN3" s="158"/>
      <c r="BO3" s="126"/>
      <c r="BP3" s="130"/>
      <c r="BQ3" s="127" t="s">
        <v>3</v>
      </c>
      <c r="BR3" s="128" t="s">
        <v>4</v>
      </c>
      <c r="BS3" s="157"/>
    </row>
    <row r="4" spans="1:73" ht="16.5" customHeight="1">
      <c r="A4" s="125"/>
      <c r="C4" s="256" t="s">
        <v>190</v>
      </c>
      <c r="D4" s="256"/>
      <c r="E4" s="162"/>
      <c r="F4" s="146"/>
      <c r="G4" s="70"/>
      <c r="H4" s="70"/>
      <c r="I4" s="70">
        <v>7357.82</v>
      </c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70"/>
      <c r="Z4" s="70"/>
      <c r="AA4" s="71"/>
      <c r="AB4" s="71"/>
      <c r="AC4" s="71"/>
      <c r="AD4" s="71"/>
      <c r="AE4" s="71"/>
      <c r="AF4" s="71"/>
      <c r="AG4" s="70"/>
      <c r="AH4" s="70"/>
      <c r="AI4" s="70"/>
      <c r="AJ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143"/>
      <c r="BF4" s="126">
        <f t="shared" ref="BF4:BF6" si="0">SUM(E4:BD4)</f>
        <v>7357.82</v>
      </c>
      <c r="BG4" s="159"/>
      <c r="BH4" s="160"/>
      <c r="BI4" s="126"/>
      <c r="BJ4" s="126"/>
      <c r="BK4" s="74" t="s">
        <v>206</v>
      </c>
      <c r="BL4" s="161"/>
      <c r="BM4" s="161"/>
      <c r="BN4" s="158"/>
      <c r="BO4" s="126"/>
      <c r="BP4" s="79"/>
      <c r="BQ4" s="130" t="s">
        <v>5</v>
      </c>
      <c r="BR4" s="79">
        <f>BF3+BF4+BF5+BF6</f>
        <v>1193579.3799999999</v>
      </c>
      <c r="BS4" s="163"/>
    </row>
    <row r="5" spans="1:73" ht="16.5" customHeight="1">
      <c r="A5" s="125"/>
      <c r="C5" s="256" t="s">
        <v>191</v>
      </c>
      <c r="D5" s="256"/>
      <c r="E5" s="162"/>
      <c r="F5" s="146"/>
      <c r="G5" s="70"/>
      <c r="H5" s="70"/>
      <c r="I5" s="70"/>
      <c r="J5" s="70">
        <v>7410.97</v>
      </c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1"/>
      <c r="Y5" s="70"/>
      <c r="Z5" s="70"/>
      <c r="AA5" s="71"/>
      <c r="AB5" s="71"/>
      <c r="AC5" s="71"/>
      <c r="AD5" s="71"/>
      <c r="AE5" s="71"/>
      <c r="AF5" s="71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143"/>
      <c r="BF5" s="126">
        <f t="shared" si="0"/>
        <v>7410.97</v>
      </c>
      <c r="BG5" s="159"/>
      <c r="BH5" s="160"/>
      <c r="BI5" s="126"/>
      <c r="BJ5" s="126"/>
      <c r="BK5" s="74" t="s">
        <v>206</v>
      </c>
      <c r="BL5" s="161"/>
      <c r="BM5" s="161"/>
      <c r="BN5" s="158"/>
      <c r="BO5" s="133"/>
      <c r="BP5" s="164"/>
      <c r="BQ5" s="130" t="s">
        <v>7</v>
      </c>
      <c r="BR5" s="79">
        <f>+BF10</f>
        <v>124102.42000000001</v>
      </c>
      <c r="BS5" s="157"/>
    </row>
    <row r="6" spans="1:73" ht="16.5" customHeight="1">
      <c r="A6" s="125"/>
      <c r="C6" s="256" t="s">
        <v>207</v>
      </c>
      <c r="D6" s="256"/>
      <c r="E6" s="162"/>
      <c r="F6" s="146"/>
      <c r="G6" s="70"/>
      <c r="H6" s="70"/>
      <c r="I6" s="70"/>
      <c r="J6" s="70"/>
      <c r="K6" s="70"/>
      <c r="L6" s="70">
        <v>-47814.73</v>
      </c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  <c r="Y6" s="70"/>
      <c r="Z6" s="70"/>
      <c r="AA6" s="71"/>
      <c r="AB6" s="71"/>
      <c r="AC6" s="71"/>
      <c r="AD6" s="71"/>
      <c r="AE6" s="71"/>
      <c r="AF6" s="71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143"/>
      <c r="BF6" s="126">
        <f t="shared" si="0"/>
        <v>-47814.73</v>
      </c>
      <c r="BG6" s="159"/>
      <c r="BH6" s="165">
        <f>SUM(BF3:BF6)</f>
        <v>1193579.3799999999</v>
      </c>
      <c r="BI6" s="74" t="s">
        <v>192</v>
      </c>
      <c r="BJ6" s="126"/>
      <c r="BK6" s="74" t="s">
        <v>206</v>
      </c>
      <c r="BL6" s="161"/>
      <c r="BM6" s="161"/>
      <c r="BN6" s="158"/>
      <c r="BO6" s="133"/>
      <c r="BP6" s="164"/>
      <c r="BQ6" s="130" t="s">
        <v>193</v>
      </c>
      <c r="BR6" s="79">
        <f>BF15+BF16</f>
        <v>7858707.9333333364</v>
      </c>
      <c r="BS6" s="157"/>
    </row>
    <row r="7" spans="1:73" ht="16.5" customHeight="1">
      <c r="A7" s="125"/>
      <c r="C7" s="256" t="s">
        <v>208</v>
      </c>
      <c r="D7" s="256"/>
      <c r="E7" s="162"/>
      <c r="F7" s="146"/>
      <c r="G7" s="70"/>
      <c r="H7" s="70"/>
      <c r="I7" s="70"/>
      <c r="J7" s="70"/>
      <c r="K7" s="70"/>
      <c r="L7" s="72">
        <v>7261.85</v>
      </c>
      <c r="M7" s="72">
        <v>6846.45</v>
      </c>
      <c r="N7" s="72">
        <v>6066.44</v>
      </c>
      <c r="O7" s="72">
        <v>5547.32</v>
      </c>
      <c r="P7" s="72">
        <v>4674.8900000000003</v>
      </c>
      <c r="Q7" s="72">
        <v>4860.26</v>
      </c>
      <c r="R7" s="72">
        <v>6047.54</v>
      </c>
      <c r="S7" s="72">
        <v>8820.5400000000009</v>
      </c>
      <c r="T7" s="72">
        <v>11531.84</v>
      </c>
      <c r="U7" s="72">
        <v>8462.48</v>
      </c>
      <c r="V7" s="72">
        <v>14265.63</v>
      </c>
      <c r="W7" s="72">
        <v>13665.94</v>
      </c>
      <c r="X7" s="73">
        <v>12233.7</v>
      </c>
      <c r="Y7" s="72">
        <v>13600.64</v>
      </c>
      <c r="Z7" s="72">
        <v>10800.18</v>
      </c>
      <c r="AA7" s="72">
        <v>10061.11</v>
      </c>
      <c r="AB7" s="72">
        <v>9368.94</v>
      </c>
      <c r="AC7" s="72">
        <v>9076.7000000000007</v>
      </c>
      <c r="AD7" s="72">
        <v>10825.54</v>
      </c>
      <c r="AE7" s="72">
        <v>34412.080000000002</v>
      </c>
      <c r="AF7" s="72">
        <v>41171.660000000003</v>
      </c>
      <c r="AG7" s="72">
        <v>35431.07</v>
      </c>
      <c r="AH7" s="72">
        <v>42669.120000000003</v>
      </c>
      <c r="AI7" s="72">
        <v>40466.129999999997</v>
      </c>
      <c r="AJ7" s="72">
        <v>39627.919999999998</v>
      </c>
      <c r="AK7" s="72">
        <v>34058.07</v>
      </c>
      <c r="AL7" s="72">
        <v>25194.77</v>
      </c>
      <c r="AM7" s="166">
        <v>24412.49</v>
      </c>
      <c r="AN7" s="72">
        <v>17772.919999999998</v>
      </c>
      <c r="AO7" s="73">
        <v>17979.75</v>
      </c>
      <c r="AP7" s="73">
        <v>20201.82</v>
      </c>
      <c r="AQ7" s="73">
        <v>23330.6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143"/>
      <c r="BF7" s="126">
        <f t="shared" ref="BF7:BF12" si="1">SUM(E7:BD7)</f>
        <v>570746.3899999999</v>
      </c>
      <c r="BG7" s="159"/>
      <c r="BH7" s="160"/>
      <c r="BI7" s="126"/>
      <c r="BJ7" s="126"/>
      <c r="BK7" s="74" t="s">
        <v>209</v>
      </c>
      <c r="BL7" s="161"/>
      <c r="BM7" s="161"/>
      <c r="BN7" s="158"/>
      <c r="BO7" s="133"/>
      <c r="BP7" s="164"/>
      <c r="BQ7" s="134" t="s">
        <v>9</v>
      </c>
      <c r="BR7" s="78">
        <f>SUM(BR4:BR6)</f>
        <v>9176389.7333333362</v>
      </c>
      <c r="BS7" s="157"/>
    </row>
    <row r="8" spans="1:73" ht="16.5" customHeight="1">
      <c r="A8" s="125"/>
      <c r="C8" s="256" t="s">
        <v>210</v>
      </c>
      <c r="D8" s="256"/>
      <c r="E8" s="162"/>
      <c r="F8" s="146"/>
      <c r="G8" s="70"/>
      <c r="H8" s="70"/>
      <c r="I8" s="70"/>
      <c r="J8" s="70"/>
      <c r="K8" s="70"/>
      <c r="L8" s="72"/>
      <c r="M8" s="72"/>
      <c r="N8" s="72"/>
      <c r="O8" s="72"/>
      <c r="P8" s="72"/>
      <c r="Q8" s="72"/>
      <c r="R8" s="72">
        <v>301.66000000000003</v>
      </c>
      <c r="S8" s="72"/>
      <c r="T8" s="72"/>
      <c r="U8" s="72"/>
      <c r="V8" s="72"/>
      <c r="W8" s="72"/>
      <c r="X8" s="72"/>
      <c r="Y8" s="72"/>
      <c r="Z8" s="72"/>
      <c r="AA8" s="73"/>
      <c r="AB8" s="73"/>
      <c r="AC8" s="73"/>
      <c r="AD8" s="73"/>
      <c r="AE8" s="73"/>
      <c r="AF8" s="73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143"/>
      <c r="BF8" s="126">
        <f>SUM(E8:BD8)</f>
        <v>301.66000000000003</v>
      </c>
      <c r="BG8" s="159"/>
      <c r="BH8" s="160"/>
      <c r="BI8" s="126"/>
      <c r="BJ8" s="126"/>
      <c r="BK8" s="74" t="s">
        <v>211</v>
      </c>
      <c r="BL8" s="161"/>
      <c r="BM8" s="161"/>
      <c r="BN8" s="158"/>
      <c r="BO8" s="133"/>
      <c r="BP8" s="164"/>
      <c r="BR8" s="72"/>
      <c r="BS8" s="163"/>
      <c r="BU8" s="120"/>
    </row>
    <row r="9" spans="1:73" ht="16.5" customHeight="1">
      <c r="A9" s="125"/>
      <c r="C9" s="256" t="s">
        <v>194</v>
      </c>
      <c r="D9" s="256"/>
      <c r="E9" s="162"/>
      <c r="F9" s="146"/>
      <c r="G9" s="72"/>
      <c r="H9" s="72"/>
      <c r="I9" s="72"/>
      <c r="J9" s="72"/>
      <c r="K9" s="72"/>
      <c r="L9" s="72">
        <v>97531.98</v>
      </c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3"/>
      <c r="AB9" s="73"/>
      <c r="AC9" s="73"/>
      <c r="AD9" s="73"/>
      <c r="AE9" s="73"/>
      <c r="AF9" s="73"/>
      <c r="AG9" s="72"/>
      <c r="AH9" s="72"/>
      <c r="AI9" s="72"/>
      <c r="AJ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143"/>
      <c r="BF9" s="126">
        <f t="shared" si="1"/>
        <v>97531.98</v>
      </c>
      <c r="BG9" s="159"/>
      <c r="BH9" s="167">
        <f>SUM(BF7:BF9)</f>
        <v>668580.02999999991</v>
      </c>
      <c r="BI9" s="74" t="s">
        <v>212</v>
      </c>
      <c r="BJ9" s="126"/>
      <c r="BK9" s="74" t="s">
        <v>213</v>
      </c>
      <c r="BL9" s="161"/>
      <c r="BM9" s="161"/>
      <c r="BN9" s="158"/>
      <c r="BO9" s="133"/>
      <c r="BP9" s="164"/>
      <c r="BQ9" s="130" t="s">
        <v>11</v>
      </c>
      <c r="BR9" s="79">
        <f>SUM(BF18:BF23)</f>
        <v>-1093180.1233333335</v>
      </c>
      <c r="BS9" s="157"/>
    </row>
    <row r="10" spans="1:73" ht="16.5" customHeight="1">
      <c r="A10" s="125"/>
      <c r="C10" s="168" t="s">
        <v>214</v>
      </c>
      <c r="D10" s="168"/>
      <c r="E10" s="169">
        <v>43682.06</v>
      </c>
      <c r="F10" s="76">
        <v>3023.96</v>
      </c>
      <c r="G10" s="76">
        <v>1120.47</v>
      </c>
      <c r="H10" s="76">
        <v>1596.99</v>
      </c>
      <c r="I10" s="76">
        <v>1889.89</v>
      </c>
      <c r="J10" s="76">
        <v>793.26</v>
      </c>
      <c r="K10" s="76">
        <v>732.38</v>
      </c>
      <c r="L10" s="76">
        <v>20735.18</v>
      </c>
      <c r="M10" s="76">
        <v>1611.76</v>
      </c>
      <c r="N10" s="76">
        <v>15855.71</v>
      </c>
      <c r="O10" s="76">
        <v>2330.2399999999998</v>
      </c>
      <c r="P10" s="76">
        <v>4638.7700000000004</v>
      </c>
      <c r="Q10" s="76">
        <v>1058.1099999999999</v>
      </c>
      <c r="R10" s="76">
        <v>771.89</v>
      </c>
      <c r="S10" s="76">
        <v>15519.05</v>
      </c>
      <c r="T10" s="76">
        <v>458.45</v>
      </c>
      <c r="U10" s="76">
        <v>1061.92</v>
      </c>
      <c r="V10" s="76">
        <v>545.05999999999995</v>
      </c>
      <c r="W10" s="76">
        <v>560.71</v>
      </c>
      <c r="X10" s="76">
        <v>545.05999999999995</v>
      </c>
      <c r="Y10" s="76">
        <v>557.9</v>
      </c>
      <c r="Z10" s="76">
        <v>545.05999999999995</v>
      </c>
      <c r="AA10" s="76">
        <v>539.79</v>
      </c>
      <c r="AB10" s="76">
        <v>878.1</v>
      </c>
      <c r="AC10" s="76">
        <v>539.79</v>
      </c>
      <c r="AD10" s="76">
        <v>878.1</v>
      </c>
      <c r="AE10" s="76">
        <v>707.91</v>
      </c>
      <c r="AF10" s="76">
        <v>539</v>
      </c>
      <c r="AG10" s="76">
        <v>713.16</v>
      </c>
      <c r="AH10" s="76">
        <v>-327.31</v>
      </c>
      <c r="AI10" s="76">
        <v>0</v>
      </c>
      <c r="AJ10" s="76">
        <v>0</v>
      </c>
      <c r="AK10" s="76">
        <v>0</v>
      </c>
      <c r="AL10" s="76">
        <v>0</v>
      </c>
      <c r="AM10" s="76">
        <v>0</v>
      </c>
      <c r="AN10" s="76">
        <v>0</v>
      </c>
      <c r="AO10" s="76">
        <v>0</v>
      </c>
      <c r="AP10" s="76">
        <v>0</v>
      </c>
      <c r="AQ10" s="76">
        <v>0</v>
      </c>
      <c r="AR10" s="76">
        <v>0</v>
      </c>
      <c r="AS10" s="76">
        <v>0</v>
      </c>
      <c r="AT10" s="76">
        <v>0</v>
      </c>
      <c r="AU10" s="76">
        <v>0</v>
      </c>
      <c r="AV10" s="76">
        <v>0</v>
      </c>
      <c r="AW10" s="76">
        <v>0</v>
      </c>
      <c r="AX10" s="76">
        <v>0</v>
      </c>
      <c r="AY10" s="76">
        <v>0</v>
      </c>
      <c r="AZ10" s="76">
        <v>0</v>
      </c>
      <c r="BA10" s="76">
        <v>0</v>
      </c>
      <c r="BB10" s="76">
        <v>0</v>
      </c>
      <c r="BC10" s="76">
        <v>0</v>
      </c>
      <c r="BD10" s="76">
        <v>0</v>
      </c>
      <c r="BE10" s="143"/>
      <c r="BF10" s="126">
        <f t="shared" si="1"/>
        <v>124102.42000000001</v>
      </c>
      <c r="BG10" s="159"/>
      <c r="BH10" s="167">
        <f>SUM(BF10:BF10)</f>
        <v>124102.42000000001</v>
      </c>
      <c r="BI10" s="74" t="s">
        <v>215</v>
      </c>
      <c r="BJ10" s="126"/>
      <c r="BK10" s="74" t="s">
        <v>216</v>
      </c>
      <c r="BL10" s="161"/>
      <c r="BM10" s="161"/>
      <c r="BN10" s="158"/>
      <c r="BO10" s="133"/>
      <c r="BP10" s="164"/>
      <c r="BQ10" s="137" t="s">
        <v>15</v>
      </c>
      <c r="BR10" s="79">
        <f>+BF24</f>
        <v>-158487.77000000002</v>
      </c>
      <c r="BS10" s="157"/>
      <c r="BT10" s="140"/>
    </row>
    <row r="11" spans="1:73" ht="16.5" customHeight="1">
      <c r="A11" s="125"/>
      <c r="C11" s="170" t="s">
        <v>195</v>
      </c>
      <c r="D11" s="168"/>
      <c r="E11" s="169"/>
      <c r="F11" s="76"/>
      <c r="G11" s="76"/>
      <c r="H11" s="76"/>
      <c r="I11" s="76"/>
      <c r="J11" s="76"/>
      <c r="K11" s="76"/>
      <c r="L11" s="76">
        <f>25049.67</f>
        <v>25049.67</v>
      </c>
      <c r="M11" s="76">
        <v>29351.72</v>
      </c>
      <c r="N11" s="76">
        <v>25225.040000000001</v>
      </c>
      <c r="O11" s="76">
        <v>25408.93</v>
      </c>
      <c r="P11" s="76">
        <v>25999.73</v>
      </c>
      <c r="Q11" s="76">
        <v>24940.06</v>
      </c>
      <c r="R11" s="76">
        <v>25829.45</v>
      </c>
      <c r="S11" s="76">
        <v>25810.2</v>
      </c>
      <c r="T11" s="76">
        <v>23362.34</v>
      </c>
      <c r="U11" s="76">
        <v>27041.01</v>
      </c>
      <c r="V11" s="76">
        <v>22570.25</v>
      </c>
      <c r="W11" s="76">
        <v>22498.7</v>
      </c>
      <c r="X11" s="76">
        <v>20985.38</v>
      </c>
      <c r="Y11" s="76">
        <v>22922.03</v>
      </c>
      <c r="Z11" s="76">
        <v>22819.84</v>
      </c>
      <c r="AA11" s="76">
        <v>24327.41</v>
      </c>
      <c r="AB11" s="76">
        <v>19061.650000000001</v>
      </c>
      <c r="AC11" s="76">
        <v>20564.41</v>
      </c>
      <c r="AD11" s="76">
        <v>24226.79</v>
      </c>
      <c r="AE11" s="76">
        <v>23607.05</v>
      </c>
      <c r="AF11" s="76">
        <v>22024.51</v>
      </c>
      <c r="AG11" s="76">
        <v>23581.58</v>
      </c>
      <c r="AH11" s="76">
        <v>21175.51</v>
      </c>
      <c r="AI11" s="76">
        <v>24489.4</v>
      </c>
      <c r="AJ11" s="76">
        <v>22244.79</v>
      </c>
      <c r="AK11" s="76">
        <v>24297.74</v>
      </c>
      <c r="AL11" s="76">
        <v>25497.69</v>
      </c>
      <c r="AM11" s="76">
        <v>22089.66</v>
      </c>
      <c r="AN11" s="76">
        <v>24352.31</v>
      </c>
      <c r="AO11" s="76">
        <v>29791.99</v>
      </c>
      <c r="AP11" s="76">
        <v>32999.72</v>
      </c>
      <c r="AQ11" s="76">
        <v>40410.730000000003</v>
      </c>
      <c r="AR11" s="76">
        <f>(T11+AF11)/2</f>
        <v>22693.424999999999</v>
      </c>
      <c r="AS11" s="76">
        <f t="shared" ref="AS11:BD11" si="2">(U11+AG11)/2</f>
        <v>25311.294999999998</v>
      </c>
      <c r="AT11" s="76">
        <f t="shared" si="2"/>
        <v>21872.879999999997</v>
      </c>
      <c r="AU11" s="76">
        <f t="shared" si="2"/>
        <v>23494.050000000003</v>
      </c>
      <c r="AV11" s="76">
        <f t="shared" si="2"/>
        <v>21615.084999999999</v>
      </c>
      <c r="AW11" s="76">
        <f t="shared" si="2"/>
        <v>23609.885000000002</v>
      </c>
      <c r="AX11" s="76">
        <f t="shared" si="2"/>
        <v>24158.764999999999</v>
      </c>
      <c r="AY11" s="76">
        <f t="shared" si="2"/>
        <v>23208.535</v>
      </c>
      <c r="AZ11" s="76">
        <f t="shared" si="2"/>
        <v>21706.980000000003</v>
      </c>
      <c r="BA11" s="76">
        <f t="shared" si="2"/>
        <v>25178.2</v>
      </c>
      <c r="BB11" s="76">
        <f t="shared" si="2"/>
        <v>28613.255000000001</v>
      </c>
      <c r="BC11" s="76">
        <f t="shared" si="2"/>
        <v>32008.89</v>
      </c>
      <c r="BD11" s="76">
        <f t="shared" si="2"/>
        <v>22358.967499999999</v>
      </c>
      <c r="BE11" s="143"/>
      <c r="BF11" s="132">
        <f t="shared" si="1"/>
        <v>1110387.5024999999</v>
      </c>
      <c r="BG11" s="159"/>
      <c r="BH11" s="160"/>
      <c r="BI11" s="125"/>
      <c r="BJ11" s="126"/>
      <c r="BK11" s="158" t="s">
        <v>217</v>
      </c>
      <c r="BL11" s="161"/>
      <c r="BM11" s="161"/>
      <c r="BN11" s="125"/>
      <c r="BO11" s="126"/>
      <c r="BP11" s="164"/>
      <c r="BQ11" s="135" t="s">
        <v>16</v>
      </c>
      <c r="BR11" s="78">
        <f>+BR10+BR9</f>
        <v>-1251667.8933333335</v>
      </c>
      <c r="BS11" s="157"/>
    </row>
    <row r="12" spans="1:73" ht="16.5" customHeight="1" thickBot="1">
      <c r="A12" s="125"/>
      <c r="C12" s="257" t="s">
        <v>218</v>
      </c>
      <c r="D12" s="258"/>
      <c r="E12" s="171"/>
      <c r="F12" s="172"/>
      <c r="G12" s="172"/>
      <c r="H12" s="172"/>
      <c r="I12" s="172"/>
      <c r="J12" s="172"/>
      <c r="K12" s="172"/>
      <c r="L12" s="172">
        <f>314488.43</f>
        <v>314488.43</v>
      </c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43"/>
      <c r="BF12" s="132">
        <f t="shared" si="1"/>
        <v>314488.43</v>
      </c>
      <c r="BG12" s="159"/>
      <c r="BH12" s="173">
        <f>+BF12+BF11</f>
        <v>1424875.9324999999</v>
      </c>
      <c r="BI12" s="174" t="s">
        <v>219</v>
      </c>
      <c r="BJ12" s="175"/>
      <c r="BK12" s="176" t="s">
        <v>220</v>
      </c>
      <c r="BL12" s="161"/>
      <c r="BM12" s="249" t="s">
        <v>196</v>
      </c>
      <c r="BN12" s="250"/>
      <c r="BO12" s="126"/>
      <c r="BP12" s="164"/>
      <c r="BQ12" s="139" t="s">
        <v>197</v>
      </c>
      <c r="BR12" s="78">
        <f>ROUND(BR7+BR11,2)</f>
        <v>7924721.8399999999</v>
      </c>
      <c r="BS12" s="157"/>
    </row>
    <row r="13" spans="1:73" ht="16.5" customHeight="1" thickTop="1">
      <c r="A13" s="125"/>
      <c r="B13" s="138"/>
      <c r="C13" s="251" t="s">
        <v>221</v>
      </c>
      <c r="D13" s="251"/>
      <c r="E13" s="80">
        <f t="shared" ref="E13:BD13" si="3">SUM(E3:E12)</f>
        <v>138769.81</v>
      </c>
      <c r="F13" s="72">
        <f t="shared" si="3"/>
        <v>218532.25</v>
      </c>
      <c r="G13" s="72">
        <f t="shared" si="3"/>
        <v>-3235.71</v>
      </c>
      <c r="H13" s="72">
        <f t="shared" si="3"/>
        <v>56762.829999999994</v>
      </c>
      <c r="I13" s="72">
        <f t="shared" si="3"/>
        <v>-32722.809999999998</v>
      </c>
      <c r="J13" s="72">
        <f t="shared" si="3"/>
        <v>-68628.290000000008</v>
      </c>
      <c r="K13" s="72">
        <f t="shared" si="3"/>
        <v>33645.869999999995</v>
      </c>
      <c r="L13" s="72">
        <f t="shared" si="3"/>
        <v>623544.55000000005</v>
      </c>
      <c r="M13" s="72">
        <f t="shared" si="3"/>
        <v>-52110.430000000008</v>
      </c>
      <c r="N13" s="72">
        <f t="shared" si="3"/>
        <v>54939.63</v>
      </c>
      <c r="O13" s="72">
        <f t="shared" si="3"/>
        <v>-50683.689999999981</v>
      </c>
      <c r="P13" s="72">
        <f t="shared" si="3"/>
        <v>-51445.320000000007</v>
      </c>
      <c r="Q13" s="72">
        <f t="shared" si="3"/>
        <v>-140994.58000000002</v>
      </c>
      <c r="R13" s="72">
        <f t="shared" si="3"/>
        <v>-125288.29999999997</v>
      </c>
      <c r="S13" s="72">
        <f t="shared" si="3"/>
        <v>47727.95</v>
      </c>
      <c r="T13" s="72">
        <f t="shared" si="3"/>
        <v>-26570.060000000009</v>
      </c>
      <c r="U13" s="72">
        <f t="shared" si="3"/>
        <v>-383877.16000000003</v>
      </c>
      <c r="V13" s="72">
        <f t="shared" si="3"/>
        <v>-9331.7900000000045</v>
      </c>
      <c r="W13" s="72">
        <f t="shared" si="3"/>
        <v>169620.2</v>
      </c>
      <c r="X13" s="72">
        <f t="shared" si="3"/>
        <v>-17043.140000000003</v>
      </c>
      <c r="Y13" s="72">
        <f t="shared" si="3"/>
        <v>42790.16</v>
      </c>
      <c r="Z13" s="72">
        <f t="shared" si="3"/>
        <v>162799.37</v>
      </c>
      <c r="AA13" s="81">
        <f t="shared" si="3"/>
        <v>99474.189999999988</v>
      </c>
      <c r="AB13" s="81">
        <f t="shared" si="3"/>
        <v>96323.24000000002</v>
      </c>
      <c r="AC13" s="81">
        <f t="shared" si="3"/>
        <v>-30915.919999999995</v>
      </c>
      <c r="AD13" s="81">
        <f t="shared" si="3"/>
        <v>90641.5</v>
      </c>
      <c r="AE13" s="81">
        <f t="shared" si="3"/>
        <v>129821.77</v>
      </c>
      <c r="AF13" s="81">
        <f t="shared" si="3"/>
        <v>77456.240000000005</v>
      </c>
      <c r="AG13" s="81">
        <f t="shared" si="3"/>
        <v>71676.390000000014</v>
      </c>
      <c r="AH13" s="81">
        <f t="shared" si="3"/>
        <v>28665.57</v>
      </c>
      <c r="AI13" s="81">
        <f t="shared" si="3"/>
        <v>237989.61</v>
      </c>
      <c r="AJ13" s="81">
        <f t="shared" si="3"/>
        <v>117199.53</v>
      </c>
      <c r="AK13" s="81">
        <f t="shared" si="3"/>
        <v>175838.8</v>
      </c>
      <c r="AL13" s="81">
        <f t="shared" si="3"/>
        <v>241019.6</v>
      </c>
      <c r="AM13" s="81">
        <f t="shared" si="3"/>
        <v>98868.37000000001</v>
      </c>
      <c r="AN13" s="81">
        <f t="shared" si="3"/>
        <v>65591.13</v>
      </c>
      <c r="AO13" s="81">
        <f t="shared" si="3"/>
        <v>294534.33999999997</v>
      </c>
      <c r="AP13" s="81">
        <f t="shared" si="3"/>
        <v>364545.67000000004</v>
      </c>
      <c r="AQ13" s="81">
        <f t="shared" si="3"/>
        <v>222844.00000000003</v>
      </c>
      <c r="AR13" s="81">
        <f t="shared" si="3"/>
        <v>92404.544999999998</v>
      </c>
      <c r="AS13" s="81">
        <f t="shared" si="3"/>
        <v>-22324.555</v>
      </c>
      <c r="AT13" s="81">
        <f t="shared" si="3"/>
        <v>-6091.1200000000026</v>
      </c>
      <c r="AU13" s="81">
        <f t="shared" si="3"/>
        <v>113554.76000000001</v>
      </c>
      <c r="AV13" s="81">
        <f t="shared" si="3"/>
        <v>71566.815000000002</v>
      </c>
      <c r="AW13" s="81">
        <f t="shared" si="3"/>
        <v>60846.005000000005</v>
      </c>
      <c r="AX13" s="81">
        <f t="shared" si="3"/>
        <v>100919.595</v>
      </c>
      <c r="AY13" s="81">
        <f t="shared" si="3"/>
        <v>103707.315</v>
      </c>
      <c r="AZ13" s="81">
        <f t="shared" si="3"/>
        <v>51921.570000000007</v>
      </c>
      <c r="BA13" s="81">
        <f t="shared" si="3"/>
        <v>-114065.97000000002</v>
      </c>
      <c r="BB13" s="81">
        <f t="shared" si="3"/>
        <v>-253354.53499999997</v>
      </c>
      <c r="BC13" s="81">
        <f t="shared" si="3"/>
        <v>151207.88</v>
      </c>
      <c r="BD13" s="81">
        <f t="shared" si="3"/>
        <v>92070.087499999994</v>
      </c>
      <c r="BE13" s="143"/>
      <c r="BF13" s="177">
        <f>SUM(BF3:BF12)</f>
        <v>3411137.7624999997</v>
      </c>
      <c r="BG13" s="159"/>
      <c r="BH13" s="178"/>
      <c r="BI13" s="125"/>
      <c r="BJ13" s="126"/>
      <c r="BK13" s="158" t="s">
        <v>222</v>
      </c>
      <c r="BL13" s="161"/>
      <c r="BM13" s="179" t="s">
        <v>223</v>
      </c>
      <c r="BN13" s="126">
        <v>2746359.94</v>
      </c>
      <c r="BO13" s="72"/>
      <c r="BP13" s="137"/>
      <c r="BQ13" s="180"/>
      <c r="BR13" s="141"/>
      <c r="BS13" s="181"/>
    </row>
    <row r="14" spans="1:73" ht="16.5" customHeight="1">
      <c r="A14" s="125"/>
      <c r="B14" s="182"/>
      <c r="C14" s="183"/>
      <c r="D14" s="183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132"/>
      <c r="BF14" s="126"/>
      <c r="BG14" s="159"/>
      <c r="BH14" s="184"/>
      <c r="BI14" s="125"/>
      <c r="BJ14" s="126"/>
      <c r="BK14" s="158"/>
      <c r="BL14" s="161"/>
      <c r="BM14" s="179"/>
      <c r="BN14" s="126"/>
      <c r="BO14" s="72"/>
      <c r="BP14" s="185"/>
      <c r="BQ14" s="185"/>
      <c r="BR14" s="131"/>
      <c r="BS14" s="186"/>
    </row>
    <row r="15" spans="1:73" s="197" customFormat="1" ht="16.5" customHeight="1">
      <c r="A15" s="187"/>
      <c r="B15" s="188"/>
      <c r="C15" s="252" t="s">
        <v>224</v>
      </c>
      <c r="D15" s="253"/>
      <c r="E15" s="72">
        <v>274704.58999999997</v>
      </c>
      <c r="F15" s="72">
        <v>85717.04</v>
      </c>
      <c r="G15" s="72">
        <v>110279.5</v>
      </c>
      <c r="H15" s="72">
        <v>173644.32</v>
      </c>
      <c r="I15" s="72">
        <v>169823.35</v>
      </c>
      <c r="J15" s="72">
        <v>176527.62</v>
      </c>
      <c r="K15" s="72">
        <v>173084.35</v>
      </c>
      <c r="L15" s="72">
        <v>168228.91</v>
      </c>
      <c r="M15" s="72">
        <v>169463.26</v>
      </c>
      <c r="N15" s="72">
        <v>166165.07</v>
      </c>
      <c r="O15" s="72">
        <v>164080.9</v>
      </c>
      <c r="P15" s="72">
        <v>163118.51999999999</v>
      </c>
      <c r="Q15" s="72">
        <v>136848.84</v>
      </c>
      <c r="R15" s="72">
        <v>124345.49</v>
      </c>
      <c r="S15" s="72">
        <v>127726.62</v>
      </c>
      <c r="T15" s="72">
        <v>145980.93</v>
      </c>
      <c r="U15" s="72">
        <v>159985.37</v>
      </c>
      <c r="V15" s="72">
        <v>148690.31</v>
      </c>
      <c r="W15" s="72">
        <v>142940.93</v>
      </c>
      <c r="X15" s="72">
        <v>144126.24</v>
      </c>
      <c r="Y15" s="72">
        <v>140516.39000000001</v>
      </c>
      <c r="Z15" s="72">
        <v>146012.61000000138</v>
      </c>
      <c r="AA15" s="72">
        <v>144211.37</v>
      </c>
      <c r="AB15" s="72">
        <v>136919.07</v>
      </c>
      <c r="AC15" s="72">
        <v>117099.54</v>
      </c>
      <c r="AD15" s="72">
        <v>118928.34</v>
      </c>
      <c r="AE15" s="72">
        <v>152633.29</v>
      </c>
      <c r="AF15" s="72">
        <v>174479.52</v>
      </c>
      <c r="AG15" s="72">
        <v>179380.85</v>
      </c>
      <c r="AH15" s="72">
        <v>187179.25</v>
      </c>
      <c r="AI15" s="72">
        <v>183996.75</v>
      </c>
      <c r="AJ15" s="72">
        <v>189766.8</v>
      </c>
      <c r="AK15" s="72">
        <v>160555.79999999999</v>
      </c>
      <c r="AL15" s="72">
        <v>126898.92</v>
      </c>
      <c r="AM15" s="72">
        <v>87944.97</v>
      </c>
      <c r="AN15" s="72">
        <v>76516.23</v>
      </c>
      <c r="AO15" s="72">
        <v>76138.23</v>
      </c>
      <c r="AP15" s="72">
        <v>94088.45</v>
      </c>
      <c r="AQ15" s="72">
        <v>111607.5</v>
      </c>
      <c r="AR15" s="72">
        <f>(H15+T15+AF15)/3</f>
        <v>164701.59</v>
      </c>
      <c r="AS15" s="72">
        <f t="shared" ref="AS15:BC15" si="4">(I15+U15+AG15)/3</f>
        <v>169729.85666666666</v>
      </c>
      <c r="AT15" s="72">
        <f t="shared" si="4"/>
        <v>170799.06</v>
      </c>
      <c r="AU15" s="72">
        <f t="shared" si="4"/>
        <v>166674.01</v>
      </c>
      <c r="AV15" s="72">
        <f t="shared" si="4"/>
        <v>167373.98333333334</v>
      </c>
      <c r="AW15" s="72">
        <f t="shared" si="4"/>
        <v>156845.15</v>
      </c>
      <c r="AX15" s="72">
        <f t="shared" si="4"/>
        <v>146358.86666666713</v>
      </c>
      <c r="AY15" s="72">
        <f t="shared" si="4"/>
        <v>132079.07999999999</v>
      </c>
      <c r="AZ15" s="72">
        <f t="shared" si="4"/>
        <v>125517.93999999999</v>
      </c>
      <c r="BA15" s="72">
        <f t="shared" si="4"/>
        <v>110028.87</v>
      </c>
      <c r="BB15" s="72">
        <f t="shared" si="4"/>
        <v>112454.09333333334</v>
      </c>
      <c r="BC15" s="72">
        <f t="shared" si="4"/>
        <v>130655.80333333334</v>
      </c>
      <c r="BD15" s="72">
        <f>+AR15</f>
        <v>164701.59</v>
      </c>
      <c r="BE15" s="189"/>
      <c r="BF15" s="190">
        <f>SUM(E15:BD15)</f>
        <v>7648275.9333333364</v>
      </c>
      <c r="BG15" s="191"/>
      <c r="BH15" s="165">
        <f>+BF15+BF16</f>
        <v>7858707.9333333364</v>
      </c>
      <c r="BI15" s="74" t="s">
        <v>225</v>
      </c>
      <c r="BJ15" s="192"/>
      <c r="BK15" s="83" t="s">
        <v>226</v>
      </c>
      <c r="BL15" s="193"/>
      <c r="BM15" s="194"/>
      <c r="BN15" s="195"/>
      <c r="BO15" s="196"/>
      <c r="BP15" s="70"/>
      <c r="BQ15" s="70"/>
      <c r="BR15" s="118"/>
    </row>
    <row r="16" spans="1:73" s="197" customFormat="1" ht="16.5" customHeight="1">
      <c r="A16" s="187"/>
      <c r="B16" s="188"/>
      <c r="C16" s="252" t="s">
        <v>227</v>
      </c>
      <c r="D16" s="252"/>
      <c r="E16" s="198">
        <v>33504</v>
      </c>
      <c r="F16" s="199">
        <v>2016</v>
      </c>
      <c r="G16" s="70">
        <v>2904</v>
      </c>
      <c r="H16" s="70">
        <v>3648</v>
      </c>
      <c r="I16" s="70">
        <v>5016</v>
      </c>
      <c r="J16" s="70">
        <v>4368</v>
      </c>
      <c r="K16" s="70">
        <v>3504</v>
      </c>
      <c r="L16" s="70">
        <v>4320</v>
      </c>
      <c r="M16" s="70">
        <v>3480</v>
      </c>
      <c r="N16" s="70">
        <v>3984</v>
      </c>
      <c r="O16" s="70">
        <v>4824</v>
      </c>
      <c r="P16" s="70">
        <v>9288</v>
      </c>
      <c r="Q16" s="70">
        <v>672</v>
      </c>
      <c r="R16" s="70">
        <v>840</v>
      </c>
      <c r="S16" s="70">
        <v>576</v>
      </c>
      <c r="T16" s="70">
        <v>264</v>
      </c>
      <c r="U16" s="70">
        <v>336</v>
      </c>
      <c r="V16" s="70">
        <v>720</v>
      </c>
      <c r="W16" s="70">
        <v>1080</v>
      </c>
      <c r="X16" s="70">
        <v>912</v>
      </c>
      <c r="Y16" s="70">
        <v>408</v>
      </c>
      <c r="Z16" s="70">
        <v>744</v>
      </c>
      <c r="AA16" s="71">
        <v>864</v>
      </c>
      <c r="AB16" s="71">
        <v>1776</v>
      </c>
      <c r="AC16" s="71">
        <v>4344</v>
      </c>
      <c r="AD16" s="70">
        <v>1536</v>
      </c>
      <c r="AE16" s="71">
        <v>2688</v>
      </c>
      <c r="AF16" s="71">
        <v>4944</v>
      </c>
      <c r="AG16" s="70">
        <v>3456</v>
      </c>
      <c r="AH16" s="70">
        <v>4200</v>
      </c>
      <c r="AI16" s="70">
        <v>3504</v>
      </c>
      <c r="AJ16" s="70">
        <v>912</v>
      </c>
      <c r="AK16" s="70">
        <v>3408</v>
      </c>
      <c r="AL16" s="70">
        <v>7176</v>
      </c>
      <c r="AM16" s="70">
        <v>7944</v>
      </c>
      <c r="AN16" s="70">
        <v>9336</v>
      </c>
      <c r="AO16" s="70">
        <v>4848</v>
      </c>
      <c r="AP16" s="70">
        <v>2856</v>
      </c>
      <c r="AQ16" s="70">
        <v>2856</v>
      </c>
      <c r="AR16" s="70">
        <v>3972</v>
      </c>
      <c r="AS16" s="70">
        <v>4620</v>
      </c>
      <c r="AT16" s="70">
        <v>4326</v>
      </c>
      <c r="AU16" s="70">
        <v>3498</v>
      </c>
      <c r="AV16" s="70">
        <v>3468</v>
      </c>
      <c r="AW16" s="70">
        <v>3462</v>
      </c>
      <c r="AX16" s="70">
        <v>4788</v>
      </c>
      <c r="AY16" s="70">
        <v>5604</v>
      </c>
      <c r="AZ16" s="70">
        <v>9300</v>
      </c>
      <c r="BA16" s="70">
        <v>4284</v>
      </c>
      <c r="BB16" s="70">
        <v>2226</v>
      </c>
      <c r="BC16" s="70">
        <v>2856</v>
      </c>
      <c r="BD16" s="70">
        <v>3972</v>
      </c>
      <c r="BE16" s="200"/>
      <c r="BF16" s="190">
        <f>SUM(E16:BD16)</f>
        <v>210432</v>
      </c>
      <c r="BG16" s="201"/>
      <c r="BH16" s="165"/>
      <c r="BI16" s="74" t="s">
        <v>228</v>
      </c>
      <c r="BJ16" s="190"/>
      <c r="BK16" s="83" t="s">
        <v>229</v>
      </c>
      <c r="BL16" s="193"/>
      <c r="BM16" s="193"/>
      <c r="BN16" s="202"/>
      <c r="BO16" s="196"/>
      <c r="BQ16" s="70"/>
    </row>
    <row r="17" spans="1:71" ht="16.5" customHeight="1">
      <c r="A17" s="125"/>
      <c r="B17" s="182"/>
      <c r="C17" s="183"/>
      <c r="D17" s="183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132"/>
      <c r="BF17" s="126"/>
      <c r="BG17" s="159"/>
      <c r="BH17" s="184">
        <f>BH6+BH9+BH10+BH15</f>
        <v>9844969.7633333355</v>
      </c>
      <c r="BI17" s="125"/>
      <c r="BJ17" s="126"/>
      <c r="BK17" s="158"/>
      <c r="BL17" s="161"/>
      <c r="BM17" s="179"/>
      <c r="BN17" s="126"/>
      <c r="BO17" s="72"/>
      <c r="BP17" s="185"/>
      <c r="BS17" s="186"/>
    </row>
    <row r="18" spans="1:71" ht="15.75" customHeight="1">
      <c r="A18" s="125"/>
      <c r="C18" s="254" t="s">
        <v>230</v>
      </c>
      <c r="D18" s="254"/>
      <c r="E18" s="80">
        <v>-589798.68000000005</v>
      </c>
      <c r="F18" s="70">
        <f>-74435.35-J21</f>
        <v>-45280.94</v>
      </c>
      <c r="G18" s="70">
        <v>-54563.8</v>
      </c>
      <c r="H18" s="70">
        <v>-54213.71</v>
      </c>
      <c r="I18" s="70">
        <v>-53307.5</v>
      </c>
      <c r="J18" s="70">
        <v>-52164.36</v>
      </c>
      <c r="K18" s="70">
        <v>-55635.519999999997</v>
      </c>
      <c r="L18" s="70">
        <v>-59690.81</v>
      </c>
      <c r="M18" s="70">
        <v>-50992.19</v>
      </c>
      <c r="N18" s="70">
        <v>459.77</v>
      </c>
      <c r="O18" s="70">
        <v>-94037.94</v>
      </c>
      <c r="P18" s="70">
        <v>-48130.39</v>
      </c>
      <c r="Q18" s="70">
        <v>-18648.64</v>
      </c>
      <c r="R18" s="70">
        <v>-17212.32</v>
      </c>
      <c r="S18" s="70">
        <v>5775.18</v>
      </c>
      <c r="T18" s="70">
        <v>-14927.01</v>
      </c>
      <c r="U18" s="70">
        <v>2194.59</v>
      </c>
      <c r="V18" s="70">
        <v>45687.87</v>
      </c>
      <c r="W18" s="70">
        <v>6698.71</v>
      </c>
      <c r="X18" s="71">
        <v>-1822.94</v>
      </c>
      <c r="Y18" s="70">
        <v>9548.9</v>
      </c>
      <c r="Z18" s="70">
        <v>946.59</v>
      </c>
      <c r="AA18" s="71">
        <v>-22552.58</v>
      </c>
      <c r="AB18" s="71">
        <v>-11541.98</v>
      </c>
      <c r="AC18" s="71">
        <v>-11107.15</v>
      </c>
      <c r="AD18" s="70">
        <v>-4286.3500000000004</v>
      </c>
      <c r="AE18" s="71">
        <v>21073.99</v>
      </c>
      <c r="AF18" s="71">
        <v>12302.16</v>
      </c>
      <c r="AG18" s="70">
        <v>-12835.59</v>
      </c>
      <c r="AH18" s="70">
        <v>-1338.18</v>
      </c>
      <c r="AI18" s="70">
        <v>-7676.78</v>
      </c>
      <c r="AJ18" s="70">
        <v>-35711.5</v>
      </c>
      <c r="AK18" s="70">
        <v>10880.25</v>
      </c>
      <c r="AL18" s="70">
        <v>-27777.33</v>
      </c>
      <c r="AM18" s="70">
        <v>-28777.599999999999</v>
      </c>
      <c r="AN18" s="70">
        <v>-2706.28</v>
      </c>
      <c r="AO18" s="70">
        <v>-6389.37</v>
      </c>
      <c r="AP18" s="70">
        <v>5548.64</v>
      </c>
      <c r="AQ18" s="70">
        <v>7015.45</v>
      </c>
      <c r="AR18" s="70">
        <f>(T18+AF18)/2</f>
        <v>-1312.4250000000002</v>
      </c>
      <c r="AS18" s="70">
        <f t="shared" ref="AS18:BB18" si="5">(U18+AG18)/2</f>
        <v>-5320.5</v>
      </c>
      <c r="AT18" s="70">
        <f t="shared" si="5"/>
        <v>22174.845000000001</v>
      </c>
      <c r="AU18" s="70">
        <f t="shared" si="5"/>
        <v>-489.03499999999985</v>
      </c>
      <c r="AV18" s="70">
        <f t="shared" si="5"/>
        <v>-18767.22</v>
      </c>
      <c r="AW18" s="70">
        <f t="shared" si="5"/>
        <v>10214.575000000001</v>
      </c>
      <c r="AX18" s="70">
        <f t="shared" si="5"/>
        <v>-13415.37</v>
      </c>
      <c r="AY18" s="70">
        <f t="shared" si="5"/>
        <v>-25665.09</v>
      </c>
      <c r="AZ18" s="70">
        <f t="shared" si="5"/>
        <v>-7124.13</v>
      </c>
      <c r="BA18" s="70">
        <f t="shared" si="5"/>
        <v>-8748.26</v>
      </c>
      <c r="BB18" s="70">
        <f t="shared" si="5"/>
        <v>631.14499999999998</v>
      </c>
      <c r="BC18" s="70">
        <f>(S18+AE18+AQ18)/3</f>
        <v>11288.206666666667</v>
      </c>
      <c r="BD18" s="70">
        <f>+AR18</f>
        <v>-1312.4250000000002</v>
      </c>
      <c r="BE18" s="143"/>
      <c r="BF18" s="203">
        <f>SUM(E18:BD18)</f>
        <v>-1292841.0233333337</v>
      </c>
      <c r="BG18" s="159"/>
      <c r="BH18" s="140"/>
      <c r="BI18" s="125"/>
      <c r="BJ18" s="125"/>
      <c r="BK18" s="83" t="s">
        <v>206</v>
      </c>
      <c r="BL18" s="161"/>
      <c r="BM18" s="161"/>
      <c r="BN18" s="158"/>
      <c r="BP18" s="125"/>
    </row>
    <row r="19" spans="1:71" ht="15.75" customHeight="1">
      <c r="A19" s="125"/>
      <c r="C19" s="254" t="s">
        <v>231</v>
      </c>
      <c r="D19" s="254"/>
      <c r="E19" s="204"/>
      <c r="F19" s="147"/>
      <c r="G19" s="72"/>
      <c r="H19" s="72"/>
      <c r="I19" s="72"/>
      <c r="J19" s="72">
        <v>5272.16</v>
      </c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132"/>
      <c r="BF19" s="203">
        <f t="shared" ref="BF19:BF23" si="6">SUM(E19:BD19)</f>
        <v>5272.16</v>
      </c>
      <c r="BG19" s="159"/>
      <c r="BH19" s="140"/>
      <c r="BI19" s="125"/>
      <c r="BJ19" s="125"/>
      <c r="BK19" s="83" t="s">
        <v>206</v>
      </c>
      <c r="BL19" s="161"/>
      <c r="BM19" s="161"/>
      <c r="BN19" s="158"/>
      <c r="BO19" s="142"/>
      <c r="BP19" s="125"/>
    </row>
    <row r="20" spans="1:71" ht="15.75" customHeight="1">
      <c r="A20" s="125"/>
      <c r="C20" s="254" t="s">
        <v>232</v>
      </c>
      <c r="D20" s="254"/>
      <c r="E20" s="204"/>
      <c r="F20" s="147"/>
      <c r="G20" s="70"/>
      <c r="H20" s="70"/>
      <c r="I20" s="70">
        <v>-122.08</v>
      </c>
      <c r="J20" s="70">
        <v>62796.59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143"/>
      <c r="BF20" s="203">
        <f t="shared" si="6"/>
        <v>62674.509999999995</v>
      </c>
      <c r="BG20" s="159"/>
      <c r="BH20" s="140"/>
      <c r="BI20" s="125"/>
      <c r="BJ20" s="125"/>
      <c r="BK20" s="83" t="s">
        <v>206</v>
      </c>
      <c r="BL20" s="161"/>
      <c r="BM20" s="161"/>
      <c r="BN20" s="158"/>
      <c r="BO20" s="133"/>
      <c r="BP20" s="125"/>
    </row>
    <row r="21" spans="1:71" ht="15.75" customHeight="1">
      <c r="A21" s="125"/>
      <c r="C21" s="254" t="s">
        <v>233</v>
      </c>
      <c r="D21" s="254"/>
      <c r="E21" s="204"/>
      <c r="F21" s="147"/>
      <c r="G21" s="70"/>
      <c r="H21" s="70"/>
      <c r="I21" s="70"/>
      <c r="J21" s="70">
        <v>-29154.41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143"/>
      <c r="BF21" s="203">
        <f t="shared" si="6"/>
        <v>-29154.41</v>
      </c>
      <c r="BG21" s="159"/>
      <c r="BH21" s="140"/>
      <c r="BI21" s="136"/>
      <c r="BJ21" s="136"/>
      <c r="BK21" s="83" t="s">
        <v>206</v>
      </c>
      <c r="BL21" s="161"/>
      <c r="BM21" s="161"/>
      <c r="BN21" s="158"/>
      <c r="BO21" s="72"/>
      <c r="BP21" s="125"/>
    </row>
    <row r="22" spans="1:71" ht="15.75" customHeight="1">
      <c r="A22" s="125"/>
      <c r="C22" s="254" t="s">
        <v>234</v>
      </c>
      <c r="D22" s="254"/>
      <c r="E22" s="204"/>
      <c r="F22" s="147"/>
      <c r="G22" s="70"/>
      <c r="H22" s="70"/>
      <c r="I22" s="70"/>
      <c r="J22" s="70"/>
      <c r="K22" s="70"/>
      <c r="L22" s="72">
        <v>78885.58</v>
      </c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143"/>
      <c r="BF22" s="203">
        <f t="shared" si="6"/>
        <v>78885.58</v>
      </c>
      <c r="BG22" s="159"/>
      <c r="BH22" s="160"/>
      <c r="BI22" s="126"/>
      <c r="BJ22" s="126"/>
      <c r="BK22" s="83" t="s">
        <v>206</v>
      </c>
      <c r="BL22" s="176"/>
      <c r="BN22" s="125"/>
      <c r="BO22" s="133"/>
      <c r="BP22" s="125"/>
    </row>
    <row r="23" spans="1:71" ht="15.75" customHeight="1">
      <c r="A23" s="125"/>
      <c r="C23" s="254" t="s">
        <v>235</v>
      </c>
      <c r="D23" s="254"/>
      <c r="E23" s="204"/>
      <c r="F23" s="147"/>
      <c r="K23" s="72"/>
      <c r="L23" s="72">
        <v>81983.06</v>
      </c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136"/>
      <c r="BE23" s="143"/>
      <c r="BF23" s="203">
        <f t="shared" si="6"/>
        <v>81983.06</v>
      </c>
      <c r="BG23" s="159"/>
      <c r="BH23" s="165">
        <f>SUM(BF18:BF23)</f>
        <v>-1093180.1233333335</v>
      </c>
      <c r="BI23" s="131" t="s">
        <v>230</v>
      </c>
      <c r="BJ23" s="205"/>
      <c r="BK23" s="83" t="s">
        <v>206</v>
      </c>
      <c r="BL23" s="176"/>
      <c r="BN23" s="125"/>
      <c r="BO23" s="133"/>
      <c r="BP23" s="136"/>
    </row>
    <row r="24" spans="1:71" ht="15.75" customHeight="1">
      <c r="A24" s="125"/>
      <c r="B24" s="206"/>
      <c r="C24" s="254" t="s">
        <v>236</v>
      </c>
      <c r="D24" s="254"/>
      <c r="E24" s="80"/>
      <c r="F24" s="70"/>
      <c r="G24" s="70"/>
      <c r="H24" s="70"/>
      <c r="I24" s="70">
        <f>+-60630.47</f>
        <v>-60630.47</v>
      </c>
      <c r="J24" s="70"/>
      <c r="K24" s="70"/>
      <c r="L24" s="70"/>
      <c r="M24" s="70">
        <v>-36075.24</v>
      </c>
      <c r="N24" s="70"/>
      <c r="O24" s="70"/>
      <c r="P24" s="70"/>
      <c r="Q24" s="70">
        <v>-51300.91</v>
      </c>
      <c r="R24" s="70">
        <v>957.71</v>
      </c>
      <c r="S24" s="70"/>
      <c r="T24" s="70"/>
      <c r="U24" s="70">
        <v>-11438.86</v>
      </c>
      <c r="V24" s="70"/>
      <c r="W24" s="70"/>
      <c r="X24" s="70"/>
      <c r="Y24" s="70"/>
      <c r="Z24" s="70"/>
      <c r="AA24" s="70"/>
      <c r="AB24" s="75"/>
      <c r="AC24" s="122"/>
      <c r="AD24" s="75"/>
      <c r="AE24" s="75"/>
      <c r="AF24" s="75"/>
      <c r="AG24" s="75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132"/>
      <c r="BF24" s="203">
        <f>SUM(E24:BD24)</f>
        <v>-158487.77000000002</v>
      </c>
      <c r="BG24" s="159"/>
      <c r="BH24" s="161">
        <f>+BF24</f>
        <v>-158487.77000000002</v>
      </c>
      <c r="BI24" s="82" t="s">
        <v>237</v>
      </c>
      <c r="BJ24" s="175"/>
      <c r="BK24" s="83" t="s">
        <v>206</v>
      </c>
      <c r="BL24" s="161"/>
      <c r="BM24" s="249" t="s">
        <v>196</v>
      </c>
      <c r="BN24" s="250"/>
      <c r="BO24" s="133"/>
      <c r="BP24" s="125"/>
    </row>
    <row r="25" spans="1:71" ht="15.75" customHeight="1">
      <c r="A25" s="125"/>
      <c r="B25" s="207"/>
      <c r="C25" s="144" t="s">
        <v>238</v>
      </c>
      <c r="D25" s="144"/>
      <c r="E25" s="208">
        <f>SUM(E18:E24)</f>
        <v>-589798.68000000005</v>
      </c>
      <c r="F25" s="145">
        <f t="shared" ref="F25:AB25" si="7">SUM(F18:F24)</f>
        <v>-45280.94</v>
      </c>
      <c r="G25" s="145">
        <f t="shared" si="7"/>
        <v>-54563.8</v>
      </c>
      <c r="H25" s="145">
        <f t="shared" si="7"/>
        <v>-54213.71</v>
      </c>
      <c r="I25" s="145">
        <f t="shared" si="7"/>
        <v>-114060.05</v>
      </c>
      <c r="J25" s="145">
        <f t="shared" si="7"/>
        <v>-13250.02</v>
      </c>
      <c r="K25" s="145">
        <f t="shared" si="7"/>
        <v>-55635.519999999997</v>
      </c>
      <c r="L25" s="145">
        <f t="shared" si="7"/>
        <v>101177.83</v>
      </c>
      <c r="M25" s="145">
        <f t="shared" si="7"/>
        <v>-87067.43</v>
      </c>
      <c r="N25" s="145">
        <f t="shared" si="7"/>
        <v>459.77</v>
      </c>
      <c r="O25" s="145">
        <f t="shared" si="7"/>
        <v>-94037.94</v>
      </c>
      <c r="P25" s="145">
        <f t="shared" si="7"/>
        <v>-48130.39</v>
      </c>
      <c r="Q25" s="145">
        <f t="shared" si="7"/>
        <v>-69949.55</v>
      </c>
      <c r="R25" s="145">
        <f t="shared" si="7"/>
        <v>-16254.61</v>
      </c>
      <c r="S25" s="145">
        <f t="shared" si="7"/>
        <v>5775.18</v>
      </c>
      <c r="T25" s="145">
        <f t="shared" si="7"/>
        <v>-14927.01</v>
      </c>
      <c r="U25" s="145">
        <f t="shared" si="7"/>
        <v>-9244.27</v>
      </c>
      <c r="V25" s="145">
        <f t="shared" si="7"/>
        <v>45687.87</v>
      </c>
      <c r="W25" s="145">
        <f t="shared" si="7"/>
        <v>6698.71</v>
      </c>
      <c r="X25" s="145">
        <f t="shared" si="7"/>
        <v>-1822.94</v>
      </c>
      <c r="Y25" s="145">
        <f t="shared" si="7"/>
        <v>9548.9</v>
      </c>
      <c r="Z25" s="145">
        <f t="shared" si="7"/>
        <v>946.59</v>
      </c>
      <c r="AA25" s="145">
        <f t="shared" si="7"/>
        <v>-22552.58</v>
      </c>
      <c r="AB25" s="145">
        <f t="shared" si="7"/>
        <v>-11541.98</v>
      </c>
      <c r="AC25" s="145">
        <f>SUM(AC18:AC23)</f>
        <v>-11107.15</v>
      </c>
      <c r="AD25" s="145">
        <f t="shared" ref="AD25:BD25" si="8">SUM(AD18:AD24)</f>
        <v>-4286.3500000000004</v>
      </c>
      <c r="AE25" s="145">
        <f t="shared" si="8"/>
        <v>21073.99</v>
      </c>
      <c r="AF25" s="145">
        <f t="shared" si="8"/>
        <v>12302.16</v>
      </c>
      <c r="AG25" s="145">
        <f t="shared" si="8"/>
        <v>-12835.59</v>
      </c>
      <c r="AH25" s="145">
        <f t="shared" si="8"/>
        <v>-1338.18</v>
      </c>
      <c r="AI25" s="145">
        <f t="shared" si="8"/>
        <v>-7676.78</v>
      </c>
      <c r="AJ25" s="145">
        <f t="shared" si="8"/>
        <v>-35711.5</v>
      </c>
      <c r="AK25" s="145">
        <f t="shared" si="8"/>
        <v>10880.25</v>
      </c>
      <c r="AL25" s="145">
        <f t="shared" si="8"/>
        <v>-27777.33</v>
      </c>
      <c r="AM25" s="145">
        <f t="shared" si="8"/>
        <v>-28777.599999999999</v>
      </c>
      <c r="AN25" s="145">
        <f t="shared" si="8"/>
        <v>-2706.28</v>
      </c>
      <c r="AO25" s="145">
        <f t="shared" si="8"/>
        <v>-6389.37</v>
      </c>
      <c r="AP25" s="145">
        <f t="shared" si="8"/>
        <v>5548.64</v>
      </c>
      <c r="AQ25" s="145">
        <f t="shared" si="8"/>
        <v>7015.45</v>
      </c>
      <c r="AR25" s="145"/>
      <c r="AS25" s="145">
        <f t="shared" si="8"/>
        <v>-5320.5</v>
      </c>
      <c r="AT25" s="145">
        <f t="shared" si="8"/>
        <v>22174.845000000001</v>
      </c>
      <c r="AU25" s="145">
        <f t="shared" si="8"/>
        <v>-489.03499999999985</v>
      </c>
      <c r="AV25" s="145">
        <f t="shared" si="8"/>
        <v>-18767.22</v>
      </c>
      <c r="AW25" s="145">
        <f t="shared" si="8"/>
        <v>10214.575000000001</v>
      </c>
      <c r="AX25" s="145">
        <f t="shared" si="8"/>
        <v>-13415.37</v>
      </c>
      <c r="AY25" s="145">
        <f t="shared" si="8"/>
        <v>-25665.09</v>
      </c>
      <c r="AZ25" s="145">
        <f t="shared" si="8"/>
        <v>-7124.13</v>
      </c>
      <c r="BA25" s="145">
        <f t="shared" si="8"/>
        <v>-8748.26</v>
      </c>
      <c r="BB25" s="145">
        <f t="shared" si="8"/>
        <v>631.14499999999998</v>
      </c>
      <c r="BC25" s="145">
        <f t="shared" si="8"/>
        <v>11288.206666666667</v>
      </c>
      <c r="BD25" s="145">
        <f t="shared" si="8"/>
        <v>-1312.4250000000002</v>
      </c>
      <c r="BE25" s="177"/>
      <c r="BF25" s="209">
        <f>SUM(BF18:BF24)</f>
        <v>-1251667.8933333335</v>
      </c>
      <c r="BG25" s="159"/>
      <c r="BH25" s="210">
        <f>SUM(BH23:BH24)</f>
        <v>-1251667.8933333335</v>
      </c>
      <c r="BI25" s="211"/>
      <c r="BJ25" s="126"/>
      <c r="BK25" s="212"/>
      <c r="BL25" s="140"/>
      <c r="BM25" s="179" t="s">
        <v>239</v>
      </c>
      <c r="BN25" s="213">
        <v>-1232578.24</v>
      </c>
      <c r="BO25" s="133"/>
      <c r="BP25" s="125"/>
    </row>
    <row r="26" spans="1:71" ht="15.75" customHeight="1">
      <c r="A26" s="125"/>
      <c r="B26" s="140"/>
      <c r="C26" s="214"/>
      <c r="D26" s="214"/>
      <c r="E26" s="160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215"/>
      <c r="BF26" s="126"/>
      <c r="BG26" s="159"/>
      <c r="BH26" s="178"/>
      <c r="BI26" s="136"/>
      <c r="BJ26" s="72"/>
      <c r="BK26" s="129"/>
      <c r="BL26" s="140"/>
      <c r="BM26" s="216" t="s">
        <v>199</v>
      </c>
      <c r="BN26" s="217">
        <f>BF25-BN25</f>
        <v>-19089.653333333554</v>
      </c>
      <c r="BO26" s="133"/>
      <c r="BP26" s="136"/>
    </row>
    <row r="27" spans="1:71" ht="15.75" customHeight="1">
      <c r="A27" s="125"/>
      <c r="B27" s="148"/>
      <c r="C27" s="147" t="s">
        <v>198</v>
      </c>
      <c r="D27" s="84"/>
      <c r="E27" s="148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215"/>
      <c r="S27" s="122"/>
      <c r="T27" s="122"/>
      <c r="U27" s="122"/>
      <c r="V27" s="122"/>
      <c r="W27" s="122"/>
      <c r="X27" s="122"/>
      <c r="Y27" s="85"/>
      <c r="Z27" s="85"/>
      <c r="AA27" s="85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43"/>
      <c r="BF27" s="150">
        <f>BF13+BF15+BF16+BF25</f>
        <v>10018177.802500002</v>
      </c>
      <c r="BG27" s="159"/>
      <c r="BH27" s="218">
        <f>BH17+BH25</f>
        <v>8593301.870000001</v>
      </c>
      <c r="BI27" s="149"/>
      <c r="BK27" s="143"/>
      <c r="BL27" s="219"/>
      <c r="BM27" s="219"/>
      <c r="BN27" s="220"/>
      <c r="BO27" s="133"/>
      <c r="BP27" s="136"/>
      <c r="BS27" s="140"/>
    </row>
    <row r="28" spans="1:71" ht="15.75" customHeight="1"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AA28" s="7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133"/>
      <c r="BO28" s="123"/>
    </row>
    <row r="29" spans="1:71" ht="15.75" customHeight="1">
      <c r="AA29" s="76"/>
      <c r="AC29" s="248" t="s">
        <v>8</v>
      </c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133">
        <f>+BF11+BF12</f>
        <v>1424875.9324999999</v>
      </c>
      <c r="BO29" s="133"/>
    </row>
    <row r="30" spans="1:71">
      <c r="BG30" s="119"/>
    </row>
    <row r="31" spans="1:71">
      <c r="T31" s="133"/>
      <c r="AD31" s="221"/>
      <c r="BG31" s="119"/>
    </row>
    <row r="32" spans="1:71">
      <c r="AD32" s="221"/>
    </row>
  </sheetData>
  <mergeCells count="25">
    <mergeCell ref="BM12:BN12"/>
    <mergeCell ref="BM2:BN2"/>
    <mergeCell ref="C3:D3"/>
    <mergeCell ref="C4:D4"/>
    <mergeCell ref="C5:D5"/>
    <mergeCell ref="BH2:BI2"/>
    <mergeCell ref="C6:D6"/>
    <mergeCell ref="C7:D7"/>
    <mergeCell ref="C8:D8"/>
    <mergeCell ref="C9:D9"/>
    <mergeCell ref="C12:D12"/>
    <mergeCell ref="B2:D2"/>
    <mergeCell ref="AC28:BE28"/>
    <mergeCell ref="AC29:BE29"/>
    <mergeCell ref="BM24:BN24"/>
    <mergeCell ref="C13:D13"/>
    <mergeCell ref="C15:D15"/>
    <mergeCell ref="C16:D16"/>
    <mergeCell ref="C18:D18"/>
    <mergeCell ref="C19:D19"/>
    <mergeCell ref="C20:D20"/>
    <mergeCell ref="C21:D21"/>
    <mergeCell ref="C22:D22"/>
    <mergeCell ref="C23:D23"/>
    <mergeCell ref="C24:D24"/>
  </mergeCells>
  <pageMargins left="0.2" right="0.2" top="0.25" bottom="0.25" header="0.3" footer="0.3"/>
  <pageSetup scale="1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5929-CDBF-4367-AD16-76B7600750B9}">
  <dimension ref="C3:S10"/>
  <sheetViews>
    <sheetView zoomScaleNormal="100" workbookViewId="0">
      <selection activeCell="F23" sqref="F23"/>
    </sheetView>
  </sheetViews>
  <sheetFormatPr defaultRowHeight="15"/>
  <cols>
    <col min="3" max="3" width="22" customWidth="1"/>
    <col min="5" max="18" width="24" customWidth="1"/>
  </cols>
  <sheetData>
    <row r="3" spans="3:19" ht="15.75">
      <c r="C3" s="54" t="s">
        <v>25</v>
      </c>
      <c r="D3" s="54"/>
      <c r="E3" s="55" t="s">
        <v>26</v>
      </c>
      <c r="F3" s="56" t="s">
        <v>27</v>
      </c>
      <c r="G3" s="56" t="s">
        <v>27</v>
      </c>
      <c r="H3" s="56" t="s">
        <v>27</v>
      </c>
      <c r="I3" s="56" t="s">
        <v>27</v>
      </c>
      <c r="J3" s="56" t="s">
        <v>27</v>
      </c>
      <c r="K3" s="56" t="s">
        <v>27</v>
      </c>
      <c r="L3" s="56" t="s">
        <v>27</v>
      </c>
      <c r="M3" s="56" t="s">
        <v>27</v>
      </c>
      <c r="N3" s="56" t="s">
        <v>27</v>
      </c>
      <c r="O3" s="56" t="s">
        <v>27</v>
      </c>
      <c r="P3" s="56" t="s">
        <v>27</v>
      </c>
      <c r="Q3" s="56" t="s">
        <v>27</v>
      </c>
      <c r="R3" s="56" t="s">
        <v>27</v>
      </c>
    </row>
    <row r="4" spans="3:19">
      <c r="C4" s="58" t="s">
        <v>28</v>
      </c>
      <c r="D4" s="59"/>
      <c r="E4" s="59">
        <v>45312</v>
      </c>
      <c r="F4" s="59">
        <f>+E4+29</f>
        <v>45341</v>
      </c>
      <c r="G4" s="59">
        <f t="shared" ref="G4:P4" si="0">+F4+31</f>
        <v>45372</v>
      </c>
      <c r="H4" s="59">
        <f t="shared" si="0"/>
        <v>45403</v>
      </c>
      <c r="I4" s="59">
        <f t="shared" si="0"/>
        <v>45434</v>
      </c>
      <c r="J4" s="59">
        <f t="shared" si="0"/>
        <v>45465</v>
      </c>
      <c r="K4" s="59">
        <f t="shared" si="0"/>
        <v>45496</v>
      </c>
      <c r="L4" s="59">
        <f t="shared" si="0"/>
        <v>45527</v>
      </c>
      <c r="M4" s="59">
        <f t="shared" si="0"/>
        <v>45558</v>
      </c>
      <c r="N4" s="59">
        <f t="shared" si="0"/>
        <v>45589</v>
      </c>
      <c r="O4" s="59">
        <f t="shared" si="0"/>
        <v>45620</v>
      </c>
      <c r="P4" s="59">
        <f t="shared" si="0"/>
        <v>45651</v>
      </c>
      <c r="Q4" s="59">
        <f>+P4+30</f>
        <v>45681</v>
      </c>
      <c r="R4" s="59">
        <f>+Q4+30</f>
        <v>45711</v>
      </c>
    </row>
    <row r="5" spans="3:19">
      <c r="C5" s="60" t="s">
        <v>29</v>
      </c>
      <c r="D5" s="54"/>
      <c r="E5" s="61">
        <v>727896</v>
      </c>
      <c r="F5" s="61">
        <v>727896</v>
      </c>
      <c r="G5" s="61">
        <v>727896</v>
      </c>
      <c r="H5" s="61">
        <v>727896</v>
      </c>
      <c r="I5" s="61">
        <v>727896</v>
      </c>
      <c r="J5" s="61">
        <v>727896</v>
      </c>
      <c r="K5" s="61">
        <v>727896</v>
      </c>
      <c r="L5" s="61">
        <v>727896</v>
      </c>
      <c r="M5" s="61">
        <v>727896</v>
      </c>
      <c r="N5" s="61">
        <v>727896</v>
      </c>
      <c r="O5" s="61">
        <v>727896</v>
      </c>
      <c r="P5" s="61">
        <v>727896</v>
      </c>
      <c r="Q5" s="61">
        <v>727896</v>
      </c>
      <c r="R5" s="61">
        <v>727896</v>
      </c>
    </row>
    <row r="6" spans="3:19">
      <c r="C6" s="62" t="s">
        <v>30</v>
      </c>
      <c r="D6" s="63"/>
      <c r="E6" s="64">
        <v>3.7100000000000002E-3</v>
      </c>
      <c r="F6" s="64">
        <v>3.7100000000000002E-3</v>
      </c>
      <c r="G6" s="64">
        <v>3.7100000000000002E-3</v>
      </c>
      <c r="H6" s="64">
        <v>3.7100000000000002E-3</v>
      </c>
      <c r="I6" s="64">
        <v>3.7100000000000002E-3</v>
      </c>
      <c r="J6" s="64">
        <v>3.7100000000000002E-3</v>
      </c>
      <c r="K6" s="64">
        <v>3.7100000000000002E-3</v>
      </c>
      <c r="L6" s="64">
        <v>3.7100000000000002E-3</v>
      </c>
      <c r="M6" s="64">
        <v>3.7100000000000002E-3</v>
      </c>
      <c r="N6" s="64">
        <v>3.7100000000000002E-3</v>
      </c>
      <c r="O6" s="64">
        <v>3.7100000000000002E-3</v>
      </c>
      <c r="P6" s="64">
        <v>3.7100000000000002E-3</v>
      </c>
      <c r="Q6" s="64">
        <v>3.7100000000000002E-3</v>
      </c>
      <c r="R6" s="64">
        <v>3.7100000000000002E-3</v>
      </c>
    </row>
    <row r="7" spans="3:19">
      <c r="C7" s="60" t="s">
        <v>31</v>
      </c>
      <c r="D7" s="54"/>
      <c r="E7" s="65">
        <v>57000000</v>
      </c>
      <c r="F7" s="65">
        <v>45165198.0248193</v>
      </c>
      <c r="G7" s="65">
        <v>38422061.051272899</v>
      </c>
      <c r="H7" s="65">
        <v>25445013.8273638</v>
      </c>
      <c r="I7" s="65">
        <v>20493609.9659491</v>
      </c>
      <c r="J7" s="65">
        <v>12118132.9470523</v>
      </c>
      <c r="K7" s="65">
        <v>10449564.2069086</v>
      </c>
      <c r="L7" s="65">
        <v>10008132.543018401</v>
      </c>
      <c r="M7" s="65">
        <v>11558819.1350487</v>
      </c>
      <c r="N7" s="65">
        <v>31871807.3485833</v>
      </c>
      <c r="O7" s="65">
        <v>66951528.110494398</v>
      </c>
      <c r="P7" s="65">
        <v>104142260.956407</v>
      </c>
      <c r="Q7" s="65">
        <v>54849867.065545999</v>
      </c>
      <c r="R7" s="65">
        <v>45165198.0248193</v>
      </c>
      <c r="S7" s="57" t="s">
        <v>32</v>
      </c>
    </row>
    <row r="8" spans="3:19">
      <c r="C8" s="54" t="s">
        <v>33</v>
      </c>
      <c r="D8" s="54"/>
      <c r="E8" s="34">
        <f t="shared" ref="E8:R8" si="1">E7*E6</f>
        <v>211470</v>
      </c>
      <c r="F8" s="34">
        <f t="shared" si="1"/>
        <v>167562.88467207961</v>
      </c>
      <c r="G8" s="34">
        <f t="shared" si="1"/>
        <v>142545.84650022245</v>
      </c>
      <c r="H8" s="34">
        <f t="shared" si="1"/>
        <v>94401.001299519703</v>
      </c>
      <c r="I8" s="34">
        <f t="shared" si="1"/>
        <v>76031.292973671167</v>
      </c>
      <c r="J8" s="34">
        <f t="shared" si="1"/>
        <v>44958.273233564032</v>
      </c>
      <c r="K8" s="34">
        <f t="shared" si="1"/>
        <v>38767.883207630912</v>
      </c>
      <c r="L8" s="34">
        <f t="shared" si="1"/>
        <v>37130.171734598269</v>
      </c>
      <c r="M8" s="34">
        <f t="shared" si="1"/>
        <v>42883.218991030684</v>
      </c>
      <c r="N8" s="34">
        <f t="shared" si="1"/>
        <v>118244.40526324404</v>
      </c>
      <c r="O8" s="34">
        <f t="shared" si="1"/>
        <v>248390.16928993422</v>
      </c>
      <c r="P8" s="34">
        <f t="shared" si="1"/>
        <v>386367.78814826999</v>
      </c>
      <c r="Q8" s="34">
        <f t="shared" si="1"/>
        <v>203493.00681317566</v>
      </c>
      <c r="R8" s="34">
        <f t="shared" si="1"/>
        <v>167562.88467207961</v>
      </c>
      <c r="S8" s="57"/>
    </row>
    <row r="9" spans="3:19">
      <c r="C9" s="66" t="s">
        <v>34</v>
      </c>
      <c r="D9" s="63"/>
      <c r="E9" s="67">
        <v>370572.67</v>
      </c>
      <c r="F9" s="67">
        <v>237274</v>
      </c>
      <c r="G9" s="67">
        <v>94910</v>
      </c>
      <c r="H9" s="67">
        <v>66437</v>
      </c>
      <c r="I9" s="67">
        <v>166092</v>
      </c>
      <c r="J9" s="67">
        <v>94910</v>
      </c>
      <c r="K9" s="67">
        <v>76004</v>
      </c>
      <c r="L9" s="67">
        <v>113891</v>
      </c>
      <c r="M9" s="67">
        <v>123382</v>
      </c>
      <c r="N9" s="67">
        <v>148459</v>
      </c>
      <c r="O9" s="67">
        <v>109146</v>
      </c>
      <c r="P9" s="67">
        <v>104400</v>
      </c>
      <c r="Q9" s="67">
        <v>322692</v>
      </c>
      <c r="R9" s="67">
        <v>237274</v>
      </c>
      <c r="S9" s="57" t="s">
        <v>32</v>
      </c>
    </row>
    <row r="10" spans="3:19">
      <c r="C10" s="68" t="s">
        <v>35</v>
      </c>
      <c r="D10" s="68"/>
      <c r="E10" s="69">
        <f t="shared" ref="E10:R10" si="2">ROUND(E9-E8,2)</f>
        <v>159102.67000000001</v>
      </c>
      <c r="F10" s="69">
        <f t="shared" si="2"/>
        <v>69711.12</v>
      </c>
      <c r="G10" s="69">
        <f t="shared" si="2"/>
        <v>-47635.85</v>
      </c>
      <c r="H10" s="69">
        <f t="shared" si="2"/>
        <v>-27964</v>
      </c>
      <c r="I10" s="69">
        <f t="shared" si="2"/>
        <v>90060.71</v>
      </c>
      <c r="J10" s="69">
        <f t="shared" si="2"/>
        <v>49951.73</v>
      </c>
      <c r="K10" s="69">
        <f t="shared" si="2"/>
        <v>37236.120000000003</v>
      </c>
      <c r="L10" s="69">
        <f t="shared" si="2"/>
        <v>76760.83</v>
      </c>
      <c r="M10" s="69">
        <f t="shared" si="2"/>
        <v>80498.78</v>
      </c>
      <c r="N10" s="69">
        <f t="shared" si="2"/>
        <v>30214.59</v>
      </c>
      <c r="O10" s="69">
        <f t="shared" si="2"/>
        <v>-139244.17000000001</v>
      </c>
      <c r="P10" s="69">
        <f t="shared" si="2"/>
        <v>-281967.78999999998</v>
      </c>
      <c r="Q10" s="69">
        <f t="shared" si="2"/>
        <v>119198.99</v>
      </c>
      <c r="R10" s="69">
        <f t="shared" si="2"/>
        <v>69711.12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7775-6169-4484-AB30-6082BB1C4BB1}">
  <dimension ref="A3:N15"/>
  <sheetViews>
    <sheetView zoomScale="130" zoomScaleNormal="130" workbookViewId="0">
      <selection activeCell="E29" sqref="E29"/>
    </sheetView>
  </sheetViews>
  <sheetFormatPr defaultColWidth="15.42578125" defaultRowHeight="15"/>
  <cols>
    <col min="3" max="3" width="22" customWidth="1"/>
  </cols>
  <sheetData>
    <row r="3" spans="1:14">
      <c r="B3" s="35"/>
      <c r="C3" s="36"/>
      <c r="D3" s="36"/>
      <c r="E3" s="36"/>
      <c r="F3" s="47" t="s">
        <v>36</v>
      </c>
      <c r="G3" s="47" t="s">
        <v>37</v>
      </c>
      <c r="H3" s="47" t="s">
        <v>38</v>
      </c>
      <c r="I3" s="47" t="s">
        <v>39</v>
      </c>
      <c r="J3" s="47" t="s">
        <v>40</v>
      </c>
      <c r="K3" s="47" t="s">
        <v>41</v>
      </c>
      <c r="L3" s="47" t="s">
        <v>42</v>
      </c>
      <c r="M3" s="47" t="s">
        <v>43</v>
      </c>
      <c r="N3" s="48" t="s">
        <v>44</v>
      </c>
    </row>
    <row r="4" spans="1:14">
      <c r="B4" s="37"/>
      <c r="C4" s="37"/>
      <c r="D4" s="37"/>
      <c r="E4" s="37"/>
      <c r="F4" s="34">
        <v>48593.03</v>
      </c>
      <c r="G4" s="34">
        <v>36286.25</v>
      </c>
      <c r="H4" s="34">
        <v>30204.57</v>
      </c>
      <c r="I4" s="34">
        <v>30480.33</v>
      </c>
      <c r="J4" s="34">
        <v>25136.29</v>
      </c>
      <c r="K4" s="34">
        <v>44959.14</v>
      </c>
      <c r="L4" s="34">
        <v>59044.98</v>
      </c>
      <c r="M4" s="38">
        <v>85717.04</v>
      </c>
      <c r="N4" s="39">
        <f>SUM(F4:M4)</f>
        <v>360421.62999999995</v>
      </c>
    </row>
    <row r="5" spans="1:14">
      <c r="B5" s="47" t="s">
        <v>45</v>
      </c>
      <c r="C5" s="47" t="s">
        <v>46</v>
      </c>
      <c r="D5" s="47" t="s">
        <v>47</v>
      </c>
      <c r="E5" s="47" t="s">
        <v>48</v>
      </c>
      <c r="F5" s="47" t="s">
        <v>49</v>
      </c>
      <c r="G5" s="47" t="s">
        <v>50</v>
      </c>
      <c r="H5" s="47" t="s">
        <v>51</v>
      </c>
      <c r="I5" s="47" t="s">
        <v>52</v>
      </c>
      <c r="J5" s="47" t="s">
        <v>53</v>
      </c>
      <c r="K5" s="47" t="s">
        <v>54</v>
      </c>
      <c r="L5" s="47" t="s">
        <v>55</v>
      </c>
      <c r="M5" s="49" t="s">
        <v>56</v>
      </c>
      <c r="N5" s="30"/>
    </row>
    <row r="6" spans="1:14">
      <c r="B6" s="34">
        <v>110279.5</v>
      </c>
      <c r="C6" s="34">
        <v>173644.32</v>
      </c>
      <c r="D6" s="34">
        <v>169823.35</v>
      </c>
      <c r="E6" s="34">
        <v>176527.62</v>
      </c>
      <c r="F6" s="34">
        <v>173084.35</v>
      </c>
      <c r="G6" s="34">
        <v>168228.91</v>
      </c>
      <c r="H6" s="34">
        <v>169463.26</v>
      </c>
      <c r="I6" s="34">
        <v>166165.07</v>
      </c>
      <c r="J6" s="34">
        <v>164080.9</v>
      </c>
      <c r="K6" s="34">
        <v>163118.51999999999</v>
      </c>
      <c r="L6" s="34">
        <v>136848.84</v>
      </c>
      <c r="M6" s="38">
        <v>124345.49</v>
      </c>
      <c r="N6" s="39">
        <f>SUM(B6:M6)</f>
        <v>1895610.1300000001</v>
      </c>
    </row>
    <row r="7" spans="1:14">
      <c r="B7" s="47" t="s">
        <v>57</v>
      </c>
      <c r="C7" s="47" t="s">
        <v>58</v>
      </c>
      <c r="D7" s="47" t="s">
        <v>59</v>
      </c>
      <c r="E7" s="47" t="s">
        <v>60</v>
      </c>
      <c r="F7" s="47" t="s">
        <v>61</v>
      </c>
      <c r="G7" s="47" t="s">
        <v>62</v>
      </c>
      <c r="H7" s="47" t="s">
        <v>63</v>
      </c>
      <c r="I7" s="47" t="s">
        <v>64</v>
      </c>
      <c r="J7" s="47" t="s">
        <v>65</v>
      </c>
      <c r="K7" s="47" t="s">
        <v>66</v>
      </c>
      <c r="L7" s="47" t="s">
        <v>67</v>
      </c>
      <c r="M7" s="49" t="s">
        <v>68</v>
      </c>
      <c r="N7" s="30"/>
    </row>
    <row r="8" spans="1:14">
      <c r="B8" s="34">
        <v>127726.62</v>
      </c>
      <c r="C8" s="34">
        <v>145980.93</v>
      </c>
      <c r="D8" s="34">
        <v>159985.37</v>
      </c>
      <c r="E8" s="34">
        <v>148690.31</v>
      </c>
      <c r="F8" s="34">
        <v>142940.93</v>
      </c>
      <c r="G8" s="34">
        <v>144126.24</v>
      </c>
      <c r="H8" s="34">
        <v>140516.39000000001</v>
      </c>
      <c r="I8" s="34">
        <v>146012.61000000138</v>
      </c>
      <c r="J8" s="34">
        <v>144211.37</v>
      </c>
      <c r="K8" s="34">
        <v>136919.07</v>
      </c>
      <c r="L8" s="34">
        <v>117099.54</v>
      </c>
      <c r="M8" s="38">
        <v>118928.34</v>
      </c>
      <c r="N8" s="39">
        <f>SUM(B8:M8)</f>
        <v>1673137.7200000016</v>
      </c>
    </row>
    <row r="9" spans="1:14">
      <c r="B9" s="47" t="s">
        <v>69</v>
      </c>
      <c r="C9" s="47" t="s">
        <v>70</v>
      </c>
      <c r="D9" s="47" t="s">
        <v>71</v>
      </c>
      <c r="E9" s="47" t="s">
        <v>72</v>
      </c>
      <c r="F9" s="47" t="s">
        <v>73</v>
      </c>
      <c r="G9" s="47" t="s">
        <v>74</v>
      </c>
      <c r="H9" s="47" t="s">
        <v>75</v>
      </c>
      <c r="I9" s="47" t="s">
        <v>76</v>
      </c>
      <c r="J9" s="47" t="s">
        <v>77</v>
      </c>
      <c r="K9" s="47" t="s">
        <v>78</v>
      </c>
      <c r="L9" s="47" t="s">
        <v>79</v>
      </c>
      <c r="M9" s="49" t="s">
        <v>80</v>
      </c>
      <c r="N9" s="30"/>
    </row>
    <row r="10" spans="1:14">
      <c r="B10" s="40">
        <v>152633.29</v>
      </c>
      <c r="C10" s="41">
        <v>174479.52</v>
      </c>
      <c r="D10" s="41">
        <v>179380.85</v>
      </c>
      <c r="E10" s="41">
        <v>187179.25</v>
      </c>
      <c r="F10" s="41">
        <v>183996.75</v>
      </c>
      <c r="G10" s="41">
        <v>189766.8</v>
      </c>
      <c r="H10" s="41">
        <v>160555.79999999999</v>
      </c>
      <c r="I10" s="41">
        <v>126898.92</v>
      </c>
      <c r="J10" s="41">
        <v>87944.97</v>
      </c>
      <c r="K10" s="41">
        <v>76516.23</v>
      </c>
      <c r="L10" s="41">
        <v>76138.23</v>
      </c>
      <c r="M10" s="41">
        <v>94088.45</v>
      </c>
      <c r="N10" s="39">
        <f>SUM(B10:M10)</f>
        <v>1689579.0599999998</v>
      </c>
    </row>
    <row r="11" spans="1:14">
      <c r="B11" s="50">
        <v>45292</v>
      </c>
      <c r="C11" s="50">
        <v>45323</v>
      </c>
      <c r="D11" s="50">
        <v>45352</v>
      </c>
      <c r="E11" s="50">
        <v>45383</v>
      </c>
      <c r="F11" s="50">
        <v>45413</v>
      </c>
      <c r="G11" s="50">
        <v>45444</v>
      </c>
      <c r="H11" s="50">
        <v>45474</v>
      </c>
      <c r="I11" s="50">
        <v>45505</v>
      </c>
      <c r="J11" s="50">
        <v>45536</v>
      </c>
      <c r="K11" s="50">
        <v>45566</v>
      </c>
      <c r="L11" s="50">
        <v>45597</v>
      </c>
      <c r="M11" s="51">
        <v>45627</v>
      </c>
      <c r="N11" s="39"/>
    </row>
    <row r="12" spans="1:14">
      <c r="B12" s="42">
        <v>111607.5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>
        <f>SUM(B12:M12)</f>
        <v>111607.5</v>
      </c>
    </row>
    <row r="13" spans="1:14" ht="15.75">
      <c r="B13" s="45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46">
        <f>SUM(N4:N12)</f>
        <v>5730356.0400000019</v>
      </c>
    </row>
    <row r="14" spans="1:14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4">
      <c r="A15" t="s">
        <v>81</v>
      </c>
      <c r="B15" s="32">
        <f>AVERAGE(B8,B10,B12)</f>
        <v>130655.80333333334</v>
      </c>
      <c r="C15" s="32">
        <f>AVERAGE(C6,C8,C10)</f>
        <v>164701.59</v>
      </c>
      <c r="D15" s="32">
        <f t="shared" ref="D15:M15" si="0">AVERAGE(D6,D8,D10)</f>
        <v>169729.85666666666</v>
      </c>
      <c r="E15" s="32">
        <f t="shared" si="0"/>
        <v>170799.06</v>
      </c>
      <c r="F15" s="32">
        <f t="shared" si="0"/>
        <v>166674.01</v>
      </c>
      <c r="G15" s="32">
        <f t="shared" si="0"/>
        <v>167373.98333333334</v>
      </c>
      <c r="H15" s="32">
        <f t="shared" si="0"/>
        <v>156845.15</v>
      </c>
      <c r="I15" s="32">
        <f t="shared" si="0"/>
        <v>146358.86666666713</v>
      </c>
      <c r="J15" s="32">
        <f t="shared" si="0"/>
        <v>132079.07999999999</v>
      </c>
      <c r="K15" s="32">
        <f t="shared" si="0"/>
        <v>125517.93999999999</v>
      </c>
      <c r="L15" s="32">
        <f t="shared" si="0"/>
        <v>110028.87</v>
      </c>
      <c r="M15" s="32">
        <f t="shared" si="0"/>
        <v>112454.09333333334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4159E-26C3-4E70-B2A8-CA384E9876B0}">
  <sheetPr>
    <pageSetUpPr fitToPage="1"/>
  </sheetPr>
  <dimension ref="A1:N85"/>
  <sheetViews>
    <sheetView zoomScale="85" zoomScaleNormal="85" workbookViewId="0">
      <pane ySplit="1" topLeftCell="A53" activePane="bottomLeft" state="frozen"/>
      <selection activeCell="D21" sqref="D21"/>
      <selection pane="bottomLeft" activeCell="D21" sqref="D21"/>
    </sheetView>
  </sheetViews>
  <sheetFormatPr defaultColWidth="8.85546875" defaultRowHeight="15"/>
  <cols>
    <col min="1" max="1" width="7.7109375" style="25" bestFit="1" customWidth="1"/>
    <col min="2" max="2" width="12.42578125" style="25" customWidth="1"/>
    <col min="3" max="3" width="22" style="25" customWidth="1"/>
    <col min="4" max="4" width="12.42578125" style="25" customWidth="1"/>
    <col min="5" max="5" width="6.140625" style="25" bestFit="1" customWidth="1"/>
    <col min="6" max="10" width="8.85546875" style="25"/>
    <col min="11" max="11" width="10.7109375" style="25" bestFit="1" customWidth="1"/>
    <col min="12" max="13" width="13.7109375" style="25" bestFit="1" customWidth="1"/>
    <col min="14" max="16384" width="8.85546875" style="25"/>
  </cols>
  <sheetData>
    <row r="1" spans="1:14" ht="60">
      <c r="A1" s="23" t="s">
        <v>82</v>
      </c>
      <c r="B1" s="23" t="s">
        <v>83</v>
      </c>
      <c r="C1" s="24" t="s">
        <v>84</v>
      </c>
      <c r="D1" s="24" t="s">
        <v>85</v>
      </c>
      <c r="E1" s="23" t="s">
        <v>44</v>
      </c>
    </row>
    <row r="2" spans="1:14">
      <c r="A2" s="25" t="s">
        <v>86</v>
      </c>
      <c r="B2" s="25" t="s">
        <v>87</v>
      </c>
      <c r="C2" s="25">
        <v>15</v>
      </c>
      <c r="D2" s="25">
        <v>73</v>
      </c>
      <c r="E2" s="25">
        <f t="shared" ref="E2:E25" si="0">SUM(C2:D2)</f>
        <v>88</v>
      </c>
      <c r="J2" s="260" t="s">
        <v>88</v>
      </c>
      <c r="K2" s="260"/>
      <c r="L2" s="260"/>
      <c r="M2" s="25" t="s">
        <v>89</v>
      </c>
      <c r="N2" s="28">
        <v>24</v>
      </c>
    </row>
    <row r="3" spans="1:14">
      <c r="A3" s="25" t="s">
        <v>90</v>
      </c>
      <c r="B3" s="25" t="s">
        <v>87</v>
      </c>
      <c r="C3" s="25">
        <v>27</v>
      </c>
      <c r="D3" s="25">
        <v>112</v>
      </c>
      <c r="E3" s="25">
        <f t="shared" si="0"/>
        <v>139</v>
      </c>
      <c r="J3" s="25" t="s">
        <v>82</v>
      </c>
      <c r="K3" s="25" t="s">
        <v>91</v>
      </c>
      <c r="L3" s="25" t="s">
        <v>89</v>
      </c>
    </row>
    <row r="4" spans="1:14">
      <c r="A4" s="25" t="s">
        <v>92</v>
      </c>
      <c r="B4" s="25" t="s">
        <v>87</v>
      </c>
      <c r="C4" s="25">
        <v>29</v>
      </c>
      <c r="D4" s="25">
        <v>148</v>
      </c>
      <c r="E4" s="25">
        <f t="shared" si="0"/>
        <v>177</v>
      </c>
      <c r="J4" s="25" t="s">
        <v>93</v>
      </c>
      <c r="K4" s="26">
        <f t="shared" ref="K4:K14" si="1">AVERAGE(E3,E15,E27,E75)</f>
        <v>165.5</v>
      </c>
      <c r="L4" s="29">
        <f>K4*$N$2</f>
        <v>3972</v>
      </c>
    </row>
    <row r="5" spans="1:14">
      <c r="A5" s="25" t="s">
        <v>94</v>
      </c>
      <c r="B5" s="25" t="s">
        <v>87</v>
      </c>
      <c r="C5" s="25">
        <v>22</v>
      </c>
      <c r="D5" s="25">
        <v>93</v>
      </c>
      <c r="E5" s="25">
        <f t="shared" si="0"/>
        <v>115</v>
      </c>
      <c r="J5" s="25" t="s">
        <v>95</v>
      </c>
      <c r="K5" s="26">
        <f t="shared" si="1"/>
        <v>192.5</v>
      </c>
      <c r="L5" s="29">
        <f t="shared" ref="L5:L16" si="2">K5*$N$2</f>
        <v>4620</v>
      </c>
    </row>
    <row r="6" spans="1:14">
      <c r="A6" s="25" t="s">
        <v>96</v>
      </c>
      <c r="B6" s="25" t="s">
        <v>87</v>
      </c>
      <c r="C6" s="25">
        <v>18</v>
      </c>
      <c r="D6" s="25">
        <v>126</v>
      </c>
      <c r="E6" s="25">
        <f t="shared" si="0"/>
        <v>144</v>
      </c>
      <c r="J6" s="25" t="s">
        <v>97</v>
      </c>
      <c r="K6" s="26">
        <f t="shared" si="1"/>
        <v>180.25</v>
      </c>
      <c r="L6" s="29">
        <f t="shared" si="2"/>
        <v>4326</v>
      </c>
    </row>
    <row r="7" spans="1:14">
      <c r="A7" s="25" t="s">
        <v>98</v>
      </c>
      <c r="B7" s="25" t="s">
        <v>87</v>
      </c>
      <c r="C7" s="25">
        <v>29</v>
      </c>
      <c r="D7" s="25">
        <v>187</v>
      </c>
      <c r="E7" s="25">
        <f t="shared" si="0"/>
        <v>216</v>
      </c>
      <c r="J7" s="25" t="s">
        <v>99</v>
      </c>
      <c r="K7" s="26">
        <f t="shared" si="1"/>
        <v>145.75</v>
      </c>
      <c r="L7" s="29">
        <f t="shared" si="2"/>
        <v>3498</v>
      </c>
    </row>
    <row r="8" spans="1:14">
      <c r="A8" s="25" t="s">
        <v>100</v>
      </c>
      <c r="B8" s="25" t="s">
        <v>87</v>
      </c>
      <c r="C8" s="25">
        <v>17</v>
      </c>
      <c r="D8" s="25">
        <v>151</v>
      </c>
      <c r="E8" s="25">
        <f t="shared" si="0"/>
        <v>168</v>
      </c>
      <c r="J8" s="25" t="s">
        <v>101</v>
      </c>
      <c r="K8" s="26">
        <f t="shared" si="1"/>
        <v>144.5</v>
      </c>
      <c r="L8" s="29">
        <f t="shared" si="2"/>
        <v>3468</v>
      </c>
    </row>
    <row r="9" spans="1:14">
      <c r="A9" s="25" t="s">
        <v>102</v>
      </c>
      <c r="B9" s="25" t="s">
        <v>87</v>
      </c>
      <c r="C9" s="25">
        <v>25</v>
      </c>
      <c r="D9" s="25">
        <v>159</v>
      </c>
      <c r="E9" s="25">
        <f t="shared" si="0"/>
        <v>184</v>
      </c>
      <c r="J9" s="25" t="s">
        <v>103</v>
      </c>
      <c r="K9" s="26">
        <f t="shared" si="1"/>
        <v>144.25</v>
      </c>
      <c r="L9" s="29">
        <f t="shared" si="2"/>
        <v>3462</v>
      </c>
    </row>
    <row r="10" spans="1:14">
      <c r="A10" s="25" t="s">
        <v>104</v>
      </c>
      <c r="B10" s="25" t="s">
        <v>87</v>
      </c>
      <c r="C10" s="25">
        <v>16</v>
      </c>
      <c r="D10" s="25">
        <v>249</v>
      </c>
      <c r="E10" s="25">
        <f t="shared" si="0"/>
        <v>265</v>
      </c>
      <c r="J10" s="25" t="s">
        <v>105</v>
      </c>
      <c r="K10" s="26">
        <f t="shared" si="1"/>
        <v>199.5</v>
      </c>
      <c r="L10" s="29">
        <f t="shared" si="2"/>
        <v>4788</v>
      </c>
    </row>
    <row r="11" spans="1:14">
      <c r="A11" s="25" t="s">
        <v>106</v>
      </c>
      <c r="B11" s="25" t="s">
        <v>87</v>
      </c>
      <c r="C11" s="25">
        <v>36</v>
      </c>
      <c r="D11" s="25">
        <v>383</v>
      </c>
      <c r="E11" s="25">
        <f t="shared" si="0"/>
        <v>419</v>
      </c>
      <c r="J11" s="25" t="s">
        <v>107</v>
      </c>
      <c r="K11" s="26">
        <f t="shared" si="1"/>
        <v>233.5</v>
      </c>
      <c r="L11" s="29">
        <f t="shared" si="2"/>
        <v>5604</v>
      </c>
    </row>
    <row r="12" spans="1:14">
      <c r="A12" s="25" t="s">
        <v>108</v>
      </c>
      <c r="B12" s="25" t="s">
        <v>87</v>
      </c>
      <c r="C12" s="25">
        <v>19</v>
      </c>
      <c r="D12" s="25">
        <v>216</v>
      </c>
      <c r="E12" s="25">
        <f t="shared" si="0"/>
        <v>235</v>
      </c>
      <c r="J12" s="25" t="s">
        <v>109</v>
      </c>
      <c r="K12" s="26">
        <f t="shared" si="1"/>
        <v>387.5</v>
      </c>
      <c r="L12" s="29">
        <f t="shared" si="2"/>
        <v>9300</v>
      </c>
    </row>
    <row r="13" spans="1:14">
      <c r="A13" s="25" t="s">
        <v>110</v>
      </c>
      <c r="B13" s="25" t="s">
        <v>87</v>
      </c>
      <c r="C13" s="25">
        <v>14</v>
      </c>
      <c r="D13" s="25">
        <v>97</v>
      </c>
      <c r="E13" s="25">
        <f t="shared" si="0"/>
        <v>111</v>
      </c>
      <c r="J13" s="25" t="s">
        <v>111</v>
      </c>
      <c r="K13" s="26">
        <f t="shared" si="1"/>
        <v>178.5</v>
      </c>
      <c r="L13" s="29">
        <f t="shared" si="2"/>
        <v>4284</v>
      </c>
    </row>
    <row r="14" spans="1:14">
      <c r="A14" s="25" t="s">
        <v>112</v>
      </c>
      <c r="B14" s="25" t="s">
        <v>87</v>
      </c>
      <c r="C14" s="25">
        <v>26</v>
      </c>
      <c r="D14" s="25">
        <v>103</v>
      </c>
      <c r="E14" s="25">
        <f t="shared" si="0"/>
        <v>129</v>
      </c>
      <c r="J14" s="25" t="s">
        <v>113</v>
      </c>
      <c r="K14" s="26">
        <f t="shared" si="1"/>
        <v>92.75</v>
      </c>
      <c r="L14" s="29">
        <f t="shared" si="2"/>
        <v>2226</v>
      </c>
    </row>
    <row r="15" spans="1:14">
      <c r="A15" s="25" t="s">
        <v>114</v>
      </c>
      <c r="B15" s="25" t="s">
        <v>87</v>
      </c>
      <c r="C15" s="25">
        <v>37</v>
      </c>
      <c r="D15" s="25">
        <v>220</v>
      </c>
      <c r="E15" s="25">
        <f t="shared" si="0"/>
        <v>257</v>
      </c>
      <c r="J15" s="25" t="s">
        <v>115</v>
      </c>
      <c r="K15" s="26">
        <f>AVERAGE(E2,E14,E26,E74)</f>
        <v>119</v>
      </c>
      <c r="L15" s="29">
        <f t="shared" si="2"/>
        <v>2856</v>
      </c>
    </row>
    <row r="16" spans="1:14">
      <c r="A16" s="25" t="s">
        <v>116</v>
      </c>
      <c r="B16" s="25" t="s">
        <v>87</v>
      </c>
      <c r="C16" s="25">
        <v>50</v>
      </c>
      <c r="D16" s="25">
        <v>249</v>
      </c>
      <c r="E16" s="25">
        <f t="shared" si="0"/>
        <v>299</v>
      </c>
      <c r="J16" s="25" t="s">
        <v>117</v>
      </c>
      <c r="K16" s="26">
        <f>K4</f>
        <v>165.5</v>
      </c>
      <c r="L16" s="86">
        <f t="shared" si="2"/>
        <v>3972</v>
      </c>
    </row>
    <row r="17" spans="1:12">
      <c r="A17" s="25" t="s">
        <v>118</v>
      </c>
      <c r="B17" s="25" t="s">
        <v>87</v>
      </c>
      <c r="C17" s="25">
        <v>37</v>
      </c>
      <c r="D17" s="25">
        <v>187</v>
      </c>
      <c r="E17" s="25">
        <f t="shared" si="0"/>
        <v>224</v>
      </c>
      <c r="L17" s="29">
        <f>SUM(L4:L16)</f>
        <v>56376</v>
      </c>
    </row>
    <row r="18" spans="1:12">
      <c r="A18" s="25" t="s">
        <v>119</v>
      </c>
      <c r="B18" s="25" t="s">
        <v>87</v>
      </c>
      <c r="C18" s="25">
        <v>30</v>
      </c>
      <c r="D18" s="25">
        <v>118</v>
      </c>
      <c r="E18" s="25">
        <f t="shared" si="0"/>
        <v>148</v>
      </c>
    </row>
    <row r="19" spans="1:12">
      <c r="A19" s="25" t="s">
        <v>120</v>
      </c>
      <c r="B19" s="25" t="s">
        <v>87</v>
      </c>
      <c r="C19" s="25">
        <v>19</v>
      </c>
      <c r="D19" s="25">
        <v>115</v>
      </c>
      <c r="E19" s="25">
        <f t="shared" si="0"/>
        <v>134</v>
      </c>
    </row>
    <row r="20" spans="1:12">
      <c r="A20" s="25" t="s">
        <v>121</v>
      </c>
      <c r="B20" s="25" t="s">
        <v>87</v>
      </c>
      <c r="C20" s="25">
        <v>14</v>
      </c>
      <c r="D20" s="25">
        <v>88</v>
      </c>
      <c r="E20" s="25">
        <f t="shared" si="0"/>
        <v>102</v>
      </c>
    </row>
    <row r="21" spans="1:12">
      <c r="A21" s="25" t="s">
        <v>122</v>
      </c>
      <c r="B21" s="25" t="s">
        <v>87</v>
      </c>
      <c r="C21" s="25">
        <v>29</v>
      </c>
      <c r="D21" s="25">
        <v>146</v>
      </c>
      <c r="E21" s="25">
        <f t="shared" si="0"/>
        <v>175</v>
      </c>
    </row>
    <row r="22" spans="1:12">
      <c r="A22" s="25" t="s">
        <v>123</v>
      </c>
      <c r="B22" s="25" t="s">
        <v>87</v>
      </c>
      <c r="C22" s="25">
        <v>14</v>
      </c>
      <c r="D22" s="25">
        <v>144</v>
      </c>
      <c r="E22" s="25">
        <f t="shared" si="0"/>
        <v>158</v>
      </c>
    </row>
    <row r="23" spans="1:12">
      <c r="A23" s="25" t="s">
        <v>124</v>
      </c>
      <c r="B23" s="25" t="s">
        <v>87</v>
      </c>
      <c r="C23" s="25">
        <v>52</v>
      </c>
      <c r="D23" s="25">
        <v>307</v>
      </c>
      <c r="E23" s="25">
        <f t="shared" si="0"/>
        <v>359</v>
      </c>
    </row>
    <row r="24" spans="1:12">
      <c r="A24" s="25" t="s">
        <v>125</v>
      </c>
      <c r="B24" s="25" t="s">
        <v>87</v>
      </c>
      <c r="C24" s="25">
        <v>14</v>
      </c>
      <c r="D24" s="25">
        <v>161</v>
      </c>
      <c r="E24" s="25">
        <f t="shared" si="0"/>
        <v>175</v>
      </c>
    </row>
    <row r="25" spans="1:12">
      <c r="A25" s="25" t="s">
        <v>126</v>
      </c>
      <c r="B25" s="25" t="s">
        <v>87</v>
      </c>
      <c r="C25" s="25">
        <v>13</v>
      </c>
      <c r="D25" s="25">
        <v>75</v>
      </c>
      <c r="E25" s="25">
        <f t="shared" si="0"/>
        <v>88</v>
      </c>
    </row>
    <row r="26" spans="1:12">
      <c r="A26" s="25" t="s">
        <v>127</v>
      </c>
      <c r="B26" s="25" t="s">
        <v>87</v>
      </c>
      <c r="C26" s="25">
        <v>30</v>
      </c>
      <c r="D26" s="25">
        <v>117</v>
      </c>
      <c r="E26" s="25">
        <f>SUM(C26:D26)</f>
        <v>147</v>
      </c>
    </row>
    <row r="27" spans="1:12">
      <c r="A27" s="25" t="s">
        <v>128</v>
      </c>
      <c r="B27" s="25" t="s">
        <v>87</v>
      </c>
      <c r="C27" s="25">
        <v>13</v>
      </c>
      <c r="D27" s="25">
        <v>47</v>
      </c>
      <c r="E27" s="25">
        <f t="shared" ref="E27:E70" si="3">SUM(C27:D27)</f>
        <v>60</v>
      </c>
    </row>
    <row r="28" spans="1:12">
      <c r="A28" s="25" t="s">
        <v>129</v>
      </c>
      <c r="B28" s="25" t="s">
        <v>87</v>
      </c>
      <c r="C28" s="25">
        <v>20</v>
      </c>
      <c r="D28" s="25">
        <v>130</v>
      </c>
      <c r="E28" s="25">
        <f t="shared" si="3"/>
        <v>150</v>
      </c>
    </row>
    <row r="29" spans="1:12">
      <c r="A29" s="25" t="s">
        <v>130</v>
      </c>
      <c r="B29" s="25" t="s">
        <v>87</v>
      </c>
      <c r="C29" s="25">
        <v>18</v>
      </c>
      <c r="D29" s="25">
        <v>189</v>
      </c>
      <c r="E29" s="25">
        <f t="shared" si="3"/>
        <v>207</v>
      </c>
    </row>
    <row r="30" spans="1:12">
      <c r="A30" s="25" t="s">
        <v>131</v>
      </c>
      <c r="B30" s="25" t="s">
        <v>87</v>
      </c>
      <c r="C30" s="25">
        <v>22</v>
      </c>
      <c r="D30" s="25">
        <v>123</v>
      </c>
      <c r="E30" s="25">
        <f t="shared" si="3"/>
        <v>145</v>
      </c>
    </row>
    <row r="31" spans="1:12">
      <c r="A31" s="25" t="s">
        <v>132</v>
      </c>
      <c r="B31" s="25" t="s">
        <v>87</v>
      </c>
      <c r="C31" s="25">
        <v>25</v>
      </c>
      <c r="D31" s="25">
        <v>165</v>
      </c>
      <c r="E31" s="25">
        <f t="shared" si="3"/>
        <v>190</v>
      </c>
    </row>
    <row r="32" spans="1:12">
      <c r="A32" s="25" t="s">
        <v>133</v>
      </c>
      <c r="B32" s="25" t="s">
        <v>87</v>
      </c>
      <c r="C32" s="25">
        <v>27</v>
      </c>
      <c r="D32" s="25">
        <v>138</v>
      </c>
      <c r="E32" s="25">
        <f t="shared" si="3"/>
        <v>165</v>
      </c>
    </row>
    <row r="33" spans="1:5">
      <c r="A33" s="25" t="s">
        <v>134</v>
      </c>
      <c r="B33" s="25" t="s">
        <v>87</v>
      </c>
      <c r="C33" s="25">
        <v>18</v>
      </c>
      <c r="D33" s="25">
        <v>122</v>
      </c>
      <c r="E33" s="25">
        <f t="shared" si="3"/>
        <v>140</v>
      </c>
    </row>
    <row r="34" spans="1:5">
      <c r="A34" s="25" t="s">
        <v>135</v>
      </c>
      <c r="B34" s="25" t="s">
        <v>87</v>
      </c>
      <c r="C34" s="25">
        <v>17</v>
      </c>
      <c r="D34" s="25">
        <v>163</v>
      </c>
      <c r="E34" s="25">
        <f t="shared" si="3"/>
        <v>180</v>
      </c>
    </row>
    <row r="35" spans="1:5">
      <c r="A35" s="25" t="s">
        <v>136</v>
      </c>
      <c r="B35" s="25" t="s">
        <v>87</v>
      </c>
      <c r="C35" s="25">
        <v>17</v>
      </c>
      <c r="D35" s="25">
        <v>366</v>
      </c>
      <c r="E35" s="25">
        <f t="shared" si="3"/>
        <v>383</v>
      </c>
    </row>
    <row r="36" spans="1:5">
      <c r="A36" s="25" t="s">
        <v>137</v>
      </c>
      <c r="B36" s="25" t="s">
        <v>87</v>
      </c>
      <c r="C36" s="25">
        <v>13</v>
      </c>
      <c r="D36" s="25">
        <v>89</v>
      </c>
      <c r="E36" s="25">
        <f t="shared" si="3"/>
        <v>102</v>
      </c>
    </row>
    <row r="37" spans="1:5">
      <c r="A37" s="25" t="s">
        <v>138</v>
      </c>
      <c r="B37" s="25" t="s">
        <v>87</v>
      </c>
      <c r="C37" s="25">
        <v>5</v>
      </c>
      <c r="D37" s="25">
        <v>48</v>
      </c>
      <c r="E37" s="25">
        <f t="shared" si="3"/>
        <v>53</v>
      </c>
    </row>
    <row r="38" spans="1:5">
      <c r="A38" s="25" t="s">
        <v>139</v>
      </c>
      <c r="B38" s="25" t="s">
        <v>87</v>
      </c>
      <c r="C38" s="25">
        <v>8</v>
      </c>
      <c r="D38" s="25">
        <v>41</v>
      </c>
      <c r="E38" s="25">
        <f t="shared" si="3"/>
        <v>49</v>
      </c>
    </row>
    <row r="39" spans="1:5">
      <c r="A39" s="25" t="s">
        <v>140</v>
      </c>
      <c r="B39" s="25" t="s">
        <v>87</v>
      </c>
      <c r="C39" s="25">
        <v>9</v>
      </c>
      <c r="D39" s="25">
        <v>30</v>
      </c>
      <c r="E39" s="25">
        <f t="shared" si="3"/>
        <v>39</v>
      </c>
    </row>
    <row r="40" spans="1:5">
      <c r="A40" s="25" t="s">
        <v>141</v>
      </c>
      <c r="B40" s="25" t="s">
        <v>87</v>
      </c>
      <c r="C40" s="25">
        <v>10</v>
      </c>
      <c r="D40" s="25">
        <v>74</v>
      </c>
      <c r="E40" s="25">
        <f t="shared" si="3"/>
        <v>84</v>
      </c>
    </row>
    <row r="41" spans="1:5">
      <c r="A41" s="25" t="s">
        <v>142</v>
      </c>
      <c r="B41" s="25" t="s">
        <v>87</v>
      </c>
      <c r="D41" s="25">
        <v>5</v>
      </c>
      <c r="E41" s="25">
        <f t="shared" si="3"/>
        <v>5</v>
      </c>
    </row>
    <row r="42" spans="1:5">
      <c r="A42" s="25" t="s">
        <v>143</v>
      </c>
      <c r="B42" s="25" t="s">
        <v>87</v>
      </c>
      <c r="D42" s="25">
        <v>1</v>
      </c>
      <c r="E42" s="25">
        <f t="shared" si="3"/>
        <v>1</v>
      </c>
    </row>
    <row r="43" spans="1:5">
      <c r="A43" s="25" t="s">
        <v>144</v>
      </c>
      <c r="B43" s="25" t="s">
        <v>87</v>
      </c>
      <c r="D43" s="25">
        <v>2</v>
      </c>
      <c r="E43" s="25">
        <f t="shared" si="3"/>
        <v>2</v>
      </c>
    </row>
    <row r="44" spans="1:5">
      <c r="A44" s="25" t="s">
        <v>145</v>
      </c>
      <c r="B44" s="25" t="s">
        <v>87</v>
      </c>
      <c r="D44" s="25">
        <v>0</v>
      </c>
      <c r="E44" s="25">
        <f t="shared" si="3"/>
        <v>0</v>
      </c>
    </row>
    <row r="45" spans="1:5">
      <c r="A45" s="25" t="s">
        <v>146</v>
      </c>
      <c r="B45" s="25" t="s">
        <v>87</v>
      </c>
      <c r="D45" s="25">
        <v>0</v>
      </c>
      <c r="E45" s="25">
        <f t="shared" si="3"/>
        <v>0</v>
      </c>
    </row>
    <row r="46" spans="1:5">
      <c r="A46" s="25" t="s">
        <v>147</v>
      </c>
      <c r="B46" s="25" t="s">
        <v>87</v>
      </c>
      <c r="D46" s="25">
        <v>0</v>
      </c>
      <c r="E46" s="25">
        <f t="shared" si="3"/>
        <v>0</v>
      </c>
    </row>
    <row r="47" spans="1:5">
      <c r="A47" s="25" t="s">
        <v>148</v>
      </c>
      <c r="B47" s="25" t="s">
        <v>87</v>
      </c>
      <c r="D47" s="25">
        <v>4</v>
      </c>
      <c r="E47" s="25">
        <f t="shared" si="3"/>
        <v>4</v>
      </c>
    </row>
    <row r="48" spans="1:5">
      <c r="A48" s="25" t="s">
        <v>149</v>
      </c>
      <c r="B48" s="25" t="s">
        <v>87</v>
      </c>
      <c r="D48" s="25">
        <v>1</v>
      </c>
      <c r="E48" s="25">
        <f t="shared" si="3"/>
        <v>1</v>
      </c>
    </row>
    <row r="49" spans="1:5">
      <c r="A49" s="25" t="s">
        <v>150</v>
      </c>
      <c r="B49" s="25" t="s">
        <v>87</v>
      </c>
      <c r="D49" s="25">
        <v>0</v>
      </c>
      <c r="E49" s="25">
        <f t="shared" si="3"/>
        <v>0</v>
      </c>
    </row>
    <row r="50" spans="1:5">
      <c r="A50" s="25" t="s">
        <v>151</v>
      </c>
      <c r="B50" s="25" t="s">
        <v>87</v>
      </c>
      <c r="D50" s="25">
        <v>0</v>
      </c>
      <c r="E50" s="25">
        <f t="shared" si="3"/>
        <v>0</v>
      </c>
    </row>
    <row r="51" spans="1:5">
      <c r="A51" s="25" t="s">
        <v>152</v>
      </c>
      <c r="B51" s="25" t="s">
        <v>87</v>
      </c>
      <c r="D51" s="25">
        <v>0</v>
      </c>
      <c r="E51" s="25">
        <f t="shared" si="3"/>
        <v>0</v>
      </c>
    </row>
    <row r="52" spans="1:5">
      <c r="A52" s="25" t="s">
        <v>153</v>
      </c>
      <c r="B52" s="25" t="s">
        <v>87</v>
      </c>
      <c r="D52" s="25">
        <v>0</v>
      </c>
      <c r="E52" s="25">
        <f t="shared" si="3"/>
        <v>0</v>
      </c>
    </row>
    <row r="53" spans="1:5">
      <c r="A53" s="25" t="s">
        <v>154</v>
      </c>
      <c r="B53" s="25" t="s">
        <v>87</v>
      </c>
      <c r="D53" s="25">
        <v>1</v>
      </c>
      <c r="E53" s="25">
        <f t="shared" si="3"/>
        <v>1</v>
      </c>
    </row>
    <row r="54" spans="1:5">
      <c r="A54" s="25" t="s">
        <v>155</v>
      </c>
      <c r="B54" s="25" t="s">
        <v>87</v>
      </c>
      <c r="D54" s="25">
        <v>1</v>
      </c>
      <c r="E54" s="25">
        <f t="shared" si="3"/>
        <v>1</v>
      </c>
    </row>
    <row r="55" spans="1:5">
      <c r="A55" s="25" t="s">
        <v>156</v>
      </c>
      <c r="B55" s="25" t="s">
        <v>87</v>
      </c>
      <c r="D55" s="25">
        <v>0</v>
      </c>
      <c r="E55" s="25">
        <f t="shared" si="3"/>
        <v>0</v>
      </c>
    </row>
    <row r="56" spans="1:5">
      <c r="A56" s="25" t="s">
        <v>157</v>
      </c>
      <c r="B56" s="25" t="s">
        <v>87</v>
      </c>
      <c r="D56" s="25">
        <v>0</v>
      </c>
      <c r="E56" s="25">
        <f t="shared" si="3"/>
        <v>0</v>
      </c>
    </row>
    <row r="57" spans="1:5">
      <c r="A57" s="25" t="s">
        <v>158</v>
      </c>
      <c r="B57" s="25" t="s">
        <v>87</v>
      </c>
      <c r="D57" s="25">
        <v>0</v>
      </c>
      <c r="E57" s="25">
        <f t="shared" si="3"/>
        <v>0</v>
      </c>
    </row>
    <row r="58" spans="1:5">
      <c r="A58" s="25" t="s">
        <v>159</v>
      </c>
      <c r="B58" s="25" t="s">
        <v>87</v>
      </c>
      <c r="D58" s="25">
        <v>0</v>
      </c>
      <c r="E58" s="25">
        <f t="shared" si="3"/>
        <v>0</v>
      </c>
    </row>
    <row r="59" spans="1:5">
      <c r="A59" s="25" t="s">
        <v>160</v>
      </c>
      <c r="B59" s="25" t="s">
        <v>87</v>
      </c>
      <c r="D59" s="25">
        <v>0</v>
      </c>
      <c r="E59" s="25">
        <f t="shared" si="3"/>
        <v>0</v>
      </c>
    </row>
    <row r="60" spans="1:5">
      <c r="A60" s="25" t="s">
        <v>161</v>
      </c>
      <c r="B60" s="25" t="s">
        <v>87</v>
      </c>
      <c r="C60" s="25">
        <v>3</v>
      </c>
      <c r="D60" s="25">
        <v>25</v>
      </c>
      <c r="E60" s="25">
        <f t="shared" si="3"/>
        <v>28</v>
      </c>
    </row>
    <row r="61" spans="1:5">
      <c r="A61" s="25" t="s">
        <v>162</v>
      </c>
      <c r="B61" s="25" t="s">
        <v>87</v>
      </c>
      <c r="D61" s="25">
        <v>31</v>
      </c>
      <c r="E61" s="25">
        <f t="shared" si="3"/>
        <v>31</v>
      </c>
    </row>
    <row r="62" spans="1:5">
      <c r="A62" s="25" t="s">
        <v>163</v>
      </c>
      <c r="B62" s="25" t="s">
        <v>87</v>
      </c>
      <c r="C62" s="25">
        <v>4</v>
      </c>
      <c r="D62" s="25">
        <v>23</v>
      </c>
      <c r="E62" s="25">
        <f t="shared" si="3"/>
        <v>27</v>
      </c>
    </row>
    <row r="63" spans="1:5">
      <c r="A63" s="25" t="s">
        <v>164</v>
      </c>
      <c r="B63" s="25" t="s">
        <v>87</v>
      </c>
      <c r="C63" s="25">
        <v>1</v>
      </c>
      <c r="D63" s="25">
        <v>10</v>
      </c>
      <c r="E63" s="25">
        <f t="shared" si="3"/>
        <v>11</v>
      </c>
    </row>
    <row r="64" spans="1:5">
      <c r="A64" s="25" t="s">
        <v>165</v>
      </c>
      <c r="B64" s="25" t="s">
        <v>87</v>
      </c>
      <c r="C64" s="25">
        <v>1</v>
      </c>
      <c r="D64" s="25">
        <v>10</v>
      </c>
      <c r="E64" s="25">
        <f t="shared" si="3"/>
        <v>11</v>
      </c>
    </row>
    <row r="65" spans="1:6">
      <c r="A65" s="25" t="s">
        <v>166</v>
      </c>
      <c r="B65" s="25" t="s">
        <v>87</v>
      </c>
      <c r="C65" s="25">
        <v>4</v>
      </c>
      <c r="D65" s="25">
        <v>26</v>
      </c>
      <c r="E65" s="25">
        <f t="shared" si="3"/>
        <v>30</v>
      </c>
    </row>
    <row r="66" spans="1:6">
      <c r="A66" s="25" t="s">
        <v>167</v>
      </c>
      <c r="B66" s="25" t="s">
        <v>87</v>
      </c>
      <c r="C66" s="25">
        <v>4</v>
      </c>
      <c r="D66" s="25">
        <v>41</v>
      </c>
      <c r="E66" s="25">
        <f t="shared" si="3"/>
        <v>45</v>
      </c>
    </row>
    <row r="67" spans="1:6">
      <c r="A67" s="25" t="s">
        <v>168</v>
      </c>
      <c r="B67" s="25" t="s">
        <v>87</v>
      </c>
      <c r="C67" s="25">
        <v>4</v>
      </c>
      <c r="D67" s="25">
        <v>37</v>
      </c>
      <c r="E67" s="25">
        <f t="shared" si="3"/>
        <v>41</v>
      </c>
    </row>
    <row r="68" spans="1:6">
      <c r="A68" s="25" t="s">
        <v>169</v>
      </c>
      <c r="B68" s="25" t="s">
        <v>87</v>
      </c>
      <c r="C68" s="25">
        <v>1</v>
      </c>
      <c r="D68" s="25">
        <v>14</v>
      </c>
      <c r="E68" s="25">
        <f t="shared" si="3"/>
        <v>15</v>
      </c>
    </row>
    <row r="69" spans="1:6">
      <c r="A69" s="25" t="s">
        <v>170</v>
      </c>
      <c r="B69" s="25" t="s">
        <v>87</v>
      </c>
      <c r="C69" s="25">
        <v>3</v>
      </c>
      <c r="D69" s="25">
        <v>28</v>
      </c>
      <c r="E69" s="25">
        <f t="shared" si="3"/>
        <v>31</v>
      </c>
    </row>
    <row r="70" spans="1:6">
      <c r="A70" s="25" t="s">
        <v>171</v>
      </c>
      <c r="B70" s="25" t="s">
        <v>87</v>
      </c>
      <c r="C70" s="25">
        <v>3</v>
      </c>
      <c r="D70" s="25">
        <v>36</v>
      </c>
      <c r="E70" s="25">
        <f t="shared" si="3"/>
        <v>39</v>
      </c>
    </row>
    <row r="71" spans="1:6">
      <c r="A71" s="25" t="s">
        <v>172</v>
      </c>
      <c r="B71" s="25" t="s">
        <v>87</v>
      </c>
      <c r="E71" s="27">
        <v>74</v>
      </c>
      <c r="F71" s="25" t="s">
        <v>173</v>
      </c>
    </row>
    <row r="72" spans="1:6">
      <c r="A72" s="25" t="s">
        <v>174</v>
      </c>
      <c r="B72" s="25" t="s">
        <v>87</v>
      </c>
      <c r="E72" s="27">
        <v>181</v>
      </c>
    </row>
    <row r="73" spans="1:6">
      <c r="A73" s="25" t="s">
        <v>175</v>
      </c>
      <c r="B73" s="25" t="s">
        <v>87</v>
      </c>
      <c r="E73" s="27">
        <v>64</v>
      </c>
    </row>
    <row r="74" spans="1:6">
      <c r="A74" s="25" t="s">
        <v>176</v>
      </c>
      <c r="B74" s="25" t="s">
        <v>87</v>
      </c>
      <c r="E74" s="27">
        <v>112</v>
      </c>
    </row>
    <row r="75" spans="1:6">
      <c r="A75" s="25" t="s">
        <v>177</v>
      </c>
      <c r="B75" s="25" t="s">
        <v>87</v>
      </c>
      <c r="E75" s="27">
        <v>206</v>
      </c>
    </row>
    <row r="76" spans="1:6">
      <c r="A76" s="25" t="s">
        <v>178</v>
      </c>
      <c r="B76" s="25" t="s">
        <v>87</v>
      </c>
      <c r="E76" s="27">
        <v>144</v>
      </c>
    </row>
    <row r="77" spans="1:6">
      <c r="A77" s="25" t="s">
        <v>179</v>
      </c>
      <c r="B77" s="25" t="s">
        <v>87</v>
      </c>
      <c r="E77" s="27">
        <v>175</v>
      </c>
    </row>
    <row r="78" spans="1:6">
      <c r="A78" s="25" t="s">
        <v>180</v>
      </c>
      <c r="B78" s="25" t="s">
        <v>87</v>
      </c>
      <c r="E78" s="27">
        <v>146</v>
      </c>
    </row>
    <row r="79" spans="1:6">
      <c r="A79" s="25" t="s">
        <v>181</v>
      </c>
      <c r="B79" s="25" t="s">
        <v>87</v>
      </c>
      <c r="E79" s="27">
        <v>38</v>
      </c>
    </row>
    <row r="80" spans="1:6">
      <c r="A80" s="25" t="s">
        <v>182</v>
      </c>
      <c r="B80" s="25" t="s">
        <v>87</v>
      </c>
      <c r="E80" s="27">
        <v>142</v>
      </c>
    </row>
    <row r="81" spans="1:5">
      <c r="A81" s="25" t="s">
        <v>183</v>
      </c>
      <c r="B81" s="25" t="s">
        <v>87</v>
      </c>
      <c r="E81" s="27">
        <v>299</v>
      </c>
    </row>
    <row r="82" spans="1:5">
      <c r="A82" s="25" t="s">
        <v>184</v>
      </c>
      <c r="B82" s="25" t="s">
        <v>87</v>
      </c>
      <c r="E82" s="27">
        <v>331</v>
      </c>
    </row>
    <row r="83" spans="1:5">
      <c r="A83" s="25" t="s">
        <v>185</v>
      </c>
      <c r="B83" s="25" t="s">
        <v>87</v>
      </c>
      <c r="E83" s="27">
        <v>389</v>
      </c>
    </row>
    <row r="84" spans="1:5">
      <c r="A84" s="25" t="s">
        <v>186</v>
      </c>
      <c r="B84" s="25" t="s">
        <v>87</v>
      </c>
      <c r="E84" s="27">
        <v>202</v>
      </c>
    </row>
    <row r="85" spans="1:5">
      <c r="A85" s="25" t="s">
        <v>187</v>
      </c>
      <c r="B85" s="25" t="s">
        <v>87</v>
      </c>
      <c r="E85" s="27">
        <v>119</v>
      </c>
    </row>
  </sheetData>
  <mergeCells count="1">
    <mergeCell ref="J2:L2"/>
  </mergeCells>
  <pageMargins left="0.7" right="0.7" top="0.75" bottom="0.75" header="0.3" footer="0.3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62B4-083C-4474-9CD7-A6FA295475E5}">
  <dimension ref="A4:AN18"/>
  <sheetViews>
    <sheetView zoomScale="85" zoomScaleNormal="85" workbookViewId="0">
      <selection activeCell="D21" sqref="D21"/>
    </sheetView>
  </sheetViews>
  <sheetFormatPr defaultRowHeight="15"/>
  <cols>
    <col min="1" max="1" width="13.42578125" bestFit="1" customWidth="1"/>
    <col min="2" max="2" width="12.28515625" bestFit="1" customWidth="1"/>
    <col min="3" max="3" width="22" customWidth="1"/>
    <col min="4" max="9" width="11" bestFit="1" customWidth="1"/>
    <col min="10" max="12" width="12.28515625" bestFit="1" customWidth="1"/>
    <col min="13" max="13" width="11" bestFit="1" customWidth="1"/>
    <col min="14" max="14" width="2.7109375" customWidth="1"/>
    <col min="15" max="15" width="14" bestFit="1" customWidth="1"/>
  </cols>
  <sheetData>
    <row r="4" spans="1:40">
      <c r="B4" s="50">
        <v>43952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 t="s">
        <v>44</v>
      </c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</row>
    <row r="5" spans="1:40">
      <c r="B5" s="50">
        <v>44156</v>
      </c>
      <c r="C5" s="50">
        <v>44186</v>
      </c>
    </row>
    <row r="6" spans="1:40">
      <c r="A6" t="s">
        <v>188</v>
      </c>
      <c r="B6" s="53">
        <v>-589798.68000000005</v>
      </c>
      <c r="C6" s="33">
        <f>-74435.35+29154.41</f>
        <v>-45280.94</v>
      </c>
      <c r="O6" s="32">
        <f>SUM(B6:M6)</f>
        <v>-635079.62000000011</v>
      </c>
    </row>
    <row r="8" spans="1:40">
      <c r="B8" s="50">
        <v>44197</v>
      </c>
      <c r="C8" s="50">
        <v>44228</v>
      </c>
      <c r="D8" s="50">
        <v>44256</v>
      </c>
      <c r="E8" s="50">
        <v>44287</v>
      </c>
      <c r="F8" s="50">
        <v>44317</v>
      </c>
      <c r="G8" s="50">
        <v>44348</v>
      </c>
      <c r="H8" s="50">
        <v>44378</v>
      </c>
      <c r="I8" s="50">
        <v>44409</v>
      </c>
      <c r="J8" s="50">
        <v>44440</v>
      </c>
      <c r="K8" s="50">
        <v>44490</v>
      </c>
      <c r="L8" s="50">
        <v>44521</v>
      </c>
      <c r="M8" s="50">
        <v>44551</v>
      </c>
    </row>
    <row r="9" spans="1:40">
      <c r="B9" s="33">
        <v>-54563.8</v>
      </c>
      <c r="C9" s="33">
        <v>-54213.71</v>
      </c>
      <c r="D9" s="33">
        <v>-53307.5</v>
      </c>
      <c r="E9" s="33">
        <v>-52164.36</v>
      </c>
      <c r="F9" s="33">
        <v>-55635.519999999997</v>
      </c>
      <c r="G9" s="33">
        <v>-59690.81</v>
      </c>
      <c r="H9" s="33">
        <v>-50992.19</v>
      </c>
      <c r="I9" s="33">
        <v>459.77</v>
      </c>
      <c r="J9" s="33">
        <v>-94037.94</v>
      </c>
      <c r="K9" s="33">
        <v>-48130.39</v>
      </c>
      <c r="L9" s="33">
        <v>-18648.64</v>
      </c>
      <c r="M9" s="33">
        <v>-17212.32</v>
      </c>
      <c r="O9" s="32">
        <f>SUM(B9:M9)</f>
        <v>-558137.40999999992</v>
      </c>
    </row>
    <row r="10" spans="1:40">
      <c r="B10" s="50">
        <v>44582</v>
      </c>
      <c r="C10" s="50">
        <v>44613</v>
      </c>
      <c r="D10" s="50">
        <v>44641</v>
      </c>
      <c r="E10" s="50">
        <v>44671</v>
      </c>
      <c r="F10" s="50">
        <v>44701</v>
      </c>
      <c r="G10" s="50">
        <v>44731</v>
      </c>
      <c r="H10" s="50">
        <v>44761</v>
      </c>
      <c r="I10" s="50">
        <v>44791</v>
      </c>
      <c r="J10" s="50">
        <v>44821</v>
      </c>
      <c r="K10" s="50">
        <v>44851</v>
      </c>
      <c r="L10" s="50">
        <v>44881</v>
      </c>
      <c r="M10" s="50">
        <v>44911</v>
      </c>
    </row>
    <row r="11" spans="1:40">
      <c r="B11" s="33">
        <v>5775.18</v>
      </c>
      <c r="C11" s="33">
        <v>-14927.01</v>
      </c>
      <c r="D11" s="33">
        <v>2194.59</v>
      </c>
      <c r="E11" s="33">
        <v>45687.87</v>
      </c>
      <c r="F11" s="33">
        <v>6698.71</v>
      </c>
      <c r="G11" s="34">
        <v>-1822.94</v>
      </c>
      <c r="H11" s="33">
        <v>9548.9</v>
      </c>
      <c r="I11" s="33">
        <v>946.59</v>
      </c>
      <c r="J11" s="34">
        <v>-22552.58</v>
      </c>
      <c r="K11" s="34">
        <v>-11541.98</v>
      </c>
      <c r="L11" s="34">
        <v>-11107.15</v>
      </c>
      <c r="M11" s="33">
        <v>-4286.3500000000004</v>
      </c>
      <c r="O11" s="32">
        <f>SUM(B11:M11)</f>
        <v>4613.8299999999981</v>
      </c>
    </row>
    <row r="12" spans="1:40">
      <c r="B12" s="50">
        <v>44941</v>
      </c>
      <c r="C12" s="50">
        <v>44971</v>
      </c>
      <c r="D12" s="50">
        <v>45001</v>
      </c>
      <c r="E12" s="50">
        <v>45031</v>
      </c>
      <c r="F12" s="50">
        <v>45061</v>
      </c>
      <c r="G12" s="50">
        <v>45091</v>
      </c>
      <c r="H12" s="50">
        <v>45121</v>
      </c>
      <c r="I12" s="50">
        <v>45151</v>
      </c>
      <c r="J12" s="50">
        <v>45181</v>
      </c>
      <c r="K12" s="50">
        <v>45211</v>
      </c>
      <c r="L12" s="50">
        <v>45241</v>
      </c>
      <c r="M12" s="50">
        <v>45271</v>
      </c>
    </row>
    <row r="13" spans="1:40">
      <c r="B13" s="34">
        <v>21073.99</v>
      </c>
      <c r="C13" s="34">
        <v>12302.16</v>
      </c>
      <c r="D13" s="33">
        <v>-12835.59</v>
      </c>
      <c r="E13" s="33">
        <v>-1338.18</v>
      </c>
      <c r="F13" s="33">
        <v>-7676.78</v>
      </c>
      <c r="G13" s="33">
        <v>-35711.5</v>
      </c>
      <c r="H13" s="33">
        <v>10880.25</v>
      </c>
      <c r="I13" s="33">
        <v>-27777.33</v>
      </c>
      <c r="J13" s="33">
        <v>-28777.599999999999</v>
      </c>
      <c r="K13" s="33">
        <v>-2706.28</v>
      </c>
      <c r="L13" s="33">
        <v>-6389.37</v>
      </c>
      <c r="M13" s="33">
        <v>5548.64</v>
      </c>
      <c r="O13" s="32">
        <f>SUM(B13:M13)</f>
        <v>-73407.589999999982</v>
      </c>
    </row>
    <row r="14" spans="1:40">
      <c r="B14" s="50">
        <v>45301</v>
      </c>
      <c r="C14" s="50">
        <v>45323</v>
      </c>
      <c r="D14" s="50">
        <v>45352</v>
      </c>
      <c r="E14" s="50">
        <v>45383</v>
      </c>
      <c r="F14" s="50">
        <v>45413</v>
      </c>
      <c r="G14" s="50">
        <v>45444</v>
      </c>
      <c r="H14" s="50">
        <v>45474</v>
      </c>
      <c r="I14" s="50">
        <v>45505</v>
      </c>
      <c r="J14" s="50">
        <v>45536</v>
      </c>
      <c r="K14" s="50">
        <v>45566</v>
      </c>
      <c r="L14" s="50">
        <v>45597</v>
      </c>
      <c r="M14" s="50">
        <v>45627</v>
      </c>
    </row>
    <row r="15" spans="1:40">
      <c r="B15" s="33">
        <v>7015.45</v>
      </c>
      <c r="O15" s="87">
        <f>SUM(B15:M15)</f>
        <v>7015.45</v>
      </c>
    </row>
    <row r="16" spans="1:40">
      <c r="B16" s="33"/>
      <c r="O16" s="32">
        <f>SUM(O6:O15)</f>
        <v>-1254995.3400000001</v>
      </c>
    </row>
    <row r="18" spans="1:15">
      <c r="A18" t="s">
        <v>81</v>
      </c>
      <c r="B18" s="33">
        <f>(B11+B13+B15)/3</f>
        <v>11288.206666666667</v>
      </c>
      <c r="C18" s="33">
        <f t="shared" ref="C18:M18" si="0">(C11+C13)/2</f>
        <v>-1312.4250000000002</v>
      </c>
      <c r="D18" s="33">
        <f t="shared" si="0"/>
        <v>-5320.5</v>
      </c>
      <c r="E18" s="33">
        <f t="shared" si="0"/>
        <v>22174.845000000001</v>
      </c>
      <c r="F18" s="33">
        <f t="shared" si="0"/>
        <v>-489.03499999999985</v>
      </c>
      <c r="G18" s="33">
        <f t="shared" si="0"/>
        <v>-18767.22</v>
      </c>
      <c r="H18" s="33">
        <f t="shared" si="0"/>
        <v>10214.575000000001</v>
      </c>
      <c r="I18" s="33">
        <f t="shared" si="0"/>
        <v>-13415.37</v>
      </c>
      <c r="J18" s="33">
        <f t="shared" si="0"/>
        <v>-25665.09</v>
      </c>
      <c r="K18" s="33">
        <f t="shared" si="0"/>
        <v>-7124.13</v>
      </c>
      <c r="L18" s="33">
        <f t="shared" si="0"/>
        <v>-8748.26</v>
      </c>
      <c r="M18" s="33">
        <f t="shared" si="0"/>
        <v>631.14499999999998</v>
      </c>
      <c r="O18" s="3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C791D-4F05-45EA-ABD0-C32DAC39308B}">
  <dimension ref="A1:K35"/>
  <sheetViews>
    <sheetView tabSelected="1" zoomScale="70" zoomScaleNormal="70" workbookViewId="0">
      <pane xSplit="4" ySplit="6" topLeftCell="E19" activePane="bottomRight" state="frozen"/>
      <selection activeCell="D21" sqref="D21"/>
      <selection pane="topRight" activeCell="D21" sqref="D21"/>
      <selection pane="bottomLeft" activeCell="D21" sqref="D21"/>
      <selection pane="bottomRight" activeCell="F59" sqref="F59"/>
    </sheetView>
  </sheetViews>
  <sheetFormatPr defaultColWidth="9.140625" defaultRowHeight="15" outlineLevelRow="1"/>
  <cols>
    <col min="1" max="1" width="4.85546875" style="2" customWidth="1"/>
    <col min="2" max="2" width="52.5703125" customWidth="1"/>
    <col min="3" max="3" width="22" style="2" customWidth="1"/>
    <col min="4" max="4" width="16.42578125" customWidth="1"/>
    <col min="5" max="11" width="14.85546875" customWidth="1"/>
  </cols>
  <sheetData>
    <row r="1" spans="1:11">
      <c r="A1" s="230" t="s">
        <v>271</v>
      </c>
      <c r="B1" s="230"/>
    </row>
    <row r="2" spans="1:11">
      <c r="A2" s="230" t="s">
        <v>272</v>
      </c>
      <c r="B2" s="230"/>
      <c r="G2" s="231"/>
    </row>
    <row r="3" spans="1:11">
      <c r="A3" s="230"/>
      <c r="B3" s="230"/>
    </row>
    <row r="4" spans="1:11">
      <c r="A4" s="230"/>
      <c r="G4" s="232"/>
    </row>
    <row r="5" spans="1:11">
      <c r="B5" s="2"/>
    </row>
    <row r="6" spans="1:11" ht="34.5">
      <c r="A6" s="233" t="s">
        <v>246</v>
      </c>
      <c r="B6" s="234" t="s">
        <v>247</v>
      </c>
      <c r="C6" s="233" t="s">
        <v>248</v>
      </c>
      <c r="D6" s="233" t="s">
        <v>249</v>
      </c>
      <c r="E6" s="235" t="str">
        <f>'[1]General Inputs'!D$17</f>
        <v>Res
503</v>
      </c>
      <c r="F6" s="235" t="str">
        <f>'[1]General Inputs'!E$17</f>
        <v>GSC
504</v>
      </c>
      <c r="G6" s="235" t="str">
        <f>'[1]General Inputs'!F$17</f>
        <v>GSI
505</v>
      </c>
      <c r="H6" s="235" t="str">
        <f>'[1]General Inputs'!G$17</f>
        <v>GSLV
511</v>
      </c>
      <c r="I6" s="235" t="str">
        <f>'[1]General Inputs'!H$17</f>
        <v>Interruptible
570</v>
      </c>
      <c r="J6" s="235" t="str">
        <f>'[1]General Inputs'!I$17</f>
        <v>Transport
663</v>
      </c>
      <c r="K6" s="235" t="str">
        <f>'[1]General Inputs'!J$17</f>
        <v>Spl Contracts</v>
      </c>
    </row>
    <row r="7" spans="1:11">
      <c r="E7" s="236"/>
      <c r="F7" s="236"/>
      <c r="G7" s="236"/>
      <c r="H7" s="236"/>
      <c r="I7" s="236"/>
      <c r="J7" s="236"/>
      <c r="K7" s="236"/>
    </row>
    <row r="8" spans="1:11">
      <c r="A8" s="2" t="str">
        <f>IF(ISBLANK('[1]Input-Accounts'!A153),"",'[1]Input-Accounts'!A153)</f>
        <v/>
      </c>
      <c r="B8" t="str">
        <f>IF(ISBLANK('[1]Input-Accounts'!B153),"",'[1]Input-Accounts'!B153)</f>
        <v/>
      </c>
      <c r="D8" s="238"/>
      <c r="E8" s="238"/>
      <c r="F8" s="238"/>
      <c r="G8" s="238"/>
      <c r="H8" s="238"/>
      <c r="I8" s="238"/>
      <c r="J8" s="238"/>
      <c r="K8" s="238"/>
    </row>
    <row r="9" spans="1:11">
      <c r="A9" s="2">
        <v>130</v>
      </c>
      <c r="B9" s="239" t="s">
        <v>250</v>
      </c>
      <c r="D9" s="236"/>
      <c r="E9" s="236"/>
      <c r="F9" s="236"/>
      <c r="G9" s="236"/>
      <c r="H9" s="236"/>
      <c r="I9" s="236"/>
      <c r="J9" s="236"/>
      <c r="K9" s="236"/>
    </row>
    <row r="10" spans="1:11" outlineLevel="1">
      <c r="A10" s="2">
        <v>131</v>
      </c>
      <c r="B10" s="57" t="s">
        <v>251</v>
      </c>
      <c r="D10" s="236"/>
      <c r="E10" s="236"/>
      <c r="F10" s="236"/>
      <c r="G10" s="236"/>
      <c r="H10" s="236"/>
      <c r="I10" s="236"/>
      <c r="J10" s="236"/>
      <c r="K10" s="236"/>
    </row>
    <row r="11" spans="1:11" outlineLevel="1">
      <c r="A11" s="2">
        <v>132</v>
      </c>
      <c r="B11" s="237" t="s">
        <v>252</v>
      </c>
      <c r="C11" s="2">
        <v>901</v>
      </c>
      <c r="D11" s="236">
        <v>118343.7250597073</v>
      </c>
      <c r="E11" s="236">
        <v>103888.37021590956</v>
      </c>
      <c r="F11" s="236">
        <v>14048.469394527541</v>
      </c>
      <c r="G11" s="236">
        <v>251.44606415573955</v>
      </c>
      <c r="H11" s="236">
        <v>50.289212831147914</v>
      </c>
      <c r="I11" s="236">
        <v>3.555802927454903</v>
      </c>
      <c r="J11" s="236">
        <v>98.038566428399477</v>
      </c>
      <c r="K11" s="236">
        <v>3.555802927454903</v>
      </c>
    </row>
    <row r="12" spans="1:11" outlineLevel="1">
      <c r="A12" s="2">
        <v>133</v>
      </c>
      <c r="B12" s="237" t="s">
        <v>253</v>
      </c>
      <c r="C12" s="2">
        <v>902</v>
      </c>
      <c r="D12" s="236">
        <v>536858.31951447832</v>
      </c>
      <c r="E12" s="236">
        <v>377606.66893298557</v>
      </c>
      <c r="F12" s="236">
        <v>51107.880866234518</v>
      </c>
      <c r="G12" s="236">
        <v>66571.707186494838</v>
      </c>
      <c r="H12" s="236">
        <v>13447.46228881577</v>
      </c>
      <c r="I12" s="236">
        <v>947.63995995010453</v>
      </c>
      <c r="J12" s="236">
        <v>26229.32032004754</v>
      </c>
      <c r="K12" s="236">
        <v>947.63995995010453</v>
      </c>
    </row>
    <row r="13" spans="1:11" outlineLevel="1">
      <c r="A13" s="2">
        <v>134</v>
      </c>
      <c r="B13" s="237" t="s">
        <v>254</v>
      </c>
      <c r="C13" s="2">
        <v>903</v>
      </c>
      <c r="D13" s="236">
        <v>4702717.446291944</v>
      </c>
      <c r="E13" s="236">
        <v>4128293.6702787159</v>
      </c>
      <c r="F13" s="236">
        <v>558255.04970382829</v>
      </c>
      <c r="G13" s="236">
        <v>9991.9095170449455</v>
      </c>
      <c r="H13" s="236">
        <v>1998.3819034089893</v>
      </c>
      <c r="I13" s="236">
        <v>141.29973054406994</v>
      </c>
      <c r="J13" s="236">
        <v>3895.8354278579286</v>
      </c>
      <c r="K13" s="236">
        <v>141.29973054406994</v>
      </c>
    </row>
    <row r="14" spans="1:11" outlineLevel="1">
      <c r="A14" s="2">
        <v>135</v>
      </c>
      <c r="B14" s="237" t="s">
        <v>255</v>
      </c>
      <c r="C14" s="2">
        <v>904</v>
      </c>
      <c r="D14" s="236">
        <v>1667277.7005784863</v>
      </c>
      <c r="E14" s="236">
        <v>1276709.2148253089</v>
      </c>
      <c r="F14" s="236">
        <v>340924.14864631067</v>
      </c>
      <c r="G14" s="236">
        <v>49644.337106866536</v>
      </c>
      <c r="H14" s="236">
        <v>0</v>
      </c>
      <c r="I14" s="236">
        <v>0</v>
      </c>
      <c r="J14" s="236">
        <v>0</v>
      </c>
      <c r="K14" s="236">
        <v>0</v>
      </c>
    </row>
    <row r="15" spans="1:11" outlineLevel="1">
      <c r="A15" s="2">
        <v>136</v>
      </c>
      <c r="B15" s="237" t="s">
        <v>256</v>
      </c>
      <c r="C15" s="2">
        <v>905</v>
      </c>
      <c r="D15" s="236">
        <v>428.46888265690859</v>
      </c>
      <c r="E15" s="236">
        <v>376.13260766466635</v>
      </c>
      <c r="F15" s="236">
        <v>50.863127567398209</v>
      </c>
      <c r="G15" s="236">
        <v>0.91037200411708541</v>
      </c>
      <c r="H15" s="236">
        <v>0.18207440082341708</v>
      </c>
      <c r="I15" s="236">
        <v>1.2873947532968884E-2</v>
      </c>
      <c r="J15" s="236">
        <v>0.35495312483757074</v>
      </c>
      <c r="K15" s="236">
        <v>1.2873947532968884E-2</v>
      </c>
    </row>
    <row r="16" spans="1:11" outlineLevel="1">
      <c r="A16" s="2">
        <v>137</v>
      </c>
      <c r="B16" t="s">
        <v>257</v>
      </c>
      <c r="C16" s="2" t="s">
        <v>258</v>
      </c>
      <c r="D16" s="238">
        <f>SUM(D11:D15)</f>
        <v>7025625.6603272725</v>
      </c>
      <c r="E16" s="238">
        <f t="shared" ref="E16:K16" si="0">SUM(E11:E15)</f>
        <v>5886874.0568605848</v>
      </c>
      <c r="F16" s="238">
        <f t="shared" si="0"/>
        <v>964386.41173846845</v>
      </c>
      <c r="G16" s="238">
        <f t="shared" si="0"/>
        <v>126460.31024656617</v>
      </c>
      <c r="H16" s="238">
        <f t="shared" si="0"/>
        <v>15496.315479456733</v>
      </c>
      <c r="I16" s="238">
        <f t="shared" si="0"/>
        <v>1092.5083673691624</v>
      </c>
      <c r="J16" s="238">
        <f t="shared" si="0"/>
        <v>30223.549267458708</v>
      </c>
      <c r="K16" s="238">
        <f t="shared" si="0"/>
        <v>1092.5083673691624</v>
      </c>
    </row>
    <row r="17" spans="1:11" outlineLevel="1">
      <c r="A17" s="2" t="s">
        <v>258</v>
      </c>
      <c r="B17" t="s">
        <v>258</v>
      </c>
      <c r="D17" s="236"/>
      <c r="E17" s="236"/>
      <c r="F17" s="236"/>
      <c r="G17" s="236"/>
      <c r="H17" s="236"/>
      <c r="I17" s="236"/>
      <c r="J17" s="236"/>
      <c r="K17" s="236"/>
    </row>
    <row r="18" spans="1:11" outlineLevel="1">
      <c r="A18" s="2">
        <v>138</v>
      </c>
      <c r="B18" s="57" t="s">
        <v>259</v>
      </c>
      <c r="D18" s="236"/>
      <c r="E18" s="236"/>
      <c r="F18" s="236"/>
      <c r="G18" s="236"/>
      <c r="H18" s="236"/>
      <c r="I18" s="236"/>
      <c r="J18" s="236"/>
      <c r="K18" s="236"/>
    </row>
    <row r="19" spans="1:11" outlineLevel="1">
      <c r="A19" s="2">
        <v>139</v>
      </c>
      <c r="B19" s="237" t="s">
        <v>252</v>
      </c>
      <c r="C19" s="2">
        <v>907</v>
      </c>
      <c r="D19" s="236">
        <v>0</v>
      </c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236">
        <v>0</v>
      </c>
      <c r="K19" s="236">
        <v>0</v>
      </c>
    </row>
    <row r="20" spans="1:11" outlineLevel="1">
      <c r="A20" s="2">
        <v>140</v>
      </c>
      <c r="B20" s="237" t="s">
        <v>260</v>
      </c>
      <c r="C20" s="2">
        <v>908</v>
      </c>
      <c r="D20" s="236">
        <v>-135846.84442824777</v>
      </c>
      <c r="E20" s="236">
        <v>-119253.53253418861</v>
      </c>
      <c r="F20" s="236">
        <v>-16126.247803426235</v>
      </c>
      <c r="G20" s="236">
        <v>-288.63511218889158</v>
      </c>
      <c r="H20" s="236">
        <v>-57.727022437778324</v>
      </c>
      <c r="I20" s="236">
        <v>-4.081708657216649</v>
      </c>
      <c r="J20" s="236">
        <v>-112.53853869183048</v>
      </c>
      <c r="K20" s="236">
        <v>-4.081708657216649</v>
      </c>
    </row>
    <row r="21" spans="1:11" outlineLevel="1">
      <c r="A21" s="2">
        <v>141</v>
      </c>
      <c r="B21" s="237" t="s">
        <v>261</v>
      </c>
      <c r="C21" s="2">
        <v>909</v>
      </c>
      <c r="D21" s="236">
        <v>67654.104613691074</v>
      </c>
      <c r="E21" s="236">
        <v>59390.345057897881</v>
      </c>
      <c r="F21" s="236">
        <v>8031.1534692700025</v>
      </c>
      <c r="G21" s="236">
        <v>143.74533436826189</v>
      </c>
      <c r="H21" s="236">
        <v>28.749066873652382</v>
      </c>
      <c r="I21" s="236">
        <v>2.032762304197643</v>
      </c>
      <c r="J21" s="236">
        <v>56.046160672877882</v>
      </c>
      <c r="K21" s="236">
        <v>2.032762304197643</v>
      </c>
    </row>
    <row r="22" spans="1:11" outlineLevel="1">
      <c r="A22" s="2">
        <v>142</v>
      </c>
      <c r="B22" s="237" t="s">
        <v>262</v>
      </c>
      <c r="C22" s="2">
        <v>910</v>
      </c>
      <c r="D22" s="236">
        <v>156889.91411408054</v>
      </c>
      <c r="E22" s="236">
        <v>137726.2501446747</v>
      </c>
      <c r="F22" s="236">
        <v>18624.250298270665</v>
      </c>
      <c r="G22" s="236">
        <v>333.34552710601599</v>
      </c>
      <c r="H22" s="236">
        <v>66.669105421203199</v>
      </c>
      <c r="I22" s="236">
        <v>4.7139771509941655</v>
      </c>
      <c r="J22" s="236">
        <v>129.971084305982</v>
      </c>
      <c r="K22" s="236">
        <v>4.7139771509941655</v>
      </c>
    </row>
    <row r="23" spans="1:11" outlineLevel="1">
      <c r="A23" s="2">
        <v>143</v>
      </c>
      <c r="B23" t="s">
        <v>263</v>
      </c>
      <c r="C23" s="2" t="s">
        <v>258</v>
      </c>
      <c r="D23" s="238">
        <f>SUM(D19:D22)</f>
        <v>88697.174299523846</v>
      </c>
      <c r="E23" s="238">
        <f t="shared" ref="E23:K23" si="1">SUM(E19:E22)</f>
        <v>77863.06266838398</v>
      </c>
      <c r="F23" s="238">
        <f t="shared" si="1"/>
        <v>10529.155964114432</v>
      </c>
      <c r="G23" s="238">
        <f t="shared" si="1"/>
        <v>188.4557492853863</v>
      </c>
      <c r="H23" s="238">
        <f t="shared" si="1"/>
        <v>37.691149857077257</v>
      </c>
      <c r="I23" s="238">
        <f t="shared" si="1"/>
        <v>2.6650307979751595</v>
      </c>
      <c r="J23" s="238">
        <f t="shared" si="1"/>
        <v>73.478706287029411</v>
      </c>
      <c r="K23" s="238">
        <f t="shared" si="1"/>
        <v>2.6650307979751595</v>
      </c>
    </row>
    <row r="24" spans="1:11" outlineLevel="1">
      <c r="A24" s="2" t="s">
        <v>258</v>
      </c>
      <c r="B24" s="57" t="s">
        <v>258</v>
      </c>
      <c r="D24" s="236"/>
      <c r="E24" s="236"/>
      <c r="F24" s="236"/>
      <c r="G24" s="236"/>
      <c r="H24" s="236"/>
      <c r="I24" s="236"/>
      <c r="J24" s="236"/>
      <c r="K24" s="236"/>
    </row>
    <row r="25" spans="1:11" outlineLevel="1">
      <c r="A25" s="2">
        <v>144</v>
      </c>
      <c r="B25" s="57" t="s">
        <v>264</v>
      </c>
      <c r="D25" s="236"/>
      <c r="E25" s="236"/>
      <c r="F25" s="236"/>
      <c r="G25" s="236"/>
      <c r="H25" s="236"/>
      <c r="I25" s="236"/>
      <c r="J25" s="236"/>
      <c r="K25" s="236"/>
    </row>
    <row r="26" spans="1:11" outlineLevel="1">
      <c r="A26" s="2">
        <v>145</v>
      </c>
      <c r="B26" s="237" t="s">
        <v>265</v>
      </c>
      <c r="C26" s="2">
        <v>911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</row>
    <row r="27" spans="1:11" outlineLevel="1">
      <c r="A27" s="2">
        <v>146</v>
      </c>
      <c r="B27" s="237" t="s">
        <v>266</v>
      </c>
      <c r="C27" s="2">
        <v>912</v>
      </c>
      <c r="D27" s="236">
        <v>18653.453822037322</v>
      </c>
      <c r="E27" s="236">
        <v>16374.986637369073</v>
      </c>
      <c r="F27" s="236">
        <v>2214.3335017459713</v>
      </c>
      <c r="G27" s="236">
        <v>39.633174839610056</v>
      </c>
      <c r="H27" s="236">
        <v>7.9266349679220118</v>
      </c>
      <c r="I27" s="236">
        <v>0.56046913914600083</v>
      </c>
      <c r="J27" s="236">
        <v>15.452934836454023</v>
      </c>
      <c r="K27" s="236">
        <v>0.56046913914600083</v>
      </c>
    </row>
    <row r="28" spans="1:11" outlineLevel="1">
      <c r="A28" s="2">
        <v>147</v>
      </c>
      <c r="B28" s="237" t="s">
        <v>267</v>
      </c>
      <c r="C28" s="2">
        <v>913</v>
      </c>
      <c r="D28" s="236">
        <v>0</v>
      </c>
      <c r="E28" s="236">
        <v>0</v>
      </c>
      <c r="F28" s="236">
        <v>0</v>
      </c>
      <c r="G28" s="236">
        <v>0</v>
      </c>
      <c r="H28" s="236">
        <v>0</v>
      </c>
      <c r="I28" s="236">
        <v>0</v>
      </c>
      <c r="J28" s="236">
        <v>0</v>
      </c>
      <c r="K28" s="236">
        <v>0</v>
      </c>
    </row>
    <row r="29" spans="1:11" outlineLevel="1">
      <c r="A29" s="2">
        <v>148</v>
      </c>
      <c r="B29" s="237" t="s">
        <v>268</v>
      </c>
      <c r="C29" s="2">
        <v>916</v>
      </c>
      <c r="D29" s="236">
        <v>0</v>
      </c>
      <c r="E29" s="236">
        <v>0</v>
      </c>
      <c r="F29" s="236">
        <v>0</v>
      </c>
      <c r="G29" s="236">
        <v>0</v>
      </c>
      <c r="H29" s="236">
        <v>0</v>
      </c>
      <c r="I29" s="236">
        <v>0</v>
      </c>
      <c r="J29" s="236">
        <v>0</v>
      </c>
      <c r="K29" s="236">
        <v>0</v>
      </c>
    </row>
    <row r="30" spans="1:11" outlineLevel="1">
      <c r="A30" s="2">
        <v>149</v>
      </c>
      <c r="B30" t="s">
        <v>269</v>
      </c>
      <c r="C30" s="2" t="s">
        <v>258</v>
      </c>
      <c r="D30" s="238">
        <f>SUM(D26:D29)</f>
        <v>18653.453822037322</v>
      </c>
      <c r="E30" s="238">
        <f t="shared" ref="E30:K30" si="2">SUM(E26:E29)</f>
        <v>16374.986637369073</v>
      </c>
      <c r="F30" s="238">
        <f t="shared" si="2"/>
        <v>2214.3335017459713</v>
      </c>
      <c r="G30" s="238">
        <f t="shared" si="2"/>
        <v>39.633174839610056</v>
      </c>
      <c r="H30" s="238">
        <f t="shared" si="2"/>
        <v>7.9266349679220118</v>
      </c>
      <c r="I30" s="238">
        <f t="shared" si="2"/>
        <v>0.56046913914600083</v>
      </c>
      <c r="J30" s="238">
        <f t="shared" si="2"/>
        <v>15.452934836454023</v>
      </c>
      <c r="K30" s="238">
        <f t="shared" si="2"/>
        <v>0.56046913914600083</v>
      </c>
    </row>
    <row r="31" spans="1:11" outlineLevel="1">
      <c r="A31" s="2" t="s">
        <v>258</v>
      </c>
      <c r="B31" t="s">
        <v>258</v>
      </c>
      <c r="D31" s="236"/>
      <c r="E31" s="236"/>
      <c r="F31" s="236"/>
      <c r="G31" s="236"/>
      <c r="H31" s="236"/>
      <c r="I31" s="236"/>
      <c r="J31" s="236"/>
      <c r="K31" s="236"/>
    </row>
    <row r="32" spans="1:11">
      <c r="A32" s="2">
        <v>150</v>
      </c>
      <c r="B32" s="239" t="s">
        <v>270</v>
      </c>
      <c r="C32" s="2" t="s">
        <v>258</v>
      </c>
      <c r="D32" s="236">
        <f>D30+D23+D16</f>
        <v>7132976.2884488339</v>
      </c>
      <c r="E32" s="236">
        <f t="shared" ref="E32:K32" si="3">E30+E23+E16</f>
        <v>5981112.1061663376</v>
      </c>
      <c r="F32" s="236">
        <f t="shared" si="3"/>
        <v>977129.90120432887</v>
      </c>
      <c r="G32" s="236">
        <f t="shared" si="3"/>
        <v>126688.39917069116</v>
      </c>
      <c r="H32" s="236">
        <f t="shared" si="3"/>
        <v>15541.933264281732</v>
      </c>
      <c r="I32" s="236">
        <f t="shared" si="3"/>
        <v>1095.7338673062836</v>
      </c>
      <c r="J32" s="236">
        <f t="shared" si="3"/>
        <v>30312.480908582191</v>
      </c>
      <c r="K32" s="236">
        <f t="shared" si="3"/>
        <v>1095.7338673062836</v>
      </c>
    </row>
    <row r="33" spans="2:11" ht="15.75" thickBot="1">
      <c r="B33" s="239"/>
      <c r="D33" s="236"/>
      <c r="E33" s="236"/>
      <c r="F33" s="236"/>
      <c r="G33" s="236"/>
      <c r="H33" s="236"/>
      <c r="I33" s="236"/>
      <c r="J33" s="236"/>
      <c r="K33" s="236"/>
    </row>
    <row r="34" spans="2:11" ht="15.75" thickBot="1">
      <c r="B34" s="240" t="s">
        <v>273</v>
      </c>
      <c r="C34" s="241"/>
      <c r="D34" s="242">
        <f>E32+F32+G32+H32+I32+J32</f>
        <v>7131880.5545815276</v>
      </c>
      <c r="E34" s="243">
        <f>(E32/$D$34)</f>
        <v>0.838644458553651</v>
      </c>
      <c r="F34" s="243">
        <f t="shared" ref="F34:J34" si="4">(F32/$D$34)</f>
        <v>0.1370087305481609</v>
      </c>
      <c r="G34" s="243">
        <f t="shared" si="4"/>
        <v>1.7763673718470565E-2</v>
      </c>
      <c r="H34" s="243">
        <f t="shared" si="4"/>
        <v>2.1792195123483352E-3</v>
      </c>
      <c r="I34" s="243">
        <f t="shared" si="4"/>
        <v>1.5363884166601514E-4</v>
      </c>
      <c r="J34" s="244">
        <f t="shared" si="4"/>
        <v>4.2502788257031904E-3</v>
      </c>
      <c r="K34" s="236"/>
    </row>
    <row r="35" spans="2:11">
      <c r="B35" s="239"/>
      <c r="D35" s="236"/>
      <c r="E35" s="236"/>
      <c r="F35" s="236"/>
      <c r="G35" s="236"/>
      <c r="H35" s="236"/>
      <c r="I35" s="236"/>
      <c r="J35" s="236"/>
      <c r="K35" s="236"/>
    </row>
  </sheetData>
  <pageMargins left="0.45" right="0.45" top="0.5" bottom="0.5" header="0.3" footer="0.3"/>
  <pageSetup scale="56" pageOrder="overThenDown" orientation="landscape" horizontalDpi="1200" verticalDpi="1200" r:id="rId1"/>
  <rowBreaks count="1" manualBreakCount="1">
    <brk id="7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749A45-79C7-4BA0-870F-043791390CDE}"/>
</file>

<file path=customXml/itemProps2.xml><?xml version="1.0" encoding="utf-8"?>
<ds:datastoreItem xmlns:ds="http://schemas.openxmlformats.org/officeDocument/2006/customXml" ds:itemID="{95F34A3B-7B04-480C-9383-B71826042916}"/>
</file>

<file path=customXml/itemProps3.xml><?xml version="1.0" encoding="utf-8"?>
<ds:datastoreItem xmlns:ds="http://schemas.openxmlformats.org/officeDocument/2006/customXml" ds:itemID="{1DB2FCDE-056F-4EB0-981E-AA3498F9C46A}"/>
</file>

<file path=customXml/itemProps4.xml><?xml version="1.0" encoding="utf-8"?>
<ds:datastoreItem xmlns:ds="http://schemas.openxmlformats.org/officeDocument/2006/customXml" ds:itemID="{1DE4FD38-58EE-4856-B1E6-9743AB6366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Exh. ZLH-2 (COVID Deferral)</vt:lpstr>
      <vt:lpstr>Work Papers --&gt;</vt:lpstr>
      <vt:lpstr>COVID-19 WP</vt:lpstr>
      <vt:lpstr>Bad Debt WP</vt:lpstr>
      <vt:lpstr>Waived Late Payment Charges WP</vt:lpstr>
      <vt:lpstr>Reconnection Fees WP</vt:lpstr>
      <vt:lpstr>Other Direct Benefits WP</vt:lpstr>
      <vt:lpstr>Exh RJA-3 Excerpt WP</vt:lpstr>
      <vt:lpstr>'COVID-19 WP'!Print_Area</vt:lpstr>
      <vt:lpstr>'Exh RJA-3 Excerpt WP'!Print_Area</vt:lpstr>
      <vt:lpstr>'Exh RJA-3 Excerpt WP'!Print_Titles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Zachary</dc:creator>
  <cp:lastModifiedBy>Lin, Megan (BEL)</cp:lastModifiedBy>
  <dcterms:created xsi:type="dcterms:W3CDTF">2024-03-28T14:19:30Z</dcterms:created>
  <dcterms:modified xsi:type="dcterms:W3CDTF">2024-03-28T17:32:22Z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