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olors11.xml" ContentType="application/vnd.ms-office.chartcolorstyle+xml"/>
  <Override PartName="/xl/charts/style11.xml" ContentType="application/vnd.ms-office.chartstyle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/colors3.xml" ContentType="application/vnd.ms-office.chartcolorstyle+xml"/>
  <Override PartName="/xl/charts/chart4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harts/colors8.xml" ContentType="application/vnd.ms-office.chartcolorstyle+xml"/>
  <Override PartName="/xl/worksheets/sheet16.xml" ContentType="application/vnd.openxmlformats-officedocument.spreadsheetml.worksheet+xml"/>
  <Override PartName="/xl/charts/style4.xml" ContentType="application/vnd.ms-office.chartstyle+xml"/>
  <Override PartName="/xl/worksheets/sheet17.xml" ContentType="application/vnd.openxmlformats-officedocument.spreadsheetml.worksheet+xml"/>
  <Override PartName="/xl/charts/style3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/style2.xml" ContentType="application/vnd.ms-office.chartstyl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olors4.xml" ContentType="application/vnd.ms-office.chartcolorstyl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worksheets/sheet9.xml" ContentType="application/vnd.openxmlformats-officedocument.spreadsheetml.worksheet+xml"/>
  <Override PartName="/xl/charts/style5.xml" ContentType="application/vnd.ms-office.chartstyl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harts/colors5.xml" ContentType="application/vnd.ms-office.chartcolorstyle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gross\Desktop\"/>
    </mc:Choice>
  </mc:AlternateContent>
  <bookViews>
    <workbookView xWindow="-12" yWindow="-12" windowWidth="11616" windowHeight="8448" tabRatio="708"/>
  </bookViews>
  <sheets>
    <sheet name="Summary" sheetId="126" r:id="rId1"/>
    <sheet name="ROR" sheetId="110" r:id="rId2"/>
    <sheet name="Attrition 09.2014 to 2016" sheetId="120" r:id="rId3"/>
    <sheet name="Plant Trends" sheetId="147" r:id="rId4"/>
    <sheet name="remove dist" sheetId="148" r:id="rId5"/>
    <sheet name="Net Plant" sheetId="144" r:id="rId6"/>
    <sheet name="Dep-Amort" sheetId="142" r:id="rId7"/>
    <sheet name="Adj Taxes" sheetId="143" r:id="rId8"/>
    <sheet name="Other Revenue" sheetId="145" r:id="rId9"/>
    <sheet name="Adj Operating Exp" sheetId="146" r:id="rId10"/>
    <sheet name="Weighted Revenue Growth" sheetId="87" r:id="rId11"/>
    <sheet name="Cost Trends" sheetId="122" r:id="rId12"/>
    <sheet name="PF Power Supply 09.2014 load" sheetId="78" r:id="rId13"/>
    <sheet name="PF Power Supply 2016 load" sheetId="139" r:id="rId14"/>
    <sheet name="incremental load expense" sheetId="103" r:id="rId15"/>
    <sheet name="09.2014 Rev Model" sheetId="132" r:id="rId16"/>
    <sheet name="2016 Customers and Demand" sheetId="88" r:id="rId17"/>
    <sheet name="2016 Forecast Energy" sheetId="136" r:id="rId18"/>
    <sheet name="12.2014 CB Power Supply" sheetId="135" r:id="rId19"/>
    <sheet name="456 Revenue" sheetId="140" r:id="rId20"/>
    <sheet name="CS2-Colstrip 2016 Incrmntl Exp" sheetId="141" r:id="rId21"/>
    <sheet name="Reg Amorts" sheetId="129" r:id="rId22"/>
    <sheet name="DSM" sheetId="91" r:id="rId23"/>
    <sheet name="ResX" sheetId="94" r:id="rId24"/>
    <sheet name="CBR Hist" sheetId="133" r:id="rId25"/>
    <sheet name="PS Consolidated" sheetId="134" r:id="rId26"/>
    <sheet name="Other Rev" sheetId="130" r:id="rId27"/>
    <sheet name="Sheet1" sheetId="138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16" hidden="1">'2016 Customers and Demand'!$A$2:$H$59</definedName>
    <definedName name="Actuals_Mo">[1]Tables!$B$19</definedName>
    <definedName name="Base1_Billing2" localSheetId="15">'09.2014 Rev Model'!$N$8</definedName>
    <definedName name="Base1_Billing2" localSheetId="18">#REF!</definedName>
    <definedName name="Base1_Billing2" localSheetId="24">#REF!</definedName>
    <definedName name="Base1_Billing2" localSheetId="13">#REF!</definedName>
    <definedName name="Base1_Billing2" localSheetId="25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5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3">#REF!</definedName>
    <definedName name="ID">#REF!</definedName>
    <definedName name="ID_001b" localSheetId="18">#REF!</definedName>
    <definedName name="ID_001b" localSheetId="24">#REF!</definedName>
    <definedName name="ID_001b" localSheetId="13">#REF!</definedName>
    <definedName name="ID_001b" localSheetId="25">#REF!</definedName>
    <definedName name="ID_001b">#REF!</definedName>
    <definedName name="ID_011b" localSheetId="18">#REF!</definedName>
    <definedName name="ID_011b" localSheetId="24">#REF!</definedName>
    <definedName name="ID_011b" localSheetId="13">#REF!</definedName>
    <definedName name="ID_011b" localSheetId="25">#REF!</definedName>
    <definedName name="ID_011b">#REF!</definedName>
    <definedName name="ID_012b" localSheetId="18">#REF!</definedName>
    <definedName name="ID_012b" localSheetId="24">#REF!</definedName>
    <definedName name="ID_012b" localSheetId="13">#REF!</definedName>
    <definedName name="ID_012b" localSheetId="25">#REF!</definedName>
    <definedName name="ID_012b">#REF!</definedName>
    <definedName name="ID_021b" localSheetId="18">#REF!</definedName>
    <definedName name="ID_021b" localSheetId="24">#REF!</definedName>
    <definedName name="ID_021b" localSheetId="13">#REF!</definedName>
    <definedName name="ID_021b" localSheetId="25">#REF!</definedName>
    <definedName name="ID_021b">#REF!</definedName>
    <definedName name="ID_Gas" localSheetId="18">'[5]DEBT CALC'!#REF!</definedName>
    <definedName name="ID_Gas" localSheetId="2">'[5]DEBT CALC'!#REF!</definedName>
    <definedName name="ID_Gas" localSheetId="24">'[5]DEBT CALC'!#REF!</definedName>
    <definedName name="ID_Gas" localSheetId="11">'[5]DEBT CALC'!#REF!</definedName>
    <definedName name="ID_Gas" localSheetId="13">'[5]DEBT CALC'!#REF!</definedName>
    <definedName name="ID_Gas" localSheetId="25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5">'09.2014 Rev Model'!$A$1:$I$295</definedName>
    <definedName name="_xlnm.Print_Area" localSheetId="18">'12.2014 CB Power Supply'!$A$1:$H$48</definedName>
    <definedName name="_xlnm.Print_Area" localSheetId="16">'2016 Customers and Demand'!$A$1:$H$59</definedName>
    <definedName name="_xlnm.Print_Area" localSheetId="17">'2016 Forecast Energy'!$A$1:$H$40</definedName>
    <definedName name="_xlnm.Print_Area" localSheetId="2">'Attrition 09.2014 to 2016'!$A$1:$T$92</definedName>
    <definedName name="_xlnm.Print_Area" localSheetId="24">'CBR Hist'!$A$1:$U$79</definedName>
    <definedName name="_xlnm.Print_Area" localSheetId="11">'Cost Trends'!$A$1:$T$192</definedName>
    <definedName name="_xlnm.Print_Area" localSheetId="14">'incremental load expense'!$A$1:$J$53</definedName>
    <definedName name="_xlnm.Print_Area" localSheetId="13">'PF Power Supply 2016 load'!$A$1:$H$46</definedName>
    <definedName name="_xlnm.Print_Area" localSheetId="1">ROR!$A$1:$L$26</definedName>
    <definedName name="_xlnm.Print_Area" localSheetId="0">Summary!$A$1:$I$38</definedName>
    <definedName name="Print_for_Checking" localSheetId="18">'[5]ADJ SUMMARY'!#REF!:'[5]ADJ SUMMARY'!#REF!</definedName>
    <definedName name="Print_for_Checking" localSheetId="2">'[5]ADJ SUMMARY'!#REF!:'[5]ADJ SUMMARY'!#REF!</definedName>
    <definedName name="Print_for_Checking" localSheetId="24">'[5]ADJ SUMMARY'!#REF!:'[5]ADJ SUMMARY'!#REF!</definedName>
    <definedName name="Print_for_Checking" localSheetId="11">'[5]ADJ SUMMARY'!#REF!:'[5]ADJ SUMMARY'!#REF!</definedName>
    <definedName name="Print_for_Checking" localSheetId="13">'[5]ADJ SUMMARY'!#REF!:'[5]ADJ SUMMARY'!#REF!</definedName>
    <definedName name="Print_for_Checking" localSheetId="25">'[5]ADJ SUMMARY'!#REF!:'[5]ADJ SUMMARY'!#REF!</definedName>
    <definedName name="Print_for_Checking">'[5]ADJ SUMMARY'!#REF!:'[5]ADJ SUMMARY'!#REF!</definedName>
    <definedName name="_xlnm.Print_Titles" localSheetId="24">'CBR Hist'!$A:$D,'CBR Hist'!$1:$9</definedName>
    <definedName name="_xlnm.Print_Titles" localSheetId="11">'Cost Trends'!$2:$2</definedName>
    <definedName name="PrintHeader" localSheetId="15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5">'[3]St Lts'!$AD$1</definedName>
    <definedName name="SL_RateIncr">'[4]St Lts'!$AD$1</definedName>
    <definedName name="StartMo">[1]Tables!$B$13</definedName>
    <definedName name="Summary" localSheetId="18">#REF!</definedName>
    <definedName name="Summary" localSheetId="2">#REF!</definedName>
    <definedName name="Summary" localSheetId="24">#REF!</definedName>
    <definedName name="Summary" localSheetId="11">#REF!</definedName>
    <definedName name="Summary" localSheetId="13">#REF!</definedName>
    <definedName name="Summary" localSheetId="25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8">#REF!</definedName>
    <definedName name="WA_001b" localSheetId="24">#REF!</definedName>
    <definedName name="WA_001b" localSheetId="13">#REF!</definedName>
    <definedName name="WA_001b" localSheetId="25">#REF!</definedName>
    <definedName name="WA_001b">#REF!</definedName>
    <definedName name="WA_011b" localSheetId="18">#REF!</definedName>
    <definedName name="WA_011b" localSheetId="24">#REF!</definedName>
    <definedName name="WA_011b" localSheetId="13">#REF!</definedName>
    <definedName name="WA_011b" localSheetId="25">#REF!</definedName>
    <definedName name="WA_011b">#REF!</definedName>
    <definedName name="WA_012b" localSheetId="18">#REF!</definedName>
    <definedName name="WA_012b" localSheetId="24">#REF!</definedName>
    <definedName name="WA_012b" localSheetId="13">#REF!</definedName>
    <definedName name="WA_012b" localSheetId="25">#REF!</definedName>
    <definedName name="WA_012b">#REF!</definedName>
    <definedName name="WA_021b" localSheetId="18">#REF!</definedName>
    <definedName name="WA_021b" localSheetId="24">#REF!</definedName>
    <definedName name="WA_021b" localSheetId="13">#REF!</definedName>
    <definedName name="WA_021b" localSheetId="25">#REF!</definedName>
    <definedName name="WA_021b">#REF!</definedName>
    <definedName name="WA_Gas" localSheetId="18">'[5]DEBT CALC'!#REF!</definedName>
    <definedName name="WA_Gas" localSheetId="2">'[5]DEBT CALC'!#REF!</definedName>
    <definedName name="WA_Gas" localSheetId="24">'[5]DEBT CALC'!#REF!</definedName>
    <definedName name="WA_Gas" localSheetId="11">'[5]DEBT CALC'!#REF!</definedName>
    <definedName name="WA_Gas" localSheetId="20">'[5]DEBT CALC'!#REF!</definedName>
    <definedName name="WA_Gas" localSheetId="13">'[5]DEBT CALC'!#REF!</definedName>
    <definedName name="WA_Gas" localSheetId="25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4" hidden="1">'CBR Hist'!#REF!,'CBR Hist'!$E:$E</definedName>
    <definedName name="Z_6E1B8C45_B07F_11D2_B0DC_0000832CDFF0_.wvu.PrintArea" localSheetId="24" hidden="1">'CBR Hist'!$E:$E</definedName>
    <definedName name="Z_6E1B8C45_B07F_11D2_B0DC_0000832CDFF0_.wvu.PrintTitles" localSheetId="24" hidden="1">'CBR Hist'!$A:$D,'CBR Hist'!$1:$9</definedName>
    <definedName name="Z_A15D1962_B049_11D2_8670_0000832CEEE8_.wvu.Cols" localSheetId="24" hidden="1">'CBR Hist'!$E:$E</definedName>
  </definedNames>
  <calcPr calcId="152511"/>
</workbook>
</file>

<file path=xl/calcChain.xml><?xml version="1.0" encoding="utf-8"?>
<calcChain xmlns="http://schemas.openxmlformats.org/spreadsheetml/2006/main">
  <c r="D26" i="139" l="1"/>
  <c r="D11" i="139"/>
  <c r="L12" i="139"/>
  <c r="L13" i="139"/>
  <c r="L14" i="139"/>
  <c r="L15" i="139"/>
  <c r="L16" i="139"/>
  <c r="L17" i="139"/>
  <c r="L18" i="139"/>
  <c r="L19" i="139"/>
  <c r="L20" i="139"/>
  <c r="L21" i="139"/>
  <c r="L22" i="139"/>
  <c r="L23" i="139"/>
  <c r="L24" i="139"/>
  <c r="L25" i="139"/>
  <c r="L26" i="139"/>
  <c r="L27" i="139"/>
  <c r="L28" i="139"/>
  <c r="L29" i="139"/>
  <c r="L30" i="139"/>
  <c r="L31" i="139"/>
  <c r="L32" i="139"/>
  <c r="L33" i="139"/>
  <c r="L34" i="139"/>
  <c r="L35" i="139"/>
  <c r="L36" i="139"/>
  <c r="L37" i="139"/>
  <c r="L11" i="139"/>
  <c r="K58" i="120" l="1"/>
  <c r="F6" i="144"/>
  <c r="E6" i="144"/>
  <c r="C2" i="148"/>
  <c r="D2" i="148"/>
  <c r="E2" i="148"/>
  <c r="F2" i="148"/>
  <c r="G2" i="148"/>
  <c r="H2" i="148"/>
  <c r="I2" i="148"/>
  <c r="B2" i="148"/>
  <c r="G36" i="148"/>
  <c r="H36" i="148"/>
  <c r="I36" i="148"/>
  <c r="F36" i="148"/>
  <c r="B8" i="148"/>
  <c r="B11" i="148" s="1"/>
  <c r="B13" i="148" s="1"/>
  <c r="K16" i="120"/>
  <c r="H8" i="146"/>
  <c r="G6" i="144" l="1"/>
  <c r="H35" i="120" l="1"/>
  <c r="N182" i="122" l="1"/>
  <c r="I62" i="120" l="1"/>
  <c r="S46" i="120"/>
  <c r="D8" i="146" l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F26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T58" i="120" s="1"/>
  <c r="M63" i="120"/>
  <c r="N65" i="120" l="1"/>
  <c r="T65" i="120" s="1"/>
  <c r="M70" i="120"/>
  <c r="M72" i="120" s="1"/>
  <c r="M75" i="120" s="1"/>
  <c r="T63" i="120"/>
  <c r="N63" i="120"/>
  <c r="M79" i="120" l="1"/>
  <c r="M50" i="120" s="1"/>
  <c r="T70" i="120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T50" i="120" s="1"/>
  <c r="E86" i="120"/>
  <c r="E88" i="120" s="1"/>
  <c r="T54" i="120" l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3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4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5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<sst xmlns="http://schemas.openxmlformats.org/spreadsheetml/2006/main" count="1974" uniqueCount="775">
  <si>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</si>
  <si>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</si>
  <si>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</si>
  <si>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</si>
  <si>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</si>
  <si>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</si>
  <si>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</si>
  <si>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</si>
  <si>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</si>
  <si>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</si>
  <si>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</si>
  <si>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</si>
  <si>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</si>
  <si>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</si>
  <si>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</si>
  <si>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</si>
  <si>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</si>
  <si>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</si>
  <si>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</si>
  <si>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</si>
  <si>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</si>
  <si>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</si>
  <si>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</si>
  <si>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</si>
  <si>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</si>
  <si>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</si>
  <si>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</si>
  <si>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</si>
  <si>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</si>
  <si>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</si>
  <si>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</si>
  <si>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</si>
  <si>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</si>
  <si>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</si>
  <si>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</si>
  <si>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</si>
  <si>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</si>
  <si>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</si>
  <si>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</si>
  <si>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</si>
  <si>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</si>
  <si>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</si>
  <si>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</si>
  <si>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</si>
  <si>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</si>
  <si>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</si>
  <si>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</si>
  <si>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</si>
  <si>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</si>
  <si>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</si>
  <si>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</si>
  <si>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</si>
  <si>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</si>
  <si>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</si>
  <si>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</si>
  <si>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</si>
  <si>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</si>
  <si>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</si>
  <si>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</si>
  <si>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</si>
  <si>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</si>
  <si>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</si>
  <si>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</si>
  <si>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</si>
  <si>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</si>
  <si>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</si>
  <si>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</si>
  <si>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</si>
  <si>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</si>
  <si>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</si>
  <si>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</si>
  <si>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</si>
  <si>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</si>
  <si>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</si>
  <si>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</si>
  <si>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</si>
  <si>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</si>
  <si>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</si>
  <si>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</si>
  <si>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</si>
  <si>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</si>
  <si>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</si>
  <si>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</si>
  <si>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</si>
  <si>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</si>
  <si>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</si>
  <si>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</si>
  <si>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</si>
  <si>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</si>
  <si>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</si>
  <si>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</si>
  <si>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</si>
  <si>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</si>
  <si>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</si>
  <si>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</si>
  <si>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</si>
  <si>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</si>
  <si>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</si>
  <si>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</si>
  <si>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</si>
  <si>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</si>
  <si>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</si>
  <si>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</si>
  <si>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</si>
  <si>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</si>
  <si>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</si>
  <si>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</si>
  <si>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</si>
  <si>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</si>
  <si>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</si>
  <si>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</si>
  <si>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</si>
  <si>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</si>
  <si>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</si>
  <si>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</si>
  <si>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</si>
  <si>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</si>
  <si>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</si>
  <si>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</si>
  <si>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</si>
  <si>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</si>
  <si>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</si>
  <si>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</si>
  <si>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</si>
  <si>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</si>
  <si>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</si>
  <si>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</si>
  <si>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</si>
  <si>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</si>
  <si>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</si>
  <si>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</si>
  <si>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</si>
  <si>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</si>
  <si>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</si>
  <si>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</si>
  <si>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</si>
  <si>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</si>
  <si>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</si>
  <si>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</si>
  <si>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</si>
  <si>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</si>
  <si>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</si>
  <si>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</si>
  <si>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</si>
  <si>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</si>
  <si>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</si>
  <si>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</si>
  <si>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</si>
  <si>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</si>
  <si>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</si>
  <si>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</si>
  <si>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</si>
  <si>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</si>
  <si>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</si>
  <si>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</si>
  <si>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</si>
  <si>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</si>
  <si>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</si>
  <si>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</si>
  <si>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</si>
  <si>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</si>
  <si>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</si>
  <si>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</si>
  <si>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</si>
  <si>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</si>
  <si>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</si>
  <si>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</si>
  <si>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</si>
  <si>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</si>
  <si>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</si>
  <si>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</si>
  <si>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</si>
  <si>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</si>
  <si>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</si>
  <si>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</si>
  <si>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</si>
  <si>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</si>
  <si>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</si>
  <si>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</si>
  <si>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</si>
  <si>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</si>
  <si>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</si>
  <si>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</si>
  <si>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</si>
  <si>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</si>
  <si>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</si>
  <si>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</si>
  <si>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</si>
  <si>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</si>
  <si>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</si>
  <si>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</si>
  <si>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</si>
  <si>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</si>
  <si>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</si>
  <si>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</si>
  <si>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</si>
  <si>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</si>
  <si>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</si>
  <si>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</si>
  <si>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</si>
  <si>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</si>
  <si>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</si>
  <si>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</si>
  <si>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</si>
  <si>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</si>
  <si>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</si>
  <si>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</si>
  <si>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</si>
  <si>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</si>
  <si>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</si>
  <si>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</si>
  <si>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</si>
  <si>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</si>
  <si>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</si>
  <si>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</si>
  <si>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</si>
  <si>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</si>
  <si>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</si>
  <si>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</si>
  <si>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</si>
  <si>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</si>
  <si>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</si>
  <si>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</si>
  <si>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</si>
  <si>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</si>
  <si>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</si>
  <si>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</si>
  <si>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</si>
  <si>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</si>
  <si>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</si>
  <si>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</si>
  <si>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</si>
  <si>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</si>
  <si>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</si>
  <si>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</si>
  <si>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</si>
  <si>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</si>
  <si>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</si>
  <si>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</si>
  <si>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</si>
  <si>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</si>
  <si>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</si>
  <si>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</si>
  <si>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</si>
  <si>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</si>
  <si>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</si>
  <si>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</si>
  <si>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</si>
  <si>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</si>
  <si>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</si>
  <si>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</si>
  <si>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</si>
  <si>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</si>
  <si>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</si>
  <si>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</si>
  <si>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</si>
  <si>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</si>
  <si>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</si>
  <si>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</si>
  <si>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</si>
  <si>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</si>
  <si>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</si>
  <si>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</si>
  <si>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</si>
  <si>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</si>
  <si>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</si>
  <si>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</si>
  <si>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</si>
  <si>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</si>
  <si>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</si>
  <si>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</si>
  <si>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</si>
  <si>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</si>
  <si>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</si>
  <si>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</si>
  <si>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</si>
  <si>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</si>
  <si>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</si>
  <si>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</si>
  <si>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</si>
  <si>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</si>
  <si>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</si>
  <si>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</si>
  <si>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</si>
  <si>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</si>
  <si>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</si>
  <si>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</si>
  <si>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</si>
  <si>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</si>
  <si>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</si>
  <si>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</si>
  <si>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</si>
  <si>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</si>
  <si>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</si>
  <si>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</si>
  <si>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</si>
  <si>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</si>
  <si>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</si>
  <si>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</si>
  <si>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</si>
  <si>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</si>
  <si>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</si>
  <si>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</si>
  <si>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</si>
  <si>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</si>
  <si>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</si>
  <si>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</si>
  <si>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</si>
  <si>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</si>
  <si>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</si>
  <si>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</si>
  <si>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</si>
  <si>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</si>
  <si>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</si>
  <si>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</si>
  <si>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</si>
  <si>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</si>
  <si>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</si>
  <si>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</si>
  <si>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</si>
  <si>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</si>
  <si>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</si>
  <si>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</si>
  <si>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</si>
  <si>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</si>
  <si>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</si>
  <si>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</si>
  <si>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</si>
  <si>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</si>
  <si>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</si>
  <si>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</si>
  <si>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</si>
  <si>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</si>
  <si>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</si>
  <si>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</si>
  <si>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</si>
  <si>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</si>
  <si>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</si>
  <si>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</si>
  <si>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</si>
  <si>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</si>
  <si>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</si>
  <si>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</si>
  <si>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</si>
  <si>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</si>
  <si>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</si>
  <si>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</si>
  <si>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</si>
  <si>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</si>
  <si>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</si>
  <si>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</si>
  <si>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</si>
  <si>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</si>
  <si>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</si>
  <si>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</si>
  <si>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</si>
  <si>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</si>
  <si>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</si>
  <si>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</si>
  <si>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</si>
  <si>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</si>
  <si>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</si>
  <si>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</si>
  <si>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</si>
  <si>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</si>
  <si>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</si>
  <si>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</si>
  <si>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</si>
  <si>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</si>
  <si>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</si>
  <si>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</si>
  <si>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</si>
  <si>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</si>
  <si>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</si>
  <si>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</si>
  <si>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</si>
  <si>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</si>
  <si>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</si>
  <si>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</si>
  <si>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</si>
  <si>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</si>
  <si>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</si>
  <si>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</si>
  <si>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</si>
  <si>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</si>
  <si>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</si>
  <si>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</si>
  <si>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</si>
  <si>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</si>
  <si>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</si>
  <si>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</si>
  <si>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</si>
  <si>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</si>
  <si>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</si>
  <si>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</si>
  <si>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</si>
  <si>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</si>
  <si>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</si>
  <si>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</si>
  <si>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</si>
  <si>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</si>
  <si>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</si>
  <si>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</si>
  <si>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</si>
  <si>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</si>
  <si>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</si>
  <si>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</si>
  <si>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</si>
  <si>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</si>
  <si>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</si>
  <si>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</si>
  <si>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</si>
  <si>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</si>
  <si>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</si>
  <si>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</si>
  <si>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</si>
  <si>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</si>
  <si>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</si>
  <si>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</si>
  <si>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</si>
  <si>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</si>
  <si>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</si>
  <si>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</si>
  <si>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</si>
  <si>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</si>
  <si>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</si>
  <si>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</si>
  <si>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</si>
  <si>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</si>
  <si>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</si>
  <si>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</si>
  <si>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</si>
  <si>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</si>
  <si>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</si>
  <si>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</si>
  <si>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</si>
  <si>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</si>
  <si>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</si>
  <si>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</si>
  <si>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</si>
  <si>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</si>
  <si>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</si>
  <si>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</si>
  <si>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</si>
  <si>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</si>
  <si>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</si>
  <si>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</si>
  <si>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</si>
  <si>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</si>
  <si>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</si>
  <si>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</si>
  <si>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</si>
  <si>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</si>
  <si>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</si>
  <si>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</si>
  <si>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</si>
  <si>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</si>
  <si>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</si>
  <si>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</si>
  <si>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</si>
  <si>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</si>
  <si>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</si>
  <si>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</si>
  <si>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</si>
  <si>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</si>
  <si>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</si>
  <si>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</si>
  <si>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</si>
  <si>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</si>
  <si>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</si>
  <si>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</si>
  <si>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</si>
  <si>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</si>
  <si>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</si>
  <si>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</si>
  <si>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</si>
  <si>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</si>
  <si>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</si>
  <si>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</si>
  <si>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</si>
  <si>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</si>
  <si>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</si>
  <si>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</si>
  <si>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</si>
  <si>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</si>
  <si>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</si>
  <si>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</si>
  <si>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</si>
  <si>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</si>
  <si>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</si>
  <si>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</si>
  <si>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</si>
  <si>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</si>
  <si>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</si>
  <si>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</si>
  <si>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</si>
  <si>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</si>
  <si>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</si>
  <si>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</si>
  <si>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</si>
  <si>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</si>
  <si>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</si>
  <si>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</si>
  <si>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</si>
  <si>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</si>
  <si>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</si>
  <si>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</si>
  <si>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</si>
  <si>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</si>
  <si>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</si>
  <si>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</si>
  <si>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</si>
  <si>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</si>
  <si>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</si>
  <si>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</si>
  <si>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</si>
  <si>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</si>
  <si>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</si>
  <si>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</si>
  <si>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</si>
  <si>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</si>
  <si>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</si>
  <si>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</si>
  <si>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</si>
  <si>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</si>
  <si>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</si>
  <si>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</si>
  <si>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</si>
  <si>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</si>
  <si>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</si>
  <si>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</si>
  <si>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</si>
  <si>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</si>
  <si>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</si>
  <si>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</si>
  <si>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</si>
  <si>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</si>
  <si>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</si>
  <si>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</si>
  <si>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</si>
  <si>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</si>
  <si>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</si>
  <si>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</si>
  <si>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</si>
  <si>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</si>
  <si>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</si>
  <si>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</si>
  <si>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</si>
  <si>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</si>
  <si>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</si>
  <si>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</si>
  <si>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</si>
  <si>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</si>
  <si>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</si>
  <si>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</si>
  <si>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</si>
  <si>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</si>
  <si>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</si>
  <si>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</si>
  <si>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</si>
  <si>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</si>
  <si>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</si>
  <si>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</si>
  <si>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</si>
  <si>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</si>
  <si>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</si>
  <si>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</si>
  <si>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</si>
  <si>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</si>
  <si>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</si>
  <si>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</si>
  <si>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</si>
  <si>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</si>
  <si>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</si>
  <si>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</si>
  <si>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</si>
  <si>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</si>
  <si>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</si>
  <si>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</si>
  <si>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</si>
  <si>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</si>
  <si>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</si>
  <si>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</si>
  <si>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</si>
  <si>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</si>
  <si>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</si>
  <si>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</si>
  <si>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</si>
  <si>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</si>
  <si>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</si>
  <si>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</si>
  <si>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</si>
  <si>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</si>
  <si>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</si>
  <si>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</si>
  <si>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</si>
  <si>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</si>
  <si>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</si>
  <si>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</si>
  <si>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</si>
  <si>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</si>
  <si>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</si>
  <si>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</si>
  <si>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</si>
  <si>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</si>
  <si>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</si>
  <si>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</si>
  <si>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</si>
  <si>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</si>
  <si>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</si>
  <si>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</si>
  <si>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</si>
  <si>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</si>
  <si>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</si>
  <si>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</si>
  <si>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</si>
  <si>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</si>
  <si>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</si>
  <si>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</si>
  <si>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</si>
  <si>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</si>
  <si>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</si>
  <si>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</si>
  <si>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</si>
  <si>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</si>
  <si>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</si>
  <si>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</si>
  <si>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</si>
  <si>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</si>
  <si>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</si>
  <si>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</si>
  <si>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</si>
  <si>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</si>
  <si>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</si>
  <si>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</si>
  <si>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</si>
  <si>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</si>
  <si>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</si>
  <si>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</si>
  <si>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</si>
  <si>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</si>
  <si>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</si>
  <si>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</si>
  <si>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</si>
  <si>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</si>
  <si>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</si>
  <si>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</si>
  <si>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</si>
  <si>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</si>
  <si>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</si>
  <si>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</si>
  <si>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</si>
  <si>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</si>
  <si>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</si>
  <si>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</si>
  <si>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</si>
  <si>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</si>
  <si>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</si>
  <si>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</si>
  <si>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</si>
  <si>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</si>
  <si>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</si>
  <si>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</si>
  <si>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</si>
  <si>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</si>
  <si>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</si>
  <si>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</si>
  <si>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</si>
  <si>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</si>
  <si>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</si>
  <si>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</si>
  <si>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</si>
  <si>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</si>
  <si>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</si>
  <si>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</si>
  <si>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</si>
  <si>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</si>
  <si>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</si>
  <si>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</si>
  <si>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</si>
  <si>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</si>
  <si>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</si>
  <si>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</si>
  <si>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</si>
  <si>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</si>
  <si>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</si>
  <si>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</si>
  <si>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</si>
  <si>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</si>
  <si>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</si>
  <si>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</si>
  <si>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</si>
  <si>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</si>
  <si>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</si>
  <si>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</si>
  <si>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</si>
  <si>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</si>
  <si>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</si>
  <si>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</si>
  <si>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</si>
  <si>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</si>
  <si>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</si>
  <si>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</si>
  <si>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</si>
  <si>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</si>
  <si>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</si>
  <si>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</si>
  <si>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</si>
  <si>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</si>
  <si>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</si>
  <si>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</si>
  <si>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</si>
  <si>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</si>
  <si>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</si>
  <si>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</si>
  <si>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</si>
  <si>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</si>
  <si>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</si>
  <si>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</si>
  <si>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</si>
  <si>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</si>
  <si>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Edited from Avista Response to Staff Data Request No. 130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</si>
  <si>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</si>
  <si>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</si>
  <si>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</si>
  <si>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</si>
  <si>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</si>
  <si>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</si>
  <si>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</si>
  <si>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</si>
  <si>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</si>
  <si>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</si>
  <si>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</si>
  <si>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</si>
  <si>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</si>
  <si>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</si>
  <si>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</si>
  <si>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[CRM-2, pg. 4, col. H, Lines 1-2]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</si>
  <si>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</si>
  <si>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</si>
  <si>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</si>
  <si>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</si>
  <si>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</si>
  <si>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</si>
  <si>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</si>
  <si>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</si>
  <si>
    <t>REVISED</t>
  </si>
  <si>
    <t>rate</t>
  </si>
  <si>
    <t>escalation</t>
  </si>
  <si>
    <t>Order 05</t>
  </si>
  <si>
    <t>Net Plant (rate)</t>
  </si>
  <si>
    <t>(chart below)</t>
  </si>
  <si>
    <t>Net Plant after DFIT (rate)</t>
  </si>
  <si>
    <t>(from "Net Plant" tab)</t>
  </si>
  <si>
    <t>Ratio</t>
  </si>
  <si>
    <t>(to adjust distribution Net Plant with an estimate for distribution DFIT)</t>
  </si>
  <si>
    <t>Distribution Net Plant</t>
  </si>
  <si>
    <t>(second chart below)</t>
  </si>
  <si>
    <t>Dist Net Plant after DFIT</t>
  </si>
  <si>
    <t>(after estimated DFIT)</t>
  </si>
  <si>
    <t>Adjusted Net Plant after DFIT</t>
  </si>
  <si>
    <t>(Total, after removal of distribution net plant after DFIT)</t>
  </si>
  <si>
    <t>annual 000</t>
  </si>
  <si>
    <t>(from "remove dist" tab)</t>
  </si>
  <si>
    <t>(Escalation)</t>
  </si>
  <si>
    <t>Column</t>
  </si>
  <si>
    <t>Cleared</t>
  </si>
  <si>
    <t>Revenue Growth (before PS update)</t>
  </si>
  <si>
    <t>OK</t>
  </si>
  <si>
    <t>PS</t>
  </si>
  <si>
    <t>OCT</t>
  </si>
  <si>
    <t>Update</t>
  </si>
  <si>
    <t>Includes PS Update</t>
  </si>
  <si>
    <r>
      <rPr>
        <b/>
        <i/>
        <u/>
        <sz val="11.5"/>
        <rFont val="Times New Roman"/>
        <family val="1"/>
      </rPr>
      <t>COMMISSION</t>
    </r>
    <r>
      <rPr>
        <sz val="10"/>
        <rFont val="Times New Roman"/>
        <family val="1"/>
      </rPr>
      <t xml:space="preserve"> Pro Forma 2016 revenue requirement</t>
    </r>
  </si>
  <si>
    <t>[derived from Order 05, Table A1]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</si>
</sst>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  <numFmt numFmtId="230" formatCode="0_);\(0\)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  <font>
      <sz val="12"/>
      <color rgb="FF000000"/>
      <name val="Calibri"/>
      <family val="2"/>
    </font>
    <font>
      <b/>
      <i/>
      <u/>
      <sz val="11.5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1" fillId="0" borderId="0" applyNumberFormat="0" applyFill="0" applyBorder="0" applyAlignment="0" applyProtection="0"/>
    <xf numFmtId="0" fontId="102" fillId="10" borderId="0" applyNumberFormat="0" applyBorder="0" applyAlignment="0" applyProtection="0"/>
    <xf numFmtId="0" fontId="103" fillId="11" borderId="0" applyNumberFormat="0" applyBorder="0" applyAlignment="0" applyProtection="0"/>
    <xf numFmtId="0" fontId="104" fillId="12" borderId="0" applyNumberFormat="0" applyBorder="0" applyAlignment="0" applyProtection="0"/>
    <xf numFmtId="0" fontId="105" fillId="13" borderId="30" applyNumberFormat="0" applyAlignment="0" applyProtection="0"/>
    <xf numFmtId="0" fontId="106" fillId="14" borderId="31" applyNumberFormat="0" applyAlignment="0" applyProtection="0"/>
    <xf numFmtId="0" fontId="107" fillId="14" borderId="30" applyNumberFormat="0" applyAlignment="0" applyProtection="0"/>
    <xf numFmtId="0" fontId="108" fillId="0" borderId="32" applyNumberFormat="0" applyFill="0" applyAlignment="0" applyProtection="0"/>
    <xf numFmtId="0" fontId="109" fillId="15" borderId="33" applyNumberFormat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5" applyNumberFormat="0" applyFill="0" applyAlignment="0" applyProtection="0"/>
    <xf numFmtId="0" fontId="11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3" fillId="36" borderId="0" applyNumberFormat="0" applyBorder="0" applyAlignment="0" applyProtection="0"/>
    <xf numFmtId="0" fontId="11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3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4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6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0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1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2" fillId="0" borderId="0" applyBorder="0">
      <alignment horizontal="centerContinuous"/>
    </xf>
    <xf numFmtId="0" fontId="123" fillId="0" borderId="0" applyBorder="0">
      <alignment horizontal="centerContinuous"/>
    </xf>
    <xf numFmtId="0" fontId="124" fillId="43" borderId="0">
      <alignment horizontal="right"/>
    </xf>
    <xf numFmtId="0" fontId="123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5" fillId="44" borderId="0">
      <alignment horizontal="left"/>
    </xf>
    <xf numFmtId="0" fontId="126" fillId="44" borderId="0">
      <alignment horizontal="right"/>
    </xf>
    <xf numFmtId="0" fontId="126" fillId="44" borderId="0">
      <alignment horizontal="center"/>
    </xf>
    <xf numFmtId="0" fontId="126" fillId="44" borderId="0">
      <alignment horizontal="right"/>
    </xf>
    <xf numFmtId="0" fontId="127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5" fillId="44" borderId="0">
      <alignment horizontal="left"/>
    </xf>
    <xf numFmtId="0" fontId="125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5" fillId="44" borderId="0">
      <alignment horizontal="center"/>
    </xf>
    <xf numFmtId="49" fontId="129" fillId="44" borderId="0">
      <alignment horizontal="center"/>
    </xf>
    <xf numFmtId="0" fontId="126" fillId="44" borderId="0">
      <alignment horizontal="center"/>
    </xf>
    <xf numFmtId="0" fontId="126" fillId="44" borderId="0">
      <alignment horizontal="centerContinuous"/>
    </xf>
    <xf numFmtId="0" fontId="130" fillId="44" borderId="0">
      <alignment horizontal="left"/>
    </xf>
    <xf numFmtId="49" fontId="130" fillId="44" borderId="0">
      <alignment horizontal="center"/>
    </xf>
    <xf numFmtId="0" fontId="125" fillId="44" borderId="0">
      <alignment horizontal="left"/>
    </xf>
    <xf numFmtId="49" fontId="130" fillId="44" borderId="0">
      <alignment horizontal="left"/>
    </xf>
    <xf numFmtId="0" fontId="125" fillId="44" borderId="0">
      <alignment horizontal="centerContinuous"/>
    </xf>
    <xf numFmtId="0" fontId="125" fillId="44" borderId="0">
      <alignment horizontal="right"/>
    </xf>
    <xf numFmtId="49" fontId="125" fillId="44" borderId="0">
      <alignment horizontal="left"/>
    </xf>
    <xf numFmtId="0" fontId="126" fillId="44" borderId="0">
      <alignment horizontal="right"/>
    </xf>
    <xf numFmtId="0" fontId="130" fillId="45" borderId="0">
      <alignment horizontal="center"/>
    </xf>
    <xf numFmtId="0" fontId="131" fillId="45" borderId="0">
      <alignment horizontal="center"/>
    </xf>
    <xf numFmtId="0" fontId="132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56" borderId="0" applyNumberFormat="0" applyBorder="0" applyAlignment="0" applyProtection="0"/>
    <xf numFmtId="0" fontId="133" fillId="56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33" fillId="53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54" borderId="0" applyNumberFormat="0" applyBorder="0" applyAlignment="0" applyProtection="0"/>
    <xf numFmtId="0" fontId="133" fillId="54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33" fillId="58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59" borderId="0" applyNumberFormat="0" applyBorder="0" applyAlignment="0" applyProtection="0"/>
    <xf numFmtId="0" fontId="133" fillId="59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60" borderId="0" applyNumberFormat="0" applyBorder="0" applyAlignment="0" applyProtection="0"/>
    <xf numFmtId="0" fontId="133" fillId="60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61" borderId="0" applyNumberFormat="0" applyBorder="0" applyAlignment="0" applyProtection="0"/>
    <xf numFmtId="0" fontId="133" fillId="61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62" borderId="0" applyNumberFormat="0" applyBorder="0" applyAlignment="0" applyProtection="0"/>
    <xf numFmtId="0" fontId="133" fillId="62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33" fillId="58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33" fillId="63" borderId="0" applyNumberFormat="0" applyBorder="0" applyAlignment="0" applyProtection="0"/>
    <xf numFmtId="189" fontId="134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35" fillId="11" borderId="0" applyNumberFormat="0" applyBorder="0" applyAlignment="0" applyProtection="0"/>
    <xf numFmtId="0" fontId="136" fillId="47" borderId="0" applyNumberFormat="0" applyBorder="0" applyAlignment="0" applyProtection="0"/>
    <xf numFmtId="0" fontId="38" fillId="0" borderId="0" applyFill="0" applyBorder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65" borderId="30" applyNumberFormat="0" applyAlignment="0" applyProtection="0"/>
    <xf numFmtId="0" fontId="137" fillId="65" borderId="38" applyNumberFormat="0" applyAlignment="0" applyProtection="0"/>
    <xf numFmtId="0" fontId="138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8" fillId="0" borderId="0" applyFill="0" applyBorder="0" applyProtection="0">
      <alignment horizontal="center" vertical="center"/>
    </xf>
    <xf numFmtId="0" fontId="109" fillId="15" borderId="33" applyNumberFormat="0" applyAlignment="0" applyProtection="0"/>
    <xf numFmtId="0" fontId="109" fillId="15" borderId="33" applyNumberFormat="0" applyAlignment="0" applyProtection="0"/>
    <xf numFmtId="0" fontId="109" fillId="15" borderId="33" applyNumberFormat="0" applyAlignment="0" applyProtection="0"/>
    <xf numFmtId="0" fontId="139" fillId="66" borderId="39" applyNumberFormat="0" applyAlignment="0" applyProtection="0"/>
    <xf numFmtId="0" fontId="140" fillId="0" borderId="13">
      <alignment horizontal="center"/>
    </xf>
    <xf numFmtId="190" fontId="141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2" fillId="0" borderId="0" applyFont="0" applyFill="0" applyBorder="0" applyAlignment="0" applyProtection="0"/>
    <xf numFmtId="193" fontId="1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5" fillId="0" borderId="0" applyFill="0" applyBorder="0" applyAlignment="0" applyProtection="0"/>
    <xf numFmtId="0" fontId="117" fillId="0" borderId="0" applyFill="0" applyBorder="0" applyAlignment="0" applyProtection="0">
      <protection locked="0"/>
    </xf>
    <xf numFmtId="0" fontId="145" fillId="0" borderId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6" fillId="0" borderId="0" applyFont="0" applyFill="0" applyBorder="0" applyAlignment="0" applyProtection="0"/>
    <xf numFmtId="189" fontId="147" fillId="0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00" fontId="149" fillId="0" borderId="0"/>
    <xf numFmtId="201" fontId="149" fillId="0" borderId="0"/>
    <xf numFmtId="166" fontId="149" fillId="0" borderId="0"/>
    <xf numFmtId="201" fontId="149" fillId="0" borderId="0"/>
    <xf numFmtId="202" fontId="149" fillId="0" borderId="0"/>
    <xf numFmtId="202" fontId="149" fillId="0" borderId="0"/>
    <xf numFmtId="200" fontId="149" fillId="0" borderId="0"/>
    <xf numFmtId="203" fontId="149" fillId="0" borderId="0"/>
    <xf numFmtId="204" fontId="149" fillId="0" borderId="0"/>
    <xf numFmtId="205" fontId="149" fillId="0" borderId="0"/>
    <xf numFmtId="206" fontId="149" fillId="0" borderId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50" fillId="48" borderId="0" applyNumberFormat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51" fillId="0" borderId="40" applyNumberFormat="0" applyFill="0" applyAlignment="0" applyProtection="0"/>
    <xf numFmtId="0" fontId="152" fillId="0" borderId="40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53" fillId="0" borderId="28" applyNumberFormat="0" applyFill="0" applyAlignment="0" applyProtection="0"/>
    <xf numFmtId="0" fontId="154" fillId="0" borderId="4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55" fillId="0" borderId="42" applyNumberFormat="0" applyFill="0" applyAlignment="0" applyProtection="0"/>
    <xf numFmtId="0" fontId="156" fillId="0" borderId="42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7" fillId="43" borderId="0" applyNumberFormat="0" applyBorder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58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59" fillId="0" borderId="43" applyNumberFormat="0" applyFill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60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19" fillId="0" borderId="0"/>
    <xf numFmtId="0" fontId="119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65" borderId="31" applyNumberFormat="0" applyAlignment="0" applyProtection="0"/>
    <xf numFmtId="0" fontId="162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2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2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2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2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4" fillId="64" borderId="0" applyNumberFormat="0" applyBorder="0" applyAlignment="0" applyProtection="0"/>
    <xf numFmtId="0" fontId="163" fillId="0" borderId="0">
      <alignment horizontal="right"/>
    </xf>
    <xf numFmtId="0" fontId="164" fillId="0" borderId="0">
      <alignment horizontal="right"/>
    </xf>
    <xf numFmtId="0" fontId="149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49" fillId="0" borderId="0"/>
    <xf numFmtId="189" fontId="63" fillId="0" borderId="0" applyNumberFormat="0" applyBorder="0" applyAlignment="0"/>
    <xf numFmtId="0" fontId="166" fillId="0" borderId="0"/>
    <xf numFmtId="0" fontId="167" fillId="0" borderId="0" applyNumberFormat="0" applyBorder="0" applyAlignment="0"/>
    <xf numFmtId="0" fontId="167" fillId="0" borderId="0" applyNumberFormat="0" applyBorder="0" applyAlignment="0"/>
    <xf numFmtId="0" fontId="166" fillId="0" borderId="0"/>
    <xf numFmtId="0" fontId="168" fillId="0" borderId="0"/>
    <xf numFmtId="189" fontId="169" fillId="0" borderId="0"/>
    <xf numFmtId="0" fontId="170" fillId="0" borderId="0"/>
    <xf numFmtId="0" fontId="171" fillId="0" borderId="0" applyNumberFormat="0" applyBorder="0" applyAlignment="0"/>
    <xf numFmtId="0" fontId="171" fillId="0" borderId="0" applyNumberFormat="0" applyBorder="0" applyAlignment="0"/>
    <xf numFmtId="0" fontId="170" fillId="0" borderId="0"/>
    <xf numFmtId="0" fontId="172" fillId="0" borderId="0" applyNumberFormat="0" applyBorder="0" applyAlignment="0"/>
    <xf numFmtId="0" fontId="173" fillId="0" borderId="0"/>
    <xf numFmtId="189" fontId="174" fillId="0" borderId="0"/>
    <xf numFmtId="0" fontId="175" fillId="0" borderId="0"/>
    <xf numFmtId="0" fontId="171" fillId="69" borderId="0" applyNumberFormat="0" applyBorder="0" applyAlignment="0"/>
    <xf numFmtId="0" fontId="176" fillId="0" borderId="0"/>
    <xf numFmtId="0" fontId="177" fillId="0" borderId="0"/>
    <xf numFmtId="0" fontId="178" fillId="0" borderId="0"/>
    <xf numFmtId="0" fontId="177" fillId="70" borderId="0"/>
    <xf numFmtId="0" fontId="98" fillId="0" borderId="0" applyNumberFormat="0" applyFill="0" applyBorder="0" applyAlignment="0" applyProtection="0"/>
    <xf numFmtId="0" fontId="179" fillId="71" borderId="46" applyNumberFormat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9" fillId="71" borderId="47">
      <alignment horizontal="left"/>
    </xf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1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1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7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2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2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7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9" fillId="68" borderId="44" applyNumberFormat="0" applyFont="0" applyAlignment="0" applyProtection="0"/>
    <xf numFmtId="0" fontId="112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73" fillId="0" borderId="0" applyFont="0" applyFill="0" applyBorder="0" applyAlignment="0" applyProtection="0"/>
    <xf numFmtId="0" fontId="112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2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9" fontId="73" fillId="0" borderId="0" applyFont="0" applyFill="0" applyBorder="0" applyAlignment="0" applyProtection="0"/>
    <xf numFmtId="0" fontId="162" fillId="65" borderId="45" applyNumberFormat="0" applyAlignment="0" applyProtection="0"/>
    <xf numFmtId="0" fontId="112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8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2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7" fillId="65" borderId="38" applyNumberFormat="0" applyAlignment="0" applyProtection="0"/>
    <xf numFmtId="0" fontId="182" fillId="0" borderId="48" applyNumberFormat="0" applyFill="0" applyAlignment="0" applyProtection="0"/>
    <xf numFmtId="0" fontId="182" fillId="0" borderId="48" applyNumberFormat="0" applyFill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62" fillId="65" borderId="45" applyNumberFormat="0" applyAlignment="0" applyProtection="0"/>
    <xf numFmtId="0" fontId="182" fillId="0" borderId="48" applyNumberFormat="0" applyFill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3" fillId="0" borderId="0"/>
    <xf numFmtId="0" fontId="73" fillId="0" borderId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4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5" fillId="0" borderId="0"/>
    <xf numFmtId="44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1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9" fillId="0" borderId="0"/>
    <xf numFmtId="0" fontId="19" fillId="0" borderId="0"/>
    <xf numFmtId="43" fontId="1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15" fillId="0" borderId="0"/>
    <xf numFmtId="0" fontId="19" fillId="0" borderId="0"/>
    <xf numFmtId="0" fontId="2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6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227" fontId="65" fillId="44" borderId="0" applyBorder="0">
      <alignment horizontal="right"/>
    </xf>
    <xf numFmtId="0" fontId="189" fillId="74" borderId="0" applyBorder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7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0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39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1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2" fillId="0" borderId="0" xfId="23" applyNumberFormat="1" applyFont="1" applyFill="1"/>
    <xf numFmtId="37" fontId="82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38" fillId="0" borderId="0" xfId="0" applyFont="1"/>
    <xf numFmtId="0" fontId="89" fillId="0" borderId="0" xfId="0" applyFont="1"/>
    <xf numFmtId="0" fontId="39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89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8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5" fillId="0" borderId="0" xfId="0" applyFont="1"/>
    <xf numFmtId="3" fontId="92" fillId="0" borderId="0" xfId="23" applyNumberFormat="1" applyFont="1" applyFill="1" applyBorder="1" applyAlignment="1">
      <alignment horizontal="center" wrapText="1"/>
    </xf>
    <xf numFmtId="0" fontId="78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7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0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79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6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0" fillId="0" borderId="0" xfId="3528" applyNumberFormat="1" applyFont="1" applyFill="1"/>
    <xf numFmtId="167" fontId="19" fillId="0" borderId="0" xfId="1166" applyNumberFormat="1">
      <alignment readingOrder="1"/>
    </xf>
    <xf numFmtId="0" fontId="79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8" fillId="0" borderId="0" xfId="0" applyNumberFormat="1" applyFont="1" applyFill="1"/>
    <xf numFmtId="37" fontId="50" fillId="0" borderId="0" xfId="0" applyNumberFormat="1" applyFont="1" applyFill="1"/>
    <xf numFmtId="37" fontId="118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1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0" fontId="53" fillId="0" borderId="0" xfId="0" applyFont="1"/>
    <xf numFmtId="3" fontId="190" fillId="0" borderId="0" xfId="41" applyNumberFormat="1" applyFont="1"/>
    <xf numFmtId="0" fontId="190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7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1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2" fillId="0" borderId="54" xfId="0" applyFont="1" applyFill="1" applyBorder="1" applyAlignment="1">
      <alignment horizontal="right" vertical="top"/>
    </xf>
    <xf numFmtId="0" fontId="192" fillId="0" borderId="61" xfId="0" applyFont="1" applyFill="1" applyBorder="1" applyAlignment="1">
      <alignment horizontal="right" vertical="top"/>
    </xf>
    <xf numFmtId="0" fontId="192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2" fillId="0" borderId="59" xfId="0" applyFont="1" applyFill="1" applyBorder="1" applyAlignment="1">
      <alignment horizontal="right" vertical="top"/>
    </xf>
    <xf numFmtId="0" fontId="192" fillId="0" borderId="62" xfId="0" applyFont="1" applyFill="1" applyBorder="1" applyAlignment="1">
      <alignment horizontal="right" vertical="top"/>
    </xf>
    <xf numFmtId="0" fontId="192" fillId="0" borderId="60" xfId="0" applyFont="1" applyFill="1" applyBorder="1" applyAlignment="1">
      <alignment horizontal="right" vertical="top"/>
    </xf>
    <xf numFmtId="0" fontId="191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2" fillId="0" borderId="53" xfId="0" applyFont="1" applyFill="1" applyBorder="1" applyAlignment="1">
      <alignment horizontal="right" vertical="top"/>
    </xf>
    <xf numFmtId="0" fontId="191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1" fillId="0" borderId="64" xfId="0" applyFont="1" applyFill="1" applyBorder="1" applyAlignment="1">
      <alignment horizontal="left" vertical="top"/>
    </xf>
    <xf numFmtId="0" fontId="191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7" fillId="0" borderId="0" xfId="41" applyNumberFormat="1" applyFont="1" applyFill="1"/>
    <xf numFmtId="10" fontId="91" fillId="0" borderId="0" xfId="0" applyNumberFormat="1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3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3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4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5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89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3" fontId="78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3" fillId="76" borderId="0" xfId="23" applyNumberFormat="1" applyFont="1" applyFill="1"/>
    <xf numFmtId="228" fontId="19" fillId="76" borderId="0" xfId="1227" applyNumberFormat="1" applyFill="1"/>
    <xf numFmtId="0" fontId="193" fillId="76" borderId="0" xfId="23" applyFont="1" applyFill="1"/>
    <xf numFmtId="0" fontId="193" fillId="76" borderId="0" xfId="23" applyFont="1" applyFill="1" applyAlignment="1">
      <alignment horizontal="center"/>
    </xf>
    <xf numFmtId="0" fontId="196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3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3" fillId="76" borderId="20" xfId="23" applyNumberFormat="1" applyFont="1" applyFill="1" applyBorder="1"/>
    <xf numFmtId="0" fontId="194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1" fillId="0" borderId="23" xfId="0" applyNumberFormat="1" applyFont="1" applyFill="1" applyBorder="1"/>
    <xf numFmtId="10" fontId="91" fillId="0" borderId="25" xfId="0" applyNumberFormat="1" applyFont="1" applyFill="1" applyBorder="1"/>
    <xf numFmtId="10" fontId="91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10" fontId="38" fillId="0" borderId="1" xfId="0" applyNumberFormat="1" applyFont="1" applyBorder="1"/>
    <xf numFmtId="0" fontId="94" fillId="0" borderId="36" xfId="0" applyFont="1" applyBorder="1" applyAlignment="1"/>
    <xf numFmtId="0" fontId="94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7" fillId="0" borderId="36" xfId="0" applyFont="1" applyFill="1" applyBorder="1"/>
    <xf numFmtId="0" fontId="197" fillId="0" borderId="67" xfId="0" applyFont="1" applyFill="1" applyBorder="1" applyAlignment="1">
      <alignment horizontal="center"/>
    </xf>
    <xf numFmtId="0" fontId="197" fillId="0" borderId="36" xfId="0" applyFont="1" applyFill="1" applyBorder="1" applyAlignment="1">
      <alignment horizontal="center"/>
    </xf>
    <xf numFmtId="0" fontId="197" fillId="0" borderId="36" xfId="0" applyFont="1" applyBorder="1" applyAlignment="1">
      <alignment horizontal="center"/>
    </xf>
    <xf numFmtId="0" fontId="198" fillId="0" borderId="36" xfId="0" applyFont="1" applyFill="1" applyBorder="1" applyAlignment="1">
      <alignment horizontal="center" wrapText="1"/>
    </xf>
    <xf numFmtId="0" fontId="198" fillId="0" borderId="36" xfId="0" applyFont="1" applyFill="1" applyBorder="1" applyAlignment="1">
      <alignment horizontal="center"/>
    </xf>
    <xf numFmtId="5" fontId="197" fillId="0" borderId="36" xfId="0" applyNumberFormat="1" applyFont="1" applyFill="1" applyBorder="1" applyAlignment="1">
      <alignment horizontal="center"/>
    </xf>
    <xf numFmtId="0" fontId="197" fillId="0" borderId="67" xfId="0" applyFont="1" applyBorder="1" applyAlignment="1">
      <alignment horizontal="center"/>
    </xf>
    <xf numFmtId="0" fontId="197" fillId="0" borderId="68" xfId="0" applyFont="1" applyBorder="1" applyAlignment="1">
      <alignment horizontal="center"/>
    </xf>
    <xf numFmtId="168" fontId="34" fillId="0" borderId="69" xfId="10" applyNumberFormat="1" applyFont="1" applyFill="1" applyBorder="1"/>
    <xf numFmtId="10" fontId="34" fillId="0" borderId="18" xfId="42" applyNumberFormat="1" applyFont="1" applyFill="1" applyBorder="1" applyAlignment="1">
      <alignment horizontal="center"/>
    </xf>
    <xf numFmtId="168" fontId="60" fillId="0" borderId="20" xfId="10" applyNumberFormat="1" applyFont="1" applyFill="1" applyBorder="1"/>
    <xf numFmtId="10" fontId="34" fillId="0" borderId="52" xfId="42" applyNumberFormat="1" applyFont="1" applyFill="1" applyBorder="1" applyAlignment="1">
      <alignment horizontal="center"/>
    </xf>
    <xf numFmtId="0" fontId="19" fillId="0" borderId="1" xfId="1227" applyBorder="1"/>
    <xf numFmtId="0" fontId="26" fillId="8" borderId="0" xfId="1227" applyFont="1" applyFill="1"/>
    <xf numFmtId="10" fontId="19" fillId="0" borderId="0" xfId="1227" applyNumberFormat="1"/>
    <xf numFmtId="10" fontId="26" fillId="77" borderId="0" xfId="42" applyNumberFormat="1" applyFont="1" applyFill="1"/>
    <xf numFmtId="10" fontId="34" fillId="77" borderId="52" xfId="42" applyNumberFormat="1" applyFont="1" applyFill="1" applyBorder="1" applyAlignment="1">
      <alignment horizontal="center"/>
    </xf>
    <xf numFmtId="1" fontId="0" fillId="0" borderId="0" xfId="0" applyNumberFormat="1"/>
    <xf numFmtId="230" fontId="0" fillId="0" borderId="0" xfId="0" applyNumberFormat="1"/>
    <xf numFmtId="10" fontId="26" fillId="0" borderId="0" xfId="42" applyNumberFormat="1" applyFont="1" applyFill="1"/>
    <xf numFmtId="10" fontId="0" fillId="0" borderId="0" xfId="42" applyNumberFormat="1" applyFont="1"/>
    <xf numFmtId="10" fontId="26" fillId="77" borderId="52" xfId="42" applyNumberFormat="1" applyFont="1" applyFill="1" applyBorder="1"/>
    <xf numFmtId="3" fontId="34" fillId="77" borderId="1" xfId="1" applyNumberFormat="1" applyFont="1" applyFill="1" applyBorder="1" applyAlignment="1">
      <alignment horizontal="center" vertical="center" wrapText="1"/>
    </xf>
    <xf numFmtId="3" fontId="34" fillId="77" borderId="0" xfId="23" applyNumberFormat="1" applyFont="1" applyFill="1" applyBorder="1" applyAlignment="1">
      <alignment horizontal="center" vertical="center" wrapText="1"/>
    </xf>
    <xf numFmtId="168" fontId="34" fillId="78" borderId="0" xfId="10" applyNumberFormat="1" applyFont="1" applyFill="1" applyBorder="1"/>
    <xf numFmtId="168" fontId="34" fillId="78" borderId="1" xfId="10" applyNumberFormat="1" applyFont="1" applyFill="1" applyBorder="1"/>
    <xf numFmtId="168" fontId="34" fillId="78" borderId="0" xfId="10" applyNumberFormat="1" applyFont="1" applyFill="1"/>
    <xf numFmtId="168" fontId="34" fillId="78" borderId="0" xfId="10" applyNumberFormat="1" applyFont="1" applyFill="1" applyAlignment="1">
      <alignment horizontal="center"/>
    </xf>
    <xf numFmtId="168" fontId="34" fillId="78" borderId="0" xfId="10" applyNumberFormat="1" applyFont="1" applyFill="1" applyBorder="1" applyAlignment="1">
      <alignment horizontal="center"/>
    </xf>
    <xf numFmtId="168" fontId="34" fillId="78" borderId="52" xfId="10" applyNumberFormat="1" applyFont="1" applyFill="1" applyBorder="1"/>
    <xf numFmtId="168" fontId="34" fillId="78" borderId="9" xfId="10" applyNumberFormat="1" applyFont="1" applyFill="1" applyBorder="1"/>
    <xf numFmtId="168" fontId="34" fillId="78" borderId="0" xfId="11" applyNumberFormat="1" applyFont="1" applyFill="1" applyBorder="1"/>
    <xf numFmtId="168" fontId="34" fillId="78" borderId="69" xfId="11" applyNumberFormat="1" applyFont="1" applyFill="1" applyBorder="1"/>
    <xf numFmtId="168" fontId="34" fillId="78" borderId="11" xfId="10" applyNumberFormat="1" applyFont="1" applyFill="1" applyBorder="1"/>
    <xf numFmtId="10" fontId="34" fillId="78" borderId="0" xfId="42" applyNumberFormat="1" applyFont="1" applyFill="1" applyBorder="1" applyAlignment="1">
      <alignment horizontal="center"/>
    </xf>
    <xf numFmtId="168" fontId="34" fillId="78" borderId="12" xfId="10" applyNumberFormat="1" applyFont="1" applyFill="1" applyBorder="1"/>
    <xf numFmtId="0" fontId="34" fillId="78" borderId="0" xfId="23" applyFont="1" applyFill="1" applyBorder="1"/>
    <xf numFmtId="0" fontId="34" fillId="78" borderId="13" xfId="23" applyFont="1" applyFill="1" applyBorder="1"/>
    <xf numFmtId="5" fontId="38" fillId="79" borderId="1" xfId="0" applyNumberFormat="1" applyFont="1" applyFill="1" applyBorder="1"/>
    <xf numFmtId="166" fontId="198" fillId="77" borderId="67" xfId="1" applyNumberFormat="1" applyFont="1" applyFill="1" applyBorder="1" applyAlignment="1">
      <alignment horizontal="center"/>
    </xf>
    <xf numFmtId="5" fontId="39" fillId="0" borderId="52" xfId="0" applyNumberFormat="1" applyFont="1" applyFill="1" applyBorder="1"/>
    <xf numFmtId="0" fontId="19" fillId="0" borderId="0" xfId="23" applyAlignment="1">
      <alignment horizontal="center"/>
    </xf>
    <xf numFmtId="3" fontId="73" fillId="80" borderId="0" xfId="36" applyNumberFormat="1" applyFill="1"/>
    <xf numFmtId="168" fontId="34" fillId="80" borderId="0" xfId="10" applyNumberFormat="1" applyFont="1" applyFill="1" applyBorder="1"/>
    <xf numFmtId="3" fontId="34" fillId="0" borderId="0" xfId="1" applyNumberFormat="1" applyFont="1" applyFill="1"/>
    <xf numFmtId="3" fontId="200" fillId="0" borderId="0" xfId="0" applyNumberFormat="1" applyFont="1"/>
    <xf numFmtId="3" fontId="21" fillId="0" borderId="69" xfId="23" applyNumberFormat="1" applyFont="1" applyFill="1" applyBorder="1" applyAlignment="1">
      <alignment wrapText="1"/>
    </xf>
    <xf numFmtId="3" fontId="73" fillId="81" borderId="0" xfId="36" applyNumberFormat="1" applyFill="1"/>
    <xf numFmtId="3" fontId="19" fillId="81" borderId="0" xfId="23" applyNumberFormat="1" applyFill="1"/>
    <xf numFmtId="3" fontId="19" fillId="8" borderId="2" xfId="23" applyNumberFormat="1" applyFill="1" applyBorder="1"/>
    <xf numFmtId="164" fontId="19" fillId="81" borderId="0" xfId="23" applyNumberFormat="1" applyFill="1"/>
    <xf numFmtId="3" fontId="73" fillId="81" borderId="9" xfId="36" applyNumberFormat="1" applyFill="1" applyBorder="1"/>
    <xf numFmtId="3" fontId="19" fillId="0" borderId="0" xfId="23" applyNumberFormat="1" applyFont="1"/>
    <xf numFmtId="3" fontId="26" fillId="0" borderId="0" xfId="23" applyNumberFormat="1" applyFont="1" applyFill="1"/>
    <xf numFmtId="3" fontId="19" fillId="0" borderId="1" xfId="23" applyNumberFormat="1" applyFont="1" applyBorder="1"/>
    <xf numFmtId="3" fontId="19" fillId="0" borderId="0" xfId="23" applyNumberFormat="1" applyFont="1" applyFill="1" applyAlignment="1">
      <alignment wrapText="1"/>
    </xf>
    <xf numFmtId="3" fontId="193" fillId="0" borderId="0" xfId="23" applyNumberFormat="1" applyFont="1" applyFill="1"/>
    <xf numFmtId="3" fontId="193" fillId="0" borderId="1" xfId="23" applyNumberFormat="1" applyFont="1" applyFill="1" applyBorder="1"/>
    <xf numFmtId="3" fontId="19" fillId="0" borderId="1" xfId="23" applyNumberFormat="1" applyFont="1" applyFill="1" applyBorder="1"/>
    <xf numFmtId="0" fontId="19" fillId="0" borderId="0" xfId="23" applyNumberFormat="1" applyAlignment="1">
      <alignment horizontal="center"/>
    </xf>
    <xf numFmtId="3" fontId="19" fillId="0" borderId="0" xfId="23" applyNumberFormat="1" applyAlignment="1">
      <alignment horizontal="center"/>
    </xf>
    <xf numFmtId="3" fontId="19" fillId="0" borderId="1" xfId="23" applyNumberFormat="1" applyBorder="1" applyAlignment="1">
      <alignment horizontal="center"/>
    </xf>
    <xf numFmtId="3" fontId="19" fillId="77" borderId="0" xfId="23" applyNumberFormat="1" applyFill="1"/>
    <xf numFmtId="164" fontId="19" fillId="77" borderId="0" xfId="23" applyNumberFormat="1" applyFill="1"/>
    <xf numFmtId="164" fontId="19" fillId="8" borderId="0" xfId="23" applyNumberFormat="1" applyFill="1"/>
    <xf numFmtId="0" fontId="19" fillId="0" borderId="1" xfId="23" applyBorder="1" applyAlignment="1">
      <alignment horizontal="center"/>
    </xf>
    <xf numFmtId="5" fontId="38" fillId="77" borderId="0" xfId="0" applyNumberFormat="1" applyFont="1" applyFill="1" applyBorder="1"/>
    <xf numFmtId="0" fontId="197" fillId="77" borderId="36" xfId="0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199" fillId="8" borderId="49" xfId="0" applyFont="1" applyFill="1" applyBorder="1" applyAlignment="1">
      <alignment horizontal="center"/>
    </xf>
    <xf numFmtId="0" fontId="199" fillId="8" borderId="50" xfId="0" applyFont="1" applyFill="1" applyBorder="1" applyAlignment="1">
      <alignment horizontal="center"/>
    </xf>
    <xf numFmtId="0" fontId="199" fillId="8" borderId="51" xfId="0" applyFont="1" applyFill="1" applyBorder="1" applyAlignment="1">
      <alignment horizontal="center"/>
    </xf>
    <xf numFmtId="0" fontId="94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3" fillId="0" borderId="13" xfId="23" applyNumberFormat="1" applyFont="1" applyFill="1" applyBorder="1" applyAlignment="1">
      <alignment horizontal="center"/>
    </xf>
    <xf numFmtId="3" fontId="93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FF71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55592"/>
        <c:axId val="194692200"/>
      </c:scatterChart>
      <c:valAx>
        <c:axId val="19565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92200"/>
        <c:crosses val="autoZero"/>
        <c:crossBetween val="midCat"/>
      </c:valAx>
      <c:valAx>
        <c:axId val="19469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5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22920"/>
        <c:axId val="194198312"/>
      </c:scatterChart>
      <c:valAx>
        <c:axId val="193922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8312"/>
        <c:crosses val="autoZero"/>
        <c:crossBetween val="midCat"/>
      </c:valAx>
      <c:valAx>
        <c:axId val="194198312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22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18208"/>
        <c:axId val="214715576"/>
      </c:scatterChart>
      <c:valAx>
        <c:axId val="21301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715576"/>
        <c:crosses val="autoZero"/>
        <c:crossBetween val="midCat"/>
      </c:valAx>
      <c:valAx>
        <c:axId val="214715576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18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4024"/>
        <c:axId val="213157936"/>
      </c:lineChart>
      <c:catAx>
        <c:axId val="21310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57936"/>
        <c:crosses val="autoZero"/>
        <c:auto val="1"/>
        <c:lblAlgn val="ctr"/>
        <c:lblOffset val="100"/>
        <c:noMultiLvlLbl val="0"/>
      </c:catAx>
      <c:valAx>
        <c:axId val="2131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0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'[8]Remove Dist'!$A$2</c:f>
              <c:strCache>
                <c:ptCount val="1"/>
                <c:pt idx="0">
                  <c:v>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'[8]Remove Dist'!$B$1:$I$1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'[8]Remove Dist'!$B$2:$I$2</c:f>
              <c:numCache>
                <c:formatCode>General</c:formatCode>
                <c:ptCount val="8"/>
                <c:pt idx="0">
                  <c:v>1009868</c:v>
                </c:pt>
                <c:pt idx="1">
                  <c:v>1064749</c:v>
                </c:pt>
                <c:pt idx="2">
                  <c:v>1150959</c:v>
                </c:pt>
                <c:pt idx="3">
                  <c:v>1220889</c:v>
                </c:pt>
                <c:pt idx="4">
                  <c:v>1288304</c:v>
                </c:pt>
                <c:pt idx="5">
                  <c:v>1339779</c:v>
                </c:pt>
                <c:pt idx="6">
                  <c:v>1416364</c:v>
                </c:pt>
                <c:pt idx="7">
                  <c:v>1472270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99104"/>
        <c:axId val="136499496"/>
      </c:scatterChart>
      <c:valAx>
        <c:axId val="13649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99496"/>
        <c:crosses val="autoZero"/>
        <c:crossBetween val="midCat"/>
      </c:valAx>
      <c:valAx>
        <c:axId val="136499496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9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'[9]remove dist'!$A$36</c:f>
              <c:strCache>
                <c:ptCount val="1"/>
                <c:pt idx="0">
                  <c:v>Distribution Net Plant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'[9]remove dist'!$B$35:$I$35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'[9]remove dist'!$B$36:$I$36</c:f>
              <c:numCache>
                <c:formatCode>General</c:formatCode>
                <c:ptCount val="8"/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5576"/>
        <c:axId val="213235968"/>
      </c:scatterChart>
      <c:valAx>
        <c:axId val="213235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5968"/>
        <c:crosses val="autoZero"/>
        <c:crossBetween val="midCat"/>
      </c:valAx>
      <c:valAx>
        <c:axId val="2132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5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4792"/>
        <c:axId val="213234400"/>
      </c:scatterChart>
      <c:valAx>
        <c:axId val="21323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4400"/>
        <c:crosses val="autoZero"/>
        <c:crossBetween val="midCat"/>
      </c:valAx>
      <c:valAx>
        <c:axId val="213234400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5184"/>
        <c:axId val="213237144"/>
      </c:scatterChart>
      <c:valAx>
        <c:axId val="21323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7144"/>
        <c:crosses val="autoZero"/>
        <c:crossBetween val="midCat"/>
      </c:valAx>
      <c:valAx>
        <c:axId val="213237144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37928"/>
        <c:axId val="136500672"/>
      </c:scatterChart>
      <c:valAx>
        <c:axId val="213237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72"/>
        <c:crosses val="autoZero"/>
        <c:crossBetween val="midCat"/>
      </c:valAx>
      <c:valAx>
        <c:axId val="136500672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37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24032"/>
        <c:axId val="214624424"/>
      </c:scatterChart>
      <c:valAx>
        <c:axId val="21462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4424"/>
        <c:crosses val="autoZero"/>
        <c:crossBetween val="midCat"/>
      </c:valAx>
      <c:valAx>
        <c:axId val="21462442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25208"/>
        <c:axId val="214625600"/>
      </c:scatterChart>
      <c:valAx>
        <c:axId val="21462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5600"/>
        <c:crosses val="autoZero"/>
        <c:crossBetween val="midCat"/>
      </c:valAx>
      <c:valAx>
        <c:axId val="21462560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25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14</xdr:row>
      <xdr:rowOff>15240</xdr:rowOff>
    </xdr:from>
    <xdr:to>
      <xdr:col>6</xdr:col>
      <xdr:colOff>365760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697230</xdr:colOff>
      <xdr:row>37</xdr:row>
      <xdr:rowOff>34290</xdr:rowOff>
    </xdr:from>
    <xdr:to>
      <xdr:col>6</xdr:col>
      <xdr:colOff>339090</xdr:colOff>
      <xdr:row>53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259080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/Desktop/Avista%20Rev%20Req%2009Jan/UE-150204%20Kermode%20vs%20EMA-6%20(correct%20Power%20Suppl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cguire/Desktop/Avista%20Rev%20Req%2009Jan/Bench%20Request/Exhibit%20EMA-6%20Order%2005%20edits%20No%20Power%20Supp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ummary"/>
      <sheetName val="ROR"/>
      <sheetName val="Attrition 09.2014 to 2016"/>
      <sheetName val="PF Power Supply 09.2014 load"/>
      <sheetName val="Cost Trends"/>
      <sheetName val="Remove Dist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</row>
        <row r="2">
          <cell r="A2" t="str">
            <v>Net Plant</v>
          </cell>
          <cell r="B2">
            <v>1009868</v>
          </cell>
          <cell r="C2">
            <v>1064749</v>
          </cell>
          <cell r="D2">
            <v>1150959</v>
          </cell>
          <cell r="E2">
            <v>1220889</v>
          </cell>
          <cell r="F2">
            <v>1288304</v>
          </cell>
          <cell r="G2">
            <v>1339779</v>
          </cell>
          <cell r="H2">
            <v>1416364</v>
          </cell>
          <cell r="I2">
            <v>1472270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remove dis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5">
          <cell r="B35">
            <v>2007</v>
          </cell>
          <cell r="C35">
            <v>2008</v>
          </cell>
          <cell r="D35">
            <v>2009</v>
          </cell>
          <cell r="E35">
            <v>2010</v>
          </cell>
          <cell r="F35">
            <v>2011</v>
          </cell>
          <cell r="G35">
            <v>2012</v>
          </cell>
          <cell r="H35">
            <v>2013</v>
          </cell>
          <cell r="I35">
            <v>2014</v>
          </cell>
        </row>
        <row r="36">
          <cell r="A36" t="str">
            <v>Distribution Net Plant</v>
          </cell>
          <cell r="F36">
            <v>486981</v>
          </cell>
          <cell r="G36">
            <v>522324</v>
          </cell>
          <cell r="H36">
            <v>560439</v>
          </cell>
          <cell r="I36">
            <v>590073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view="pageBreakPreview" topLeftCell="A10" zoomScale="115" zoomScaleNormal="100" zoomScaleSheetLayoutView="115" workbookViewId="0">
      <selection activeCell="C17" sqref="C17"/>
    </sheetView>
  </sheetViews>
  <sheetFormatPr defaultRowHeight="13.2"/>
  <cols>
    <col min="1" max="1" width="7" customWidth="1"/>
    <col min="2" max="2" width="2.109375" customWidth="1"/>
    <col min="3" max="3" width="38.109375" customWidth="1"/>
    <col min="4" max="4" width="2.109375" customWidth="1"/>
    <col min="5" max="5" width="0.109375" hidden="1" customWidth="1"/>
    <col min="6" max="6" width="10.5546875" customWidth="1"/>
    <col min="7" max="7" width="13" customWidth="1"/>
    <col min="8" max="8" width="15.5546875" customWidth="1"/>
    <col min="9" max="9" width="22.44140625" style="829" customWidth="1"/>
    <col min="10" max="10" width="10.33203125" bestFit="1" customWidth="1"/>
    <col min="11" max="11" width="9.33203125" bestFit="1" customWidth="1"/>
  </cols>
  <sheetData>
    <row r="1" spans="1:9" s="535" customFormat="1" ht="14.4" thickBot="1">
      <c r="A1" s="904" t="s">
        <v>746</v>
      </c>
      <c r="B1" s="905"/>
      <c r="C1" s="905"/>
      <c r="D1" s="905"/>
      <c r="E1" s="905"/>
      <c r="F1" s="905"/>
      <c r="G1" s="905"/>
      <c r="H1" s="906"/>
      <c r="I1" s="827"/>
    </row>
    <row r="2" spans="1:9" s="535" customFormat="1" ht="13.8">
      <c r="A2" s="900" t="s">
        <v>720</v>
      </c>
      <c r="B2" s="900"/>
      <c r="C2" s="900"/>
      <c r="D2" s="900"/>
      <c r="E2" s="900"/>
      <c r="F2" s="900"/>
      <c r="G2" s="900"/>
      <c r="H2" s="900"/>
      <c r="I2" s="828"/>
    </row>
    <row r="3" spans="1:9" s="535" customFormat="1" ht="13.8">
      <c r="A3" s="900" t="s">
        <v>721</v>
      </c>
      <c r="B3" s="900"/>
      <c r="C3" s="900"/>
      <c r="D3" s="900"/>
      <c r="E3" s="900"/>
      <c r="F3" s="900"/>
      <c r="G3" s="900"/>
      <c r="H3" s="900"/>
      <c r="I3" s="828"/>
    </row>
    <row r="4" spans="1:9" s="535" customFormat="1" ht="13.8">
      <c r="A4" s="900" t="s">
        <v>473</v>
      </c>
      <c r="B4" s="900"/>
      <c r="C4" s="900"/>
      <c r="D4" s="900"/>
      <c r="E4" s="900"/>
      <c r="F4" s="900"/>
      <c r="G4" s="900"/>
      <c r="H4" s="900"/>
      <c r="I4" s="828"/>
    </row>
    <row r="5" spans="1:9" s="535" customFormat="1" ht="13.8">
      <c r="A5" s="900" t="s">
        <v>272</v>
      </c>
      <c r="B5" s="900"/>
      <c r="C5" s="900"/>
      <c r="D5" s="900"/>
      <c r="E5" s="900"/>
      <c r="F5" s="900"/>
      <c r="G5" s="900"/>
      <c r="H5" s="900"/>
      <c r="I5" s="828"/>
    </row>
    <row r="6" spans="1:9" s="535" customFormat="1" ht="13.8">
      <c r="A6" s="907" t="s">
        <v>604</v>
      </c>
      <c r="B6" s="907"/>
      <c r="C6" s="907"/>
      <c r="D6" s="907"/>
      <c r="E6" s="907"/>
      <c r="F6" s="907"/>
      <c r="G6" s="907"/>
      <c r="H6" s="907"/>
      <c r="I6" s="828"/>
    </row>
    <row r="7" spans="1:9" s="535" customFormat="1" ht="13.8">
      <c r="A7" s="900" t="s">
        <v>475</v>
      </c>
      <c r="B7" s="900"/>
      <c r="C7" s="900"/>
      <c r="D7" s="900"/>
      <c r="E7" s="900"/>
      <c r="F7" s="900"/>
      <c r="G7" s="900"/>
      <c r="H7" s="900"/>
      <c r="I7" s="828"/>
    </row>
    <row r="8" spans="1:9">
      <c r="A8" s="530"/>
      <c r="B8" s="530"/>
      <c r="C8" s="530"/>
      <c r="D8" s="530"/>
      <c r="E8" s="530"/>
      <c r="F8" s="530"/>
      <c r="G8" s="530"/>
      <c r="H8" s="530"/>
    </row>
    <row r="9" spans="1:9">
      <c r="A9" s="513"/>
      <c r="B9" s="513"/>
      <c r="C9" s="513"/>
      <c r="D9" s="513"/>
      <c r="E9" s="513"/>
      <c r="F9" s="530" t="s">
        <v>476</v>
      </c>
      <c r="G9" s="530" t="s">
        <v>477</v>
      </c>
      <c r="H9" s="530" t="s">
        <v>478</v>
      </c>
      <c r="I9" s="830"/>
    </row>
    <row r="10" spans="1:9" ht="13.2" customHeight="1">
      <c r="A10" s="902" t="s">
        <v>484</v>
      </c>
      <c r="B10" s="912"/>
      <c r="C10" s="911" t="s">
        <v>409</v>
      </c>
      <c r="D10" s="914"/>
      <c r="E10" s="469"/>
      <c r="F10" s="902" t="s">
        <v>728</v>
      </c>
      <c r="G10" s="902" t="s">
        <v>116</v>
      </c>
      <c r="H10" s="902" t="s">
        <v>740</v>
      </c>
      <c r="I10" s="908"/>
    </row>
    <row r="11" spans="1:9" ht="17.399999999999999" customHeight="1">
      <c r="A11" s="910"/>
      <c r="B11" s="913"/>
      <c r="C11" s="910"/>
      <c r="D11" s="913"/>
      <c r="E11" s="472"/>
      <c r="F11" s="910"/>
      <c r="G11" s="910"/>
      <c r="H11" s="903"/>
      <c r="I11" s="909"/>
    </row>
    <row r="12" spans="1:9">
      <c r="A12" s="467"/>
      <c r="B12" s="467"/>
      <c r="C12" s="467"/>
      <c r="D12" s="467"/>
      <c r="E12" s="467"/>
      <c r="F12" s="467"/>
      <c r="G12" s="467"/>
      <c r="H12" s="467"/>
      <c r="I12" s="831"/>
    </row>
    <row r="13" spans="1:9">
      <c r="A13" s="474">
        <v>1</v>
      </c>
      <c r="B13" s="467"/>
      <c r="C13" s="467" t="s">
        <v>742</v>
      </c>
      <c r="D13" s="467"/>
      <c r="E13" s="467"/>
      <c r="F13" s="514">
        <f>'Attrition 09.2014 to 2016'!T79</f>
        <v>1316034.4920933633</v>
      </c>
      <c r="G13" s="524">
        <v>1.013115</v>
      </c>
      <c r="H13" s="516">
        <f>F13/G13</f>
        <v>1298998.1315974626</v>
      </c>
      <c r="I13" s="831"/>
    </row>
    <row r="14" spans="1:9">
      <c r="A14" s="474"/>
      <c r="B14" s="467"/>
      <c r="C14" s="467"/>
      <c r="D14" s="467"/>
      <c r="E14" s="467"/>
      <c r="F14" s="514"/>
      <c r="G14" s="514"/>
      <c r="H14" s="514"/>
      <c r="I14" s="831"/>
    </row>
    <row r="15" spans="1:9">
      <c r="A15" s="474">
        <v>2</v>
      </c>
      <c r="B15" s="467"/>
      <c r="C15" s="467" t="s">
        <v>718</v>
      </c>
      <c r="D15" s="467"/>
      <c r="E15" s="467"/>
      <c r="F15" s="521"/>
      <c r="G15" s="515"/>
      <c r="H15" s="665">
        <f>ROR!F15</f>
        <v>7.2900000000000006E-2</v>
      </c>
      <c r="I15" s="831"/>
    </row>
    <row r="16" spans="1:9">
      <c r="A16" s="474"/>
      <c r="B16" s="467"/>
      <c r="C16" s="467"/>
      <c r="D16" s="467"/>
      <c r="E16" s="467"/>
      <c r="F16" s="515"/>
      <c r="G16" s="515"/>
      <c r="H16" s="515"/>
      <c r="I16" s="831"/>
    </row>
    <row r="17" spans="1:20">
      <c r="A17" s="474">
        <v>3</v>
      </c>
      <c r="B17" s="467"/>
      <c r="C17" s="823" t="s">
        <v>474</v>
      </c>
      <c r="D17" s="823"/>
      <c r="E17" s="823"/>
      <c r="F17" s="824"/>
      <c r="G17" s="517"/>
      <c r="H17" s="824">
        <f>ROUND(H13*H15,0)</f>
        <v>94697</v>
      </c>
      <c r="I17" s="832"/>
    </row>
    <row r="18" spans="1:20">
      <c r="A18" s="474"/>
      <c r="B18" s="467"/>
      <c r="C18" s="467"/>
      <c r="D18" s="467"/>
      <c r="E18" s="467"/>
      <c r="F18" s="514"/>
      <c r="G18" s="514"/>
      <c r="H18" s="514"/>
      <c r="I18" s="833"/>
    </row>
    <row r="19" spans="1:20">
      <c r="A19" s="474">
        <v>4</v>
      </c>
      <c r="B19" s="467"/>
      <c r="C19" s="467" t="s">
        <v>732</v>
      </c>
      <c r="D19" s="467"/>
      <c r="E19" s="467"/>
      <c r="F19" s="518">
        <f>'Attrition 09.2014 to 2016'!T54</f>
        <v>113688.40239192691</v>
      </c>
      <c r="G19" s="525">
        <f>G13</f>
        <v>1.013115</v>
      </c>
      <c r="H19" s="518">
        <f>F19/G19</f>
        <v>112216.68062552318</v>
      </c>
      <c r="I19" s="833"/>
    </row>
    <row r="20" spans="1:20" s="631" customFormat="1">
      <c r="A20" s="474"/>
      <c r="B20" s="467"/>
      <c r="C20" s="467"/>
      <c r="D20" s="467"/>
      <c r="E20" s="467"/>
      <c r="F20" s="518"/>
      <c r="G20" s="525"/>
      <c r="H20" s="518"/>
      <c r="I20" s="833"/>
    </row>
    <row r="21" spans="1:20" s="631" customFormat="1">
      <c r="A21" s="474">
        <v>5</v>
      </c>
      <c r="B21" s="467"/>
      <c r="C21" s="823" t="s">
        <v>729</v>
      </c>
      <c r="D21" s="806"/>
      <c r="E21" s="806"/>
      <c r="F21" s="806"/>
      <c r="G21" s="806"/>
      <c r="H21" s="826">
        <f>H19/H13</f>
        <v>8.6387099331330847E-2</v>
      </c>
      <c r="I21" s="832"/>
    </row>
    <row r="22" spans="1:20">
      <c r="A22" s="474"/>
      <c r="B22" s="467"/>
      <c r="C22" s="467"/>
      <c r="D22" s="467"/>
      <c r="E22" s="467"/>
      <c r="F22" s="467"/>
      <c r="G22" s="467"/>
      <c r="H22" s="467"/>
      <c r="I22" s="833"/>
    </row>
    <row r="23" spans="1:20">
      <c r="A23" s="474">
        <v>6</v>
      </c>
      <c r="B23" s="467"/>
      <c r="C23" s="467" t="s">
        <v>730</v>
      </c>
      <c r="D23" s="467"/>
      <c r="E23" s="467"/>
      <c r="F23" s="514"/>
      <c r="G23" s="514"/>
      <c r="H23" s="514">
        <f>H17-H19</f>
        <v>-17519.680625523179</v>
      </c>
      <c r="I23" s="834" t="s">
        <v>735</v>
      </c>
    </row>
    <row r="24" spans="1:20">
      <c r="A24" s="474"/>
      <c r="B24" s="467"/>
      <c r="C24" s="467"/>
      <c r="D24" s="467"/>
      <c r="E24" s="467"/>
      <c r="F24" s="467"/>
      <c r="G24" s="467"/>
      <c r="H24" s="467"/>
      <c r="I24" s="833"/>
      <c r="T24" s="236"/>
    </row>
    <row r="25" spans="1:20">
      <c r="A25" s="474">
        <v>7</v>
      </c>
      <c r="B25" s="467"/>
      <c r="C25" s="467" t="s">
        <v>719</v>
      </c>
      <c r="D25" s="467"/>
      <c r="E25" s="467"/>
      <c r="F25" s="519"/>
      <c r="G25" s="467"/>
      <c r="H25" s="519">
        <f>ROR!L24</f>
        <v>0.62017999999999995</v>
      </c>
      <c r="I25" s="833"/>
    </row>
    <row r="26" spans="1:20">
      <c r="A26" s="474"/>
      <c r="B26" s="467"/>
      <c r="C26" s="467"/>
      <c r="D26" s="467"/>
      <c r="E26" s="467"/>
      <c r="F26" s="526"/>
      <c r="G26" s="467"/>
      <c r="H26" s="467"/>
      <c r="I26" s="835"/>
      <c r="J26" s="529"/>
      <c r="K26" s="651"/>
      <c r="L26" s="652"/>
      <c r="M26" s="529"/>
    </row>
    <row r="27" spans="1:20">
      <c r="A27" s="474">
        <v>8</v>
      </c>
      <c r="B27" s="467"/>
      <c r="C27" s="823" t="s">
        <v>731</v>
      </c>
      <c r="D27" s="823"/>
      <c r="E27" s="823"/>
      <c r="F27" s="825"/>
      <c r="G27" s="517"/>
      <c r="H27" s="870">
        <f>ROUND(H23/H25,0)</f>
        <v>-28249</v>
      </c>
      <c r="I27" s="871" t="s">
        <v>772</v>
      </c>
      <c r="L27" s="653"/>
      <c r="M27" s="529"/>
    </row>
    <row r="28" spans="1:20">
      <c r="A28" s="474"/>
      <c r="B28" s="467"/>
      <c r="C28" s="467"/>
      <c r="D28" s="467"/>
      <c r="E28" s="467"/>
      <c r="F28" s="527"/>
      <c r="G28" s="518"/>
      <c r="H28" s="527"/>
      <c r="I28" s="836"/>
      <c r="J28" s="529"/>
      <c r="K28" s="529"/>
      <c r="L28" s="529"/>
      <c r="M28" s="529"/>
    </row>
    <row r="29" spans="1:20">
      <c r="A29" s="474">
        <v>9</v>
      </c>
      <c r="B29" s="520"/>
      <c r="C29" s="467" t="s">
        <v>741</v>
      </c>
      <c r="D29" s="467"/>
      <c r="E29" s="467"/>
      <c r="F29" s="518"/>
      <c r="G29" s="518"/>
      <c r="H29" s="518">
        <f>'Attrition 09.2014 to 2016'!N7+'Attrition 09.2014 to 2016'!N8</f>
        <v>499982</v>
      </c>
      <c r="I29" s="837" t="s">
        <v>737</v>
      </c>
      <c r="J29" s="529"/>
      <c r="K29" s="529"/>
      <c r="L29" s="529"/>
      <c r="M29" s="529"/>
    </row>
    <row r="30" spans="1:20" ht="13.8" thickBot="1">
      <c r="A30" s="522"/>
      <c r="B30" s="520"/>
      <c r="C30" s="467"/>
      <c r="D30" s="467"/>
      <c r="E30" s="467"/>
      <c r="F30" s="526"/>
      <c r="G30" s="467"/>
      <c r="H30" s="467"/>
      <c r="I30" s="833"/>
      <c r="J30" s="529"/>
      <c r="K30" s="529"/>
      <c r="L30" s="529"/>
      <c r="M30" s="529"/>
    </row>
    <row r="31" spans="1:20" s="631" customFormat="1" ht="13.8" thickBot="1">
      <c r="A31" s="474">
        <v>10</v>
      </c>
      <c r="C31" s="395" t="s">
        <v>733</v>
      </c>
      <c r="D31" s="806"/>
      <c r="E31" s="806"/>
      <c r="F31" s="806"/>
      <c r="G31" s="806"/>
      <c r="H31" s="872">
        <f>H29+H27</f>
        <v>471733</v>
      </c>
      <c r="I31" s="838" t="s">
        <v>734</v>
      </c>
    </row>
    <row r="32" spans="1:20">
      <c r="A32" s="631"/>
      <c r="B32" s="522"/>
      <c r="C32" s="522"/>
      <c r="D32" s="522"/>
      <c r="E32" s="522"/>
      <c r="F32" s="523"/>
      <c r="G32" s="522"/>
      <c r="H32" s="522"/>
      <c r="I32" s="833"/>
      <c r="J32" s="529"/>
      <c r="K32" s="529"/>
      <c r="L32" s="529"/>
      <c r="M32" s="529"/>
    </row>
    <row r="33" spans="1:13" s="631" customFormat="1">
      <c r="A33" s="474">
        <v>11</v>
      </c>
      <c r="C33" s="467" t="s">
        <v>736</v>
      </c>
      <c r="D33" s="467"/>
      <c r="E33" s="467"/>
      <c r="F33" s="528"/>
      <c r="G33" s="521"/>
      <c r="H33" s="567">
        <f>H27/H29</f>
        <v>-5.6500034001224046E-2</v>
      </c>
      <c r="I33" s="834"/>
      <c r="J33" s="529"/>
      <c r="K33" s="529"/>
      <c r="L33" s="529"/>
      <c r="M33" s="529"/>
    </row>
    <row r="34" spans="1:13">
      <c r="A34" s="474"/>
      <c r="F34" s="529"/>
      <c r="I34" s="834"/>
    </row>
    <row r="35" spans="1:13" ht="15.6">
      <c r="A35" s="474">
        <v>12</v>
      </c>
      <c r="C35" s="526" t="s">
        <v>773</v>
      </c>
      <c r="D35" s="529"/>
      <c r="E35" s="529"/>
      <c r="F35" s="529"/>
      <c r="G35" s="529"/>
      <c r="H35" s="898">
        <v>463534</v>
      </c>
      <c r="I35" s="899" t="s">
        <v>774</v>
      </c>
    </row>
    <row r="36" spans="1:13" s="631" customFormat="1" ht="13.8" thickBot="1">
      <c r="A36" s="474"/>
      <c r="C36" s="526"/>
      <c r="D36" s="529"/>
      <c r="E36" s="529"/>
      <c r="F36" s="529"/>
      <c r="G36" s="529"/>
      <c r="H36" s="518"/>
      <c r="I36" s="834"/>
    </row>
    <row r="37" spans="1:13" s="631" customFormat="1" ht="13.8" thickBot="1">
      <c r="A37" s="474">
        <v>13</v>
      </c>
      <c r="C37" s="395" t="s">
        <v>738</v>
      </c>
      <c r="D37" s="806"/>
      <c r="E37" s="806"/>
      <c r="F37" s="806"/>
      <c r="G37" s="806"/>
      <c r="H37" s="872">
        <f>H31-H35</f>
        <v>8199</v>
      </c>
      <c r="I37" s="839" t="s">
        <v>739</v>
      </c>
    </row>
    <row r="38" spans="1:13" ht="6" customHeight="1">
      <c r="B38" s="532"/>
      <c r="C38" s="901"/>
      <c r="D38" s="901"/>
      <c r="E38" s="901"/>
      <c r="F38" s="901"/>
      <c r="G38" s="901"/>
      <c r="H38" s="901"/>
      <c r="I38" s="901"/>
    </row>
    <row r="47" spans="1:13">
      <c r="A47" s="465"/>
      <c r="B47" s="465"/>
      <c r="C47" s="465"/>
      <c r="D47" s="465"/>
      <c r="E47" s="465"/>
      <c r="F47" s="465"/>
      <c r="G47" s="465"/>
      <c r="H47" s="465"/>
    </row>
    <row r="52" spans="20:20">
      <c r="T52" s="631" t="s">
        <v>695</v>
      </c>
    </row>
    <row r="98" spans="20:20">
      <c r="T98" s="802" t="s">
        <v>696</v>
      </c>
    </row>
    <row r="108" spans="20:20">
      <c r="T108" s="802" t="s">
        <v>696</v>
      </c>
    </row>
    <row r="154" spans="20:20">
      <c r="T154" s="802" t="s">
        <v>696</v>
      </c>
    </row>
    <row r="168" spans="20:20">
      <c r="T168" s="802" t="s">
        <v>696</v>
      </c>
    </row>
    <row r="188" spans="13:20">
      <c r="M188" s="802"/>
      <c r="N188" s="802"/>
      <c r="O188" s="802"/>
      <c r="P188" s="802"/>
      <c r="Q188" s="802"/>
      <c r="R188" s="802"/>
      <c r="S188" s="802"/>
      <c r="T188" s="802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90" zoomScaleNormal="100" zoomScaleSheetLayoutView="90" workbookViewId="0">
      <selection activeCell="H36" sqref="H36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5"/>
      <c r="I1" s="465"/>
      <c r="J1" s="465"/>
      <c r="K1" s="465"/>
      <c r="L1" s="466"/>
    </row>
    <row r="2" spans="1:12">
      <c r="A2" s="917"/>
      <c r="B2" s="917"/>
      <c r="C2" s="917"/>
      <c r="D2" s="917"/>
      <c r="E2" s="917"/>
      <c r="F2" s="917"/>
      <c r="G2" s="917"/>
      <c r="H2" s="914" t="s">
        <v>95</v>
      </c>
      <c r="I2" s="914"/>
      <c r="J2" s="914"/>
      <c r="K2" s="914"/>
      <c r="L2" s="914"/>
    </row>
    <row r="3" spans="1:12">
      <c r="A3" s="918" t="s">
        <v>689</v>
      </c>
      <c r="B3" s="918"/>
      <c r="C3" s="918"/>
      <c r="D3" s="918"/>
      <c r="E3" s="918"/>
      <c r="F3" s="918"/>
      <c r="G3" s="918"/>
      <c r="H3" s="914" t="s">
        <v>272</v>
      </c>
      <c r="I3" s="914"/>
      <c r="J3" s="914"/>
      <c r="K3" s="914"/>
      <c r="L3" s="914"/>
    </row>
    <row r="4" spans="1:12" ht="15.6">
      <c r="A4" s="917" t="s">
        <v>272</v>
      </c>
      <c r="B4" s="917"/>
      <c r="C4" s="917"/>
      <c r="D4" s="917"/>
      <c r="E4" s="917"/>
      <c r="F4" s="917"/>
      <c r="G4" s="917"/>
      <c r="H4" s="915" t="s">
        <v>604</v>
      </c>
      <c r="I4" s="916"/>
      <c r="J4" s="915"/>
      <c r="K4" s="915"/>
      <c r="L4" s="915"/>
    </row>
    <row r="5" spans="1:12" ht="15" thickBot="1">
      <c r="A5" s="917" t="s">
        <v>604</v>
      </c>
      <c r="B5" s="917"/>
      <c r="C5" s="917"/>
      <c r="D5" s="917"/>
      <c r="E5" s="917"/>
      <c r="F5" s="917"/>
      <c r="G5" s="917"/>
      <c r="H5" s="467"/>
      <c r="I5" s="467"/>
      <c r="J5" s="467"/>
      <c r="K5" s="467"/>
      <c r="L5" s="468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69" t="s">
        <v>408</v>
      </c>
      <c r="I6" s="469"/>
      <c r="J6" s="469"/>
      <c r="K6" s="469"/>
      <c r="L6" s="470"/>
    </row>
    <row r="7" spans="1:12">
      <c r="A7" s="213"/>
      <c r="B7" s="214"/>
      <c r="C7" s="214"/>
      <c r="D7" s="215"/>
      <c r="E7" s="216"/>
      <c r="F7" s="215"/>
      <c r="G7" s="217"/>
      <c r="H7" s="471" t="s">
        <v>90</v>
      </c>
      <c r="I7" s="469"/>
      <c r="J7" s="471" t="s">
        <v>409</v>
      </c>
      <c r="K7" s="472"/>
      <c r="L7" s="473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7"/>
      <c r="I8" s="467"/>
      <c r="J8" s="467"/>
      <c r="K8" s="467"/>
      <c r="L8" s="468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4">
        <v>1</v>
      </c>
      <c r="I9" s="467"/>
      <c r="J9" s="475" t="s">
        <v>411</v>
      </c>
      <c r="K9" s="467"/>
      <c r="L9" s="476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4"/>
      <c r="I10" s="467"/>
      <c r="J10" s="467"/>
      <c r="K10" s="467"/>
      <c r="L10" s="476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68">
        <f>ROUND(D11*E11,4)</f>
        <v>2.6800000000000001E-2</v>
      </c>
      <c r="G11" s="235"/>
      <c r="H11" s="474"/>
      <c r="I11" s="467"/>
      <c r="J11" s="477" t="s">
        <v>412</v>
      </c>
      <c r="K11" s="478"/>
      <c r="L11" s="476"/>
    </row>
    <row r="12" spans="1:12">
      <c r="A12" s="213"/>
      <c r="B12" s="218"/>
      <c r="C12" s="224"/>
      <c r="D12" s="222"/>
      <c r="E12" s="222"/>
      <c r="F12" s="222"/>
      <c r="G12" s="225"/>
      <c r="H12" s="474">
        <v>2</v>
      </c>
      <c r="I12" s="467"/>
      <c r="J12" s="478" t="s">
        <v>413</v>
      </c>
      <c r="K12" s="478"/>
      <c r="L12" s="478">
        <v>5.3530000000000001E-3</v>
      </c>
    </row>
    <row r="13" spans="1:12">
      <c r="A13" s="213"/>
      <c r="B13" s="218" t="s">
        <v>91</v>
      </c>
      <c r="C13" s="224"/>
      <c r="D13" s="768">
        <v>0.48499999999999999</v>
      </c>
      <c r="E13" s="768">
        <v>9.5000000000000001E-2</v>
      </c>
      <c r="F13" s="222">
        <f>ROUND(D13*E13,4)</f>
        <v>4.6100000000000002E-2</v>
      </c>
      <c r="G13" s="220"/>
      <c r="H13" s="474"/>
      <c r="I13" s="467"/>
      <c r="J13" s="478"/>
      <c r="K13" s="478"/>
      <c r="L13" s="478"/>
    </row>
    <row r="14" spans="1:12">
      <c r="A14" s="213"/>
      <c r="B14" s="218"/>
      <c r="C14" s="224"/>
      <c r="D14" s="226"/>
      <c r="E14" s="226"/>
      <c r="F14" s="222"/>
      <c r="G14" s="217"/>
      <c r="H14" s="474">
        <v>3</v>
      </c>
      <c r="I14" s="467"/>
      <c r="J14" s="478" t="s">
        <v>414</v>
      </c>
      <c r="K14" s="478"/>
      <c r="L14" s="478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4"/>
      <c r="I15" s="467"/>
      <c r="J15" s="478"/>
      <c r="K15" s="478"/>
      <c r="L15" s="478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4">
        <v>4</v>
      </c>
      <c r="I16" s="467"/>
      <c r="J16" s="478" t="s">
        <v>415</v>
      </c>
      <c r="K16" s="478"/>
      <c r="L16" s="478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4"/>
      <c r="I17" s="467"/>
      <c r="J17" s="478"/>
      <c r="K17" s="478"/>
      <c r="L17" s="478"/>
    </row>
    <row r="18" spans="1:21">
      <c r="A18" s="214"/>
      <c r="B18" s="218"/>
      <c r="C18" s="224"/>
      <c r="D18" s="222"/>
      <c r="E18" s="223"/>
      <c r="F18" s="222"/>
      <c r="G18" s="214"/>
      <c r="H18" s="474">
        <v>5</v>
      </c>
      <c r="I18" s="467"/>
      <c r="J18" s="478" t="s">
        <v>416</v>
      </c>
      <c r="K18" s="478"/>
      <c r="L18" s="479">
        <f>SUM(L12:L16)</f>
        <v>4.5879999999999997E-2</v>
      </c>
    </row>
    <row r="19" spans="1:21">
      <c r="H19" s="474"/>
      <c r="I19" s="467"/>
      <c r="J19" s="478"/>
      <c r="K19" s="478"/>
      <c r="L19" s="480"/>
    </row>
    <row r="20" spans="1:21">
      <c r="H20" s="474">
        <v>6</v>
      </c>
      <c r="I20" s="467"/>
      <c r="J20" s="478" t="s">
        <v>417</v>
      </c>
      <c r="K20" s="478"/>
      <c r="L20" s="480">
        <f>L9-L18</f>
        <v>0.95411999999999997</v>
      </c>
    </row>
    <row r="21" spans="1:21">
      <c r="H21" s="467"/>
      <c r="I21" s="467"/>
      <c r="J21" s="478"/>
      <c r="K21" s="478"/>
      <c r="L21" s="480"/>
      <c r="U21" s="558"/>
    </row>
    <row r="22" spans="1:21">
      <c r="H22" s="474">
        <v>7</v>
      </c>
      <c r="I22" s="467"/>
      <c r="J22" s="478" t="s">
        <v>418</v>
      </c>
      <c r="K22" s="481"/>
      <c r="L22" s="482">
        <f>ROUND(L20*0.35,6)</f>
        <v>0.33394200000000002</v>
      </c>
    </row>
    <row r="23" spans="1:21">
      <c r="H23" s="467"/>
      <c r="I23" s="467"/>
      <c r="J23" s="478"/>
      <c r="K23" s="478"/>
      <c r="L23" s="480"/>
    </row>
    <row r="24" spans="1:21" ht="15" thickBot="1">
      <c r="H24" s="474">
        <v>8</v>
      </c>
      <c r="I24" s="467"/>
      <c r="J24" s="477" t="s">
        <v>419</v>
      </c>
      <c r="K24" s="478"/>
      <c r="L24" s="772">
        <f>ROUND(L20-L22,5)</f>
        <v>0.62017999999999995</v>
      </c>
      <c r="M24" s="558"/>
    </row>
    <row r="25" spans="1:21" ht="15" thickTop="1"/>
    <row r="28" spans="1:21">
      <c r="A28" s="917" t="s">
        <v>117</v>
      </c>
      <c r="B28" s="917"/>
      <c r="C28" s="917"/>
      <c r="D28" s="917"/>
      <c r="E28" s="917"/>
      <c r="F28" s="917"/>
      <c r="G28" s="917"/>
    </row>
    <row r="29" spans="1:21">
      <c r="A29" s="919" t="s">
        <v>608</v>
      </c>
      <c r="B29" s="919"/>
      <c r="C29" s="919"/>
      <c r="D29" s="919"/>
      <c r="E29" s="919"/>
      <c r="F29" s="919"/>
      <c r="G29" s="919"/>
    </row>
    <row r="30" spans="1:21">
      <c r="A30" s="917" t="s">
        <v>272</v>
      </c>
      <c r="B30" s="917"/>
      <c r="C30" s="917"/>
      <c r="D30" s="917"/>
      <c r="E30" s="917"/>
      <c r="F30" s="917"/>
      <c r="G30" s="917"/>
    </row>
    <row r="31" spans="1:21" ht="15" thickBot="1">
      <c r="A31" s="917"/>
      <c r="B31" s="917"/>
      <c r="C31" s="917"/>
      <c r="D31" s="917"/>
      <c r="E31" s="917"/>
      <c r="F31" s="917"/>
      <c r="G31" s="917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88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5"/>
      <c r="I42" s="465"/>
      <c r="J42" s="465"/>
      <c r="K42" s="465"/>
      <c r="L42" s="466"/>
    </row>
    <row r="43" spans="1:21">
      <c r="A43" s="558"/>
      <c r="B43" s="558"/>
      <c r="C43" s="558"/>
      <c r="D43" s="558"/>
      <c r="E43" s="558"/>
      <c r="F43" s="558"/>
    </row>
    <row r="44" spans="1:21">
      <c r="A44" s="917"/>
      <c r="B44" s="917"/>
      <c r="C44" s="917"/>
      <c r="D44" s="917"/>
      <c r="E44" s="917"/>
      <c r="F44" s="917"/>
      <c r="G44" s="917"/>
    </row>
    <row r="48" spans="1:21">
      <c r="U48" s="185" t="s">
        <v>695</v>
      </c>
    </row>
    <row r="94" spans="21:21">
      <c r="U94" s="801" t="s">
        <v>696</v>
      </c>
    </row>
    <row r="104" spans="21:21">
      <c r="U104" s="801" t="s">
        <v>696</v>
      </c>
    </row>
    <row r="150" spans="21:21">
      <c r="U150" s="801" t="s">
        <v>696</v>
      </c>
    </row>
    <row r="164" spans="21:21">
      <c r="U164" s="801" t="s">
        <v>696</v>
      </c>
    </row>
    <row r="184" spans="14:21">
      <c r="N184" s="801"/>
      <c r="O184" s="801"/>
      <c r="P184" s="801"/>
      <c r="Q184" s="801"/>
      <c r="R184" s="801"/>
      <c r="S184" s="801"/>
      <c r="T184" s="801"/>
      <c r="U184" s="801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view="pageBreakPreview" zoomScale="80" zoomScaleNormal="100" zoomScaleSheetLayoutView="80" workbookViewId="0">
      <selection activeCell="V12" sqref="V12"/>
    </sheetView>
  </sheetViews>
  <sheetFormatPr defaultColWidth="12.44140625" defaultRowHeight="11.1" customHeight="1"/>
  <cols>
    <col min="1" max="1" width="6.109375" style="51" customWidth="1"/>
    <col min="2" max="2" width="2.44140625" style="51" customWidth="1"/>
    <col min="3" max="3" width="30.44140625" style="242" customWidth="1"/>
    <col min="4" max="4" width="1.33203125" style="48" customWidth="1"/>
    <col min="5" max="5" width="13" style="240" customWidth="1"/>
    <col min="6" max="6" width="11.88671875" style="184" customWidth="1"/>
    <col min="7" max="7" width="10.6640625" style="244" customWidth="1"/>
    <col min="8" max="8" width="13.44140625" style="244" bestFit="1" customWidth="1"/>
    <col min="9" max="9" width="12.5546875" style="245" customWidth="1"/>
    <col min="10" max="10" width="1.109375" style="245" customWidth="1"/>
    <col min="11" max="11" width="10" style="243" customWidth="1"/>
    <col min="12" max="12" width="0.88671875" style="243" customWidth="1"/>
    <col min="13" max="13" width="10.6640625" style="243" customWidth="1"/>
    <col min="14" max="14" width="12.44140625" style="242" customWidth="1"/>
    <col min="15" max="15" width="0.88671875" style="242" customWidth="1"/>
    <col min="16" max="16" width="12.6640625" style="51" customWidth="1"/>
    <col min="17" max="17" width="10.44140625" style="242" customWidth="1"/>
    <col min="18" max="19" width="13.44140625" style="242" customWidth="1"/>
    <col min="20" max="20" width="14.109375" style="242" customWidth="1"/>
    <col min="21" max="21" width="12.44140625" style="51"/>
    <col min="22" max="22" width="12.5546875" style="51" bestFit="1" customWidth="1"/>
    <col min="23" max="16384" width="12.44140625" style="51"/>
  </cols>
  <sheetData>
    <row r="1" spans="1:23" s="50" customFormat="1" ht="6" customHeight="1"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</row>
    <row r="2" spans="1:23" s="50" customFormat="1" ht="18" thickBot="1">
      <c r="A2" s="345" t="s">
        <v>96</v>
      </c>
      <c r="B2" s="927" t="s">
        <v>727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8"/>
      <c r="S2" s="928"/>
      <c r="T2" s="928"/>
    </row>
    <row r="3" spans="1:23" s="166" customFormat="1" ht="21" thickBot="1">
      <c r="B3" s="677"/>
      <c r="C3" s="662" t="s">
        <v>483</v>
      </c>
      <c r="D3" s="678"/>
      <c r="E3" s="921" t="s">
        <v>247</v>
      </c>
      <c r="F3" s="922"/>
      <c r="G3" s="922"/>
      <c r="H3" s="922"/>
      <c r="I3" s="923"/>
      <c r="J3" s="660"/>
      <c r="K3" s="661"/>
      <c r="L3" s="661"/>
      <c r="M3" s="662" t="s">
        <v>253</v>
      </c>
      <c r="N3" s="663"/>
      <c r="O3" s="664"/>
      <c r="P3" s="924" t="s">
        <v>688</v>
      </c>
      <c r="Q3" s="925"/>
      <c r="R3" s="929"/>
      <c r="S3" s="929"/>
      <c r="T3" s="767"/>
      <c r="W3" s="343"/>
    </row>
    <row r="4" spans="1:23" s="50" customFormat="1" ht="78" customHeight="1">
      <c r="A4" s="300" t="s">
        <v>246</v>
      </c>
      <c r="B4" s="52"/>
      <c r="C4" s="536" t="s">
        <v>4</v>
      </c>
      <c r="D4" s="338"/>
      <c r="E4" s="771" t="s">
        <v>605</v>
      </c>
      <c r="F4" s="773" t="s">
        <v>607</v>
      </c>
      <c r="G4" s="769" t="s">
        <v>722</v>
      </c>
      <c r="H4" s="773" t="s">
        <v>508</v>
      </c>
      <c r="I4" s="658" t="s">
        <v>678</v>
      </c>
      <c r="J4" s="658"/>
      <c r="K4" s="774" t="s">
        <v>421</v>
      </c>
      <c r="L4" s="658"/>
      <c r="M4" s="658" t="s">
        <v>578</v>
      </c>
      <c r="N4" s="659" t="s">
        <v>577</v>
      </c>
      <c r="O4" s="659"/>
      <c r="P4" s="770" t="s">
        <v>606</v>
      </c>
      <c r="Q4" s="770" t="s">
        <v>486</v>
      </c>
      <c r="R4" s="659" t="s">
        <v>677</v>
      </c>
      <c r="S4" s="854" t="s">
        <v>708</v>
      </c>
      <c r="T4" s="659" t="s">
        <v>743</v>
      </c>
      <c r="V4" s="878" t="s">
        <v>767</v>
      </c>
    </row>
    <row r="5" spans="1:23" ht="15.6">
      <c r="A5" s="51" t="s">
        <v>502</v>
      </c>
      <c r="B5" s="47"/>
      <c r="C5" s="47"/>
      <c r="D5" s="86"/>
      <c r="E5" s="340" t="s">
        <v>121</v>
      </c>
      <c r="F5" s="690" t="s">
        <v>122</v>
      </c>
      <c r="G5" s="690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744</v>
      </c>
      <c r="T5" s="341" t="s">
        <v>745</v>
      </c>
      <c r="V5" s="51" t="s">
        <v>289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875">
        <f>'incremental load expense'!E10</f>
        <v>6545.4046678869499</v>
      </c>
      <c r="R7" s="248"/>
      <c r="S7" s="860" t="s">
        <v>765</v>
      </c>
      <c r="T7" s="252">
        <f>I7+Q7</f>
        <v>505605.40466788696</v>
      </c>
      <c r="V7" s="204">
        <v>6545.4046678869499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875">
        <f>'incremental load expense'!E11</f>
        <v>12.092460032444531</v>
      </c>
      <c r="R8" s="248"/>
      <c r="S8" s="860" t="s">
        <v>766</v>
      </c>
      <c r="T8" s="252">
        <f>I8+Q8</f>
        <v>934.09246003244448</v>
      </c>
      <c r="V8" s="204">
        <v>12.092460032444531</v>
      </c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57325</v>
      </c>
      <c r="Q9" s="875">
        <f>'incremental load expense'!E12</f>
        <v>-2595</v>
      </c>
      <c r="R9" s="253"/>
      <c r="S9" s="857"/>
      <c r="T9" s="253">
        <f>I9+P9+Q9</f>
        <v>54730</v>
      </c>
      <c r="V9" s="204">
        <v>-2595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1">
        <f>SUM(E7:E9)</f>
        <v>550292</v>
      </c>
      <c r="F10" s="249">
        <f>F9+F8+F7</f>
        <v>-60998</v>
      </c>
      <c r="G10" s="453">
        <f>G9+G8+G7</f>
        <v>0</v>
      </c>
      <c r="H10" s="453">
        <f>H9+H8+H7</f>
        <v>10688</v>
      </c>
      <c r="I10" s="453">
        <f>I9+I8+I7</f>
        <v>499982</v>
      </c>
      <c r="J10" s="249"/>
      <c r="K10" s="251"/>
      <c r="L10" s="251"/>
      <c r="M10" s="252"/>
      <c r="N10" s="453">
        <f>N9+N8+N7</f>
        <v>499982</v>
      </c>
      <c r="O10" s="252"/>
      <c r="P10" s="252">
        <f>P7+P8+P9</f>
        <v>57325</v>
      </c>
      <c r="Q10" s="451">
        <f>Q7+Q8+Q9</f>
        <v>3962.4971279193942</v>
      </c>
      <c r="R10" s="252"/>
      <c r="S10" s="858"/>
      <c r="T10" s="252">
        <f>T7+T8+T9</f>
        <v>561269.49712791946</v>
      </c>
      <c r="V10" s="204">
        <v>3962.4971279193942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43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875">
        <f>'incremental load expense'!E14</f>
        <v>0</v>
      </c>
      <c r="R11" s="253"/>
      <c r="S11" s="857"/>
      <c r="T11" s="253">
        <f>I11+P11+Q11</f>
        <v>14008</v>
      </c>
      <c r="V11" s="204">
        <v>0</v>
      </c>
    </row>
    <row r="12" spans="1:23" ht="26.25" customHeight="1">
      <c r="A12" s="198">
        <v>6</v>
      </c>
      <c r="B12" s="204" t="s">
        <v>80</v>
      </c>
      <c r="C12" s="204"/>
      <c r="D12" s="90"/>
      <c r="E12" s="451">
        <f>E10+E11</f>
        <v>567455</v>
      </c>
      <c r="F12" s="248">
        <f>F11+F10</f>
        <v>-74682</v>
      </c>
      <c r="G12" s="451">
        <f>G11+G10</f>
        <v>0</v>
      </c>
      <c r="H12" s="451">
        <f>H11+H10</f>
        <v>10688</v>
      </c>
      <c r="I12" s="453">
        <f>I10+I11</f>
        <v>503461</v>
      </c>
      <c r="J12" s="249"/>
      <c r="K12" s="251"/>
      <c r="L12" s="251"/>
      <c r="M12" s="248"/>
      <c r="N12" s="453">
        <f>N10+N11</f>
        <v>503461</v>
      </c>
      <c r="O12" s="248"/>
      <c r="P12" s="248">
        <f>P11+P10</f>
        <v>67854</v>
      </c>
      <c r="Q12" s="451">
        <f>Q11+Q10</f>
        <v>3962.4971279193942</v>
      </c>
      <c r="R12" s="248"/>
      <c r="S12" s="856"/>
      <c r="T12" s="248">
        <f>T11+T10</f>
        <v>575277.49712791946</v>
      </c>
      <c r="V12" s="204">
        <v>3962.4971279193942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856"/>
      <c r="T13" s="252"/>
      <c r="V13" s="204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856"/>
      <c r="T14" s="252"/>
      <c r="V14" s="204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269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856"/>
      <c r="T15" s="252"/>
      <c r="V15" s="204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48">
        <f>'Adj Operating Exp'!H8</f>
        <v>6.4199999999999993E-2</v>
      </c>
      <c r="L16" s="259"/>
      <c r="M16" s="249">
        <f>K16*I16</f>
        <v>3263.3501999999999</v>
      </c>
      <c r="N16" s="252">
        <f>M16+I16</f>
        <v>54094.350200000001</v>
      </c>
      <c r="O16" s="252"/>
      <c r="P16" s="248">
        <f>ROUND('PF Power Supply 09.2014 load'!F35-P17,0)</f>
        <v>79305</v>
      </c>
      <c r="Q16" s="875">
        <f>'incremental load expense'!E19</f>
        <v>0</v>
      </c>
      <c r="R16" s="248">
        <v>180</v>
      </c>
      <c r="S16" s="856"/>
      <c r="T16" s="252">
        <f>N16+P16+Q16+R16</f>
        <v>133579.35019999999</v>
      </c>
      <c r="V16" s="204">
        <v>0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77131</v>
      </c>
      <c r="Q17" s="875">
        <f>'incremental load expense'!E20</f>
        <v>1907</v>
      </c>
      <c r="R17" s="248"/>
      <c r="S17" s="856"/>
      <c r="T17" s="252">
        <f>N17+P17+Q17+R17</f>
        <v>79040</v>
      </c>
      <c r="V17" s="204">
        <v>1907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43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856"/>
      <c r="T18" s="252">
        <f>N18+P18+Q18+R18</f>
        <v>25979.433706714659</v>
      </c>
      <c r="U18" s="53"/>
      <c r="V18" s="876"/>
      <c r="W18" s="53"/>
      <c r="X18" s="656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40"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856"/>
      <c r="T19" s="252">
        <f>N19+P19+Q19+R19</f>
        <v>4692</v>
      </c>
      <c r="U19" s="53"/>
      <c r="V19" s="204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43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857"/>
      <c r="T20" s="253">
        <f>N20+P20+Q20+R20</f>
        <v>14362.296008124365</v>
      </c>
      <c r="U20" s="53"/>
      <c r="V20" s="204"/>
      <c r="W20" s="544"/>
    </row>
    <row r="21" spans="1:24" ht="15.75" customHeight="1">
      <c r="A21" s="198">
        <v>12</v>
      </c>
      <c r="B21" s="204"/>
      <c r="C21" s="815" t="s">
        <v>241</v>
      </c>
      <c r="D21" s="86"/>
      <c r="E21" s="451">
        <f>SUM(E16:E20)</f>
        <v>281594</v>
      </c>
      <c r="F21" s="249">
        <f>F16+F17+F18+F19+F20</f>
        <v>-186117</v>
      </c>
      <c r="G21" s="453">
        <f>G16+G17+G18+G19+G20</f>
        <v>-3409</v>
      </c>
      <c r="H21" s="453">
        <f>H16+H17+H18+H19+H20</f>
        <v>0</v>
      </c>
      <c r="I21" s="453">
        <f>I16+I17+I18+I19+I20</f>
        <v>92068</v>
      </c>
      <c r="J21" s="249"/>
      <c r="K21" s="251"/>
      <c r="L21" s="251"/>
      <c r="M21" s="249">
        <f>M16+M17+M18+M19+M20</f>
        <v>7062.0799148390233</v>
      </c>
      <c r="N21" s="249">
        <f>N16+N17+N18+N19+N20</f>
        <v>99130.079914839022</v>
      </c>
      <c r="O21" s="249"/>
      <c r="P21" s="249">
        <f>P16+P17+P18+P19+P20</f>
        <v>156436</v>
      </c>
      <c r="Q21" s="249">
        <f>Q16+Q17+Q18+Q19+Q20</f>
        <v>1907</v>
      </c>
      <c r="R21" s="249">
        <f>R16+R17+R18+R19+R20</f>
        <v>180</v>
      </c>
      <c r="S21" s="859"/>
      <c r="T21" s="249">
        <f>T16+T17+T18+T19+T20</f>
        <v>257653.07991483901</v>
      </c>
      <c r="U21" s="53"/>
      <c r="V21" s="204">
        <v>1907</v>
      </c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856"/>
      <c r="T22" s="252"/>
      <c r="U22" s="53"/>
      <c r="V22" s="204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856"/>
      <c r="T23" s="252"/>
      <c r="U23" s="53"/>
      <c r="V23" s="204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6.4199999999999993E-2</v>
      </c>
      <c r="L24" s="251"/>
      <c r="M24" s="249">
        <f>K24*I24</f>
        <v>1367.3957999999998</v>
      </c>
      <c r="N24" s="252">
        <f>M24+I24</f>
        <v>22666.395799999998</v>
      </c>
      <c r="O24" s="252"/>
      <c r="P24" s="248"/>
      <c r="Q24" s="248"/>
      <c r="R24" s="248"/>
      <c r="S24" s="856"/>
      <c r="T24" s="252">
        <f>N24+P24+Q24+R24</f>
        <v>22666.395799999998</v>
      </c>
      <c r="U24" s="53"/>
      <c r="V24" s="204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856"/>
      <c r="T25" s="252">
        <f>N25+P25+Q25+R25</f>
        <v>26065.977044805761</v>
      </c>
      <c r="U25" s="53"/>
      <c r="V25" s="204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856"/>
      <c r="T26" s="252"/>
      <c r="U26" s="53"/>
      <c r="V26" s="204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875">
        <f>'incremental load expense'!E29</f>
        <v>252.1748056396805</v>
      </c>
      <c r="R27" s="253"/>
      <c r="S27" s="857"/>
      <c r="T27" s="253">
        <f>N27+P27+Q27+R27</f>
        <v>29347.356156055012</v>
      </c>
      <c r="U27" s="53"/>
      <c r="V27" s="204">
        <v>252.1748056396805</v>
      </c>
    </row>
    <row r="28" spans="1:24" ht="15.75" customHeight="1">
      <c r="A28" s="198">
        <v>16</v>
      </c>
      <c r="B28" s="204"/>
      <c r="C28" s="200" t="s">
        <v>242</v>
      </c>
      <c r="D28" s="86"/>
      <c r="E28" s="451">
        <f>SUM(E24:E27)</f>
        <v>70668</v>
      </c>
      <c r="F28" s="262"/>
      <c r="G28" s="453">
        <f>G24+G25+G27</f>
        <v>0</v>
      </c>
      <c r="H28" s="453">
        <f>H24+H25+H27</f>
        <v>412</v>
      </c>
      <c r="I28" s="453">
        <f>SUM(I24:I27)</f>
        <v>71080</v>
      </c>
      <c r="J28" s="249"/>
      <c r="K28" s="251"/>
      <c r="L28" s="251"/>
      <c r="M28" s="249">
        <f>M24+M25+M27</f>
        <v>6747.5541952210906</v>
      </c>
      <c r="N28" s="249">
        <f>N24+N25+N27</f>
        <v>77827.554195221092</v>
      </c>
      <c r="O28" s="249"/>
      <c r="P28" s="249">
        <f>P24+P25+P27</f>
        <v>0</v>
      </c>
      <c r="Q28" s="453">
        <f>Q24+Q25+Q27</f>
        <v>252.1748056396805</v>
      </c>
      <c r="R28" s="453">
        <f>R24+R25+R27</f>
        <v>0</v>
      </c>
      <c r="S28" s="860"/>
      <c r="T28" s="249">
        <f>T24+T25+T27</f>
        <v>78079.729000860767</v>
      </c>
      <c r="U28" s="53"/>
      <c r="V28" s="204">
        <v>252.1748056396805</v>
      </c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856"/>
      <c r="T29" s="252"/>
      <c r="U29" s="53"/>
      <c r="V29" s="204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6.4199999999999993E-2</v>
      </c>
      <c r="L30" s="251"/>
      <c r="M30" s="249">
        <f>K30*I30</f>
        <v>720.51659999999993</v>
      </c>
      <c r="N30" s="252">
        <f>M30+I30</f>
        <v>11943.516599999999</v>
      </c>
      <c r="O30" s="252"/>
      <c r="P30" s="248"/>
      <c r="Q30" s="875">
        <f>'incremental load expense'!E32</f>
        <v>35.037551187198844</v>
      </c>
      <c r="R30" s="248"/>
      <c r="S30" s="856"/>
      <c r="T30" s="252">
        <f>N30+P30+Q30</f>
        <v>11978.554151187198</v>
      </c>
      <c r="U30" s="53"/>
      <c r="V30" s="204">
        <v>35.037551187198844</v>
      </c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6.4199999999999993E-2</v>
      </c>
      <c r="L31" s="251"/>
      <c r="M31" s="249">
        <f>K31*I31</f>
        <v>88.788599999999988</v>
      </c>
      <c r="N31" s="252">
        <f>M31+I31</f>
        <v>1471.7886000000001</v>
      </c>
      <c r="O31" s="252"/>
      <c r="P31" s="248"/>
      <c r="Q31" s="248"/>
      <c r="R31" s="248"/>
      <c r="S31" s="856"/>
      <c r="T31" s="252">
        <f>N31+P31+Q31</f>
        <v>1471.7886000000001</v>
      </c>
      <c r="U31" s="53"/>
      <c r="V31" s="204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6.4199999999999993E-2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856"/>
      <c r="T32" s="252">
        <f>N32+P32+Q32</f>
        <v>0</v>
      </c>
      <c r="U32" s="53"/>
      <c r="V32" s="204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856"/>
      <c r="T33" s="252"/>
      <c r="U33" s="53"/>
      <c r="V33" s="204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856"/>
      <c r="T34" s="252"/>
      <c r="U34" s="53"/>
      <c r="V34" s="204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6.4199999999999993E-2</v>
      </c>
      <c r="L35" s="251"/>
      <c r="M35" s="249">
        <f>K35*I35</f>
        <v>2968.0301999999997</v>
      </c>
      <c r="N35" s="252">
        <f>M35+I35</f>
        <v>49199.030200000001</v>
      </c>
      <c r="O35" s="252"/>
      <c r="P35" s="248"/>
      <c r="Q35" s="875">
        <f>'incremental load expense'!E37</f>
        <v>13.090809335773899</v>
      </c>
      <c r="R35" s="248"/>
      <c r="S35" s="856"/>
      <c r="T35" s="252">
        <f>N35+P35+Q35</f>
        <v>49212.121009335773</v>
      </c>
      <c r="U35" s="53"/>
      <c r="V35" s="204">
        <v>13.090809335773899</v>
      </c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61"/>
      <c r="T36" s="252">
        <f>N36+P36+Q36+S36</f>
        <v>18565.189248479583</v>
      </c>
      <c r="U36" s="53"/>
      <c r="V36" s="204"/>
      <c r="W36" s="184"/>
      <c r="X36" s="544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857"/>
      <c r="T37" s="253">
        <f>N37+P37+Q37</f>
        <v>0</v>
      </c>
      <c r="U37" s="53"/>
      <c r="V37" s="204"/>
    </row>
    <row r="38" spans="1:24" ht="15.75" customHeight="1">
      <c r="A38" s="198">
        <v>23</v>
      </c>
      <c r="B38" s="204"/>
      <c r="C38" s="815" t="s">
        <v>712</v>
      </c>
      <c r="D38" s="86"/>
      <c r="E38" s="451">
        <f>SUM(E35:E37)</f>
        <v>63157</v>
      </c>
      <c r="F38" s="249">
        <f>F35+F36+F37</f>
        <v>0</v>
      </c>
      <c r="G38" s="459">
        <f>G35+G36+G37</f>
        <v>0</v>
      </c>
      <c r="H38" s="459">
        <f>H35+H36+H37</f>
        <v>21</v>
      </c>
      <c r="I38" s="459">
        <f>I35+I36+I37</f>
        <v>63178</v>
      </c>
      <c r="J38" s="249"/>
      <c r="K38" s="251"/>
      <c r="L38" s="251"/>
      <c r="M38" s="249">
        <f>M35+M36+M37</f>
        <v>4586.2194484795828</v>
      </c>
      <c r="N38" s="249">
        <f>N35+N36+N37</f>
        <v>67764.219448479591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859"/>
      <c r="T38" s="249">
        <f>T35+T36+T37</f>
        <v>67777.310257815348</v>
      </c>
      <c r="V38" s="204">
        <v>13.090809335773899</v>
      </c>
    </row>
    <row r="39" spans="1:24" ht="15.75" customHeight="1">
      <c r="A39" s="198">
        <v>24</v>
      </c>
      <c r="B39" s="204" t="s">
        <v>67</v>
      </c>
      <c r="C39" s="200"/>
      <c r="D39" s="86"/>
      <c r="E39" s="451">
        <f>E21+E28+E30+E31+E32+E38</f>
        <v>427968</v>
      </c>
      <c r="F39" s="451">
        <f>F21+F28+F30+F31+F32+F38</f>
        <v>-186117</v>
      </c>
      <c r="G39" s="451">
        <f>G21+G28+G30+G31+G32+G38</f>
        <v>-3409</v>
      </c>
      <c r="H39" s="451">
        <f>H21+H28+H30+H31+H32+H38</f>
        <v>490</v>
      </c>
      <c r="I39" s="451">
        <f>I21+I28+I30+I31+I32+I38</f>
        <v>238932</v>
      </c>
      <c r="J39" s="451"/>
      <c r="K39" s="450"/>
      <c r="L39" s="450"/>
      <c r="M39" s="451">
        <f>M21+M28+M30+M31+M32+M38</f>
        <v>19205.158758539696</v>
      </c>
      <c r="N39" s="451">
        <f>N21+N28+N30+N31+N32+N38</f>
        <v>258137.15875853971</v>
      </c>
      <c r="O39" s="451"/>
      <c r="P39" s="451">
        <f>P21+P28+P30+P31+P32+P38</f>
        <v>156436</v>
      </c>
      <c r="Q39" s="451">
        <f>Q21+Q28+Q30+Q31+Q32+Q38</f>
        <v>2207.3031661626533</v>
      </c>
      <c r="R39" s="451">
        <f>R21+R28+R30+R31+R32+R38</f>
        <v>180</v>
      </c>
      <c r="S39" s="862"/>
      <c r="T39" s="451">
        <f>T21+T28+T30+T31+T32+T38</f>
        <v>416960.46192470234</v>
      </c>
      <c r="U39" s="53"/>
      <c r="V39" s="204">
        <v>2207.3031661626533</v>
      </c>
      <c r="W39" s="53"/>
      <c r="X39" s="654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856"/>
      <c r="T40" s="252"/>
      <c r="V40" s="204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-19205.158758539696</v>
      </c>
      <c r="N41" s="248">
        <f>N12-N39</f>
        <v>245323.84124146029</v>
      </c>
      <c r="O41" s="248">
        <f t="shared" si="0"/>
        <v>0</v>
      </c>
      <c r="P41" s="248">
        <f t="shared" si="0"/>
        <v>-88582</v>
      </c>
      <c r="Q41" s="248">
        <f t="shared" si="0"/>
        <v>1755.1939617567409</v>
      </c>
      <c r="R41" s="248">
        <f t="shared" si="0"/>
        <v>-180</v>
      </c>
      <c r="S41" s="856"/>
      <c r="T41" s="248">
        <f>T12-T39</f>
        <v>158317.03520321712</v>
      </c>
      <c r="U41" s="53"/>
      <c r="V41" s="204">
        <v>1755.1939617567409</v>
      </c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  <c r="V42" s="204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  <c r="V43" s="204"/>
    </row>
    <row r="44" spans="1:24" s="50" customFormat="1" ht="18" thickBot="1">
      <c r="A44" s="345" t="s">
        <v>96</v>
      </c>
      <c r="B44" s="927" t="str">
        <f>B2</f>
        <v>2016  ELECTRIC ATTRITION REVENUE REQUIREMENT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8"/>
      <c r="S44" s="928"/>
      <c r="T44" s="928"/>
      <c r="V44" s="204"/>
    </row>
    <row r="45" spans="1:24" s="166" customFormat="1" ht="21" thickBot="1">
      <c r="A45" s="344"/>
      <c r="B45" s="677"/>
      <c r="C45" s="662" t="s">
        <v>483</v>
      </c>
      <c r="D45" s="678"/>
      <c r="E45" s="921" t="s">
        <v>247</v>
      </c>
      <c r="F45" s="922"/>
      <c r="G45" s="922"/>
      <c r="H45" s="922"/>
      <c r="I45" s="923"/>
      <c r="J45" s="675"/>
      <c r="K45" s="676"/>
      <c r="L45" s="676"/>
      <c r="M45" s="662" t="s">
        <v>253</v>
      </c>
      <c r="N45" s="663"/>
      <c r="O45" s="664"/>
      <c r="P45" s="924" t="s">
        <v>687</v>
      </c>
      <c r="Q45" s="925"/>
      <c r="R45" s="765"/>
      <c r="S45" s="804"/>
      <c r="T45" s="767"/>
      <c r="V45" s="877"/>
    </row>
    <row r="46" spans="1:24" s="50" customFormat="1" ht="78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855" t="str">
        <f t="shared" si="1"/>
        <v>After Attrition Adj - Project Compass</v>
      </c>
      <c r="T46" s="659" t="s">
        <v>576</v>
      </c>
      <c r="V46" s="204"/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  <c r="V47" s="204"/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69"/>
      <c r="T48" s="265"/>
      <c r="V48" s="204"/>
    </row>
    <row r="49" spans="1:24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6">
        <f>ROUND(F41*0.35,0)</f>
        <v>39002</v>
      </c>
      <c r="G49" s="346">
        <f>ROUND(G41*0.35,0)</f>
        <v>1193</v>
      </c>
      <c r="H49" s="346">
        <f>ROUND(H41*0.35,0)</f>
        <v>3569</v>
      </c>
      <c r="I49" s="249">
        <f>SUM(E49:H49)</f>
        <v>36081</v>
      </c>
      <c r="J49" s="249"/>
      <c r="K49" s="251"/>
      <c r="L49" s="251"/>
      <c r="M49" s="346">
        <f>M41*0.35</f>
        <v>-6721.8055654888931</v>
      </c>
      <c r="N49" s="266">
        <f>I49+M49</f>
        <v>29359.194434511108</v>
      </c>
      <c r="O49" s="266"/>
      <c r="P49" s="267">
        <f>0.35*P41</f>
        <v>-31003.699999999997</v>
      </c>
      <c r="Q49" s="267">
        <f>0.35*Q41</f>
        <v>614.31788661485928</v>
      </c>
      <c r="R49" s="267">
        <f>0.35*R41</f>
        <v>-62.999999999999993</v>
      </c>
      <c r="S49" s="863"/>
      <c r="T49" s="266">
        <f>N49+P49+Q49+R49+S49</f>
        <v>-1093.1876788740301</v>
      </c>
      <c r="V49" s="204">
        <v>614.31788661485928</v>
      </c>
    </row>
    <row r="50" spans="1:24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46">
        <f>(ROR!F11*-0.35*M79)+(ROR!F11-ROR!F37)*I79*-0.35</f>
        <v>-159.2920098357481</v>
      </c>
      <c r="N50" s="266">
        <f>I50+M50</f>
        <v>-235.17950983574809</v>
      </c>
      <c r="O50" s="266"/>
      <c r="P50" s="267"/>
      <c r="Q50" s="267"/>
      <c r="R50" s="267"/>
      <c r="S50" s="864"/>
      <c r="T50" s="266">
        <f>N50+P50+Q50+S50</f>
        <v>-235.17950983574809</v>
      </c>
      <c r="V50" s="204"/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856"/>
      <c r="T51" s="252">
        <f>N51+P51+Q51</f>
        <v>46085</v>
      </c>
      <c r="V51" s="204"/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856"/>
      <c r="T52" s="252">
        <f>N52+P52+Q52</f>
        <v>-128</v>
      </c>
      <c r="V52" s="204"/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856"/>
      <c r="T53" s="252"/>
      <c r="V53" s="204"/>
    </row>
    <row r="54" spans="1:24" ht="15.75" customHeight="1" thickBot="1">
      <c r="A54" s="198">
        <v>31</v>
      </c>
      <c r="B54" s="204" t="s">
        <v>62</v>
      </c>
      <c r="C54" s="204"/>
      <c r="D54" s="86"/>
      <c r="E54" s="452">
        <f>E41-E49-E50-E51-E52</f>
        <v>101349</v>
      </c>
      <c r="F54" s="452">
        <f>F41-F49-F50-F51-F52</f>
        <v>72433</v>
      </c>
      <c r="G54" s="452">
        <f t="shared" ref="G54:I54" si="3">G41-G49-G50-G51-G52</f>
        <v>2155.8874999999998</v>
      </c>
      <c r="H54" s="452">
        <f t="shared" si="3"/>
        <v>6629</v>
      </c>
      <c r="I54" s="452">
        <f t="shared" si="3"/>
        <v>182566.88750000001</v>
      </c>
      <c r="J54" s="452"/>
      <c r="K54" s="452"/>
      <c r="L54" s="452"/>
      <c r="M54" s="452">
        <f t="shared" ref="M54:R54" si="4">M41-M49-M50-M51-M52</f>
        <v>-12324.061183215055</v>
      </c>
      <c r="N54" s="452">
        <f t="shared" si="4"/>
        <v>170242.82631678495</v>
      </c>
      <c r="O54" s="452"/>
      <c r="P54" s="452">
        <f t="shared" si="4"/>
        <v>-57578.3</v>
      </c>
      <c r="Q54" s="452">
        <f t="shared" si="4"/>
        <v>1140.8760751418818</v>
      </c>
      <c r="R54" s="452">
        <f t="shared" si="4"/>
        <v>-117</v>
      </c>
      <c r="S54" s="865"/>
      <c r="T54" s="452">
        <f>T41-T49-T50-T51-T52</f>
        <v>113688.40239192691</v>
      </c>
      <c r="U54" s="53"/>
      <c r="V54" s="204">
        <v>1140.8760751418818</v>
      </c>
      <c r="X54" s="53"/>
    </row>
    <row r="55" spans="1:24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856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856"/>
      <c r="T56" s="199"/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856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48">
        <f>'Net Plant'!G6</f>
        <v>4.0450663063574373E-2</v>
      </c>
      <c r="L58" s="251"/>
      <c r="M58" s="249">
        <f>I58*K58</f>
        <v>4151.0470435840025</v>
      </c>
      <c r="N58" s="252">
        <f>I58+M58</f>
        <v>106771.047043584</v>
      </c>
      <c r="O58" s="252"/>
      <c r="P58" s="248"/>
      <c r="Q58" s="248"/>
      <c r="R58" s="248"/>
      <c r="S58" s="856"/>
      <c r="T58" s="840">
        <f>N58+S58</f>
        <v>106771.047043584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4.0450663063574373E-2</v>
      </c>
      <c r="L59" s="251"/>
      <c r="M59" s="249">
        <f>I59*K59</f>
        <v>30180.280162395902</v>
      </c>
      <c r="N59" s="252">
        <f>I59+M59</f>
        <v>776281.28016239591</v>
      </c>
      <c r="O59" s="252"/>
      <c r="P59" s="248"/>
      <c r="Q59" s="248"/>
      <c r="R59" s="248"/>
      <c r="S59" s="856"/>
      <c r="T59" s="252">
        <f>N59</f>
        <v>776281.28016239591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4.0450663063574373E-2</v>
      </c>
      <c r="L60" s="251"/>
      <c r="M60" s="249">
        <f>I60*K60</f>
        <v>15046.473590420823</v>
      </c>
      <c r="N60" s="252">
        <f>I60+M60</f>
        <v>387017.47359042085</v>
      </c>
      <c r="O60" s="252"/>
      <c r="P60" s="248"/>
      <c r="Q60" s="248"/>
      <c r="R60" s="248"/>
      <c r="S60" s="856"/>
      <c r="T60" s="252">
        <f>N60</f>
        <v>387017.47359042085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4.0450663063574373E-2</v>
      </c>
      <c r="L61" s="251"/>
      <c r="M61" s="249">
        <f>I61*K61</f>
        <v>34091.616576665161</v>
      </c>
      <c r="N61" s="252">
        <f>I61+M61</f>
        <v>876886.6165766652</v>
      </c>
      <c r="O61" s="252"/>
      <c r="P61" s="248"/>
      <c r="Q61" s="248"/>
      <c r="R61" s="248"/>
      <c r="S61" s="856"/>
      <c r="T61" s="252">
        <f>N61</f>
        <v>876886.6165766652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4.0450663063574373E-2</v>
      </c>
      <c r="L62" s="256"/>
      <c r="M62" s="254">
        <f>I62*K62</f>
        <v>7963.4006853366964</v>
      </c>
      <c r="N62" s="253">
        <f>I62+M62</f>
        <v>204830.4006853367</v>
      </c>
      <c r="O62" s="253"/>
      <c r="P62" s="253"/>
      <c r="Q62" s="253"/>
      <c r="R62" s="253"/>
      <c r="S62" s="857"/>
      <c r="T62" s="253">
        <f>N62+S62</f>
        <v>204830.4006853367</v>
      </c>
    </row>
    <row r="63" spans="1:24" ht="15.75" customHeight="1">
      <c r="A63" s="198">
        <v>37</v>
      </c>
      <c r="B63" s="204"/>
      <c r="C63" s="204" t="s">
        <v>252</v>
      </c>
      <c r="D63" s="86"/>
      <c r="E63" s="451">
        <f>SUM(E58:E62)</f>
        <v>2260354</v>
      </c>
      <c r="F63" s="451">
        <f t="shared" ref="F63:H63" si="5">SUM(F58:F62)</f>
        <v>0</v>
      </c>
      <c r="G63" s="451">
        <f t="shared" si="5"/>
        <v>0</v>
      </c>
      <c r="H63" s="451">
        <f t="shared" si="5"/>
        <v>0</v>
      </c>
      <c r="I63" s="453">
        <f>SUM(I58:I62)</f>
        <v>2260354</v>
      </c>
      <c r="J63" s="249"/>
      <c r="K63" s="450"/>
      <c r="L63" s="251"/>
      <c r="M63" s="249">
        <f>SUM(M58:M62)</f>
        <v>91432.818058402598</v>
      </c>
      <c r="N63" s="249">
        <f>SUM(N58:N62)</f>
        <v>2351786.8180584027</v>
      </c>
      <c r="O63" s="252"/>
      <c r="P63" s="248"/>
      <c r="Q63" s="248"/>
      <c r="R63" s="248"/>
      <c r="S63" s="856"/>
      <c r="T63" s="249">
        <f>SUM(T58:T62)</f>
        <v>2351786.8180584027</v>
      </c>
      <c r="V63" s="184"/>
    </row>
    <row r="64" spans="1:24" ht="15.75" customHeigh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856"/>
      <c r="T64" s="252">
        <f t="shared" ref="T64:T68" si="6">N64</f>
        <v>0</v>
      </c>
    </row>
    <row r="65" spans="1:25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4.0450663063574373E-2</v>
      </c>
      <c r="L65" s="251"/>
      <c r="M65" s="249">
        <f>I65*K65</f>
        <v>-818.80232173287243</v>
      </c>
      <c r="N65" s="252">
        <f>I65+M65</f>
        <v>-21060.802321732874</v>
      </c>
      <c r="O65" s="252"/>
      <c r="P65" s="248"/>
      <c r="Q65" s="248"/>
      <c r="R65" s="248"/>
      <c r="S65" s="856"/>
      <c r="T65" s="840">
        <f>N65+S65</f>
        <v>-21060.802321732874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4.0450663063574373E-2</v>
      </c>
      <c r="L66" s="251"/>
      <c r="M66" s="249">
        <f>I66*K66</f>
        <v>-13167.944797748429</v>
      </c>
      <c r="N66" s="252">
        <f>I66+M66</f>
        <v>-338698.94479774841</v>
      </c>
      <c r="O66" s="252"/>
      <c r="P66" s="248"/>
      <c r="Q66" s="248"/>
      <c r="R66" s="248"/>
      <c r="S66" s="856"/>
      <c r="T66" s="252">
        <f t="shared" si="6"/>
        <v>-338698.94479774841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4.0450663063574373E-2</v>
      </c>
      <c r="L67" s="251"/>
      <c r="M67" s="249">
        <f>I67*K67</f>
        <v>-5010.583183021894</v>
      </c>
      <c r="N67" s="252">
        <f>I67+M67</f>
        <v>-128879.5831830219</v>
      </c>
      <c r="O67" s="252"/>
      <c r="P67" s="248"/>
      <c r="Q67" s="248"/>
      <c r="R67" s="248"/>
      <c r="S67" s="856"/>
      <c r="T67" s="252">
        <f t="shared" si="6"/>
        <v>-128879.5831830219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4.0450663063574373E-2</v>
      </c>
      <c r="L68" s="251"/>
      <c r="M68" s="249">
        <f>I68*K68</f>
        <v>-10222.772470752643</v>
      </c>
      <c r="N68" s="252">
        <f>I68+M68</f>
        <v>-262944.77247075265</v>
      </c>
      <c r="O68" s="252"/>
      <c r="P68" s="248"/>
      <c r="Q68" s="248"/>
      <c r="R68" s="248"/>
      <c r="S68" s="856"/>
      <c r="T68" s="252">
        <f t="shared" si="6"/>
        <v>-262944.77247075265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4.0450663063574373E-2</v>
      </c>
      <c r="L69" s="256"/>
      <c r="M69" s="254">
        <f>I69*K69</f>
        <v>-2658.4175765381078</v>
      </c>
      <c r="N69" s="253">
        <f>I69+M69</f>
        <v>-68378.417576538108</v>
      </c>
      <c r="O69" s="253"/>
      <c r="P69" s="253"/>
      <c r="Q69" s="253"/>
      <c r="R69" s="253"/>
      <c r="S69" s="857"/>
      <c r="T69" s="253">
        <f>N69+S69</f>
        <v>-68378.417576538108</v>
      </c>
    </row>
    <row r="70" spans="1:25" ht="30.75" customHeight="1">
      <c r="A70" s="198">
        <v>43</v>
      </c>
      <c r="B70" s="204"/>
      <c r="C70" s="201" t="s">
        <v>290</v>
      </c>
      <c r="D70" s="91"/>
      <c r="E70" s="451">
        <f>SUM(E65:E69)</f>
        <v>-788084</v>
      </c>
      <c r="F70" s="451">
        <f t="shared" ref="F70:H70" si="7">SUM(F65:F69)</f>
        <v>0</v>
      </c>
      <c r="G70" s="451">
        <f t="shared" si="7"/>
        <v>0</v>
      </c>
      <c r="H70" s="451">
        <f t="shared" si="7"/>
        <v>0</v>
      </c>
      <c r="I70" s="453">
        <f>SUM(I65:I69)</f>
        <v>-788084</v>
      </c>
      <c r="J70" s="249"/>
      <c r="K70" s="450"/>
      <c r="L70" s="251"/>
      <c r="M70" s="269">
        <f>SUM(M65:M69)</f>
        <v>-31878.520349793944</v>
      </c>
      <c r="N70" s="269">
        <f>SUM(N65:N69)</f>
        <v>-819962.52034979407</v>
      </c>
      <c r="O70" s="252"/>
      <c r="P70" s="248"/>
      <c r="Q70" s="248"/>
      <c r="R70" s="248"/>
      <c r="S70" s="856"/>
      <c r="T70" s="269">
        <f>SUM(T65:T69)</f>
        <v>-819962.52034979407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856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1">
        <f>E63+E70</f>
        <v>1472270</v>
      </c>
      <c r="F72" s="451">
        <f t="shared" ref="F72:T72" si="8">F63+F70</f>
        <v>0</v>
      </c>
      <c r="G72" s="451">
        <f t="shared" si="8"/>
        <v>0</v>
      </c>
      <c r="H72" s="451">
        <f t="shared" si="8"/>
        <v>0</v>
      </c>
      <c r="I72" s="451">
        <f t="shared" si="8"/>
        <v>1472270</v>
      </c>
      <c r="J72" s="451">
        <f t="shared" si="8"/>
        <v>0</v>
      </c>
      <c r="K72" s="451">
        <f t="shared" si="8"/>
        <v>0</v>
      </c>
      <c r="L72" s="451">
        <f t="shared" si="8"/>
        <v>0</v>
      </c>
      <c r="M72" s="451">
        <f t="shared" si="8"/>
        <v>59554.297708608654</v>
      </c>
      <c r="N72" s="451">
        <f t="shared" si="8"/>
        <v>1531824.2977086087</v>
      </c>
      <c r="O72" s="451">
        <f t="shared" si="8"/>
        <v>0</v>
      </c>
      <c r="P72" s="451"/>
      <c r="Q72" s="451"/>
      <c r="R72" s="451">
        <f t="shared" si="8"/>
        <v>0</v>
      </c>
      <c r="S72" s="862"/>
      <c r="T72" s="451">
        <f t="shared" si="8"/>
        <v>1531824.2977086087</v>
      </c>
      <c r="W72" s="184"/>
    </row>
    <row r="73" spans="1:25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856"/>
      <c r="T73" s="252"/>
    </row>
    <row r="74" spans="1:25" ht="13.5" customHeigh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4.0450663063574373E-2</v>
      </c>
      <c r="L74" s="259"/>
      <c r="M74" s="249">
        <f>K74*I74</f>
        <v>-10426.805615245312</v>
      </c>
      <c r="N74" s="252">
        <f>M74+I74</f>
        <v>-268192.80561524531</v>
      </c>
      <c r="O74" s="252"/>
      <c r="P74" s="248"/>
      <c r="Q74" s="248"/>
      <c r="R74" s="248"/>
      <c r="S74" s="856"/>
      <c r="T74" s="252">
        <f>N74+S74</f>
        <v>-268192.80561524531</v>
      </c>
      <c r="V74" s="673"/>
      <c r="W74" s="655"/>
    </row>
    <row r="75" spans="1:25" ht="15.75" customHeight="1">
      <c r="A75" s="198">
        <v>46</v>
      </c>
      <c r="B75" s="204"/>
      <c r="C75" s="204" t="s">
        <v>291</v>
      </c>
      <c r="D75" s="90"/>
      <c r="E75" s="451">
        <f>E72+E74</f>
        <v>1214504</v>
      </c>
      <c r="F75" s="451">
        <f t="shared" ref="F75:N75" si="9">F72+F74</f>
        <v>0</v>
      </c>
      <c r="G75" s="451">
        <f>G72+G74</f>
        <v>0</v>
      </c>
      <c r="H75" s="451">
        <f t="shared" si="9"/>
        <v>0</v>
      </c>
      <c r="I75" s="451">
        <f t="shared" si="9"/>
        <v>1214504</v>
      </c>
      <c r="J75" s="451">
        <f t="shared" si="9"/>
        <v>0</v>
      </c>
      <c r="K75" s="451">
        <f t="shared" si="9"/>
        <v>4.0450663063574373E-2</v>
      </c>
      <c r="L75" s="451">
        <f t="shared" si="9"/>
        <v>0</v>
      </c>
      <c r="M75" s="451">
        <f t="shared" si="9"/>
        <v>49127.49209336334</v>
      </c>
      <c r="N75" s="451">
        <f t="shared" si="9"/>
        <v>1263631.4920933633</v>
      </c>
      <c r="O75" s="451"/>
      <c r="P75" s="451"/>
      <c r="Q75" s="451"/>
      <c r="R75" s="451"/>
      <c r="S75" s="862"/>
      <c r="T75" s="451">
        <f>T72+T74</f>
        <v>1263631.4920933633</v>
      </c>
      <c r="U75" s="53"/>
      <c r="V75" s="53"/>
      <c r="W75" s="184"/>
      <c r="X75" s="656"/>
      <c r="Y75" s="656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840"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856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856"/>
      <c r="T77" s="252">
        <f>N77</f>
        <v>47807</v>
      </c>
      <c r="V77" s="731"/>
      <c r="W77" s="53"/>
      <c r="X77" s="656"/>
      <c r="Y77" s="656"/>
    </row>
    <row r="78" spans="1:25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856"/>
      <c r="T78" s="252">
        <f>N78</f>
        <v>0</v>
      </c>
      <c r="V78" s="674"/>
      <c r="W78" s="544"/>
      <c r="X78" s="656"/>
    </row>
    <row r="79" spans="1:25" ht="15.75" customHeight="1" thickBot="1">
      <c r="A79" s="198">
        <v>49</v>
      </c>
      <c r="B79" s="204" t="s">
        <v>51</v>
      </c>
      <c r="C79" s="204"/>
      <c r="D79" s="86"/>
      <c r="E79" s="452">
        <f>SUM(E75:E77)</f>
        <v>1273157</v>
      </c>
      <c r="F79" s="452">
        <f t="shared" ref="F79:H79" si="10">SUM(F75:F77)</f>
        <v>0</v>
      </c>
      <c r="G79" s="452">
        <f t="shared" si="10"/>
        <v>-6250</v>
      </c>
      <c r="H79" s="452">
        <f t="shared" si="10"/>
        <v>0</v>
      </c>
      <c r="I79" s="454">
        <f>I72+I74+I76+I77</f>
        <v>1266907</v>
      </c>
      <c r="J79" s="454"/>
      <c r="K79" s="455"/>
      <c r="L79" s="455"/>
      <c r="M79" s="454">
        <f>M72+M74+M76+M77</f>
        <v>49127.49209336334</v>
      </c>
      <c r="N79" s="454">
        <f>N72+N74+N76+N77</f>
        <v>1316034.4920933633</v>
      </c>
      <c r="O79" s="452"/>
      <c r="P79" s="452"/>
      <c r="Q79" s="452"/>
      <c r="R79" s="452"/>
      <c r="S79" s="865"/>
      <c r="T79" s="454">
        <f>T72+T74+T76+T77</f>
        <v>1316034.4920933633</v>
      </c>
      <c r="U79" s="53"/>
      <c r="V79" s="184"/>
      <c r="Y79" s="654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3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856"/>
      <c r="T80" s="252"/>
      <c r="U80" s="672"/>
      <c r="V80" s="544"/>
    </row>
    <row r="81" spans="1:23" ht="15.75" customHeight="1">
      <c r="A81" s="198">
        <v>50</v>
      </c>
      <c r="B81" s="204" t="s">
        <v>50</v>
      </c>
      <c r="C81" s="204"/>
      <c r="D81" s="86"/>
      <c r="E81" s="531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866"/>
      <c r="T81" s="531">
        <f>T54/T79</f>
        <v>8.6387099331330847E-2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858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867"/>
      <c r="T83" s="280"/>
      <c r="W83" s="666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499"/>
      <c r="J84" s="282"/>
      <c r="K84" s="259"/>
      <c r="L84" s="259"/>
      <c r="M84" s="259"/>
      <c r="N84" s="263"/>
      <c r="O84" s="263"/>
      <c r="P84" s="248"/>
      <c r="Q84" s="248"/>
      <c r="R84" s="248"/>
      <c r="S84" s="856"/>
      <c r="T84" s="841">
        <f>E84</f>
        <v>7.2900000000000006E-2</v>
      </c>
      <c r="W84" s="667"/>
    </row>
    <row r="85" spans="1:23" s="197" customFormat="1" ht="15.75" customHeight="1">
      <c r="A85" s="198">
        <v>51</v>
      </c>
      <c r="B85" s="206" t="s">
        <v>292</v>
      </c>
      <c r="C85" s="816"/>
      <c r="D85" s="88"/>
      <c r="E85" s="248">
        <f>E84*E79</f>
        <v>92813.145300000004</v>
      </c>
      <c r="F85" s="283"/>
      <c r="G85" s="283"/>
      <c r="H85" s="283"/>
      <c r="I85" s="499"/>
      <c r="J85" s="282"/>
      <c r="K85" s="283"/>
      <c r="L85" s="283"/>
      <c r="M85" s="283"/>
      <c r="N85" s="263"/>
      <c r="O85" s="263"/>
      <c r="P85" s="248"/>
      <c r="Q85" s="248"/>
      <c r="R85" s="248"/>
      <c r="S85" s="856"/>
      <c r="T85" s="500">
        <f>T84*T79</f>
        <v>95938.914473606201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499"/>
      <c r="J86" s="282"/>
      <c r="K86" s="284"/>
      <c r="L86" s="284"/>
      <c r="M86" s="284"/>
      <c r="N86" s="285"/>
      <c r="O86" s="285"/>
      <c r="P86" s="285"/>
      <c r="Q86" s="285"/>
      <c r="R86" s="263"/>
      <c r="S86" s="868"/>
      <c r="T86" s="500">
        <f>T85-T54</f>
        <v>-17749.487918320709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3">
        <f>T87</f>
        <v>0.62017999999999995</v>
      </c>
      <c r="F87" s="281"/>
      <c r="G87" s="281"/>
      <c r="H87" s="281"/>
      <c r="I87" s="499"/>
      <c r="J87" s="282"/>
      <c r="K87" s="287"/>
      <c r="L87" s="287"/>
      <c r="M87" s="287"/>
      <c r="N87" s="285"/>
      <c r="O87" s="285"/>
      <c r="P87" s="285"/>
      <c r="Q87" s="285"/>
      <c r="R87" s="263"/>
      <c r="S87" s="868"/>
      <c r="T87" s="582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499"/>
      <c r="J88" s="282"/>
      <c r="K88" s="284"/>
      <c r="L88" s="284"/>
      <c r="M88" s="284"/>
      <c r="N88" s="285"/>
      <c r="O88" s="285"/>
      <c r="P88" s="285"/>
      <c r="Q88" s="285"/>
      <c r="R88" s="263"/>
      <c r="S88" s="868"/>
      <c r="T88" s="500">
        <f>T86/T87</f>
        <v>-28619.897317425119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868"/>
      <c r="T89" s="347">
        <f>'Weighted Revenue Growth'!J25+1</f>
        <v>1.0131154664126296</v>
      </c>
      <c r="V89" s="541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869"/>
      <c r="T90" s="842">
        <f>T88/T89</f>
        <v>-28249.39334779495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4" customFormat="1" ht="46.5" customHeight="1">
      <c r="A92" s="547"/>
      <c r="B92" s="547"/>
      <c r="C92" s="920"/>
      <c r="D92" s="920"/>
      <c r="E92" s="920"/>
      <c r="F92" s="920"/>
      <c r="G92" s="920"/>
      <c r="H92" s="920"/>
      <c r="I92" s="920"/>
      <c r="J92" s="920"/>
      <c r="K92" s="920"/>
      <c r="L92" s="920"/>
      <c r="M92" s="920"/>
      <c r="N92" s="920"/>
      <c r="O92" s="920"/>
      <c r="P92" s="920"/>
      <c r="Q92" s="920"/>
      <c r="R92" s="547"/>
      <c r="S92" s="547"/>
      <c r="T92" s="547"/>
    </row>
    <row r="93" spans="1:23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0"/>
    </row>
    <row r="95" spans="1:23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6">
      <c r="C97" s="51"/>
      <c r="E97" s="48"/>
      <c r="F97" s="51"/>
      <c r="G97" s="51"/>
      <c r="H97" s="51"/>
      <c r="I97" s="498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6">
      <c r="C98" s="51"/>
      <c r="E98" s="48"/>
      <c r="F98" s="51"/>
      <c r="G98" s="51"/>
      <c r="H98" s="51"/>
      <c r="I98" s="498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6">
      <c r="C100" s="51"/>
      <c r="E100" s="48"/>
      <c r="F100" s="51"/>
      <c r="G100" s="51"/>
      <c r="H100" s="51"/>
      <c r="I100" s="498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0"/>
    </row>
    <row r="105" spans="3:22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0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0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0"/>
      <c r="O184" s="800"/>
      <c r="P184" s="800"/>
      <c r="Q184" s="800"/>
      <c r="R184" s="800"/>
      <c r="S184" s="800"/>
      <c r="T184" s="800"/>
      <c r="U184" s="800"/>
      <c r="V184" s="800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40" zoomScale="60" zoomScaleNormal="100" workbookViewId="0">
      <selection activeCell="H36" sqref="H36"/>
    </sheetView>
  </sheetViews>
  <sheetFormatPr defaultColWidth="8.88671875" defaultRowHeight="13.2"/>
  <cols>
    <col min="1" max="1" width="8.88671875" style="631"/>
    <col min="2" max="2" width="12.33203125" style="631" customWidth="1"/>
    <col min="3" max="16384" width="8.88671875" style="631"/>
  </cols>
  <sheetData>
    <row r="1" spans="1:8" hidden="1">
      <c r="C1" s="805">
        <v>2009</v>
      </c>
      <c r="D1" s="805">
        <v>2010</v>
      </c>
      <c r="E1" s="805">
        <v>2011</v>
      </c>
      <c r="F1" s="805">
        <v>2012</v>
      </c>
      <c r="G1" s="805">
        <v>2013</v>
      </c>
      <c r="H1" s="805">
        <v>2014</v>
      </c>
    </row>
    <row r="2" spans="1:8" hidden="1">
      <c r="A2" s="631" t="s">
        <v>60</v>
      </c>
    </row>
    <row r="3" spans="1:8" hidden="1">
      <c r="B3" s="631" t="s">
        <v>59</v>
      </c>
      <c r="C3" s="631">
        <v>57116</v>
      </c>
      <c r="D3" s="631">
        <v>81955</v>
      </c>
      <c r="E3" s="631">
        <v>84081</v>
      </c>
      <c r="F3" s="631">
        <v>85247</v>
      </c>
      <c r="G3" s="631">
        <v>91466</v>
      </c>
      <c r="H3" s="631">
        <v>102620</v>
      </c>
    </row>
    <row r="4" spans="1:8" hidden="1">
      <c r="B4" s="631" t="s">
        <v>58</v>
      </c>
      <c r="C4" s="631">
        <v>677646</v>
      </c>
      <c r="D4" s="631">
        <v>692689</v>
      </c>
      <c r="E4" s="631">
        <v>706894</v>
      </c>
      <c r="F4" s="631">
        <v>717448</v>
      </c>
      <c r="G4" s="631">
        <v>738315</v>
      </c>
      <c r="H4" s="631">
        <v>746101</v>
      </c>
    </row>
    <row r="5" spans="1:8" hidden="1">
      <c r="B5" s="631" t="s">
        <v>57</v>
      </c>
      <c r="C5" s="631">
        <v>301090</v>
      </c>
      <c r="D5" s="631">
        <v>312505</v>
      </c>
      <c r="E5" s="631">
        <v>328012</v>
      </c>
      <c r="F5" s="631">
        <v>342382</v>
      </c>
      <c r="G5" s="631">
        <v>359941</v>
      </c>
      <c r="H5" s="631">
        <v>371971</v>
      </c>
    </row>
    <row r="6" spans="1:8" hidden="1">
      <c r="B6" s="631" t="s">
        <v>56</v>
      </c>
      <c r="C6" s="631">
        <v>602201</v>
      </c>
      <c r="D6" s="631">
        <v>642143</v>
      </c>
      <c r="E6" s="631">
        <v>696082</v>
      </c>
      <c r="F6" s="631">
        <v>743732</v>
      </c>
      <c r="G6" s="631">
        <v>796640</v>
      </c>
      <c r="H6" s="631">
        <v>842795</v>
      </c>
    </row>
    <row r="7" spans="1:8" hidden="1">
      <c r="B7" s="806" t="s">
        <v>55</v>
      </c>
      <c r="C7" s="806">
        <v>98727</v>
      </c>
      <c r="D7" s="806">
        <v>120996</v>
      </c>
      <c r="E7" s="806">
        <v>140218</v>
      </c>
      <c r="F7" s="806">
        <v>155104</v>
      </c>
      <c r="G7" s="806">
        <v>179134</v>
      </c>
      <c r="H7" s="806">
        <v>196867</v>
      </c>
    </row>
    <row r="8" spans="1:8" hidden="1">
      <c r="A8" s="631" t="s">
        <v>701</v>
      </c>
    </row>
    <row r="9" spans="1:8" hidden="1">
      <c r="B9" s="631" t="s">
        <v>59</v>
      </c>
      <c r="C9" s="631">
        <v>9302</v>
      </c>
      <c r="D9" s="631">
        <v>12606</v>
      </c>
      <c r="E9" s="631">
        <v>3744</v>
      </c>
      <c r="F9" s="631">
        <v>4369</v>
      </c>
      <c r="G9" s="631">
        <v>17667</v>
      </c>
      <c r="H9" s="631">
        <v>20242</v>
      </c>
    </row>
    <row r="10" spans="1:8" hidden="1">
      <c r="B10" s="631" t="s">
        <v>58</v>
      </c>
      <c r="C10" s="631">
        <v>255390</v>
      </c>
      <c r="D10" s="631">
        <v>272340</v>
      </c>
      <c r="E10" s="631">
        <v>286300</v>
      </c>
      <c r="F10" s="631">
        <v>300170</v>
      </c>
      <c r="G10" s="631">
        <v>314599</v>
      </c>
      <c r="H10" s="631">
        <v>325531</v>
      </c>
    </row>
    <row r="11" spans="1:8" hidden="1">
      <c r="B11" s="631" t="s">
        <v>57</v>
      </c>
      <c r="C11" s="631">
        <v>100649</v>
      </c>
      <c r="D11" s="631">
        <v>106041</v>
      </c>
      <c r="E11" s="631">
        <v>111144</v>
      </c>
      <c r="F11" s="631">
        <v>116316</v>
      </c>
      <c r="G11" s="631">
        <v>122308</v>
      </c>
      <c r="H11" s="631">
        <v>123869</v>
      </c>
    </row>
    <row r="12" spans="1:8" hidden="1">
      <c r="B12" s="631" t="s">
        <v>56</v>
      </c>
      <c r="C12" s="631">
        <v>181327</v>
      </c>
      <c r="D12" s="631">
        <v>194593</v>
      </c>
      <c r="E12" s="631">
        <v>209101</v>
      </c>
      <c r="F12" s="631">
        <v>221408</v>
      </c>
      <c r="G12" s="631">
        <v>236201</v>
      </c>
      <c r="H12" s="631">
        <v>252722</v>
      </c>
    </row>
    <row r="13" spans="1:8" hidden="1">
      <c r="B13" s="806" t="s">
        <v>55</v>
      </c>
      <c r="C13" s="806">
        <v>39153</v>
      </c>
      <c r="D13" s="806">
        <v>43819</v>
      </c>
      <c r="E13" s="806">
        <v>56694</v>
      </c>
      <c r="F13" s="806">
        <v>61871</v>
      </c>
      <c r="G13" s="806">
        <v>58357</v>
      </c>
      <c r="H13" s="806">
        <v>65720</v>
      </c>
    </row>
    <row r="14" spans="1:8" hidden="1"/>
    <row r="15" spans="1:8">
      <c r="A15" s="631" t="s">
        <v>702</v>
      </c>
      <c r="C15" s="805">
        <v>2009</v>
      </c>
      <c r="D15" s="805">
        <v>2010</v>
      </c>
      <c r="E15" s="805">
        <v>2011</v>
      </c>
      <c r="F15" s="805">
        <v>2012</v>
      </c>
      <c r="G15" s="805">
        <v>2013</v>
      </c>
      <c r="H15" s="805">
        <v>2014</v>
      </c>
    </row>
    <row r="16" spans="1:8">
      <c r="B16" s="631" t="s">
        <v>59</v>
      </c>
      <c r="C16" s="631">
        <f t="shared" ref="C16:H20" si="0">C3-C9</f>
        <v>47814</v>
      </c>
      <c r="D16" s="631">
        <f t="shared" si="0"/>
        <v>69349</v>
      </c>
      <c r="E16" s="631">
        <f t="shared" si="0"/>
        <v>80337</v>
      </c>
      <c r="F16" s="631">
        <f t="shared" si="0"/>
        <v>80878</v>
      </c>
      <c r="G16" s="631">
        <f t="shared" si="0"/>
        <v>73799</v>
      </c>
      <c r="H16" s="631">
        <f t="shared" si="0"/>
        <v>82378</v>
      </c>
    </row>
    <row r="17" spans="2:8">
      <c r="B17" s="631" t="s">
        <v>58</v>
      </c>
      <c r="C17" s="631">
        <f t="shared" si="0"/>
        <v>422256</v>
      </c>
      <c r="D17" s="631">
        <f t="shared" si="0"/>
        <v>420349</v>
      </c>
      <c r="E17" s="631">
        <f t="shared" si="0"/>
        <v>420594</v>
      </c>
      <c r="F17" s="631">
        <f t="shared" si="0"/>
        <v>417278</v>
      </c>
      <c r="G17" s="631">
        <f t="shared" si="0"/>
        <v>423716</v>
      </c>
      <c r="H17" s="631">
        <f t="shared" si="0"/>
        <v>420570</v>
      </c>
    </row>
    <row r="18" spans="2:8">
      <c r="B18" s="631" t="s">
        <v>57</v>
      </c>
      <c r="C18" s="631">
        <f t="shared" si="0"/>
        <v>200441</v>
      </c>
      <c r="D18" s="631">
        <f t="shared" si="0"/>
        <v>206464</v>
      </c>
      <c r="E18" s="631">
        <f t="shared" si="0"/>
        <v>216868</v>
      </c>
      <c r="F18" s="631">
        <f t="shared" si="0"/>
        <v>226066</v>
      </c>
      <c r="G18" s="631">
        <f t="shared" si="0"/>
        <v>237633</v>
      </c>
      <c r="H18" s="631">
        <f t="shared" si="0"/>
        <v>248102</v>
      </c>
    </row>
    <row r="19" spans="2:8">
      <c r="B19" s="631" t="s">
        <v>56</v>
      </c>
      <c r="C19" s="631">
        <f t="shared" si="0"/>
        <v>420874</v>
      </c>
      <c r="D19" s="631">
        <f t="shared" si="0"/>
        <v>447550</v>
      </c>
      <c r="E19" s="631">
        <f t="shared" si="0"/>
        <v>486981</v>
      </c>
      <c r="F19" s="631">
        <f t="shared" si="0"/>
        <v>522324</v>
      </c>
      <c r="G19" s="631">
        <f t="shared" si="0"/>
        <v>560439</v>
      </c>
      <c r="H19" s="631">
        <f t="shared" si="0"/>
        <v>590073</v>
      </c>
    </row>
    <row r="20" spans="2:8">
      <c r="B20" s="631" t="s">
        <v>55</v>
      </c>
      <c r="C20" s="806">
        <f t="shared" si="0"/>
        <v>59574</v>
      </c>
      <c r="D20" s="806">
        <f t="shared" si="0"/>
        <v>77177</v>
      </c>
      <c r="E20" s="806">
        <f t="shared" si="0"/>
        <v>83524</v>
      </c>
      <c r="F20" s="806">
        <f t="shared" si="0"/>
        <v>93233</v>
      </c>
      <c r="G20" s="806">
        <f t="shared" si="0"/>
        <v>120777</v>
      </c>
      <c r="H20" s="806">
        <f t="shared" si="0"/>
        <v>131147</v>
      </c>
    </row>
    <row r="23" spans="2:8" hidden="1">
      <c r="C23" s="805">
        <v>2009</v>
      </c>
      <c r="D23" s="805">
        <v>2010</v>
      </c>
      <c r="E23" s="805">
        <v>2011</v>
      </c>
      <c r="F23" s="805">
        <v>2012</v>
      </c>
      <c r="G23" s="805">
        <v>2013</v>
      </c>
      <c r="H23" s="805">
        <v>2014</v>
      </c>
    </row>
    <row r="24" spans="2:8" hidden="1">
      <c r="B24" s="631" t="s">
        <v>59</v>
      </c>
      <c r="C24" s="631">
        <v>47814</v>
      </c>
      <c r="D24" s="631">
        <v>69349</v>
      </c>
      <c r="E24" s="631">
        <v>80337</v>
      </c>
      <c r="F24" s="631">
        <v>80878</v>
      </c>
      <c r="G24" s="631">
        <v>73799</v>
      </c>
      <c r="H24" s="631">
        <v>82378</v>
      </c>
    </row>
    <row r="25" spans="2:8" hidden="1">
      <c r="B25" s="631" t="s">
        <v>55</v>
      </c>
      <c r="C25" s="631">
        <v>59574</v>
      </c>
      <c r="D25" s="631">
        <v>77177</v>
      </c>
      <c r="E25" s="631">
        <v>83524</v>
      </c>
      <c r="F25" s="631">
        <v>93233</v>
      </c>
      <c r="G25" s="631">
        <v>120777</v>
      </c>
      <c r="H25" s="631">
        <v>131147</v>
      </c>
    </row>
    <row r="26" spans="2:8" hidden="1">
      <c r="C26" s="805">
        <v>2009</v>
      </c>
      <c r="D26" s="805">
        <v>2010</v>
      </c>
      <c r="E26" s="805">
        <v>2011</v>
      </c>
      <c r="F26" s="805">
        <v>2012</v>
      </c>
      <c r="G26" s="805">
        <v>2013</v>
      </c>
      <c r="H26" s="805">
        <v>2014</v>
      </c>
    </row>
    <row r="27" spans="2:8" hidden="1">
      <c r="B27" s="631" t="s">
        <v>58</v>
      </c>
      <c r="C27" s="631">
        <v>422256</v>
      </c>
      <c r="D27" s="631">
        <v>420349</v>
      </c>
      <c r="E27" s="631">
        <v>420594</v>
      </c>
      <c r="F27" s="631">
        <v>417278</v>
      </c>
      <c r="G27" s="631">
        <v>423716</v>
      </c>
      <c r="H27" s="631">
        <v>420570</v>
      </c>
    </row>
    <row r="28" spans="2:8" hidden="1">
      <c r="B28" s="631" t="s">
        <v>56</v>
      </c>
      <c r="C28" s="631">
        <v>420874</v>
      </c>
      <c r="D28" s="631">
        <v>447550</v>
      </c>
      <c r="E28" s="631">
        <v>486981</v>
      </c>
      <c r="F28" s="631">
        <v>522324</v>
      </c>
      <c r="G28" s="631">
        <v>560439</v>
      </c>
      <c r="H28" s="631">
        <v>590073</v>
      </c>
    </row>
    <row r="29" spans="2:8" hidden="1">
      <c r="C29" s="805">
        <v>2009</v>
      </c>
      <c r="D29" s="805">
        <v>2010</v>
      </c>
      <c r="E29" s="805">
        <v>2011</v>
      </c>
      <c r="F29" s="805">
        <v>2012</v>
      </c>
      <c r="G29" s="805">
        <v>2013</v>
      </c>
      <c r="H29" s="805">
        <v>2014</v>
      </c>
    </row>
    <row r="30" spans="2:8" hidden="1">
      <c r="B30" s="631" t="s">
        <v>57</v>
      </c>
      <c r="C30" s="631">
        <v>200441</v>
      </c>
      <c r="D30" s="631">
        <v>206464</v>
      </c>
      <c r="E30" s="631">
        <v>216868</v>
      </c>
      <c r="F30" s="631">
        <v>226066</v>
      </c>
      <c r="G30" s="631">
        <v>237633</v>
      </c>
      <c r="H30" s="631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K9" sqref="K9"/>
    </sheetView>
  </sheetViews>
  <sheetFormatPr defaultRowHeight="13.2"/>
  <cols>
    <col min="1" max="1" width="26.77734375" style="631" customWidth="1"/>
    <col min="2" max="2" width="9.77734375" style="631" bestFit="1" customWidth="1"/>
    <col min="3" max="16384" width="8.88671875" style="631"/>
  </cols>
  <sheetData>
    <row r="1" spans="1:9">
      <c r="B1" s="806">
        <v>2007</v>
      </c>
      <c r="C1" s="806">
        <v>2008</v>
      </c>
      <c r="D1" s="806">
        <v>2009</v>
      </c>
      <c r="E1" s="806">
        <v>2010</v>
      </c>
      <c r="F1" s="806">
        <v>2011</v>
      </c>
      <c r="G1" s="806">
        <v>2012</v>
      </c>
      <c r="H1" s="806">
        <v>2013</v>
      </c>
      <c r="I1" s="806">
        <v>2014</v>
      </c>
    </row>
    <row r="2" spans="1:9">
      <c r="A2" s="631" t="s">
        <v>232</v>
      </c>
      <c r="B2" s="850">
        <f>'Cost Trends'!M75</f>
        <v>1009868</v>
      </c>
      <c r="C2" s="850">
        <f>'Cost Trends'!N75</f>
        <v>1064749</v>
      </c>
      <c r="D2" s="850">
        <f>'Cost Trends'!O75</f>
        <v>1150959</v>
      </c>
      <c r="E2" s="850">
        <f>'Cost Trends'!P75</f>
        <v>1220889</v>
      </c>
      <c r="F2" s="850">
        <f>'Cost Trends'!Q75</f>
        <v>1288304</v>
      </c>
      <c r="G2" s="850">
        <f>'Cost Trends'!R75</f>
        <v>1339779</v>
      </c>
      <c r="H2" s="850">
        <f>'Cost Trends'!S75</f>
        <v>1416364</v>
      </c>
      <c r="I2" s="850">
        <f>'Cost Trends'!T75</f>
        <v>1472270</v>
      </c>
    </row>
    <row r="6" spans="1:9">
      <c r="A6" s="631" t="s">
        <v>750</v>
      </c>
      <c r="B6" s="631">
        <v>67009</v>
      </c>
      <c r="C6" s="631" t="s">
        <v>751</v>
      </c>
    </row>
    <row r="7" spans="1:9">
      <c r="A7" s="631" t="s">
        <v>752</v>
      </c>
      <c r="B7" s="631">
        <v>51080</v>
      </c>
      <c r="C7" s="631" t="s">
        <v>753</v>
      </c>
    </row>
    <row r="8" spans="1:9">
      <c r="A8" s="631" t="s">
        <v>754</v>
      </c>
      <c r="B8" s="631">
        <f>B7/B6</f>
        <v>0.76228566311987944</v>
      </c>
      <c r="C8" s="631" t="s">
        <v>755</v>
      </c>
    </row>
    <row r="10" spans="1:9">
      <c r="A10" s="631" t="s">
        <v>756</v>
      </c>
      <c r="B10" s="631">
        <v>34739</v>
      </c>
      <c r="C10" s="631" t="s">
        <v>757</v>
      </c>
    </row>
    <row r="11" spans="1:9">
      <c r="A11" s="631" t="s">
        <v>758</v>
      </c>
      <c r="B11" s="849">
        <f>B10*B8</f>
        <v>26481.041651121493</v>
      </c>
      <c r="C11" s="631" t="s">
        <v>759</v>
      </c>
    </row>
    <row r="13" spans="1:9">
      <c r="A13" s="631" t="s">
        <v>760</v>
      </c>
      <c r="B13" s="849">
        <f>B7-B11</f>
        <v>24598.958348878507</v>
      </c>
      <c r="C13" s="631" t="s">
        <v>761</v>
      </c>
    </row>
    <row r="35" spans="1:9">
      <c r="B35" s="806">
        <v>2007</v>
      </c>
      <c r="C35" s="806">
        <v>2008</v>
      </c>
      <c r="D35" s="806">
        <v>2009</v>
      </c>
      <c r="E35" s="806">
        <v>2010</v>
      </c>
      <c r="F35" s="806">
        <v>2011</v>
      </c>
      <c r="G35" s="806">
        <v>2012</v>
      </c>
      <c r="H35" s="806">
        <v>2013</v>
      </c>
      <c r="I35" s="806">
        <v>2014</v>
      </c>
    </row>
    <row r="36" spans="1:9">
      <c r="A36" s="631" t="s">
        <v>756</v>
      </c>
      <c r="B36" s="355"/>
      <c r="C36" s="355"/>
      <c r="D36" s="355"/>
      <c r="E36" s="355"/>
      <c r="F36" s="355">
        <f>'Cost Trends'!Q65-'Cost Trends'!Q72</f>
        <v>486981</v>
      </c>
      <c r="G36" s="355">
        <f>'Cost Trends'!R65-'Cost Trends'!R72</f>
        <v>522324</v>
      </c>
      <c r="H36" s="355">
        <f>'Cost Trends'!S65-'Cost Trends'!S72</f>
        <v>560439</v>
      </c>
      <c r="I36" s="355">
        <f>'Cost Trends'!T65-'Cost Trends'!T72</f>
        <v>590073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G6" sqref="G6"/>
    </sheetView>
  </sheetViews>
  <sheetFormatPr defaultRowHeight="13.2"/>
  <cols>
    <col min="1" max="1" width="25.33203125" customWidth="1"/>
    <col min="2" max="7" width="10.44140625" customWidth="1"/>
  </cols>
  <sheetData>
    <row r="1" spans="1:7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>
      <c r="A2" t="s">
        <v>699</v>
      </c>
      <c r="B2" s="355">
        <f>'Cost Trends'!O129</f>
        <v>987243</v>
      </c>
      <c r="C2" s="355">
        <f>'Cost Trends'!P129</f>
        <v>1036064</v>
      </c>
      <c r="D2" s="355">
        <f>'Cost Trends'!Q129</f>
        <v>1087141</v>
      </c>
      <c r="E2" s="355">
        <f>'Cost Trends'!R129</f>
        <v>1131570</v>
      </c>
      <c r="F2" s="355">
        <f>'Cost Trends'!S129</f>
        <v>1195010</v>
      </c>
      <c r="G2" s="355">
        <f>'Cost Trends'!T129+1741</f>
        <v>1216245</v>
      </c>
    </row>
    <row r="5" spans="1:7" ht="13.8" thickBot="1">
      <c r="A5" t="s">
        <v>709</v>
      </c>
      <c r="B5" s="2">
        <v>47608</v>
      </c>
      <c r="D5" s="631"/>
      <c r="E5" s="806" t="s">
        <v>762</v>
      </c>
      <c r="F5" s="806" t="s">
        <v>747</v>
      </c>
      <c r="G5" s="529" t="s">
        <v>748</v>
      </c>
    </row>
    <row r="6" spans="1:7" ht="13.8" thickBot="1">
      <c r="A6" t="s">
        <v>703</v>
      </c>
      <c r="B6" s="807">
        <f>B5/G2</f>
        <v>3.9143429161065411E-2</v>
      </c>
      <c r="D6" s="851" t="s">
        <v>749</v>
      </c>
      <c r="E6" s="849">
        <f>'remove dist'!B13</f>
        <v>24598.958348878507</v>
      </c>
      <c r="F6" s="852">
        <f>E6/G2</f>
        <v>2.0225331531787186E-2</v>
      </c>
      <c r="G6" s="853">
        <f>2*F6</f>
        <v>4.0450663063574373E-2</v>
      </c>
    </row>
    <row r="7" spans="1:7" ht="13.8" thickBot="1">
      <c r="A7" t="s">
        <v>710</v>
      </c>
      <c r="B7" s="813">
        <f>B6*2</f>
        <v>7.8286858322130823E-2</v>
      </c>
      <c r="C7" t="s">
        <v>764</v>
      </c>
      <c r="D7" s="631"/>
      <c r="E7" s="631" t="s">
        <v>763</v>
      </c>
      <c r="F7" s="631"/>
      <c r="G7" s="63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6.33203125" customWidth="1"/>
  </cols>
  <sheetData>
    <row r="1" spans="1:7">
      <c r="A1" s="631"/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>
      <c r="A2" s="631" t="s">
        <v>697</v>
      </c>
      <c r="B2" s="355">
        <f>'Cost Trends'!O110</f>
        <v>48466</v>
      </c>
      <c r="C2" s="355">
        <f>'Cost Trends'!P110</f>
        <v>52270</v>
      </c>
      <c r="D2" s="355">
        <f>'Cost Trends'!Q110</f>
        <v>55304</v>
      </c>
      <c r="E2" s="355">
        <f>'Cost Trends'!R110</f>
        <v>58946</v>
      </c>
      <c r="F2" s="355">
        <f>'Cost Trends'!S110</f>
        <v>60308</v>
      </c>
      <c r="G2" s="355">
        <f>'Cost Trends'!T110</f>
        <v>64456</v>
      </c>
    </row>
    <row r="5" spans="1:7">
      <c r="A5" s="631" t="s">
        <v>709</v>
      </c>
      <c r="B5" s="2">
        <v>3077.3</v>
      </c>
      <c r="C5" s="631"/>
    </row>
    <row r="6" spans="1:7" ht="13.8" thickBot="1">
      <c r="A6" s="631" t="s">
        <v>703</v>
      </c>
      <c r="B6" s="807">
        <f>B5/G2</f>
        <v>4.7742646146208267E-2</v>
      </c>
      <c r="C6" s="631"/>
    </row>
    <row r="7" spans="1:7" ht="13.8" thickBot="1">
      <c r="A7" s="631" t="s">
        <v>710</v>
      </c>
      <c r="B7" s="813">
        <f>B6*2</f>
        <v>9.5485292292416535E-2</v>
      </c>
      <c r="C7" s="631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H36" sqref="H36"/>
    </sheetView>
  </sheetViews>
  <sheetFormatPr defaultRowHeight="13.2"/>
  <cols>
    <col min="1" max="1" width="25.5546875" customWidth="1"/>
  </cols>
  <sheetData>
    <row r="1" spans="1:7" s="631" customFormat="1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 s="631" customFormat="1">
      <c r="A2" s="631" t="s">
        <v>698</v>
      </c>
      <c r="B2" s="355">
        <f>'Cost Trends'!O126</f>
        <v>26617.424405821377</v>
      </c>
      <c r="C2" s="355">
        <f>'Cost Trends'!P126</f>
        <v>29412.477627473563</v>
      </c>
      <c r="D2" s="355">
        <f>'Cost Trends'!Q126</f>
        <v>32613.966947797297</v>
      </c>
      <c r="E2" s="355">
        <f>'Cost Trends'!R126</f>
        <v>33700.549684624653</v>
      </c>
      <c r="F2" s="355">
        <f>'Cost Trends'!S126</f>
        <v>36201</v>
      </c>
      <c r="G2" s="355">
        <f>'Cost Trends'!T126</f>
        <v>38403</v>
      </c>
    </row>
    <row r="5" spans="1:7">
      <c r="A5" s="631" t="s">
        <v>709</v>
      </c>
      <c r="B5" s="2">
        <v>2296.6</v>
      </c>
      <c r="C5" s="631"/>
    </row>
    <row r="6" spans="1:7" ht="13.8" thickBot="1">
      <c r="A6" s="631" t="s">
        <v>703</v>
      </c>
      <c r="B6" s="807">
        <f>B5/G2</f>
        <v>5.9802619587011427E-2</v>
      </c>
      <c r="C6" s="631"/>
    </row>
    <row r="7" spans="1:7" ht="13.8" thickBot="1">
      <c r="A7" s="631" t="s">
        <v>710</v>
      </c>
      <c r="B7" s="813">
        <f>B6*2</f>
        <v>0.11960523917402285</v>
      </c>
      <c r="C7" s="631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3.2"/>
  <cols>
    <col min="1" max="1" width="25.6640625" customWidth="1"/>
  </cols>
  <sheetData>
    <row r="1" spans="1:7" s="631" customFormat="1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7">
      <c r="A2" t="s">
        <v>700</v>
      </c>
      <c r="B2" s="355">
        <f>'Cost Trends'!O139</f>
        <v>2813.6201999999994</v>
      </c>
      <c r="C2" s="355">
        <f>'Cost Trends'!P139</f>
        <v>2813.1288000000004</v>
      </c>
      <c r="D2" s="355">
        <f>'Cost Trends'!Q139</f>
        <v>2812.3060000000005</v>
      </c>
      <c r="E2" s="355">
        <f>'Cost Trends'!R139</f>
        <v>3314.6805999999997</v>
      </c>
      <c r="F2" s="355">
        <f>'Cost Trends'!S139</f>
        <v>3464</v>
      </c>
      <c r="G2" s="355">
        <f>'Cost Trends'!T139</f>
        <v>3478.1931000000004</v>
      </c>
    </row>
    <row r="5" spans="1:7">
      <c r="A5" s="631" t="s">
        <v>709</v>
      </c>
      <c r="B5" s="2">
        <f>165.08</f>
        <v>165.08</v>
      </c>
      <c r="C5" s="631"/>
    </row>
    <row r="6" spans="1:7">
      <c r="A6" s="631" t="s">
        <v>703</v>
      </c>
      <c r="B6" s="807">
        <f>B5/G2</f>
        <v>4.7461424726534016E-2</v>
      </c>
      <c r="C6" s="631"/>
    </row>
    <row r="7" spans="1:7">
      <c r="A7" s="631" t="s">
        <v>710</v>
      </c>
      <c r="B7" s="807">
        <f>B6*2</f>
        <v>9.4922849453068031E-2</v>
      </c>
      <c r="C7" s="631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8" sqref="H8"/>
    </sheetView>
  </sheetViews>
  <sheetFormatPr defaultRowHeight="13.2"/>
  <cols>
    <col min="1" max="1" width="35.109375" customWidth="1"/>
    <col min="2" max="2" width="9.109375" customWidth="1"/>
    <col min="3" max="4" width="9.5546875" customWidth="1"/>
    <col min="5" max="7" width="9.109375" customWidth="1"/>
  </cols>
  <sheetData>
    <row r="1" spans="1:8">
      <c r="B1" s="805">
        <v>2009</v>
      </c>
      <c r="C1" s="805">
        <v>2010</v>
      </c>
      <c r="D1" s="805">
        <v>2011</v>
      </c>
      <c r="E1" s="805">
        <v>2012</v>
      </c>
      <c r="F1" s="805">
        <v>2013</v>
      </c>
      <c r="G1" s="805">
        <v>2014</v>
      </c>
    </row>
    <row r="2" spans="1:8">
      <c r="A2" t="s">
        <v>724</v>
      </c>
      <c r="B2" s="355">
        <f>'Cost Trends'!O103</f>
        <v>108289.20367903885</v>
      </c>
      <c r="C2" s="355">
        <f>'Cost Trends'!P103</f>
        <v>113649.52340035603</v>
      </c>
      <c r="F2" s="355">
        <f>'Cost Trends'!S103</f>
        <v>128510</v>
      </c>
      <c r="G2" s="355">
        <f>'Cost Trends'!T103</f>
        <v>130891</v>
      </c>
      <c r="H2" s="355"/>
    </row>
    <row r="3" spans="1:8">
      <c r="A3" s="631" t="s">
        <v>725</v>
      </c>
      <c r="D3" s="355">
        <f>'Cost Trends'!Q103</f>
        <v>123418.7529832047</v>
      </c>
      <c r="E3" s="355">
        <f>'Cost Trends'!R103</f>
        <v>134594.49114962851</v>
      </c>
    </row>
    <row r="4" spans="1:8">
      <c r="A4" s="631" t="s">
        <v>726</v>
      </c>
      <c r="F4" s="355">
        <f>'Cost Trends'!S103</f>
        <v>128510</v>
      </c>
      <c r="G4" s="355">
        <f>'Cost Trends'!T103</f>
        <v>130891</v>
      </c>
    </row>
    <row r="6" spans="1:8">
      <c r="A6" s="631"/>
      <c r="B6" s="812" t="s">
        <v>705</v>
      </c>
      <c r="C6" s="805" t="s">
        <v>706</v>
      </c>
      <c r="D6" s="805" t="s">
        <v>707</v>
      </c>
    </row>
    <row r="7" spans="1:8">
      <c r="A7" s="631" t="s">
        <v>711</v>
      </c>
      <c r="B7" s="808">
        <v>2381</v>
      </c>
      <c r="C7" s="807">
        <f>B7/G4</f>
        <v>1.8190708299271913E-2</v>
      </c>
      <c r="D7" s="807">
        <f>2*C7</f>
        <v>3.6381416598543825E-2</v>
      </c>
      <c r="F7" s="687"/>
      <c r="G7" s="844" t="s">
        <v>747</v>
      </c>
      <c r="H7" s="844" t="s">
        <v>748</v>
      </c>
    </row>
    <row r="8" spans="1:8" ht="13.8" thickBot="1">
      <c r="A8" s="806" t="s">
        <v>723</v>
      </c>
      <c r="B8" s="809">
        <f>C8*G2</f>
        <v>3926.73</v>
      </c>
      <c r="C8" s="810">
        <v>0.03</v>
      </c>
      <c r="D8" s="814">
        <f>C8*2</f>
        <v>0.06</v>
      </c>
      <c r="F8" s="845" t="s">
        <v>749</v>
      </c>
      <c r="G8" s="846">
        <v>3.2099999999999997E-2</v>
      </c>
      <c r="H8" s="847">
        <f>2*G8</f>
        <v>6.4199999999999993E-2</v>
      </c>
    </row>
    <row r="9" spans="1:8" ht="13.8" thickBot="1">
      <c r="A9" s="811" t="s">
        <v>31</v>
      </c>
      <c r="C9" s="807">
        <f>AVERAGE(C7:C8)</f>
        <v>2.4095354149635956E-2</v>
      </c>
      <c r="D9" s="813">
        <f>AVERAGE(D7:D8)</f>
        <v>4.8190708299271912E-2</v>
      </c>
    </row>
    <row r="12" spans="1:8">
      <c r="E12" s="631"/>
      <c r="F12" s="2"/>
    </row>
    <row r="13" spans="1:8">
      <c r="E13" s="631"/>
      <c r="F13" s="807"/>
    </row>
    <row r="14" spans="1:8">
      <c r="E14" s="631"/>
      <c r="F14" s="807"/>
    </row>
    <row r="29" s="631" customFormat="1"/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0"/>
      <c r="B1" s="926" t="s">
        <v>487</v>
      </c>
      <c r="C1" s="926"/>
      <c r="D1" s="926"/>
      <c r="E1" s="926"/>
      <c r="F1" s="926"/>
      <c r="G1" s="926"/>
      <c r="H1" s="926"/>
      <c r="I1" s="926"/>
      <c r="J1" s="926"/>
      <c r="K1" s="540"/>
      <c r="L1" s="540"/>
      <c r="M1" s="540"/>
      <c r="N1" s="540"/>
      <c r="P1" s="41"/>
      <c r="Q1" s="84"/>
    </row>
    <row r="2" spans="1:30" ht="21" thickBot="1">
      <c r="B2" s="930" t="s">
        <v>509</v>
      </c>
      <c r="C2" s="930"/>
      <c r="D2" s="930"/>
      <c r="E2" s="930"/>
      <c r="F2" s="930"/>
      <c r="G2" s="930"/>
      <c r="H2" s="930"/>
      <c r="I2" s="930"/>
      <c r="J2" s="930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6"/>
      <c r="V4" s="485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6"/>
      <c r="V5" s="486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4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0"/>
      <c r="U7" s="483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0"/>
      <c r="U8" s="483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0"/>
      <c r="U9" s="483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0"/>
      <c r="U10" s="483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0"/>
      <c r="U11" s="483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3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3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3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3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3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3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3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3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3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4"/>
      <c r="F24" s="324"/>
      <c r="G24" s="325"/>
      <c r="H24" s="404"/>
      <c r="I24" s="326"/>
      <c r="J24" s="316"/>
      <c r="M24" s="542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0">
        <f>SUM(H7:H24)</f>
        <v>499981654.66026521</v>
      </c>
      <c r="I25" s="315">
        <f>SUM(I7:I24)</f>
        <v>1</v>
      </c>
      <c r="J25" s="488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0"/>
      <c r="I26" s="314"/>
      <c r="J26" s="328"/>
    </row>
    <row r="27" spans="1:30">
      <c r="A27" s="188"/>
      <c r="B27" s="436" t="s">
        <v>130</v>
      </c>
      <c r="C27" s="437"/>
      <c r="D27" s="437"/>
      <c r="E27" s="405">
        <f>SUM(E7:E12)</f>
        <v>2880197</v>
      </c>
      <c r="F27" s="405">
        <f>SUM(F7:F12)</f>
        <v>2951000.4746567658</v>
      </c>
      <c r="G27" s="438">
        <f t="shared" ref="G27:G29" si="8">(F27-E27)/E27</f>
        <v>2.4582858275585252E-2</v>
      </c>
      <c r="H27" s="439"/>
      <c r="I27" s="438"/>
      <c r="J27" s="440"/>
    </row>
    <row r="28" spans="1:30">
      <c r="A28" s="188"/>
      <c r="B28" s="441" t="s">
        <v>131</v>
      </c>
      <c r="C28" s="306"/>
      <c r="D28" s="306"/>
      <c r="E28" s="406">
        <f>SUM(E13:E18)</f>
        <v>5653834483</v>
      </c>
      <c r="F28" s="406">
        <f>SUM(F13:F18)</f>
        <v>5742036313.6070423</v>
      </c>
      <c r="G28" s="315">
        <f t="shared" si="8"/>
        <v>1.5600355983580411E-2</v>
      </c>
      <c r="H28" s="442"/>
      <c r="I28" s="316"/>
      <c r="J28" s="443"/>
    </row>
    <row r="29" spans="1:30">
      <c r="A29" s="188"/>
      <c r="B29" s="441" t="s">
        <v>132</v>
      </c>
      <c r="C29" s="306"/>
      <c r="D29" s="306"/>
      <c r="E29" s="406">
        <f>SUM(E19:E24)</f>
        <v>4427203</v>
      </c>
      <c r="F29" s="406">
        <f>SUM(F19:F24)</f>
        <v>4230267.041666667</v>
      </c>
      <c r="G29" s="315">
        <f t="shared" si="8"/>
        <v>-4.4483155241206024E-2</v>
      </c>
      <c r="H29" s="442"/>
      <c r="I29" s="316"/>
      <c r="J29" s="443"/>
    </row>
    <row r="30" spans="1:30" ht="15" thickBot="1">
      <c r="A30" s="188"/>
      <c r="B30" s="444"/>
      <c r="C30" s="445"/>
      <c r="D30" s="445"/>
      <c r="E30" s="407"/>
      <c r="F30" s="407"/>
      <c r="G30" s="446"/>
      <c r="H30" s="407"/>
      <c r="I30" s="446"/>
      <c r="J30" s="447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48"/>
      <c r="I32" s="449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55" zoomScaleNormal="100" zoomScaleSheetLayoutView="100" workbookViewId="0">
      <selection activeCell="T1" sqref="T1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16384" width="12.44140625" style="40"/>
  </cols>
  <sheetData>
    <row r="1" spans="1:21" ht="7.5" customHeight="1">
      <c r="A1" s="926"/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</row>
    <row r="2" spans="1:21" ht="23.25" customHeight="1">
      <c r="A2" s="933" t="s">
        <v>494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</row>
    <row r="3" spans="1:21" ht="10.95" customHeight="1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</row>
    <row r="4" spans="1:21" ht="12.75" customHeight="1">
      <c r="A4" s="363" t="s">
        <v>94</v>
      </c>
      <c r="E4" s="935" t="s">
        <v>422</v>
      </c>
      <c r="F4" s="935"/>
      <c r="G4" s="935"/>
      <c r="H4" s="935"/>
      <c r="I4" s="936"/>
      <c r="J4" s="935"/>
      <c r="K4" s="935"/>
      <c r="L4" s="935"/>
      <c r="M4" s="935"/>
      <c r="N4" s="935"/>
      <c r="O4" s="935"/>
      <c r="P4" s="935"/>
      <c r="Q4" s="935"/>
      <c r="R4" s="935"/>
    </row>
    <row r="5" spans="1:21" ht="15" customHeight="1">
      <c r="A5" s="363" t="s">
        <v>502</v>
      </c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3.2">
      <c r="A7" s="363" t="s">
        <v>93</v>
      </c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42"/>
      <c r="T7" s="722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1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5">
        <f>SUM(F10:F12)</f>
        <v>380192</v>
      </c>
      <c r="G13" s="425">
        <f t="shared" ref="G13:R13" si="0">SUM(G10:G12)</f>
        <v>350117</v>
      </c>
      <c r="H13" s="425">
        <f t="shared" si="0"/>
        <v>304027</v>
      </c>
      <c r="I13" s="425">
        <f t="shared" si="0"/>
        <v>319360</v>
      </c>
      <c r="J13" s="425">
        <f t="shared" si="0"/>
        <v>326611</v>
      </c>
      <c r="K13" s="425">
        <f t="shared" si="0"/>
        <v>334647</v>
      </c>
      <c r="L13" s="425">
        <f t="shared" si="0"/>
        <v>358042</v>
      </c>
      <c r="M13" s="425">
        <f t="shared" si="0"/>
        <v>362028</v>
      </c>
      <c r="N13" s="425">
        <f t="shared" si="0"/>
        <v>413093</v>
      </c>
      <c r="O13" s="425">
        <f t="shared" si="0"/>
        <v>434980.5491</v>
      </c>
      <c r="P13" s="425">
        <f t="shared" si="0"/>
        <v>550008.97036319994</v>
      </c>
      <c r="Q13" s="425">
        <f t="shared" si="0"/>
        <v>505261</v>
      </c>
      <c r="R13" s="425">
        <f t="shared" si="0"/>
        <v>514631</v>
      </c>
      <c r="S13" s="425">
        <f t="shared" ref="S13:T13" si="1">SUM(S10:S12)</f>
        <v>544239</v>
      </c>
      <c r="T13" s="425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5">
        <f>SUM(F13:F14)</f>
        <v>393254</v>
      </c>
      <c r="G15" s="425">
        <f t="shared" ref="G15:R15" si="2">SUM(G13:G14)</f>
        <v>364422</v>
      </c>
      <c r="H15" s="425">
        <f t="shared" si="2"/>
        <v>338301</v>
      </c>
      <c r="I15" s="425">
        <f t="shared" si="2"/>
        <v>376604</v>
      </c>
      <c r="J15" s="425">
        <f t="shared" si="2"/>
        <v>335198</v>
      </c>
      <c r="K15" s="425">
        <f t="shared" si="2"/>
        <v>344906</v>
      </c>
      <c r="L15" s="425">
        <f t="shared" si="2"/>
        <v>368220</v>
      </c>
      <c r="M15" s="425">
        <f t="shared" si="2"/>
        <v>372198</v>
      </c>
      <c r="N15" s="425">
        <f t="shared" si="2"/>
        <v>424020</v>
      </c>
      <c r="O15" s="425">
        <f t="shared" si="2"/>
        <v>444375.5491</v>
      </c>
      <c r="P15" s="425">
        <f t="shared" si="2"/>
        <v>561794.97036319994</v>
      </c>
      <c r="Q15" s="425">
        <f t="shared" si="2"/>
        <v>518927</v>
      </c>
      <c r="R15" s="425">
        <f t="shared" si="2"/>
        <v>527720</v>
      </c>
      <c r="S15" s="425">
        <f t="shared" ref="S15:T15" si="3">SUM(S13:S14)</f>
        <v>557647</v>
      </c>
      <c r="T15" s="425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6">
        <f>SUM(F19:F23)</f>
        <v>266142</v>
      </c>
      <c r="G24" s="426">
        <f t="shared" ref="G24:R24" si="4">SUM(G19:G23)</f>
        <v>193607</v>
      </c>
      <c r="H24" s="426">
        <f t="shared" si="4"/>
        <v>173216</v>
      </c>
      <c r="I24" s="426">
        <f t="shared" si="4"/>
        <v>200326</v>
      </c>
      <c r="J24" s="426">
        <f t="shared" si="4"/>
        <v>182749</v>
      </c>
      <c r="K24" s="426">
        <f t="shared" si="4"/>
        <v>184132</v>
      </c>
      <c r="L24" s="426">
        <f t="shared" si="4"/>
        <v>218266</v>
      </c>
      <c r="M24" s="426">
        <f t="shared" si="4"/>
        <v>198644</v>
      </c>
      <c r="N24" s="426">
        <f t="shared" si="4"/>
        <v>219777</v>
      </c>
      <c r="O24" s="426">
        <f t="shared" si="4"/>
        <v>219316</v>
      </c>
      <c r="P24" s="426">
        <f t="shared" si="4"/>
        <v>321388</v>
      </c>
      <c r="Q24" s="426">
        <f t="shared" si="4"/>
        <v>273183</v>
      </c>
      <c r="R24" s="426">
        <f t="shared" si="4"/>
        <v>262470</v>
      </c>
      <c r="S24" s="426">
        <f t="shared" ref="S24:T24" si="5">SUM(S19:S23)</f>
        <v>297764</v>
      </c>
      <c r="T24" s="426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3"/>
      <c r="T25" s="573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6">
        <f>SUM(F27:F29)</f>
        <v>30167</v>
      </c>
      <c r="G30" s="426">
        <f t="shared" ref="G30:R30" si="6">SUM(G27:G29)</f>
        <v>35200</v>
      </c>
      <c r="H30" s="426">
        <f t="shared" si="6"/>
        <v>36054</v>
      </c>
      <c r="I30" s="426">
        <f t="shared" si="6"/>
        <v>37209</v>
      </c>
      <c r="J30" s="426">
        <f t="shared" si="6"/>
        <v>39484</v>
      </c>
      <c r="K30" s="426">
        <f t="shared" si="6"/>
        <v>39650</v>
      </c>
      <c r="L30" s="426">
        <f t="shared" si="6"/>
        <v>42568</v>
      </c>
      <c r="M30" s="426">
        <f t="shared" si="6"/>
        <v>42052</v>
      </c>
      <c r="N30" s="426">
        <f t="shared" si="6"/>
        <v>50356</v>
      </c>
      <c r="O30" s="426">
        <f t="shared" si="6"/>
        <v>52283</v>
      </c>
      <c r="P30" s="426">
        <f t="shared" si="6"/>
        <v>56329</v>
      </c>
      <c r="Q30" s="426">
        <f t="shared" si="6"/>
        <v>60714.453812</v>
      </c>
      <c r="R30" s="426">
        <f t="shared" si="6"/>
        <v>64495.925350000005</v>
      </c>
      <c r="S30" s="426">
        <f t="shared" ref="S30:T30" si="7">SUM(S27:S29)</f>
        <v>66469</v>
      </c>
      <c r="T30" s="426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6">
        <f>SUM(F37:F39)</f>
        <v>34353</v>
      </c>
      <c r="G40" s="426">
        <f t="shared" ref="G40:R40" si="8">SUM(G37:G39)</f>
        <v>29518</v>
      </c>
      <c r="H40" s="426">
        <f t="shared" si="8"/>
        <v>36911</v>
      </c>
      <c r="I40" s="426">
        <f t="shared" si="8"/>
        <v>36814</v>
      </c>
      <c r="J40" s="426">
        <f t="shared" si="8"/>
        <v>38002</v>
      </c>
      <c r="K40" s="426">
        <f t="shared" si="8"/>
        <v>39676</v>
      </c>
      <c r="L40" s="426">
        <f t="shared" si="8"/>
        <v>39607</v>
      </c>
      <c r="M40" s="426">
        <f t="shared" si="8"/>
        <v>42574</v>
      </c>
      <c r="N40" s="426">
        <f t="shared" si="8"/>
        <v>43166</v>
      </c>
      <c r="O40" s="426">
        <f t="shared" si="8"/>
        <v>46146</v>
      </c>
      <c r="P40" s="426">
        <f t="shared" si="8"/>
        <v>53941</v>
      </c>
      <c r="Q40" s="426">
        <f t="shared" si="8"/>
        <v>55685.252</v>
      </c>
      <c r="R40" s="426">
        <f t="shared" si="8"/>
        <v>61846.396000000001</v>
      </c>
      <c r="S40" s="426">
        <f t="shared" ref="S40:T40" si="9">SUM(S37:S39)</f>
        <v>58031</v>
      </c>
      <c r="T40" s="426">
        <f t="shared" si="9"/>
        <v>63157</v>
      </c>
    </row>
    <row r="41" spans="1:20">
      <c r="A41" s="54">
        <v>24</v>
      </c>
      <c r="B41" s="40" t="s">
        <v>67</v>
      </c>
      <c r="F41" s="426">
        <f>F24+F30+F32+F33+F34+F40</f>
        <v>343205</v>
      </c>
      <c r="G41" s="426">
        <f t="shared" ref="G41:R41" si="10">G24+G30+G32+G33+G34+G40</f>
        <v>270636</v>
      </c>
      <c r="H41" s="426">
        <f t="shared" si="10"/>
        <v>260183</v>
      </c>
      <c r="I41" s="426">
        <f t="shared" si="10"/>
        <v>288832</v>
      </c>
      <c r="J41" s="426">
        <f t="shared" si="10"/>
        <v>268539</v>
      </c>
      <c r="K41" s="426">
        <f t="shared" si="10"/>
        <v>278171</v>
      </c>
      <c r="L41" s="426">
        <f t="shared" si="10"/>
        <v>309354</v>
      </c>
      <c r="M41" s="426">
        <f t="shared" si="10"/>
        <v>298938</v>
      </c>
      <c r="N41" s="426">
        <f t="shared" si="10"/>
        <v>334636</v>
      </c>
      <c r="O41" s="426">
        <f t="shared" si="10"/>
        <v>347787</v>
      </c>
      <c r="P41" s="426">
        <f t="shared" si="10"/>
        <v>461927</v>
      </c>
      <c r="Q41" s="426">
        <f t="shared" si="10"/>
        <v>421153.40739999997</v>
      </c>
      <c r="R41" s="426">
        <f t="shared" si="10"/>
        <v>417640.11265200004</v>
      </c>
      <c r="S41" s="426">
        <f t="shared" ref="S41:T41" si="11">S24+S30+S32+S33+S34+S40</f>
        <v>435119</v>
      </c>
      <c r="T41" s="426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6">
        <f>F15-F41</f>
        <v>50049</v>
      </c>
      <c r="G43" s="426">
        <f t="shared" ref="G43:R43" si="12">G15-G41</f>
        <v>93786</v>
      </c>
      <c r="H43" s="426">
        <f t="shared" si="12"/>
        <v>78118</v>
      </c>
      <c r="I43" s="426">
        <f t="shared" si="12"/>
        <v>87772</v>
      </c>
      <c r="J43" s="426">
        <f t="shared" si="12"/>
        <v>66659</v>
      </c>
      <c r="K43" s="426">
        <f t="shared" si="12"/>
        <v>66735</v>
      </c>
      <c r="L43" s="426">
        <f t="shared" si="12"/>
        <v>58866</v>
      </c>
      <c r="M43" s="426">
        <f t="shared" si="12"/>
        <v>73260</v>
      </c>
      <c r="N43" s="426">
        <f t="shared" si="12"/>
        <v>89384</v>
      </c>
      <c r="O43" s="426">
        <f t="shared" si="12"/>
        <v>96588.549100000004</v>
      </c>
      <c r="P43" s="426">
        <f t="shared" si="12"/>
        <v>99867.970363199944</v>
      </c>
      <c r="Q43" s="426">
        <f t="shared" si="12"/>
        <v>97773.592600000033</v>
      </c>
      <c r="R43" s="426">
        <f t="shared" si="12"/>
        <v>110079.88734799996</v>
      </c>
      <c r="S43" s="426">
        <f t="shared" ref="S43:T43" si="13">S15-S41</f>
        <v>122528</v>
      </c>
      <c r="T43" s="426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6" thickBot="1">
      <c r="A51" s="54">
        <v>31</v>
      </c>
      <c r="B51" s="40" t="s">
        <v>62</v>
      </c>
      <c r="F51" s="427">
        <f>F43-SUM(F46:F50)</f>
        <v>27317</v>
      </c>
      <c r="G51" s="427">
        <f t="shared" ref="G51:R51" si="14">G43-SUM(G46:G50)</f>
        <v>64507.354560008986</v>
      </c>
      <c r="H51" s="427">
        <f t="shared" si="14"/>
        <v>62115.506538557296</v>
      </c>
      <c r="I51" s="427">
        <f t="shared" si="14"/>
        <v>68288.619054480223</v>
      </c>
      <c r="J51" s="427">
        <f t="shared" si="14"/>
        <v>55448.254067891743</v>
      </c>
      <c r="K51" s="427">
        <f t="shared" si="14"/>
        <v>56107.523129622539</v>
      </c>
      <c r="L51" s="427">
        <f t="shared" si="14"/>
        <v>51307.480106379313</v>
      </c>
      <c r="M51" s="427">
        <f t="shared" si="14"/>
        <v>61693.483424999999</v>
      </c>
      <c r="N51" s="427">
        <f t="shared" si="14"/>
        <v>68967.120200000005</v>
      </c>
      <c r="O51" s="427">
        <f t="shared" si="14"/>
        <v>74509.549100000004</v>
      </c>
      <c r="P51" s="427">
        <f t="shared" si="14"/>
        <v>76864.970363199944</v>
      </c>
      <c r="Q51" s="427">
        <f t="shared" si="14"/>
        <v>74694.85639000003</v>
      </c>
      <c r="R51" s="427">
        <f t="shared" si="14"/>
        <v>82954.216226199962</v>
      </c>
      <c r="S51" s="427">
        <f t="shared" ref="S51:T51" si="15">S43-SUM(S46:S50)</f>
        <v>92777</v>
      </c>
      <c r="T51" s="427">
        <f t="shared" si="15"/>
        <v>101349</v>
      </c>
    </row>
    <row r="52" spans="1:21" ht="12.6" thickTop="1">
      <c r="A52" s="54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155"/>
      <c r="T52" s="155"/>
    </row>
    <row r="53" spans="1:21">
      <c r="A53" s="54"/>
      <c r="C53" s="501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934"/>
      <c r="B54" s="934"/>
      <c r="C54" s="934"/>
      <c r="D54" s="934"/>
      <c r="E54" s="934"/>
      <c r="F54" s="934"/>
      <c r="G54" s="934"/>
      <c r="H54" s="934"/>
      <c r="I54" s="934"/>
      <c r="J54" s="934"/>
      <c r="K54" s="934"/>
      <c r="L54" s="934"/>
      <c r="M54" s="934"/>
      <c r="N54" s="934"/>
      <c r="O54" s="934"/>
      <c r="P54" s="934"/>
      <c r="Q54" s="934"/>
      <c r="R54" s="934"/>
    </row>
    <row r="55" spans="1:21" ht="15.6">
      <c r="A55" s="494" t="str">
        <f>A4</f>
        <v xml:space="preserve">AVISTA UTILITIES  </v>
      </c>
      <c r="E55" s="935" t="str">
        <f>E4</f>
        <v>Commission Basis Results of Operations</v>
      </c>
      <c r="F55" s="935"/>
      <c r="G55" s="935"/>
      <c r="H55" s="935"/>
      <c r="I55" s="935"/>
      <c r="J55" s="935"/>
      <c r="K55" s="935"/>
      <c r="L55" s="935"/>
      <c r="M55" s="935"/>
      <c r="N55" s="935"/>
      <c r="O55" s="935"/>
      <c r="P55" s="935"/>
      <c r="Q55" s="935"/>
      <c r="R55" s="935"/>
      <c r="S55" s="155"/>
      <c r="T55" s="155"/>
      <c r="U55" s="193"/>
    </row>
    <row r="56" spans="1:21">
      <c r="A56" s="494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94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3.2">
      <c r="A58" s="494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2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6">
        <f>SUM(F62:F66)</f>
        <v>1109606</v>
      </c>
      <c r="G67" s="426">
        <f t="shared" ref="G67:R67" si="18">SUM(G62:G66)</f>
        <v>1144909</v>
      </c>
      <c r="H67" s="426">
        <f t="shared" si="18"/>
        <v>1242220</v>
      </c>
      <c r="I67" s="426">
        <f t="shared" si="18"/>
        <v>1278396</v>
      </c>
      <c r="J67" s="426">
        <f t="shared" si="18"/>
        <v>1356075</v>
      </c>
      <c r="K67" s="426">
        <f t="shared" si="18"/>
        <v>1408964</v>
      </c>
      <c r="L67" s="426">
        <f t="shared" si="18"/>
        <v>1500806</v>
      </c>
      <c r="M67" s="426">
        <f t="shared" si="18"/>
        <v>1536175</v>
      </c>
      <c r="N67" s="426">
        <f t="shared" si="18"/>
        <v>1622175</v>
      </c>
      <c r="O67" s="426">
        <f t="shared" si="18"/>
        <v>1736780</v>
      </c>
      <c r="P67" s="426">
        <f t="shared" si="18"/>
        <v>1850288</v>
      </c>
      <c r="Q67" s="426">
        <f t="shared" si="18"/>
        <v>1955287</v>
      </c>
      <c r="R67" s="426">
        <f t="shared" si="18"/>
        <v>2043913</v>
      </c>
      <c r="S67" s="426">
        <f t="shared" ref="S67:T67" si="19">SUM(S62:S66)</f>
        <v>2165496</v>
      </c>
      <c r="T67" s="426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25">
        <f t="shared" ref="F75:R75" si="20">F67-F74</f>
        <v>754924</v>
      </c>
      <c r="G75" s="425">
        <f t="shared" si="20"/>
        <v>771819</v>
      </c>
      <c r="H75" s="425">
        <f t="shared" si="20"/>
        <v>850869</v>
      </c>
      <c r="I75" s="425">
        <f t="shared" si="20"/>
        <v>856006</v>
      </c>
      <c r="J75" s="425">
        <f t="shared" si="20"/>
        <v>908716</v>
      </c>
      <c r="K75" s="425">
        <f t="shared" si="20"/>
        <v>934058</v>
      </c>
      <c r="L75" s="425">
        <f t="shared" si="20"/>
        <v>994207</v>
      </c>
      <c r="M75" s="425">
        <f t="shared" si="20"/>
        <v>1009868</v>
      </c>
      <c r="N75" s="425">
        <f t="shared" si="20"/>
        <v>1064749</v>
      </c>
      <c r="O75" s="425">
        <f t="shared" si="20"/>
        <v>1150959</v>
      </c>
      <c r="P75" s="425">
        <f t="shared" si="20"/>
        <v>1220889</v>
      </c>
      <c r="Q75" s="425">
        <f>Q67-Q74</f>
        <v>1288304</v>
      </c>
      <c r="R75" s="425">
        <f t="shared" si="20"/>
        <v>1339779</v>
      </c>
      <c r="S75" s="425">
        <f t="shared" ref="S75:T75" si="21">S67-S74</f>
        <v>1416364</v>
      </c>
      <c r="T75" s="425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3" t="s">
        <v>293</v>
      </c>
      <c r="D78" s="363"/>
      <c r="E78" s="363"/>
      <c r="F78" s="428">
        <f t="shared" ref="F78:P78" si="22">F75+F77</f>
        <v>649149</v>
      </c>
      <c r="G78" s="428">
        <f t="shared" si="22"/>
        <v>662278</v>
      </c>
      <c r="H78" s="428">
        <f t="shared" si="22"/>
        <v>739502</v>
      </c>
      <c r="I78" s="428">
        <f t="shared" si="22"/>
        <v>720602</v>
      </c>
      <c r="J78" s="428">
        <f t="shared" si="22"/>
        <v>757756</v>
      </c>
      <c r="K78" s="428">
        <f t="shared" si="22"/>
        <v>799091</v>
      </c>
      <c r="L78" s="428">
        <f t="shared" si="22"/>
        <v>855712</v>
      </c>
      <c r="M78" s="428">
        <f t="shared" si="22"/>
        <v>870835</v>
      </c>
      <c r="N78" s="428">
        <f t="shared" si="22"/>
        <v>917247</v>
      </c>
      <c r="O78" s="428">
        <f t="shared" si="22"/>
        <v>987243</v>
      </c>
      <c r="P78" s="428">
        <f t="shared" si="22"/>
        <v>1036064</v>
      </c>
      <c r="Q78" s="428">
        <f>Q75+Q77</f>
        <v>1087141</v>
      </c>
      <c r="R78" s="428">
        <f>R75+R77</f>
        <v>1131570</v>
      </c>
      <c r="S78" s="428">
        <f>S75+S77</f>
        <v>1195010</v>
      </c>
      <c r="T78" s="428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6" thickBot="1">
      <c r="A82" s="54">
        <v>49</v>
      </c>
      <c r="B82" s="40" t="s">
        <v>51</v>
      </c>
      <c r="F82" s="427">
        <f>'CBR Hist'!F78</f>
        <v>568492</v>
      </c>
      <c r="G82" s="427">
        <f>'CBR Hist'!G78</f>
        <v>597515</v>
      </c>
      <c r="H82" s="427">
        <f>'CBR Hist'!H78</f>
        <v>761858</v>
      </c>
      <c r="I82" s="427">
        <f>'CBR Hist'!I78</f>
        <v>742443</v>
      </c>
      <c r="J82" s="427">
        <f>'CBR Hist'!J78</f>
        <v>778011</v>
      </c>
      <c r="K82" s="427">
        <f>'CBR Hist'!K78</f>
        <v>819842</v>
      </c>
      <c r="L82" s="427">
        <f>'CBR Hist'!L78</f>
        <v>874511</v>
      </c>
      <c r="M82" s="427">
        <f>'CBR Hist'!M78</f>
        <v>891855</v>
      </c>
      <c r="N82" s="427">
        <f>'CBR Hist'!N78</f>
        <v>936840</v>
      </c>
      <c r="O82" s="427">
        <f>'CBR Hist'!O78</f>
        <v>1005019</v>
      </c>
      <c r="P82" s="427">
        <f>'CBR Hist'!P78</f>
        <v>1072028</v>
      </c>
      <c r="Q82" s="427">
        <f>'CBR Hist'!Q78</f>
        <v>1137863</v>
      </c>
      <c r="R82" s="427">
        <f>'CBR Hist'!R78</f>
        <v>1158975</v>
      </c>
      <c r="S82" s="427">
        <f>'CBR Hist'!S78</f>
        <v>1226052</v>
      </c>
      <c r="T82" s="427">
        <f>'CBR Hist'!T78</f>
        <v>1273157</v>
      </c>
    </row>
    <row r="83" spans="1:20" ht="12.6" thickTop="1">
      <c r="A83" s="54"/>
      <c r="F83" s="497">
        <f>F78+F79+F80-F82</f>
        <v>0</v>
      </c>
      <c r="G83" s="497">
        <f t="shared" ref="G83:P83" si="23">G78+G79+G80-G82</f>
        <v>0</v>
      </c>
      <c r="H83" s="497">
        <f t="shared" si="23"/>
        <v>0</v>
      </c>
      <c r="I83" s="497">
        <f t="shared" si="23"/>
        <v>0</v>
      </c>
      <c r="J83" s="497">
        <f t="shared" si="23"/>
        <v>0</v>
      </c>
      <c r="K83" s="497">
        <f t="shared" si="23"/>
        <v>0</v>
      </c>
      <c r="L83" s="497">
        <f t="shared" si="23"/>
        <v>0</v>
      </c>
      <c r="M83" s="497">
        <f t="shared" si="23"/>
        <v>0</v>
      </c>
      <c r="N83" s="497">
        <f t="shared" si="23"/>
        <v>0</v>
      </c>
      <c r="O83" s="497">
        <f t="shared" si="23"/>
        <v>0</v>
      </c>
      <c r="P83" s="497">
        <f t="shared" si="23"/>
        <v>0</v>
      </c>
      <c r="Q83" s="497">
        <f>Q78+Q79+Q80-Q82</f>
        <v>0</v>
      </c>
      <c r="R83" s="497">
        <f t="shared" ref="R83:S83" si="24">R78+R79+R80-R82</f>
        <v>0</v>
      </c>
      <c r="S83" s="497">
        <f t="shared" si="24"/>
        <v>0</v>
      </c>
      <c r="T83" s="497">
        <f t="shared" ref="T83" si="25">T78+T79+T80-T82</f>
        <v>0</v>
      </c>
    </row>
    <row r="84" spans="1:20">
      <c r="A84" s="54"/>
      <c r="C84" s="501" t="s">
        <v>467</v>
      </c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155"/>
      <c r="T84" s="155"/>
    </row>
    <row r="85" spans="1:20">
      <c r="A85" s="511" t="s">
        <v>94</v>
      </c>
      <c r="B85" s="501"/>
      <c r="C85" s="501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155"/>
      <c r="T85" s="155"/>
    </row>
    <row r="86" spans="1:20">
      <c r="A86" s="511" t="s">
        <v>134</v>
      </c>
      <c r="B86" s="501"/>
      <c r="C86" s="501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155"/>
      <c r="T86" s="155"/>
    </row>
    <row r="87" spans="1:20" ht="4.5" customHeight="1">
      <c r="A87" s="54"/>
      <c r="C87" s="501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155"/>
      <c r="T87" s="155"/>
    </row>
    <row r="88" spans="1:20" ht="15.6">
      <c r="A88" s="512" t="str">
        <f>A58</f>
        <v xml:space="preserve">(000'S OF DOLLARS)  </v>
      </c>
      <c r="E88" s="931" t="s">
        <v>482</v>
      </c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155"/>
      <c r="T88" s="722"/>
    </row>
    <row r="89" spans="1:20" ht="3" customHeight="1">
      <c r="A89" s="54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8" t="s">
        <v>484</v>
      </c>
      <c r="D91" s="40" t="s">
        <v>465</v>
      </c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543"/>
      <c r="T91" s="688"/>
    </row>
    <row r="92" spans="1:20" ht="12" customHeight="1">
      <c r="A92" s="54">
        <v>1</v>
      </c>
      <c r="B92" s="40" t="s">
        <v>427</v>
      </c>
      <c r="E92" s="354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54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54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54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54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54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54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25">
        <f>SUM(F92:F98)</f>
        <v>312221</v>
      </c>
      <c r="G99" s="425">
        <f t="shared" ref="G99:R99" si="41">SUM(G92:G98)</f>
        <v>227289</v>
      </c>
      <c r="H99" s="425">
        <f t="shared" si="41"/>
        <v>206181</v>
      </c>
      <c r="I99" s="425">
        <f t="shared" si="41"/>
        <v>233496</v>
      </c>
      <c r="J99" s="425">
        <f t="shared" si="41"/>
        <v>204834</v>
      </c>
      <c r="K99" s="425">
        <f t="shared" si="41"/>
        <v>222539</v>
      </c>
      <c r="L99" s="425">
        <f t="shared" si="41"/>
        <v>240952</v>
      </c>
      <c r="M99" s="425">
        <f t="shared" si="41"/>
        <v>234605</v>
      </c>
      <c r="N99" s="425">
        <f t="shared" si="41"/>
        <v>264279</v>
      </c>
      <c r="O99" s="425">
        <f t="shared" si="41"/>
        <v>273806</v>
      </c>
      <c r="P99" s="425">
        <f t="shared" si="41"/>
        <v>382589</v>
      </c>
      <c r="Q99" s="425">
        <f t="shared" si="41"/>
        <v>332206.95358799997</v>
      </c>
      <c r="R99" s="425">
        <f t="shared" si="41"/>
        <v>332391.18730200001</v>
      </c>
      <c r="S99" s="425">
        <f t="shared" ref="S99:T99" si="42">SUM(S92:S98)</f>
        <v>329981</v>
      </c>
      <c r="T99" s="425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6" thickBot="1">
      <c r="A103" s="54">
        <v>12</v>
      </c>
      <c r="B103" s="494" t="s">
        <v>425</v>
      </c>
      <c r="C103" s="54"/>
      <c r="D103" s="54"/>
      <c r="E103" s="54"/>
      <c r="F103" s="492">
        <f>SUM(F99:F102)</f>
        <v>74094.475433392028</v>
      </c>
      <c r="G103" s="492">
        <f t="shared" ref="G103:R103" si="43">SUM(G99:G102)</f>
        <v>66001.809338448002</v>
      </c>
      <c r="H103" s="492">
        <f t="shared" si="43"/>
        <v>75749.159124638405</v>
      </c>
      <c r="I103" s="492">
        <f t="shared" si="43"/>
        <v>73085.610674757903</v>
      </c>
      <c r="J103" s="492">
        <f t="shared" si="43"/>
        <v>82035</v>
      </c>
      <c r="K103" s="492">
        <f t="shared" si="43"/>
        <v>82829.326253093925</v>
      </c>
      <c r="L103" s="492">
        <f t="shared" si="43"/>
        <v>88828</v>
      </c>
      <c r="M103" s="492">
        <f t="shared" si="43"/>
        <v>92211.7999895299</v>
      </c>
      <c r="N103" s="492">
        <f t="shared" si="43"/>
        <v>99146.488212752593</v>
      </c>
      <c r="O103" s="492">
        <f t="shared" si="43"/>
        <v>108289.20367903885</v>
      </c>
      <c r="P103" s="492">
        <f t="shared" si="43"/>
        <v>113649.52340035603</v>
      </c>
      <c r="Q103" s="492">
        <f t="shared" si="43"/>
        <v>123418.7529832047</v>
      </c>
      <c r="R103" s="492">
        <f t="shared" si="43"/>
        <v>134594.49114962851</v>
      </c>
      <c r="S103" s="492">
        <f t="shared" ref="S103:T103" si="44">SUM(S99:S102)</f>
        <v>128510</v>
      </c>
      <c r="T103" s="492">
        <f t="shared" si="44"/>
        <v>130891</v>
      </c>
    </row>
    <row r="104" spans="1:20" ht="12.6" thickTop="1">
      <c r="A104" s="54"/>
      <c r="B104" s="54"/>
      <c r="C104" s="54"/>
      <c r="D104" s="54"/>
      <c r="E104" s="54"/>
      <c r="F104" s="194"/>
      <c r="G104" s="493">
        <f>(G103-F103)/F103</f>
        <v>-0.10922091083860914</v>
      </c>
      <c r="H104" s="493">
        <f t="shared" ref="H104:T104" si="45">(H103-G103)/G103</f>
        <v>0.14768306935658937</v>
      </c>
      <c r="I104" s="493">
        <f t="shared" si="45"/>
        <v>-3.516274610385936E-2</v>
      </c>
      <c r="J104" s="493">
        <f t="shared" si="45"/>
        <v>0.12245077030372288</v>
      </c>
      <c r="K104" s="493">
        <f t="shared" si="45"/>
        <v>9.6827726347769195E-3</v>
      </c>
      <c r="L104" s="493">
        <f t="shared" si="45"/>
        <v>7.242209997672179E-2</v>
      </c>
      <c r="M104" s="493">
        <f t="shared" si="45"/>
        <v>3.809384416546472E-2</v>
      </c>
      <c r="N104" s="493">
        <f t="shared" si="45"/>
        <v>7.5203913425506114E-2</v>
      </c>
      <c r="O104" s="493">
        <f t="shared" si="45"/>
        <v>9.2214213847569129E-2</v>
      </c>
      <c r="P104" s="493">
        <f t="shared" si="45"/>
        <v>4.9500038223614332E-2</v>
      </c>
      <c r="Q104" s="493">
        <f t="shared" si="45"/>
        <v>8.595926573694776E-2</v>
      </c>
      <c r="R104" s="493">
        <f t="shared" si="45"/>
        <v>9.0551378103331207E-2</v>
      </c>
      <c r="S104" s="493">
        <f t="shared" si="45"/>
        <v>-4.5206093486132248E-2</v>
      </c>
      <c r="T104" s="493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4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4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4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6" thickBot="1">
      <c r="A110" s="54">
        <v>16</v>
      </c>
      <c r="B110" s="494" t="s">
        <v>435</v>
      </c>
      <c r="C110" s="54"/>
      <c r="D110" s="54"/>
      <c r="E110" s="54"/>
      <c r="F110" s="492">
        <f>SUM(F107:F109)</f>
        <v>27904</v>
      </c>
      <c r="G110" s="492">
        <f t="shared" ref="G110:R110" si="52">SUM(G107:G109)</f>
        <v>28794</v>
      </c>
      <c r="H110" s="492">
        <f t="shared" si="52"/>
        <v>36190</v>
      </c>
      <c r="I110" s="492">
        <f t="shared" si="52"/>
        <v>36934</v>
      </c>
      <c r="J110" s="492">
        <f t="shared" si="52"/>
        <v>38451</v>
      </c>
      <c r="K110" s="492">
        <f t="shared" si="52"/>
        <v>39565</v>
      </c>
      <c r="L110" s="492">
        <f t="shared" si="52"/>
        <v>41812</v>
      </c>
      <c r="M110" s="492">
        <f t="shared" si="52"/>
        <v>42949</v>
      </c>
      <c r="N110" s="492">
        <f t="shared" si="52"/>
        <v>45874</v>
      </c>
      <c r="O110" s="492">
        <f t="shared" si="52"/>
        <v>48466</v>
      </c>
      <c r="P110" s="492">
        <f t="shared" si="52"/>
        <v>52270</v>
      </c>
      <c r="Q110" s="492">
        <f t="shared" si="52"/>
        <v>55304</v>
      </c>
      <c r="R110" s="492">
        <f t="shared" si="52"/>
        <v>58946</v>
      </c>
      <c r="S110" s="492">
        <f t="shared" ref="S110:T110" si="53">SUM(S107:S109)</f>
        <v>60308</v>
      </c>
      <c r="T110" s="492">
        <f t="shared" si="53"/>
        <v>64456</v>
      </c>
    </row>
    <row r="111" spans="1:20" ht="12.6" thickTop="1">
      <c r="A111" s="54"/>
      <c r="B111" s="54"/>
      <c r="C111" s="54"/>
      <c r="D111" s="54"/>
      <c r="E111" s="54"/>
      <c r="F111" s="194"/>
      <c r="G111" s="493">
        <f>(G110-F110)/F110</f>
        <v>3.1895068807339451E-2</v>
      </c>
      <c r="H111" s="493">
        <f t="shared" ref="H111:T111" si="54">(H110-G110)/G110</f>
        <v>0.25685906786135998</v>
      </c>
      <c r="I111" s="493">
        <f t="shared" si="54"/>
        <v>2.0558165239016303E-2</v>
      </c>
      <c r="J111" s="493">
        <f t="shared" si="54"/>
        <v>4.1073265825526617E-2</v>
      </c>
      <c r="K111" s="493">
        <f t="shared" si="54"/>
        <v>2.8971938311097241E-2</v>
      </c>
      <c r="L111" s="493">
        <f t="shared" si="54"/>
        <v>5.6792619739668898E-2</v>
      </c>
      <c r="M111" s="493">
        <f t="shared" si="54"/>
        <v>2.7193150291782264E-2</v>
      </c>
      <c r="N111" s="493">
        <f t="shared" si="54"/>
        <v>6.8104030361591655E-2</v>
      </c>
      <c r="O111" s="493">
        <f t="shared" si="54"/>
        <v>5.6502594061995905E-2</v>
      </c>
      <c r="P111" s="493">
        <f t="shared" si="54"/>
        <v>7.8488012214748479E-2</v>
      </c>
      <c r="Q111" s="493">
        <f t="shared" si="54"/>
        <v>5.8044767553089724E-2</v>
      </c>
      <c r="R111" s="493">
        <f t="shared" si="54"/>
        <v>6.5854187762187183E-2</v>
      </c>
      <c r="S111" s="493">
        <f t="shared" si="54"/>
        <v>2.3105893529671226E-2</v>
      </c>
      <c r="T111" s="493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4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4" t="s">
        <v>330</v>
      </c>
      <c r="C116" s="54"/>
      <c r="D116" s="54"/>
      <c r="E116" s="54"/>
      <c r="F116" s="492">
        <f>SUM(F114:F115)</f>
        <v>-1320</v>
      </c>
      <c r="G116" s="492">
        <f t="shared" ref="G116:R116" si="57">SUM(G114:G115)</f>
        <v>-4634</v>
      </c>
      <c r="H116" s="492">
        <f t="shared" si="57"/>
        <v>1163</v>
      </c>
      <c r="I116" s="492">
        <f t="shared" si="57"/>
        <v>731</v>
      </c>
      <c r="J116" s="492">
        <f t="shared" si="57"/>
        <v>567</v>
      </c>
      <c r="K116" s="492">
        <f t="shared" si="57"/>
        <v>571</v>
      </c>
      <c r="L116" s="492">
        <f t="shared" si="57"/>
        <v>1168</v>
      </c>
      <c r="M116" s="492">
        <f t="shared" si="57"/>
        <v>2500</v>
      </c>
      <c r="N116" s="492">
        <f t="shared" si="57"/>
        <v>2500</v>
      </c>
      <c r="O116" s="492">
        <f t="shared" si="57"/>
        <v>2302</v>
      </c>
      <c r="P116" s="492">
        <f t="shared" si="57"/>
        <v>3365</v>
      </c>
      <c r="Q116" s="492">
        <f t="shared" si="57"/>
        <v>5013</v>
      </c>
      <c r="R116" s="492">
        <f t="shared" si="57"/>
        <v>583</v>
      </c>
      <c r="S116" s="492">
        <f t="shared" ref="S116:T116" si="58">SUM(S114:S115)</f>
        <v>8629</v>
      </c>
      <c r="T116" s="492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4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4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4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5">
        <f>SUM(F120:F122)</f>
        <v>21044</v>
      </c>
      <c r="G123" s="425">
        <f t="shared" ref="G123:M123" si="68">SUM(G120:G122)</f>
        <v>20603</v>
      </c>
      <c r="H123" s="425">
        <f t="shared" si="68"/>
        <v>24161</v>
      </c>
      <c r="I123" s="425">
        <f t="shared" si="68"/>
        <v>24010</v>
      </c>
      <c r="J123" s="425">
        <f t="shared" si="68"/>
        <v>24687</v>
      </c>
      <c r="K123" s="425">
        <f t="shared" si="68"/>
        <v>24884</v>
      </c>
      <c r="L123" s="425">
        <f t="shared" si="68"/>
        <v>25422</v>
      </c>
      <c r="M123" s="425">
        <f t="shared" si="68"/>
        <v>24466</v>
      </c>
      <c r="N123" s="425">
        <f>SUM(N120:N122)</f>
        <v>25559</v>
      </c>
      <c r="O123" s="425">
        <f t="shared" ref="O123" si="69">SUM(O120:O122)</f>
        <v>27218</v>
      </c>
      <c r="P123" s="425">
        <f t="shared" ref="P123" si="70">SUM(P120:P122)</f>
        <v>29947</v>
      </c>
      <c r="Q123" s="425">
        <f t="shared" ref="Q123" si="71">SUM(Q120:Q122)</f>
        <v>33239.453812</v>
      </c>
      <c r="R123" s="425">
        <f t="shared" ref="R123:S123" si="72">SUM(R120:R122)</f>
        <v>34046.925350000005</v>
      </c>
      <c r="S123" s="425">
        <f t="shared" si="72"/>
        <v>36201</v>
      </c>
      <c r="T123" s="425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4" t="s">
        <v>439</v>
      </c>
      <c r="C126" s="54"/>
      <c r="D126" s="54"/>
      <c r="E126" s="54"/>
      <c r="F126" s="492">
        <f>SUM(F123:F125)</f>
        <v>21577.051321636693</v>
      </c>
      <c r="G126" s="492">
        <f t="shared" ref="G126:R126" si="74">SUM(G123:G125)</f>
        <v>20455.291361673582</v>
      </c>
      <c r="H126" s="492">
        <f t="shared" si="74"/>
        <v>24219.469685154909</v>
      </c>
      <c r="I126" s="492">
        <f t="shared" si="74"/>
        <v>24018.439339915312</v>
      </c>
      <c r="J126" s="492">
        <f t="shared" si="74"/>
        <v>24687</v>
      </c>
      <c r="K126" s="492">
        <f t="shared" si="74"/>
        <v>24996.242027012875</v>
      </c>
      <c r="L126" s="492">
        <f t="shared" si="74"/>
        <v>25422</v>
      </c>
      <c r="M126" s="492">
        <f t="shared" si="74"/>
        <v>24422.193309601087</v>
      </c>
      <c r="N126" s="492">
        <f t="shared" si="74"/>
        <v>25215.167948905873</v>
      </c>
      <c r="O126" s="492">
        <f t="shared" si="74"/>
        <v>26617.424405821377</v>
      </c>
      <c r="P126" s="492">
        <f t="shared" si="74"/>
        <v>29412.477627473563</v>
      </c>
      <c r="Q126" s="492">
        <f t="shared" si="74"/>
        <v>32613.966947797297</v>
      </c>
      <c r="R126" s="492">
        <f t="shared" si="74"/>
        <v>33700.549684624653</v>
      </c>
      <c r="S126" s="492">
        <f t="shared" ref="S126:T126" si="75">SUM(S123:S125)</f>
        <v>36201</v>
      </c>
      <c r="T126" s="492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3">
        <f>(G126-F126)/F126</f>
        <v>-5.1988566150289947E-2</v>
      </c>
      <c r="H127" s="493">
        <f t="shared" ref="H127:T127" si="76">(H126-G126)/G126</f>
        <v>0.18401978524413226</v>
      </c>
      <c r="I127" s="493">
        <f t="shared" si="76"/>
        <v>-8.3003611496421867E-3</v>
      </c>
      <c r="J127" s="493">
        <f t="shared" si="76"/>
        <v>2.7835308140676428E-2</v>
      </c>
      <c r="K127" s="493">
        <f t="shared" si="76"/>
        <v>1.2526513023570099E-2</v>
      </c>
      <c r="L127" s="493">
        <f t="shared" si="76"/>
        <v>1.7032879283494611E-2</v>
      </c>
      <c r="M127" s="493">
        <f t="shared" si="76"/>
        <v>-3.9328404153839702E-2</v>
      </c>
      <c r="N127" s="493">
        <f t="shared" si="76"/>
        <v>3.2469427673928221E-2</v>
      </c>
      <c r="O127" s="493">
        <f t="shared" si="76"/>
        <v>5.5611624707673224E-2</v>
      </c>
      <c r="P127" s="493">
        <f t="shared" si="76"/>
        <v>0.10500840273038936</v>
      </c>
      <c r="Q127" s="493">
        <f t="shared" si="76"/>
        <v>0.10884799848800535</v>
      </c>
      <c r="R127" s="493">
        <f t="shared" si="76"/>
        <v>3.3316484884116281E-2</v>
      </c>
      <c r="S127" s="493">
        <f t="shared" si="76"/>
        <v>7.4196128513480536E-2</v>
      </c>
      <c r="T127" s="493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6" thickBot="1">
      <c r="A129" s="54">
        <v>27</v>
      </c>
      <c r="B129" s="494" t="s">
        <v>440</v>
      </c>
      <c r="C129" s="54"/>
      <c r="D129" s="54"/>
      <c r="E129" s="354" t="s">
        <v>457</v>
      </c>
      <c r="F129" s="492">
        <f>F78</f>
        <v>649149</v>
      </c>
      <c r="G129" s="492">
        <f t="shared" ref="G129:R129" si="77">G78</f>
        <v>662278</v>
      </c>
      <c r="H129" s="492">
        <f t="shared" si="77"/>
        <v>739502</v>
      </c>
      <c r="I129" s="492">
        <f t="shared" si="77"/>
        <v>720602</v>
      </c>
      <c r="J129" s="492">
        <f t="shared" si="77"/>
        <v>757756</v>
      </c>
      <c r="K129" s="492">
        <f t="shared" si="77"/>
        <v>799091</v>
      </c>
      <c r="L129" s="492">
        <f t="shared" si="77"/>
        <v>855712</v>
      </c>
      <c r="M129" s="492">
        <f t="shared" si="77"/>
        <v>870835</v>
      </c>
      <c r="N129" s="492">
        <f t="shared" si="77"/>
        <v>917247</v>
      </c>
      <c r="O129" s="492">
        <f t="shared" si="77"/>
        <v>987243</v>
      </c>
      <c r="P129" s="492">
        <f t="shared" si="77"/>
        <v>1036064</v>
      </c>
      <c r="Q129" s="492">
        <f t="shared" si="77"/>
        <v>1087141</v>
      </c>
      <c r="R129" s="492">
        <f t="shared" si="77"/>
        <v>1131570</v>
      </c>
      <c r="S129" s="492">
        <f t="shared" ref="S129:T129" si="78">S78</f>
        <v>1195010</v>
      </c>
      <c r="T129" s="492">
        <f t="shared" si="78"/>
        <v>1214504</v>
      </c>
    </row>
    <row r="130" spans="1:20" ht="12.6" thickTop="1">
      <c r="A130" s="54"/>
      <c r="B130" s="54"/>
      <c r="C130" s="54"/>
      <c r="D130" s="54"/>
      <c r="E130" s="54"/>
      <c r="F130" s="194"/>
      <c r="G130" s="493">
        <f>(G129-F129)/F129</f>
        <v>2.0224940653070404E-2</v>
      </c>
      <c r="H130" s="493">
        <f t="shared" ref="H130:T130" si="79">(H129-G129)/G129</f>
        <v>0.11660360150873199</v>
      </c>
      <c r="I130" s="493">
        <f t="shared" si="79"/>
        <v>-2.5557740208951428E-2</v>
      </c>
      <c r="J130" s="493">
        <f t="shared" si="79"/>
        <v>5.1559668166338703E-2</v>
      </c>
      <c r="K130" s="493">
        <f t="shared" si="79"/>
        <v>5.4549221649185228E-2</v>
      </c>
      <c r="L130" s="493">
        <f t="shared" si="79"/>
        <v>7.0856760994680204E-2</v>
      </c>
      <c r="M130" s="493">
        <f t="shared" si="79"/>
        <v>1.7673002131558282E-2</v>
      </c>
      <c r="N130" s="493">
        <f t="shared" si="79"/>
        <v>5.3295974553158751E-2</v>
      </c>
      <c r="O130" s="493">
        <f t="shared" si="79"/>
        <v>7.6310960951630258E-2</v>
      </c>
      <c r="P130" s="493">
        <f t="shared" si="79"/>
        <v>4.9451857344139184E-2</v>
      </c>
      <c r="Q130" s="493">
        <f t="shared" si="79"/>
        <v>4.9299078049232482E-2</v>
      </c>
      <c r="R130" s="493">
        <f t="shared" si="79"/>
        <v>4.0867743926500798E-2</v>
      </c>
      <c r="S130" s="493">
        <f t="shared" si="79"/>
        <v>5.6063699108318529E-2</v>
      </c>
      <c r="T130" s="493">
        <f t="shared" si="79"/>
        <v>1.631283420222425E-2</v>
      </c>
    </row>
    <row r="131" spans="1:20">
      <c r="A131" s="54"/>
      <c r="B131" s="494"/>
      <c r="C131" s="54"/>
      <c r="D131" s="54"/>
      <c r="E131" s="35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6" thickBot="1">
      <c r="A132" s="54">
        <v>28</v>
      </c>
      <c r="B132" s="494" t="s">
        <v>441</v>
      </c>
      <c r="C132" s="54"/>
      <c r="D132" s="54"/>
      <c r="E132" s="354" t="s">
        <v>458</v>
      </c>
      <c r="F132" s="492">
        <f>F82</f>
        <v>568492</v>
      </c>
      <c r="G132" s="492">
        <f t="shared" ref="G132:R132" si="80">G82</f>
        <v>597515</v>
      </c>
      <c r="H132" s="492">
        <f t="shared" si="80"/>
        <v>761858</v>
      </c>
      <c r="I132" s="492">
        <f t="shared" si="80"/>
        <v>742443</v>
      </c>
      <c r="J132" s="492">
        <f t="shared" si="80"/>
        <v>778011</v>
      </c>
      <c r="K132" s="492">
        <f t="shared" si="80"/>
        <v>819842</v>
      </c>
      <c r="L132" s="492">
        <f t="shared" si="80"/>
        <v>874511</v>
      </c>
      <c r="M132" s="492">
        <f t="shared" si="80"/>
        <v>891855</v>
      </c>
      <c r="N132" s="492">
        <f t="shared" si="80"/>
        <v>936840</v>
      </c>
      <c r="O132" s="492">
        <f t="shared" si="80"/>
        <v>1005019</v>
      </c>
      <c r="P132" s="492">
        <f t="shared" si="80"/>
        <v>1072028</v>
      </c>
      <c r="Q132" s="492">
        <f t="shared" si="80"/>
        <v>1137863</v>
      </c>
      <c r="R132" s="492">
        <f t="shared" si="80"/>
        <v>1158975</v>
      </c>
      <c r="S132" s="492">
        <f t="shared" ref="S132:T132" si="81">S82</f>
        <v>1226052</v>
      </c>
      <c r="T132" s="492">
        <f t="shared" si="81"/>
        <v>1273157</v>
      </c>
    </row>
    <row r="133" spans="1:20" ht="12.6" thickTop="1">
      <c r="A133" s="54"/>
      <c r="B133" s="54"/>
      <c r="C133" s="54"/>
      <c r="D133" s="54"/>
      <c r="E133" s="54"/>
      <c r="F133" s="194"/>
      <c r="G133" s="493">
        <f>(G132-F132)/F132</f>
        <v>5.1052609359498465E-2</v>
      </c>
      <c r="H133" s="493">
        <f t="shared" ref="H133:T133" si="82">(H132-G132)/G132</f>
        <v>0.27504414115126818</v>
      </c>
      <c r="I133" s="493">
        <f t="shared" si="82"/>
        <v>-2.5483751565252316E-2</v>
      </c>
      <c r="J133" s="493">
        <f t="shared" si="82"/>
        <v>4.7906707989704263E-2</v>
      </c>
      <c r="K133" s="493">
        <f t="shared" si="82"/>
        <v>5.3766591989059281E-2</v>
      </c>
      <c r="L133" s="493">
        <f t="shared" si="82"/>
        <v>6.6682360747558678E-2</v>
      </c>
      <c r="M133" s="493">
        <f t="shared" si="82"/>
        <v>1.9832797986531901E-2</v>
      </c>
      <c r="N133" s="493">
        <f t="shared" si="82"/>
        <v>5.0439813646837209E-2</v>
      </c>
      <c r="O133" s="493">
        <f t="shared" si="82"/>
        <v>7.2775500619102512E-2</v>
      </c>
      <c r="P133" s="493">
        <f t="shared" si="82"/>
        <v>6.6674361380232611E-2</v>
      </c>
      <c r="Q133" s="493">
        <f t="shared" si="82"/>
        <v>6.1411642233225254E-2</v>
      </c>
      <c r="R133" s="493">
        <f t="shared" si="82"/>
        <v>1.855407900599633E-2</v>
      </c>
      <c r="S133" s="493">
        <f t="shared" si="82"/>
        <v>5.7876140555231992E-2</v>
      </c>
      <c r="T133" s="493">
        <f t="shared" si="82"/>
        <v>3.8420067011839629E-2</v>
      </c>
    </row>
    <row r="134" spans="1:20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4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6" thickBot="1">
      <c r="A139" s="54">
        <v>32</v>
      </c>
      <c r="B139" s="494" t="s">
        <v>377</v>
      </c>
      <c r="C139" s="84"/>
      <c r="D139" s="54"/>
      <c r="E139" s="54"/>
      <c r="F139" s="492">
        <f>SUM(F136:F138)</f>
        <v>1750.2743999999993</v>
      </c>
      <c r="G139" s="492">
        <f t="shared" ref="G139:R139" si="85">SUM(G136:G138)</f>
        <v>2162</v>
      </c>
      <c r="H139" s="492">
        <f t="shared" si="85"/>
        <v>1866</v>
      </c>
      <c r="I139" s="492">
        <f t="shared" si="85"/>
        <v>2536</v>
      </c>
      <c r="J139" s="492">
        <f t="shared" si="85"/>
        <v>2779</v>
      </c>
      <c r="K139" s="492">
        <f t="shared" si="85"/>
        <v>3442.8862000000008</v>
      </c>
      <c r="L139" s="492">
        <f t="shared" si="85"/>
        <v>2956</v>
      </c>
      <c r="M139" s="492">
        <f t="shared" si="85"/>
        <v>3073</v>
      </c>
      <c r="N139" s="492">
        <f t="shared" si="85"/>
        <v>2875</v>
      </c>
      <c r="O139" s="492">
        <f t="shared" si="85"/>
        <v>2813.6201999999994</v>
      </c>
      <c r="P139" s="492">
        <f t="shared" si="85"/>
        <v>2813.1288000000004</v>
      </c>
      <c r="Q139" s="492">
        <f t="shared" si="85"/>
        <v>2812.3060000000005</v>
      </c>
      <c r="R139" s="492">
        <f t="shared" si="85"/>
        <v>3314.6805999999997</v>
      </c>
      <c r="S139" s="492">
        <f t="shared" ref="S139:T139" si="86">SUM(S136:S138)</f>
        <v>3464</v>
      </c>
      <c r="T139" s="492">
        <f t="shared" si="86"/>
        <v>3478.1931000000004</v>
      </c>
    </row>
    <row r="140" spans="1:20" ht="12.6" thickTop="1">
      <c r="A140" s="54"/>
      <c r="F140" s="71"/>
      <c r="G140" s="493">
        <f>(G139-F139)/F139</f>
        <v>0.23523488659835329</v>
      </c>
      <c r="H140" s="493">
        <f t="shared" ref="H140:T140" si="87">(H139-G139)/G139</f>
        <v>-0.13691026827012026</v>
      </c>
      <c r="I140" s="493">
        <f t="shared" si="87"/>
        <v>0.35905680600214362</v>
      </c>
      <c r="J140" s="493">
        <f t="shared" si="87"/>
        <v>9.5820189274447951E-2</v>
      </c>
      <c r="K140" s="493">
        <f t="shared" si="87"/>
        <v>0.23889391867578294</v>
      </c>
      <c r="L140" s="493">
        <f t="shared" si="87"/>
        <v>-0.14141803467102709</v>
      </c>
      <c r="M140" s="493">
        <f t="shared" si="87"/>
        <v>3.9580514208389712E-2</v>
      </c>
      <c r="N140" s="493">
        <f t="shared" si="87"/>
        <v>-6.4432150992515452E-2</v>
      </c>
      <c r="O140" s="493">
        <f t="shared" si="87"/>
        <v>-2.1349495652174127E-2</v>
      </c>
      <c r="P140" s="493">
        <f t="shared" si="87"/>
        <v>-1.7465043789455863E-4</v>
      </c>
      <c r="Q140" s="493">
        <f t="shared" si="87"/>
        <v>-2.9248571910390862E-4</v>
      </c>
      <c r="R140" s="493">
        <f t="shared" si="87"/>
        <v>0.17863440180407078</v>
      </c>
      <c r="S140" s="493">
        <f t="shared" si="87"/>
        <v>4.5047899939439209E-2</v>
      </c>
      <c r="T140" s="493">
        <f t="shared" si="87"/>
        <v>4.0973152424943456E-3</v>
      </c>
    </row>
    <row r="141" spans="1:20" ht="4.5" hidden="1" customHeight="1">
      <c r="A141" s="54"/>
      <c r="F141" s="71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155"/>
      <c r="T141" s="155"/>
    </row>
    <row r="142" spans="1:20" ht="4.95" customHeight="1">
      <c r="A142" s="54"/>
      <c r="F142" s="71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155"/>
      <c r="T142" s="155"/>
    </row>
    <row r="143" spans="1:20">
      <c r="A143" s="537" t="s">
        <v>117</v>
      </c>
      <c r="F143" s="71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155"/>
      <c r="T143" s="155"/>
    </row>
    <row r="144" spans="1:20">
      <c r="A144" s="537" t="s">
        <v>471</v>
      </c>
      <c r="F144" s="71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155"/>
      <c r="T144" s="155"/>
    </row>
    <row r="145" spans="1:20">
      <c r="A145" s="537" t="s">
        <v>470</v>
      </c>
      <c r="F145" s="71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155"/>
    </row>
    <row r="146" spans="1:20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6">
      <c r="A147" s="392" t="s">
        <v>3</v>
      </c>
      <c r="E147" s="931" t="s">
        <v>479</v>
      </c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  <c r="Q147" s="931"/>
      <c r="R147" s="931"/>
      <c r="T147" s="155"/>
    </row>
    <row r="148" spans="1:20" ht="13.2">
      <c r="A148" s="394" t="s">
        <v>90</v>
      </c>
      <c r="B148" s="395" t="s">
        <v>364</v>
      </c>
      <c r="C148" s="395"/>
      <c r="D148" s="396"/>
      <c r="E148" s="397"/>
      <c r="F148" s="397"/>
      <c r="G148" s="539"/>
      <c r="H148" s="539" t="s">
        <v>365</v>
      </c>
      <c r="I148" s="539" t="s">
        <v>366</v>
      </c>
      <c r="J148" s="539" t="s">
        <v>367</v>
      </c>
      <c r="K148" s="539" t="s">
        <v>368</v>
      </c>
      <c r="L148" s="539" t="s">
        <v>369</v>
      </c>
      <c r="M148" s="539" t="s">
        <v>370</v>
      </c>
      <c r="N148" s="539" t="s">
        <v>371</v>
      </c>
      <c r="O148" s="539" t="s">
        <v>372</v>
      </c>
      <c r="P148" s="539" t="s">
        <v>373</v>
      </c>
      <c r="Q148" s="539" t="s">
        <v>374</v>
      </c>
      <c r="R148" s="539" t="s">
        <v>375</v>
      </c>
      <c r="S148" s="539" t="s">
        <v>492</v>
      </c>
      <c r="T148" s="732" t="s">
        <v>613</v>
      </c>
    </row>
    <row r="149" spans="1:20" ht="13.2">
      <c r="A149" s="398"/>
      <c r="B149"/>
      <c r="C149"/>
      <c r="D149"/>
      <c r="E149"/>
      <c r="F149"/>
      <c r="G149" s="504"/>
      <c r="H149" s="504"/>
      <c r="I149" s="504"/>
      <c r="J149" s="504"/>
      <c r="K149" s="504"/>
      <c r="L149" s="504"/>
      <c r="M149" s="504"/>
      <c r="N149" s="504"/>
      <c r="O149" s="504"/>
      <c r="P149" s="393"/>
      <c r="Q149" s="393"/>
      <c r="R149" s="393"/>
      <c r="S149" s="393"/>
      <c r="T149" s="733"/>
    </row>
    <row r="150" spans="1:20" ht="13.2">
      <c r="A150" s="398">
        <v>1</v>
      </c>
      <c r="B150" s="686" t="s">
        <v>425</v>
      </c>
      <c r="C150"/>
      <c r="D150"/>
      <c r="E150"/>
      <c r="F150"/>
      <c r="G150" s="505"/>
      <c r="H150" s="505">
        <f t="shared" ref="H150:Q150" si="88">(H103-G103)/G103</f>
        <v>0.14768306935658937</v>
      </c>
      <c r="I150" s="505">
        <f t="shared" si="88"/>
        <v>-3.516274610385936E-2</v>
      </c>
      <c r="J150" s="505">
        <f t="shared" si="88"/>
        <v>0.12245077030372288</v>
      </c>
      <c r="K150" s="505">
        <f t="shared" si="88"/>
        <v>9.6827726347769195E-3</v>
      </c>
      <c r="L150" s="505">
        <f t="shared" si="88"/>
        <v>7.242209997672179E-2</v>
      </c>
      <c r="M150" s="505">
        <f t="shared" si="88"/>
        <v>3.809384416546472E-2</v>
      </c>
      <c r="N150" s="505">
        <f t="shared" si="88"/>
        <v>7.5203913425506114E-2</v>
      </c>
      <c r="O150" s="734">
        <f t="shared" si="88"/>
        <v>9.2214213847569129E-2</v>
      </c>
      <c r="P150" s="734">
        <f t="shared" si="88"/>
        <v>4.9500038223614332E-2</v>
      </c>
      <c r="Q150" s="505">
        <f t="shared" si="88"/>
        <v>8.595926573694776E-2</v>
      </c>
      <c r="R150" s="505">
        <f>(R103-Q103)/Q103</f>
        <v>9.0551378103331207E-2</v>
      </c>
      <c r="S150" s="505">
        <f>(S103-R103)/R103</f>
        <v>-4.5206093486132248E-2</v>
      </c>
      <c r="T150" s="734">
        <f>(T103-S103)/S103</f>
        <v>1.8527741031826316E-2</v>
      </c>
    </row>
    <row r="151" spans="1:20" ht="13.2">
      <c r="A151" s="398"/>
      <c r="B151" s="637"/>
      <c r="C151"/>
      <c r="D151"/>
      <c r="E151"/>
      <c r="F151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735"/>
    </row>
    <row r="152" spans="1:20" ht="13.2">
      <c r="A152" s="398">
        <v>2</v>
      </c>
      <c r="B152" s="686" t="s">
        <v>435</v>
      </c>
      <c r="C152"/>
      <c r="D152"/>
      <c r="E152"/>
      <c r="F152"/>
      <c r="G152" s="505"/>
      <c r="H152" s="505">
        <f t="shared" ref="H152:R152" si="89">(H110-G110)/G110</f>
        <v>0.25685906786135998</v>
      </c>
      <c r="I152" s="505">
        <f t="shared" si="89"/>
        <v>2.0558165239016303E-2</v>
      </c>
      <c r="J152" s="505">
        <f t="shared" si="89"/>
        <v>4.1073265825526617E-2</v>
      </c>
      <c r="K152" s="505">
        <f t="shared" si="89"/>
        <v>2.8971938311097241E-2</v>
      </c>
      <c r="L152" s="505">
        <f t="shared" si="89"/>
        <v>5.6792619739668898E-2</v>
      </c>
      <c r="M152" s="505">
        <f t="shared" si="89"/>
        <v>2.7193150291782264E-2</v>
      </c>
      <c r="N152" s="505">
        <f t="shared" si="89"/>
        <v>6.8104030361591655E-2</v>
      </c>
      <c r="O152" s="505">
        <f t="shared" si="89"/>
        <v>5.6502594061995905E-2</v>
      </c>
      <c r="P152" s="505">
        <f t="shared" si="89"/>
        <v>7.8488012214748479E-2</v>
      </c>
      <c r="Q152" s="505">
        <f t="shared" si="89"/>
        <v>5.8044767553089724E-2</v>
      </c>
      <c r="R152" s="505">
        <f t="shared" si="89"/>
        <v>6.5854187762187183E-2</v>
      </c>
      <c r="S152" s="505">
        <f>(S110-R110)/R110</f>
        <v>2.3105893529671226E-2</v>
      </c>
      <c r="T152" s="734">
        <f>(T110-S110)/S110</f>
        <v>6.8780261325197323E-2</v>
      </c>
    </row>
    <row r="153" spans="1:20" ht="13.2">
      <c r="A153" s="398"/>
      <c r="B153" s="637"/>
      <c r="C153"/>
      <c r="D153"/>
      <c r="E153"/>
      <c r="F153"/>
      <c r="G153" s="504"/>
      <c r="H153" s="504"/>
      <c r="I153" s="504"/>
      <c r="J153" s="504"/>
      <c r="K153" s="504"/>
      <c r="L153" s="504"/>
      <c r="M153" s="504"/>
      <c r="N153" s="504"/>
      <c r="O153" s="504"/>
      <c r="P153" s="393"/>
      <c r="Q153" s="393"/>
      <c r="R153" s="393"/>
      <c r="S153" s="393"/>
      <c r="T153" s="733"/>
    </row>
    <row r="154" spans="1:20" ht="13.2">
      <c r="A154" s="398">
        <v>3</v>
      </c>
      <c r="B154" s="402" t="s">
        <v>583</v>
      </c>
      <c r="C154"/>
      <c r="D154"/>
      <c r="E154"/>
      <c r="F154"/>
      <c r="G154" s="505"/>
      <c r="H154" s="505">
        <f t="shared" ref="H154:T154" si="90">(H126-G126)/G126</f>
        <v>0.18401978524413226</v>
      </c>
      <c r="I154" s="505">
        <f t="shared" si="90"/>
        <v>-8.3003611496421867E-3</v>
      </c>
      <c r="J154" s="505">
        <f t="shared" si="90"/>
        <v>2.7835308140676428E-2</v>
      </c>
      <c r="K154" s="505">
        <f t="shared" si="90"/>
        <v>1.2526513023570099E-2</v>
      </c>
      <c r="L154" s="505">
        <f>(L126-K126)/K126</f>
        <v>1.7032879283494611E-2</v>
      </c>
      <c r="M154" s="505">
        <f t="shared" si="90"/>
        <v>-3.9328404153839702E-2</v>
      </c>
      <c r="N154" s="505">
        <f t="shared" si="90"/>
        <v>3.2469427673928221E-2</v>
      </c>
      <c r="O154" s="505">
        <f t="shared" si="90"/>
        <v>5.5611624707673224E-2</v>
      </c>
      <c r="P154" s="505">
        <f t="shared" si="90"/>
        <v>0.10500840273038936</v>
      </c>
      <c r="Q154" s="505">
        <f t="shared" si="90"/>
        <v>0.10884799848800535</v>
      </c>
      <c r="R154" s="505">
        <f t="shared" si="90"/>
        <v>3.3316484884116281E-2</v>
      </c>
      <c r="S154" s="505">
        <f t="shared" si="90"/>
        <v>7.4196128513480536E-2</v>
      </c>
      <c r="T154" s="734">
        <f t="shared" si="90"/>
        <v>6.0827048976547608E-2</v>
      </c>
    </row>
    <row r="155" spans="1:20" ht="13.2">
      <c r="A155" s="398"/>
      <c r="B155" s="637"/>
      <c r="C155"/>
      <c r="D155"/>
      <c r="E155"/>
      <c r="F155"/>
      <c r="G155" s="504"/>
      <c r="H155" s="504"/>
      <c r="I155" s="504"/>
      <c r="J155" s="504"/>
      <c r="K155" s="504"/>
      <c r="L155" s="504"/>
      <c r="M155" s="504"/>
      <c r="N155" s="504"/>
      <c r="O155" s="504"/>
      <c r="P155" s="393"/>
      <c r="Q155" s="393"/>
      <c r="R155" s="393"/>
      <c r="S155" s="393"/>
      <c r="T155" s="733"/>
    </row>
    <row r="156" spans="1:20" ht="13.2">
      <c r="A156" s="398">
        <v>4</v>
      </c>
      <c r="B156" s="504" t="s">
        <v>293</v>
      </c>
      <c r="C156"/>
      <c r="D156"/>
      <c r="E156"/>
      <c r="F156"/>
      <c r="G156" s="505"/>
      <c r="H156" s="505">
        <f t="shared" ref="H156:T156" si="91">(H129-G129)/G129</f>
        <v>0.11660360150873199</v>
      </c>
      <c r="I156" s="505">
        <f t="shared" si="91"/>
        <v>-2.5557740208951428E-2</v>
      </c>
      <c r="J156" s="505">
        <f t="shared" si="91"/>
        <v>5.1559668166338703E-2</v>
      </c>
      <c r="K156" s="505">
        <f t="shared" si="91"/>
        <v>5.4549221649185228E-2</v>
      </c>
      <c r="L156" s="505">
        <f t="shared" si="91"/>
        <v>7.0856760994680204E-2</v>
      </c>
      <c r="M156" s="505">
        <f t="shared" si="91"/>
        <v>1.7673002131558282E-2</v>
      </c>
      <c r="N156" s="505">
        <f t="shared" si="91"/>
        <v>5.3295974553158751E-2</v>
      </c>
      <c r="O156" s="505">
        <f t="shared" si="91"/>
        <v>7.6310960951630258E-2</v>
      </c>
      <c r="P156" s="505">
        <f t="shared" si="91"/>
        <v>4.9451857344139184E-2</v>
      </c>
      <c r="Q156" s="505">
        <f t="shared" si="91"/>
        <v>4.9299078049232482E-2</v>
      </c>
      <c r="R156" s="505">
        <f t="shared" si="91"/>
        <v>4.0867743926500798E-2</v>
      </c>
      <c r="S156" s="505">
        <f t="shared" si="91"/>
        <v>5.6063699108318529E-2</v>
      </c>
      <c r="T156" s="734">
        <f t="shared" si="91"/>
        <v>1.631283420222425E-2</v>
      </c>
    </row>
    <row r="157" spans="1:20" ht="13.2">
      <c r="A157" s="398"/>
      <c r="B157" s="637"/>
      <c r="C157"/>
      <c r="D157"/>
      <c r="E157"/>
      <c r="F157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735"/>
    </row>
    <row r="158" spans="1:20" ht="13.2">
      <c r="A158" s="398">
        <v>5</v>
      </c>
      <c r="B158" s="504" t="s">
        <v>441</v>
      </c>
      <c r="C158"/>
      <c r="D158"/>
      <c r="E158"/>
      <c r="F158"/>
      <c r="G158" s="505"/>
      <c r="H158" s="505">
        <f t="shared" ref="H158:T158" si="92">(H132-G132)/G132</f>
        <v>0.27504414115126818</v>
      </c>
      <c r="I158" s="505">
        <f t="shared" si="92"/>
        <v>-2.5483751565252316E-2</v>
      </c>
      <c r="J158" s="505">
        <f t="shared" si="92"/>
        <v>4.7906707989704263E-2</v>
      </c>
      <c r="K158" s="505">
        <f t="shared" si="92"/>
        <v>5.3766591989059281E-2</v>
      </c>
      <c r="L158" s="505">
        <f t="shared" si="92"/>
        <v>6.6682360747558678E-2</v>
      </c>
      <c r="M158" s="505">
        <f t="shared" si="92"/>
        <v>1.9832797986531901E-2</v>
      </c>
      <c r="N158" s="505">
        <f t="shared" si="92"/>
        <v>5.0439813646837209E-2</v>
      </c>
      <c r="O158" s="505">
        <f t="shared" si="92"/>
        <v>7.2775500619102512E-2</v>
      </c>
      <c r="P158" s="505">
        <f t="shared" si="92"/>
        <v>6.6674361380232611E-2</v>
      </c>
      <c r="Q158" s="505">
        <f t="shared" si="92"/>
        <v>6.1411642233225254E-2</v>
      </c>
      <c r="R158" s="505">
        <f t="shared" si="92"/>
        <v>1.855407900599633E-2</v>
      </c>
      <c r="S158" s="505">
        <f t="shared" si="92"/>
        <v>5.7876140555231992E-2</v>
      </c>
      <c r="T158" s="734">
        <f t="shared" si="92"/>
        <v>3.8420067011839629E-2</v>
      </c>
    </row>
    <row r="159" spans="1:20" ht="13.2">
      <c r="A159" s="398"/>
      <c r="B159" s="504"/>
      <c r="C159"/>
      <c r="D159"/>
      <c r="E159"/>
      <c r="F159"/>
      <c r="G159" s="505"/>
      <c r="H159" s="505"/>
      <c r="I159" s="505"/>
      <c r="J159" s="505"/>
      <c r="K159" s="505"/>
      <c r="L159" s="505"/>
      <c r="M159" s="505"/>
      <c r="N159" s="505"/>
      <c r="O159" s="505"/>
      <c r="P159" s="505"/>
      <c r="Q159" s="505"/>
      <c r="R159" s="505"/>
      <c r="S159" s="505"/>
      <c r="T159" s="734"/>
    </row>
    <row r="160" spans="1:20" ht="13.2">
      <c r="A160" s="398">
        <v>6</v>
      </c>
      <c r="B160" s="504" t="s">
        <v>377</v>
      </c>
      <c r="C160"/>
      <c r="D160"/>
      <c r="E160"/>
      <c r="F160"/>
      <c r="G160" s="505"/>
      <c r="H160" s="505">
        <f t="shared" ref="H160:T160" si="93">(H139-G139)/G139</f>
        <v>-0.13691026827012026</v>
      </c>
      <c r="I160" s="505">
        <f t="shared" si="93"/>
        <v>0.35905680600214362</v>
      </c>
      <c r="J160" s="505">
        <f t="shared" si="93"/>
        <v>9.5820189274447951E-2</v>
      </c>
      <c r="K160" s="505">
        <f t="shared" si="93"/>
        <v>0.23889391867578294</v>
      </c>
      <c r="L160" s="505">
        <f t="shared" si="93"/>
        <v>-0.14141803467102709</v>
      </c>
      <c r="M160" s="505">
        <f t="shared" si="93"/>
        <v>3.9580514208389712E-2</v>
      </c>
      <c r="N160" s="505">
        <f t="shared" si="93"/>
        <v>-6.4432150992515452E-2</v>
      </c>
      <c r="O160" s="505">
        <f t="shared" si="93"/>
        <v>-2.1349495652174127E-2</v>
      </c>
      <c r="P160" s="505">
        <f t="shared" si="93"/>
        <v>-1.7465043789455863E-4</v>
      </c>
      <c r="Q160" s="505">
        <f t="shared" si="93"/>
        <v>-2.9248571910390862E-4</v>
      </c>
      <c r="R160" s="505">
        <f t="shared" si="93"/>
        <v>0.17863440180407078</v>
      </c>
      <c r="S160" s="505">
        <f t="shared" si="93"/>
        <v>4.5047899939439209E-2</v>
      </c>
      <c r="T160" s="734">
        <f t="shared" si="93"/>
        <v>4.0973152424943456E-3</v>
      </c>
    </row>
    <row r="161" spans="1:24" ht="13.2">
      <c r="A161" s="398"/>
      <c r="B161"/>
      <c r="C161"/>
      <c r="D161"/>
      <c r="E161"/>
      <c r="F161"/>
      <c r="G161"/>
      <c r="H161"/>
      <c r="I161"/>
      <c r="J161"/>
      <c r="K161"/>
      <c r="L161" s="496"/>
      <c r="M161"/>
      <c r="N161" s="496"/>
      <c r="O161"/>
      <c r="P161" s="496"/>
      <c r="Q161" s="393"/>
      <c r="R161" s="393"/>
      <c r="S161" s="40"/>
      <c r="T161" s="40"/>
    </row>
    <row r="162" spans="1:24" ht="13.2">
      <c r="A162" s="398"/>
      <c r="B162" s="395" t="s">
        <v>717</v>
      </c>
      <c r="C162" s="395"/>
      <c r="D162" s="396"/>
      <c r="E162" s="397"/>
      <c r="F162" s="397"/>
      <c r="G162" s="539"/>
      <c r="H162" s="539" t="s">
        <v>614</v>
      </c>
      <c r="I162" s="539" t="s">
        <v>625</v>
      </c>
      <c r="J162" s="539" t="s">
        <v>615</v>
      </c>
      <c r="K162" s="539" t="s">
        <v>616</v>
      </c>
      <c r="L162" s="539" t="s">
        <v>617</v>
      </c>
      <c r="M162" s="539" t="s">
        <v>618</v>
      </c>
      <c r="N162" s="539" t="s">
        <v>619</v>
      </c>
      <c r="O162" s="539" t="s">
        <v>620</v>
      </c>
      <c r="P162" s="539" t="s">
        <v>621</v>
      </c>
      <c r="Q162" s="539" t="s">
        <v>622</v>
      </c>
      <c r="R162" s="539" t="s">
        <v>623</v>
      </c>
      <c r="S162" s="539" t="s">
        <v>624</v>
      </c>
      <c r="T162" s="732" t="s">
        <v>613</v>
      </c>
      <c r="V162" s="48"/>
      <c r="W162" s="41"/>
      <c r="X162" s="41"/>
    </row>
    <row r="163" spans="1:24" ht="13.8" thickBot="1">
      <c r="A163" s="398"/>
      <c r="B163"/>
      <c r="C163"/>
      <c r="D163"/>
      <c r="E163"/>
      <c r="F163"/>
      <c r="G163" s="506"/>
      <c r="H163" s="506"/>
      <c r="I163" s="506"/>
      <c r="J163" s="506"/>
      <c r="K163" s="506"/>
      <c r="L163" s="506"/>
      <c r="M163" s="506"/>
      <c r="N163" s="679"/>
      <c r="O163" s="506"/>
      <c r="P163" s="393"/>
      <c r="Q163" s="393"/>
      <c r="R163" s="393"/>
      <c r="S163" s="54"/>
      <c r="T163" s="54"/>
      <c r="V163" s="668"/>
      <c r="W163" s="668"/>
      <c r="X163" s="41"/>
    </row>
    <row r="164" spans="1:24" ht="13.2">
      <c r="A164" s="398">
        <v>7</v>
      </c>
      <c r="B164" s="686" t="s">
        <v>425</v>
      </c>
      <c r="C164"/>
      <c r="D164"/>
      <c r="E164"/>
      <c r="F164"/>
      <c r="G164" s="507"/>
      <c r="H164" s="507">
        <f>RATE(13,,-G103,$T103)</f>
        <v>5.4079532032045394E-2</v>
      </c>
      <c r="I164" s="507">
        <f>RATE(12,,-H103,$T103)</f>
        <v>4.6632775894920944E-2</v>
      </c>
      <c r="J164" s="507">
        <f>RATE(11,,-I103,$T103)</f>
        <v>5.4404091114978043E-2</v>
      </c>
      <c r="K164" s="507">
        <f>RATE(10,,-J103,$T103)</f>
        <v>4.7830559573585583E-2</v>
      </c>
      <c r="L164" s="507">
        <f>RATE(9,,-K103,$T103)</f>
        <v>5.2157192986189232E-2</v>
      </c>
      <c r="M164" s="507">
        <f>RATE(8,,-L103,$T103)</f>
        <v>4.965115435583739E-2</v>
      </c>
      <c r="N164" s="817">
        <f>RATE(7,,-M103,$T103)</f>
        <v>5.131266909343251E-2</v>
      </c>
      <c r="O164" s="671">
        <f>RATE(6,,-N103,$T103)</f>
        <v>4.7382729073762501E-2</v>
      </c>
      <c r="P164" s="671">
        <f>RATE(5,,-O103,$T103)</f>
        <v>3.8639715498140159E-2</v>
      </c>
      <c r="Q164" s="671">
        <f>RATE(4,,-P103,$T103)</f>
        <v>3.5942240391659691E-2</v>
      </c>
      <c r="R164" s="671">
        <f>RATE(3,,-Q103,$T103)</f>
        <v>1.9787170271239638E-2</v>
      </c>
      <c r="S164" s="671">
        <f>RATE(2,,-R103,$T103)</f>
        <v>-1.385392524610095E-2</v>
      </c>
      <c r="T164" s="671">
        <f>RATE(1,,-S103,$T103)</f>
        <v>1.8527741031826372E-2</v>
      </c>
      <c r="U164" s="45"/>
    </row>
    <row r="165" spans="1:24" ht="9" customHeight="1">
      <c r="A165" s="398"/>
      <c r="B165" s="686"/>
      <c r="C165"/>
      <c r="D165"/>
      <c r="E165"/>
      <c r="F165"/>
      <c r="G165" s="507"/>
      <c r="H165" s="507"/>
      <c r="I165" s="507"/>
      <c r="J165" s="507"/>
      <c r="K165" s="507"/>
      <c r="L165" s="507"/>
      <c r="M165" s="507"/>
      <c r="N165" s="568"/>
      <c r="O165" s="507"/>
      <c r="P165" s="507"/>
      <c r="Q165" s="507"/>
      <c r="R165" s="507"/>
      <c r="S165" s="507"/>
      <c r="T165" s="671"/>
      <c r="U165" s="45"/>
    </row>
    <row r="166" spans="1:24" ht="13.2">
      <c r="A166" s="392" t="s">
        <v>480</v>
      </c>
      <c r="B166" s="686" t="s">
        <v>714</v>
      </c>
      <c r="C166"/>
      <c r="D166"/>
      <c r="E166"/>
      <c r="F166"/>
      <c r="G166" s="507"/>
      <c r="H166" s="507"/>
      <c r="I166" s="507"/>
      <c r="J166" s="507"/>
      <c r="K166" s="507"/>
      <c r="L166" s="507"/>
      <c r="M166" s="507"/>
      <c r="N166" s="819">
        <v>0.03</v>
      </c>
      <c r="O166" s="507"/>
      <c r="P166" s="507"/>
      <c r="Q166" s="507"/>
      <c r="R166" s="507"/>
      <c r="S166" s="507"/>
      <c r="T166" s="671"/>
      <c r="U166" s="45"/>
    </row>
    <row r="167" spans="1:24" ht="8.25" customHeight="1">
      <c r="A167" s="392"/>
      <c r="B167" s="686"/>
      <c r="C167"/>
      <c r="D167"/>
      <c r="E167"/>
      <c r="F167"/>
      <c r="G167" s="507"/>
      <c r="H167" s="507"/>
      <c r="I167" s="507"/>
      <c r="J167" s="507"/>
      <c r="K167" s="507"/>
      <c r="L167" s="507"/>
      <c r="M167" s="507"/>
      <c r="N167" s="568"/>
      <c r="O167" s="507"/>
      <c r="P167" s="507"/>
      <c r="Q167" s="507"/>
      <c r="R167" s="507"/>
      <c r="S167" s="507"/>
      <c r="T167" s="671"/>
      <c r="U167" s="45"/>
    </row>
    <row r="168" spans="1:24" ht="13.2">
      <c r="A168" s="392">
        <v>8</v>
      </c>
      <c r="B168" s="686" t="s">
        <v>435</v>
      </c>
      <c r="C168"/>
      <c r="D168"/>
      <c r="E168"/>
      <c r="F168"/>
      <c r="G168" s="507"/>
      <c r="H168" s="507">
        <f>RATE(13,,-G110,$T110)</f>
        <v>6.394726835508166E-2</v>
      </c>
      <c r="I168" s="507">
        <f t="shared" ref="I168" si="94">RATE(12,,-H110,$T110)</f>
        <v>4.9275576140767163E-2</v>
      </c>
      <c r="J168" s="507">
        <f>RATE(11,,-I110,$T110)</f>
        <v>5.1925982638870098E-2</v>
      </c>
      <c r="K168" s="507">
        <f>RATE(10,,-J110,$T110)</f>
        <v>5.3017457362145651E-2</v>
      </c>
      <c r="L168" s="507">
        <f>RATE(9,,-K110,$T110)</f>
        <v>5.5723629797216304E-2</v>
      </c>
      <c r="M168" s="507">
        <f>RATE(8,,-L110,$T110)</f>
        <v>5.5590082107730233E-2</v>
      </c>
      <c r="N168" s="568">
        <f>RATE(7,,-M110,$T110)</f>
        <v>5.971037160911416E-2</v>
      </c>
      <c r="O168" s="507">
        <f>RATE(6,,-N110,$T110)</f>
        <v>5.8317855435061468E-2</v>
      </c>
      <c r="P168" s="507">
        <f>RATE(5,,-O110,$T110)</f>
        <v>5.8681281811738033E-2</v>
      </c>
      <c r="Q168" s="507">
        <f>RATE(4,,-P110,$T110)</f>
        <v>5.3786699172580985E-2</v>
      </c>
      <c r="R168" s="507">
        <f>RATE(3,,-Q110,$T110)</f>
        <v>5.2371154560321452E-2</v>
      </c>
      <c r="S168" s="507">
        <f>RATE(2,,-R110,$T110)</f>
        <v>4.5693733485477332E-2</v>
      </c>
      <c r="T168" s="671">
        <f>RATE(1,,-S110,$T110)</f>
        <v>6.8780261325197378E-2</v>
      </c>
      <c r="U168" s="45"/>
    </row>
    <row r="169" spans="1:24" ht="9.75" customHeight="1">
      <c r="A169" s="392"/>
      <c r="B169" s="686"/>
      <c r="C169"/>
      <c r="D169" s="12"/>
      <c r="E169"/>
      <c r="F169"/>
      <c r="G169" s="401"/>
      <c r="H169" s="401"/>
      <c r="I169" s="401"/>
      <c r="J169" s="401"/>
      <c r="K169" s="401"/>
      <c r="L169" s="401"/>
      <c r="M169" s="401"/>
      <c r="N169" s="568"/>
      <c r="O169" s="401"/>
      <c r="P169" s="401"/>
      <c r="Q169" s="401"/>
      <c r="R169" s="401"/>
      <c r="S169" s="401"/>
      <c r="T169" s="736"/>
    </row>
    <row r="170" spans="1:24" ht="13.2">
      <c r="A170" s="392">
        <v>9</v>
      </c>
      <c r="B170" s="402" t="s">
        <v>583</v>
      </c>
      <c r="C170"/>
      <c r="D170"/>
      <c r="E170"/>
      <c r="F170"/>
      <c r="G170" s="507"/>
      <c r="H170" s="507">
        <f>RATE(13,,-G126,$T126)</f>
        <v>4.9646439895592559E-2</v>
      </c>
      <c r="I170" s="507">
        <f>RATE(12,,-H126,$T126)</f>
        <v>3.916228663606372E-2</v>
      </c>
      <c r="J170" s="507">
        <f>RATE(11,,-I126,$T126)</f>
        <v>4.358811472317773E-2</v>
      </c>
      <c r="K170" s="507">
        <f>RATE(10,,-J126,$T126)</f>
        <v>4.5176613452509444E-2</v>
      </c>
      <c r="L170" s="507">
        <f>RATE(9,,-K126,$T126)</f>
        <v>4.8868780891212514E-2</v>
      </c>
      <c r="M170" s="507">
        <f>RATE(8,,-L126,$T126)</f>
        <v>5.2917708034977591E-2</v>
      </c>
      <c r="N170" s="568">
        <f>RATE(7,,-M126,$T126)</f>
        <v>6.6799803022223256E-2</v>
      </c>
      <c r="O170" s="507">
        <f>RATE(6,,-N126,$T126)</f>
        <v>7.2631502717645791E-2</v>
      </c>
      <c r="P170" s="507">
        <f>RATE(5,,-O126,$T126)</f>
        <v>7.606826762107971E-2</v>
      </c>
      <c r="Q170" s="507">
        <f>RATE(4,,-P126,$T126)</f>
        <v>6.8952446583131599E-2</v>
      </c>
      <c r="R170" s="507">
        <f>RATE(3,,-Q126,$T126)</f>
        <v>5.5975499354969351E-2</v>
      </c>
      <c r="S170" s="507">
        <f>RATE(2,,-R126,$T126)</f>
        <v>6.749065992775849E-2</v>
      </c>
      <c r="T170" s="671">
        <f>RATE(1,,-S126,$T126)</f>
        <v>6.0827048976547587E-2</v>
      </c>
      <c r="U170" s="45"/>
    </row>
    <row r="171" spans="1:24" ht="9" customHeight="1">
      <c r="A171" s="392"/>
      <c r="B171" s="637"/>
      <c r="C171"/>
      <c r="D171" s="12"/>
      <c r="E171"/>
      <c r="F171"/>
      <c r="G171" s="401"/>
      <c r="H171" s="401"/>
      <c r="I171" s="401"/>
      <c r="J171" s="401"/>
      <c r="K171" s="401"/>
      <c r="L171" s="401"/>
      <c r="M171" s="401"/>
      <c r="N171" s="568"/>
      <c r="O171" s="401"/>
      <c r="P171" s="401"/>
      <c r="Q171" s="401"/>
      <c r="R171" s="401"/>
      <c r="S171" s="401"/>
      <c r="T171" s="736"/>
    </row>
    <row r="172" spans="1:24" ht="13.2">
      <c r="A172" s="392">
        <v>10</v>
      </c>
      <c r="B172" s="504" t="s">
        <v>293</v>
      </c>
      <c r="C172"/>
      <c r="D172"/>
      <c r="E172" s="393"/>
      <c r="F172" s="393"/>
      <c r="G172" s="508"/>
      <c r="H172" s="508">
        <f>RATE(13,,-G129,$T129)</f>
        <v>4.7751654874845346E-2</v>
      </c>
      <c r="I172" s="508">
        <f>RATE(12,,-H129,$T129)</f>
        <v>4.2209353212042514E-2</v>
      </c>
      <c r="J172" s="508">
        <f>RATE(11,,-I129,$T129)</f>
        <v>4.8598924277941435E-2</v>
      </c>
      <c r="K172" s="508">
        <f>RATE(10,,-J129,$T129)</f>
        <v>4.830330876750677E-2</v>
      </c>
      <c r="L172" s="508">
        <f>RATE(9,,-K129,$T129)</f>
        <v>4.7611606013095532E-2</v>
      </c>
      <c r="M172" s="508">
        <f>RATE(8,,-L129,$T129)</f>
        <v>4.4741667143021031E-2</v>
      </c>
      <c r="N172" s="568">
        <f>RATE(7,,-M129,$T129)</f>
        <v>4.866695261094222E-2</v>
      </c>
      <c r="O172" s="508">
        <f>RATE(6,,-N129,$T129)</f>
        <v>4.7897429224418503E-2</v>
      </c>
      <c r="P172" s="508">
        <f>RATE(5,,-O129,$T129)</f>
        <v>4.2305374825289573E-2</v>
      </c>
      <c r="Q172" s="508">
        <f>RATE(4,,-P129,$T129)</f>
        <v>4.0526371180795211E-2</v>
      </c>
      <c r="R172" s="508">
        <f>RATE(3,,-Q129,$T129)</f>
        <v>3.7618464737937111E-2</v>
      </c>
      <c r="S172" s="508">
        <f>RATE(2,,-R129,$T129)</f>
        <v>3.599763085581429E-2</v>
      </c>
      <c r="T172" s="737">
        <f>RATE(1,,-S129,$T129)</f>
        <v>1.6312834202224444E-2</v>
      </c>
    </row>
    <row r="173" spans="1:24" ht="8.25" customHeight="1">
      <c r="A173" s="392"/>
      <c r="B173" s="504"/>
      <c r="C173" s="631"/>
      <c r="D173" s="631"/>
      <c r="E173" s="393"/>
      <c r="F173" s="393"/>
      <c r="G173" s="508"/>
      <c r="H173" s="508"/>
      <c r="I173" s="508"/>
      <c r="J173" s="508"/>
      <c r="K173" s="508"/>
      <c r="L173" s="508"/>
      <c r="M173" s="508"/>
      <c r="N173" s="568"/>
      <c r="O173" s="508"/>
      <c r="P173" s="508"/>
      <c r="Q173" s="508"/>
      <c r="R173" s="508"/>
      <c r="S173" s="508"/>
      <c r="T173" s="737"/>
    </row>
    <row r="174" spans="1:24" ht="13.2">
      <c r="A174" s="392">
        <v>11</v>
      </c>
      <c r="B174" s="504" t="s">
        <v>376</v>
      </c>
      <c r="C174"/>
      <c r="D174"/>
      <c r="E174"/>
      <c r="F174"/>
      <c r="G174" s="508"/>
      <c r="H174" s="508">
        <f>RATE(13,,-G132,$T132)</f>
        <v>5.9916811852193413E-2</v>
      </c>
      <c r="I174" s="508">
        <f>RATE(12,,-H132,$T132)</f>
        <v>4.3719972514857285E-2</v>
      </c>
      <c r="J174" s="508">
        <f>RATE(11,,-I132,$T132)</f>
        <v>5.0249835767023479E-2</v>
      </c>
      <c r="K174" s="508">
        <f>RATE(10,,-J132,$T132)</f>
        <v>5.0484436510544822E-2</v>
      </c>
      <c r="L174" s="508">
        <f>RATE(9,,-K132,$T132)</f>
        <v>5.01203841945803E-2</v>
      </c>
      <c r="M174" s="508">
        <f>RATE(8,,-L132,$T132)</f>
        <v>4.8068300579560262E-2</v>
      </c>
      <c r="N174" s="568">
        <f>RATE(7,,-M132,$T132)</f>
        <v>5.2165260860669999E-2</v>
      </c>
      <c r="O174" s="508">
        <f>RATE(6,,-N132,$T132)</f>
        <v>5.2453110818970111E-2</v>
      </c>
      <c r="P174" s="508">
        <f>RATE(5,,-O132,$T132)</f>
        <v>4.8435066116128689E-2</v>
      </c>
      <c r="Q174" s="508">
        <f>RATE(4,,-P132,$T132)</f>
        <v>4.3924183070881924E-2</v>
      </c>
      <c r="R174" s="508">
        <f>RATE(3,,-Q132,$T132)</f>
        <v>3.8159292158925127E-2</v>
      </c>
      <c r="S174" s="508">
        <f>RATE(2,,-R132,$T132)</f>
        <v>4.8102959048198828E-2</v>
      </c>
      <c r="T174" s="737">
        <f>RATE(1,,-S132,$T132)</f>
        <v>3.8420067011839663E-2</v>
      </c>
      <c r="U174" s="45"/>
    </row>
    <row r="175" spans="1:24" ht="13.2">
      <c r="A175" s="392"/>
      <c r="B175" s="402"/>
      <c r="C175" s="402"/>
      <c r="D175" s="12"/>
      <c r="E175" s="393"/>
      <c r="F175" s="393"/>
      <c r="G175" s="401"/>
      <c r="H175" s="401"/>
      <c r="I175" s="401"/>
      <c r="J175" s="401"/>
      <c r="K175" s="401"/>
      <c r="L175" s="401"/>
      <c r="M175" s="401"/>
      <c r="N175" s="568"/>
      <c r="O175" s="401"/>
      <c r="P175" s="401"/>
      <c r="Q175" s="401"/>
      <c r="R175" s="401"/>
      <c r="S175" s="401"/>
      <c r="T175" s="736"/>
    </row>
    <row r="176" spans="1:24" ht="13.8" thickBot="1">
      <c r="A176" s="392">
        <v>12</v>
      </c>
      <c r="B176" s="504" t="s">
        <v>377</v>
      </c>
      <c r="C176"/>
      <c r="D176"/>
      <c r="E176" s="393"/>
      <c r="F176" s="393"/>
      <c r="G176" s="508"/>
      <c r="H176" s="508">
        <f>RATE(13,,-G139,$T139)</f>
        <v>3.7252431363684092E-2</v>
      </c>
      <c r="I176" s="508">
        <f>RATE(12,,-H139,$T139)</f>
        <v>5.326302262640506E-2</v>
      </c>
      <c r="J176" s="508">
        <f>RATE(11,,-I139,$T139)</f>
        <v>2.913685420849425E-2</v>
      </c>
      <c r="K176" s="508">
        <f>RATE(10,,-J139,$T139)</f>
        <v>2.2695898547999329E-2</v>
      </c>
      <c r="L176" s="508">
        <f>RATE(9,,-K139,$T139)</f>
        <v>1.1342876587779784E-3</v>
      </c>
      <c r="M176" s="508">
        <f>RATE(8,,-L139,$T139)</f>
        <v>2.0542645746224081E-2</v>
      </c>
      <c r="N176" s="693">
        <f>RATE(7,,-M139,$T139)</f>
        <v>1.7851560938176823E-2</v>
      </c>
      <c r="O176" s="508">
        <f>RATE(6,,-N139,$T139)</f>
        <v>3.2252571312358196E-2</v>
      </c>
      <c r="P176" s="508">
        <f>RATE(5,,-O139,$T139)</f>
        <v>4.3320265418828434E-2</v>
      </c>
      <c r="Q176" s="508">
        <f>RATE(4,,-P139,$T139)</f>
        <v>5.4486485399241037E-2</v>
      </c>
      <c r="R176" s="508">
        <f>RATE(3,,-Q139,$T139)</f>
        <v>7.3405225735358168E-2</v>
      </c>
      <c r="S176" s="508">
        <f>RATE(2,,-R139,$T139)</f>
        <v>2.4367995707108125E-2</v>
      </c>
      <c r="T176" s="737">
        <f>RATE(1,,-S139,$T139)</f>
        <v>4.0973152424944653E-3</v>
      </c>
      <c r="U176" s="45"/>
    </row>
    <row r="177" spans="1:25" ht="12.6" thickBot="1">
      <c r="A177" s="398"/>
      <c r="B177" s="402"/>
      <c r="C177" s="402"/>
      <c r="D177" s="402"/>
      <c r="E177" s="403"/>
      <c r="F177" s="403"/>
      <c r="G177" s="393"/>
      <c r="H177" s="393"/>
      <c r="I177" s="393"/>
      <c r="J177" s="393"/>
      <c r="K177" s="393"/>
      <c r="L177" s="393"/>
      <c r="M177" s="393"/>
      <c r="N177" s="496"/>
      <c r="O177" s="393"/>
      <c r="P177" s="393"/>
      <c r="Q177" s="393"/>
      <c r="R177" s="402"/>
      <c r="S177" s="40"/>
      <c r="T177" s="40"/>
      <c r="V177" s="669"/>
      <c r="W177" s="670"/>
      <c r="X177" s="43"/>
      <c r="Y177" s="43"/>
    </row>
    <row r="178" spans="1:25" ht="13.2">
      <c r="A178" s="398"/>
      <c r="B178" s="395" t="s">
        <v>715</v>
      </c>
      <c r="C178" s="395"/>
      <c r="D178" s="396"/>
      <c r="E178" s="397"/>
      <c r="F178" s="397"/>
      <c r="G178" s="539"/>
      <c r="H178" s="539" t="s">
        <v>614</v>
      </c>
      <c r="I178" s="539" t="s">
        <v>625</v>
      </c>
      <c r="J178" s="539" t="s">
        <v>615</v>
      </c>
      <c r="K178" s="539" t="s">
        <v>616</v>
      </c>
      <c r="L178" s="539" t="s">
        <v>617</v>
      </c>
      <c r="M178" s="539" t="s">
        <v>618</v>
      </c>
      <c r="N178" s="820" t="s">
        <v>619</v>
      </c>
      <c r="O178" s="539" t="s">
        <v>620</v>
      </c>
      <c r="P178" s="539" t="s">
        <v>621</v>
      </c>
      <c r="Q178" s="539" t="s">
        <v>622</v>
      </c>
      <c r="R178" s="539" t="s">
        <v>623</v>
      </c>
      <c r="S178" s="539" t="s">
        <v>624</v>
      </c>
      <c r="T178" s="732" t="s">
        <v>613</v>
      </c>
      <c r="V178" s="41"/>
      <c r="W178" s="41"/>
      <c r="X178" s="41"/>
      <c r="Y178" s="41"/>
    </row>
    <row r="179" spans="1:25" ht="6.75" customHeight="1">
      <c r="A179" s="398"/>
      <c r="B179" s="402"/>
      <c r="C179" s="402"/>
      <c r="D179" s="402"/>
      <c r="E179" s="403"/>
      <c r="F179" s="403"/>
      <c r="G179" s="509"/>
      <c r="H179" s="509"/>
      <c r="I179" s="509"/>
      <c r="J179" s="509"/>
      <c r="K179" s="509"/>
      <c r="L179" s="509"/>
      <c r="M179" s="509"/>
      <c r="N179" s="821"/>
      <c r="O179" s="509"/>
      <c r="P179" s="509"/>
      <c r="Q179" s="509"/>
      <c r="R179" s="402"/>
      <c r="S179" s="54"/>
      <c r="T179" s="54"/>
      <c r="V179" s="41"/>
      <c r="W179" s="671"/>
      <c r="X179" s="41"/>
      <c r="Y179" s="41"/>
    </row>
    <row r="180" spans="1:25">
      <c r="A180" s="398">
        <v>13</v>
      </c>
      <c r="B180" s="686" t="s">
        <v>425</v>
      </c>
      <c r="C180" s="402"/>
      <c r="D180" s="402"/>
      <c r="G180" s="403" t="s">
        <v>626</v>
      </c>
      <c r="H180" s="510">
        <f>2*H164</f>
        <v>0.10815906406409079</v>
      </c>
      <c r="I180" s="510">
        <f t="shared" ref="I180:T180" si="95">2*I164</f>
        <v>9.3265551789841888E-2</v>
      </c>
      <c r="J180" s="510">
        <f t="shared" si="95"/>
        <v>0.10880818222995609</v>
      </c>
      <c r="K180" s="510">
        <f t="shared" si="95"/>
        <v>9.5661119147171167E-2</v>
      </c>
      <c r="L180" s="510">
        <f t="shared" si="95"/>
        <v>0.10431438597237846</v>
      </c>
      <c r="M180" s="510">
        <f t="shared" si="95"/>
        <v>9.930230871167478E-2</v>
      </c>
      <c r="N180" s="822">
        <f t="shared" si="95"/>
        <v>0.10262533818686502</v>
      </c>
      <c r="O180" s="510">
        <f t="shared" si="95"/>
        <v>9.4765458147525003E-2</v>
      </c>
      <c r="P180" s="510">
        <f t="shared" si="95"/>
        <v>7.7279430996280318E-2</v>
      </c>
      <c r="Q180" s="510">
        <f t="shared" si="95"/>
        <v>7.1884480783319382E-2</v>
      </c>
      <c r="R180" s="510">
        <f t="shared" si="95"/>
        <v>3.9574340542479276E-2</v>
      </c>
      <c r="S180" s="510">
        <f t="shared" si="95"/>
        <v>-2.77078504922019E-2</v>
      </c>
      <c r="T180" s="510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8"/>
      <c r="B181" s="686"/>
      <c r="C181" s="402"/>
      <c r="D181" s="402"/>
      <c r="G181" s="403"/>
      <c r="H181" s="510"/>
      <c r="I181" s="510"/>
      <c r="J181" s="510"/>
      <c r="K181" s="510"/>
      <c r="L181" s="510"/>
      <c r="M181" s="510"/>
      <c r="N181" s="822"/>
      <c r="O181" s="510"/>
      <c r="P181" s="510"/>
      <c r="Q181" s="510"/>
      <c r="R181" s="510"/>
      <c r="S181" s="510"/>
      <c r="T181" s="510"/>
      <c r="U181" s="656"/>
      <c r="V181" s="41"/>
      <c r="W181" s="41"/>
      <c r="X181" s="41"/>
      <c r="Y181" s="41"/>
    </row>
    <row r="182" spans="1:25">
      <c r="A182" s="398" t="s">
        <v>481</v>
      </c>
      <c r="B182" s="686" t="s">
        <v>716</v>
      </c>
      <c r="C182" s="402"/>
      <c r="D182" s="402"/>
      <c r="G182" s="403" t="s">
        <v>626</v>
      </c>
      <c r="H182" s="510"/>
      <c r="I182" s="510"/>
      <c r="J182" s="510"/>
      <c r="K182" s="510"/>
      <c r="L182" s="510"/>
      <c r="M182" s="510"/>
      <c r="N182" s="822">
        <f>2*N166</f>
        <v>0.06</v>
      </c>
      <c r="O182" s="510"/>
      <c r="P182" s="510"/>
      <c r="Q182" s="510"/>
      <c r="R182" s="510"/>
      <c r="S182" s="510"/>
      <c r="T182" s="510"/>
      <c r="U182" s="656"/>
      <c r="V182" s="41"/>
      <c r="W182" s="41"/>
      <c r="X182" s="41"/>
      <c r="Y182" s="41"/>
    </row>
    <row r="183" spans="1:25">
      <c r="A183" s="398"/>
      <c r="B183" s="399"/>
      <c r="C183" s="402"/>
      <c r="D183" s="402"/>
      <c r="G183" s="403"/>
      <c r="H183" s="510"/>
      <c r="I183" s="510"/>
      <c r="J183" s="510"/>
      <c r="K183" s="510"/>
      <c r="L183" s="510"/>
      <c r="M183" s="510"/>
      <c r="N183" s="568"/>
      <c r="O183" s="510"/>
      <c r="P183" s="510"/>
      <c r="Q183" s="510"/>
      <c r="R183" s="510"/>
      <c r="S183" s="45"/>
      <c r="T183" s="656"/>
      <c r="U183" s="45"/>
    </row>
    <row r="184" spans="1:25">
      <c r="A184" s="398">
        <v>14</v>
      </c>
      <c r="B184" s="686" t="s">
        <v>582</v>
      </c>
      <c r="C184" s="402"/>
      <c r="D184" s="402"/>
      <c r="G184" s="775" t="s">
        <v>626</v>
      </c>
      <c r="H184" s="510">
        <f>2*H168</f>
        <v>0.12789453671016332</v>
      </c>
      <c r="I184" s="510">
        <f t="shared" ref="I184:T184" si="96">2*I168</f>
        <v>9.8551152281534327E-2</v>
      </c>
      <c r="J184" s="510">
        <f t="shared" si="96"/>
        <v>0.1038519652777402</v>
      </c>
      <c r="K184" s="510">
        <f t="shared" si="96"/>
        <v>0.1060349147242913</v>
      </c>
      <c r="L184" s="510">
        <f t="shared" si="96"/>
        <v>0.11144725959443261</v>
      </c>
      <c r="M184" s="510">
        <f t="shared" si="96"/>
        <v>0.11118016421546047</v>
      </c>
      <c r="N184" s="822">
        <f t="shared" si="96"/>
        <v>0.11942074321822832</v>
      </c>
      <c r="O184" s="510">
        <f t="shared" si="96"/>
        <v>0.11663571087012294</v>
      </c>
      <c r="P184" s="510">
        <f t="shared" si="96"/>
        <v>0.11736256362347607</v>
      </c>
      <c r="Q184" s="510">
        <f t="shared" si="96"/>
        <v>0.10757339834516197</v>
      </c>
      <c r="R184" s="510">
        <f t="shared" si="96"/>
        <v>0.1047423091206429</v>
      </c>
      <c r="S184" s="510">
        <f t="shared" si="96"/>
        <v>9.1387466970954664E-2</v>
      </c>
      <c r="T184" s="510">
        <f t="shared" si="96"/>
        <v>0.13756052265039476</v>
      </c>
      <c r="U184" s="45"/>
    </row>
    <row r="185" spans="1:25">
      <c r="A185" s="398"/>
      <c r="B185" s="399"/>
      <c r="C185" s="402"/>
      <c r="D185" s="402"/>
      <c r="G185" s="403"/>
      <c r="H185" s="510"/>
      <c r="I185" s="510"/>
      <c r="J185" s="510"/>
      <c r="K185" s="510"/>
      <c r="L185" s="510"/>
      <c r="M185" s="510"/>
      <c r="N185" s="568"/>
      <c r="O185" s="510"/>
      <c r="P185" s="510"/>
      <c r="Q185" s="510"/>
      <c r="R185" s="510"/>
      <c r="S185" s="510"/>
      <c r="T185" s="738"/>
      <c r="U185" s="656"/>
    </row>
    <row r="186" spans="1:25">
      <c r="A186" s="392">
        <v>15</v>
      </c>
      <c r="B186" s="686" t="s">
        <v>583</v>
      </c>
      <c r="C186" s="402"/>
      <c r="D186" s="402"/>
      <c r="G186" s="775" t="s">
        <v>626</v>
      </c>
      <c r="H186" s="510">
        <f>2*H170</f>
        <v>9.9292879791185118E-2</v>
      </c>
      <c r="I186" s="510">
        <f t="shared" ref="I186:T186" si="97">2*I170</f>
        <v>7.832457327212744E-2</v>
      </c>
      <c r="J186" s="510">
        <f t="shared" si="97"/>
        <v>8.717622944635546E-2</v>
      </c>
      <c r="K186" s="510">
        <f t="shared" si="97"/>
        <v>9.0353226905018888E-2</v>
      </c>
      <c r="L186" s="510">
        <f t="shared" si="97"/>
        <v>9.7737561782425028E-2</v>
      </c>
      <c r="M186" s="510">
        <f t="shared" si="97"/>
        <v>0.10583541606995518</v>
      </c>
      <c r="N186" s="822">
        <f t="shared" si="97"/>
        <v>0.13359960604444651</v>
      </c>
      <c r="O186" s="510">
        <f t="shared" si="97"/>
        <v>0.14526300543529158</v>
      </c>
      <c r="P186" s="510">
        <f t="shared" si="97"/>
        <v>0.15213653524215942</v>
      </c>
      <c r="Q186" s="510">
        <f t="shared" si="97"/>
        <v>0.1379048931662632</v>
      </c>
      <c r="R186" s="510">
        <f t="shared" si="97"/>
        <v>0.1119509987099387</v>
      </c>
      <c r="S186" s="510">
        <f t="shared" si="97"/>
        <v>0.13498131985551698</v>
      </c>
      <c r="T186" s="510">
        <f t="shared" si="97"/>
        <v>0.12165409795309517</v>
      </c>
      <c r="U186" s="45"/>
    </row>
    <row r="187" spans="1:25" ht="13.2">
      <c r="A187" s="398"/>
      <c r="B187"/>
      <c r="C187" s="402"/>
      <c r="D187" s="402"/>
      <c r="G187" s="403"/>
      <c r="H187" s="509"/>
      <c r="I187" s="509"/>
      <c r="J187" s="509"/>
      <c r="K187" s="509"/>
      <c r="L187" s="509"/>
      <c r="M187" s="509"/>
      <c r="N187" s="569"/>
      <c r="O187" s="509"/>
      <c r="P187" s="509"/>
      <c r="Q187" s="509"/>
      <c r="R187" s="509"/>
      <c r="S187" s="509"/>
      <c r="T187" s="739"/>
    </row>
    <row r="188" spans="1:25">
      <c r="A188" s="398">
        <v>16</v>
      </c>
      <c r="B188" s="504" t="s">
        <v>293</v>
      </c>
      <c r="C188" s="402"/>
      <c r="D188" s="402"/>
      <c r="G188" s="775" t="s">
        <v>626</v>
      </c>
      <c r="H188" s="510">
        <f>2*H172</f>
        <v>9.5503309749690693E-2</v>
      </c>
      <c r="I188" s="510">
        <f t="shared" ref="I188:T188" si="98">2*I172</f>
        <v>8.4418706424085027E-2</v>
      </c>
      <c r="J188" s="510">
        <f t="shared" si="98"/>
        <v>9.7197848555882871E-2</v>
      </c>
      <c r="K188" s="510">
        <f t="shared" si="98"/>
        <v>9.6606617535013539E-2</v>
      </c>
      <c r="L188" s="510">
        <f t="shared" si="98"/>
        <v>9.5223212026191065E-2</v>
      </c>
      <c r="M188" s="510">
        <f t="shared" si="98"/>
        <v>8.9483334286042063E-2</v>
      </c>
      <c r="N188" s="822">
        <f t="shared" si="98"/>
        <v>9.733390522188444E-2</v>
      </c>
      <c r="O188" s="510">
        <f t="shared" si="98"/>
        <v>9.5794858448837006E-2</v>
      </c>
      <c r="P188" s="510">
        <f t="shared" si="98"/>
        <v>8.4610749650579145E-2</v>
      </c>
      <c r="Q188" s="510">
        <f t="shared" si="98"/>
        <v>8.1052742361590421E-2</v>
      </c>
      <c r="R188" s="510">
        <f t="shared" si="98"/>
        <v>7.5236929475874223E-2</v>
      </c>
      <c r="S188" s="510">
        <f t="shared" si="98"/>
        <v>7.199526171162858E-2</v>
      </c>
      <c r="T188" s="510">
        <f t="shared" si="98"/>
        <v>3.2625668404448888E-2</v>
      </c>
      <c r="U188" s="45"/>
    </row>
    <row r="189" spans="1:25">
      <c r="A189" s="398"/>
      <c r="B189" s="400"/>
      <c r="C189" s="402"/>
      <c r="D189" s="402"/>
      <c r="G189" s="403"/>
      <c r="H189" s="510"/>
      <c r="I189" s="510"/>
      <c r="J189" s="510"/>
      <c r="K189" s="510"/>
      <c r="L189" s="510"/>
      <c r="M189" s="510"/>
      <c r="N189" s="568"/>
      <c r="O189" s="510"/>
      <c r="P189" s="510"/>
      <c r="Q189" s="510"/>
      <c r="R189" s="510"/>
      <c r="S189" s="510"/>
      <c r="T189" s="738"/>
      <c r="U189" s="656"/>
    </row>
    <row r="190" spans="1:25">
      <c r="A190" s="398">
        <v>17</v>
      </c>
      <c r="B190" s="504" t="s">
        <v>376</v>
      </c>
      <c r="G190" s="775" t="s">
        <v>626</v>
      </c>
      <c r="H190" s="510">
        <f>2*H174</f>
        <v>0.11983362370438683</v>
      </c>
      <c r="I190" s="510">
        <f t="shared" ref="I190:T190" si="99">2*I174</f>
        <v>8.7439945029714569E-2</v>
      </c>
      <c r="J190" s="510">
        <f t="shared" si="99"/>
        <v>0.10049967153404696</v>
      </c>
      <c r="K190" s="510">
        <f t="shared" si="99"/>
        <v>0.10096887302108964</v>
      </c>
      <c r="L190" s="510">
        <f t="shared" si="99"/>
        <v>0.1002407683891606</v>
      </c>
      <c r="M190" s="510">
        <f t="shared" si="99"/>
        <v>9.6136601159120524E-2</v>
      </c>
      <c r="N190" s="822">
        <f t="shared" si="99"/>
        <v>0.10433052172134</v>
      </c>
      <c r="O190" s="510">
        <f t="shared" si="99"/>
        <v>0.10490622163794022</v>
      </c>
      <c r="P190" s="510">
        <f t="shared" si="99"/>
        <v>9.6870132232257378E-2</v>
      </c>
      <c r="Q190" s="510">
        <f t="shared" si="99"/>
        <v>8.7848366141763848E-2</v>
      </c>
      <c r="R190" s="510">
        <f t="shared" si="99"/>
        <v>7.6318584317850255E-2</v>
      </c>
      <c r="S190" s="510">
        <f t="shared" si="99"/>
        <v>9.6205918096397655E-2</v>
      </c>
      <c r="T190" s="510">
        <f t="shared" si="99"/>
        <v>7.6840134023679327E-2</v>
      </c>
      <c r="U190" s="45"/>
    </row>
    <row r="191" spans="1:25" ht="13.2">
      <c r="A191" s="398"/>
      <c r="B191"/>
      <c r="G191" s="41"/>
      <c r="H191" s="40"/>
      <c r="I191" s="40"/>
      <c r="J191" s="40"/>
      <c r="K191" s="40"/>
      <c r="L191" s="40"/>
      <c r="M191" s="40"/>
      <c r="N191" s="569"/>
      <c r="O191" s="40"/>
      <c r="P191" s="40"/>
      <c r="Q191" s="40"/>
      <c r="S191" s="40"/>
      <c r="T191" s="40"/>
    </row>
    <row r="192" spans="1:25" ht="12.6" thickBot="1">
      <c r="A192" s="392">
        <v>18</v>
      </c>
      <c r="B192" s="504" t="s">
        <v>377</v>
      </c>
      <c r="G192" s="775" t="s">
        <v>626</v>
      </c>
      <c r="H192" s="510">
        <f t="shared" ref="H192:T192" si="100">(1+H176)^2-1</f>
        <v>7.5892606369874382E-2</v>
      </c>
      <c r="I192" s="510">
        <f t="shared" si="100"/>
        <v>0.10936299483211109</v>
      </c>
      <c r="J192" s="510">
        <f t="shared" si="100"/>
        <v>5.912266469015548E-2</v>
      </c>
      <c r="K192" s="510">
        <f t="shared" si="100"/>
        <v>4.5906900906899528E-2</v>
      </c>
      <c r="L192" s="510">
        <f t="shared" si="100"/>
        <v>2.2698619260486108E-3</v>
      </c>
      <c r="M192" s="510">
        <f t="shared" si="100"/>
        <v>4.1507291786702982E-2</v>
      </c>
      <c r="N192" s="818">
        <f t="shared" si="100"/>
        <v>3.602180010428313E-2</v>
      </c>
      <c r="O192" s="510">
        <f t="shared" si="100"/>
        <v>6.5545370980975237E-2</v>
      </c>
      <c r="P192" s="510">
        <f t="shared" si="100"/>
        <v>8.8517176233614769E-2</v>
      </c>
      <c r="Q192" s="510">
        <f t="shared" si="100"/>
        <v>0.11194174788964384</v>
      </c>
      <c r="R192" s="510">
        <f t="shared" si="100"/>
        <v>0.15219877863597508</v>
      </c>
      <c r="S192" s="510">
        <f t="shared" si="100"/>
        <v>4.9329790628997783E-2</v>
      </c>
      <c r="T192" s="738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topLeftCell="A7" zoomScaleNormal="100" workbookViewId="0">
      <selection activeCell="D27" sqref="D27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14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2"/>
      <c r="D5" s="783" t="s">
        <v>609</v>
      </c>
      <c r="E5" s="782"/>
      <c r="G5" s="72"/>
      <c r="H5" s="777" t="s">
        <v>668</v>
      </c>
    </row>
    <row r="6" spans="1:11">
      <c r="D6" s="57" t="s">
        <v>89</v>
      </c>
      <c r="E6" s="57"/>
      <c r="F6" s="57" t="s">
        <v>8</v>
      </c>
      <c r="G6" s="72"/>
      <c r="J6" s="873" t="s">
        <v>770</v>
      </c>
    </row>
    <row r="7" spans="1:11">
      <c r="D7" s="57" t="s">
        <v>88</v>
      </c>
      <c r="E7" s="57"/>
      <c r="F7" s="57" t="s">
        <v>5</v>
      </c>
      <c r="G7" s="72"/>
      <c r="J7" s="873" t="s">
        <v>769</v>
      </c>
    </row>
    <row r="8" spans="1:11">
      <c r="D8" s="58" t="s">
        <v>98</v>
      </c>
      <c r="E8" s="58"/>
      <c r="F8" s="58" t="s">
        <v>127</v>
      </c>
      <c r="G8" s="73"/>
      <c r="J8" s="897" t="s">
        <v>771</v>
      </c>
    </row>
    <row r="9" spans="1:11">
      <c r="A9" s="15" t="s">
        <v>9</v>
      </c>
      <c r="E9" s="1"/>
      <c r="F9" s="776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895">
        <v>88588</v>
      </c>
      <c r="E11" s="59"/>
      <c r="F11" s="882">
        <f>F$9*D11</f>
        <v>57325.294800000003</v>
      </c>
      <c r="G11" s="65"/>
      <c r="H11" s="59"/>
      <c r="J11" s="60">
        <v>88588</v>
      </c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6" customFormat="1">
      <c r="A14" s="650" t="s">
        <v>403</v>
      </c>
      <c r="B14" s="650"/>
      <c r="C14" s="650" t="s">
        <v>98</v>
      </c>
      <c r="D14" s="351">
        <f>15801-D15-D16</f>
        <v>15650</v>
      </c>
      <c r="E14" s="60"/>
      <c r="F14" s="60">
        <f>F$9*D14</f>
        <v>10127.115</v>
      </c>
      <c r="G14" s="62"/>
      <c r="H14" s="721" t="s">
        <v>666</v>
      </c>
    </row>
    <row r="15" spans="1:11" s="650" customFormat="1">
      <c r="A15" s="650" t="s">
        <v>403</v>
      </c>
      <c r="C15" s="650" t="s">
        <v>506</v>
      </c>
      <c r="D15" s="351">
        <v>100</v>
      </c>
      <c r="E15" s="60"/>
      <c r="F15" s="62">
        <f>D15</f>
        <v>100</v>
      </c>
      <c r="G15" s="62"/>
      <c r="H15" s="722" t="s">
        <v>667</v>
      </c>
    </row>
    <row r="16" spans="1:11" s="650" customFormat="1">
      <c r="A16" s="650" t="s">
        <v>403</v>
      </c>
      <c r="C16" s="650" t="s">
        <v>507</v>
      </c>
      <c r="D16" s="351">
        <v>51</v>
      </c>
      <c r="E16" s="60"/>
      <c r="F16" s="62">
        <v>0</v>
      </c>
      <c r="G16" s="62"/>
      <c r="H16" s="722" t="s">
        <v>665</v>
      </c>
    </row>
    <row r="17" spans="1:10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10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10">
      <c r="A19" s="15" t="s">
        <v>14</v>
      </c>
      <c r="D19" s="60">
        <f>SUM(D11:D18)</f>
        <v>104855</v>
      </c>
      <c r="E19" s="62"/>
      <c r="F19" s="691">
        <f>SUM(F11:F18)</f>
        <v>67853.958400000003</v>
      </c>
      <c r="G19" s="62"/>
      <c r="H19" s="59"/>
    </row>
    <row r="20" spans="1:10">
      <c r="D20" s="60"/>
      <c r="E20" s="62"/>
      <c r="F20" s="60"/>
      <c r="G20" s="62"/>
      <c r="H20" s="59"/>
    </row>
    <row r="21" spans="1:10">
      <c r="D21" s="60"/>
      <c r="E21" s="62"/>
      <c r="F21" s="60"/>
      <c r="G21" s="62"/>
      <c r="H21" s="59"/>
    </row>
    <row r="22" spans="1:10">
      <c r="A22" s="15" t="s">
        <v>15</v>
      </c>
      <c r="D22" s="894">
        <v>29123</v>
      </c>
      <c r="E22" s="62"/>
      <c r="F22" s="60">
        <f t="shared" ref="F22:F30" si="0">F$9*D22</f>
        <v>18845.493300000002</v>
      </c>
      <c r="G22" s="62"/>
      <c r="H22" s="59"/>
    </row>
    <row r="23" spans="1:10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10">
      <c r="A24" s="15" t="s">
        <v>17</v>
      </c>
      <c r="D24" s="894">
        <v>77293</v>
      </c>
      <c r="E24" s="62"/>
      <c r="F24" s="60">
        <f t="shared" si="0"/>
        <v>50016.300300000003</v>
      </c>
      <c r="G24" s="62"/>
      <c r="H24" s="59"/>
    </row>
    <row r="25" spans="1:10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10">
      <c r="A26" s="15" t="s">
        <v>19</v>
      </c>
      <c r="D26" s="691">
        <v>119195</v>
      </c>
      <c r="E26" s="62"/>
      <c r="F26" s="880">
        <f t="shared" si="0"/>
        <v>77131.084499999997</v>
      </c>
      <c r="G26" s="62"/>
      <c r="H26" s="59"/>
      <c r="J26" s="60">
        <v>119195</v>
      </c>
    </row>
    <row r="27" spans="1:10">
      <c r="A27" s="15" t="s">
        <v>20</v>
      </c>
      <c r="D27" s="60">
        <v>0</v>
      </c>
      <c r="E27" s="62"/>
      <c r="F27" s="351">
        <v>0</v>
      </c>
      <c r="G27" s="62"/>
    </row>
    <row r="28" spans="1:10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10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10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10">
      <c r="A31" s="766" t="s">
        <v>691</v>
      </c>
      <c r="D31" s="60">
        <v>0</v>
      </c>
      <c r="E31" s="62"/>
      <c r="F31" s="778">
        <v>-1528</v>
      </c>
      <c r="G31" s="62"/>
      <c r="H31" s="780" t="s">
        <v>676</v>
      </c>
    </row>
    <row r="32" spans="1:10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7" customFormat="1" ht="12.75" customHeight="1">
      <c r="A33" s="777" t="s">
        <v>574</v>
      </c>
      <c r="B33" s="777"/>
      <c r="C33" s="777"/>
      <c r="D33" s="778">
        <v>0</v>
      </c>
      <c r="E33" s="779"/>
      <c r="F33" s="778">
        <f>F$9*D33</f>
        <v>0</v>
      </c>
      <c r="G33" s="779"/>
      <c r="H33" s="780" t="s">
        <v>675</v>
      </c>
    </row>
    <row r="34" spans="1:8" s="657" customFormat="1" ht="12.75" customHeight="1">
      <c r="A34" s="777" t="s">
        <v>575</v>
      </c>
      <c r="B34" s="777"/>
      <c r="C34" s="777"/>
      <c r="D34" s="778">
        <v>0</v>
      </c>
      <c r="E34" s="779"/>
      <c r="F34" s="778">
        <f>F$9*D34</f>
        <v>0</v>
      </c>
      <c r="G34" s="779"/>
      <c r="H34" s="780" t="s">
        <v>675</v>
      </c>
    </row>
    <row r="35" spans="1:8">
      <c r="A35" s="15" t="s">
        <v>25</v>
      </c>
      <c r="D35" s="63">
        <f>SUM(D22:D34)</f>
        <v>244111</v>
      </c>
      <c r="E35" s="62"/>
      <c r="F35" s="881">
        <f>SUM(F22:F34)</f>
        <v>156436.22810000001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-139256</v>
      </c>
      <c r="E37" s="60"/>
      <c r="F37" s="60">
        <f>F19-F35</f>
        <v>-88582.269700000004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-31003.794395000001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-57578.475305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0" t="s">
        <v>574</v>
      </c>
      <c r="B45" s="730"/>
      <c r="C45" s="730"/>
      <c r="D45" s="691">
        <v>9335</v>
      </c>
      <c r="E45" s="743"/>
      <c r="F45" s="691">
        <f>F$9*D45</f>
        <v>6040.6785</v>
      </c>
      <c r="G45" s="62"/>
      <c r="H45" s="754" t="s">
        <v>675</v>
      </c>
    </row>
    <row r="46" spans="1:8">
      <c r="A46" s="730" t="s">
        <v>575</v>
      </c>
      <c r="B46" s="730"/>
      <c r="C46" s="730"/>
      <c r="D46" s="691">
        <v>15005</v>
      </c>
      <c r="E46" s="743"/>
      <c r="F46" s="691">
        <f>F$9*D46</f>
        <v>9709.7355000000007</v>
      </c>
      <c r="G46" s="62"/>
      <c r="H46" s="754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6"/>
  <sheetViews>
    <sheetView topLeftCell="A16" zoomScaleNormal="100" workbookViewId="0">
      <selection activeCell="H22" sqref="H22"/>
    </sheetView>
  </sheetViews>
  <sheetFormatPr defaultColWidth="9.109375" defaultRowHeight="13.2"/>
  <cols>
    <col min="1" max="1" width="22.109375" style="585" customWidth="1"/>
    <col min="2" max="2" width="10.44140625" style="585" customWidth="1"/>
    <col min="3" max="3" width="10.33203125" style="585" customWidth="1"/>
    <col min="4" max="4" width="9.88671875" style="585" customWidth="1"/>
    <col min="5" max="5" width="8" style="585" customWidth="1"/>
    <col min="6" max="6" width="12.109375" style="585" customWidth="1"/>
    <col min="7" max="7" width="3.6640625" style="585" customWidth="1"/>
    <col min="8" max="8" width="20.33203125" style="585" customWidth="1"/>
    <col min="9" max="16384" width="9.109375" style="585"/>
  </cols>
  <sheetData>
    <row r="1" spans="1:12">
      <c r="A1" s="55" t="s">
        <v>6</v>
      </c>
      <c r="B1" s="55"/>
      <c r="C1" s="55"/>
      <c r="D1" s="55"/>
      <c r="E1" s="55"/>
      <c r="F1" s="55"/>
      <c r="G1" s="55"/>
      <c r="H1" s="55"/>
    </row>
    <row r="2" spans="1:12">
      <c r="A2" s="55" t="s">
        <v>126</v>
      </c>
      <c r="B2" s="55"/>
      <c r="C2" s="55"/>
      <c r="D2" s="55"/>
      <c r="E2" s="55"/>
      <c r="F2" s="55"/>
      <c r="G2" s="55"/>
      <c r="H2" s="55"/>
    </row>
    <row r="3" spans="1:12">
      <c r="A3" s="56" t="s">
        <v>567</v>
      </c>
      <c r="B3" s="55"/>
      <c r="C3" s="55"/>
      <c r="D3" s="55"/>
      <c r="E3" s="55"/>
      <c r="F3" s="55"/>
      <c r="G3" s="55"/>
      <c r="H3" s="55"/>
    </row>
    <row r="4" spans="1:12">
      <c r="G4" s="72"/>
    </row>
    <row r="5" spans="1:12">
      <c r="D5" s="694" t="s">
        <v>669</v>
      </c>
      <c r="G5" s="72"/>
      <c r="H5" s="720" t="s">
        <v>670</v>
      </c>
    </row>
    <row r="6" spans="1:12">
      <c r="D6" s="349" t="s">
        <v>89</v>
      </c>
      <c r="E6" s="587"/>
      <c r="F6" s="587" t="s">
        <v>8</v>
      </c>
      <c r="G6" s="72"/>
      <c r="I6" s="891">
        <v>2016</v>
      </c>
      <c r="J6" s="891">
        <v>9.2013999999999996</v>
      </c>
    </row>
    <row r="7" spans="1:12">
      <c r="D7" s="349" t="s">
        <v>88</v>
      </c>
      <c r="E7" s="587"/>
      <c r="F7" s="587" t="s">
        <v>5</v>
      </c>
      <c r="G7" s="72"/>
      <c r="I7" s="892" t="s">
        <v>769</v>
      </c>
      <c r="J7" s="892" t="s">
        <v>769</v>
      </c>
    </row>
    <row r="8" spans="1:12">
      <c r="D8" s="723" t="s">
        <v>98</v>
      </c>
      <c r="E8" s="58"/>
      <c r="F8" s="58" t="s">
        <v>127</v>
      </c>
      <c r="G8" s="73"/>
      <c r="I8" s="893" t="s">
        <v>98</v>
      </c>
      <c r="J8" s="893" t="s">
        <v>98</v>
      </c>
      <c r="L8" s="585" t="s">
        <v>517</v>
      </c>
    </row>
    <row r="9" spans="1:12">
      <c r="A9" s="585" t="s">
        <v>9</v>
      </c>
      <c r="D9" s="18"/>
      <c r="E9" s="1"/>
      <c r="F9" s="776">
        <v>0.64710000000000001</v>
      </c>
      <c r="G9" s="74"/>
      <c r="I9" s="60"/>
    </row>
    <row r="10" spans="1:12">
      <c r="D10" s="18"/>
      <c r="G10" s="72"/>
      <c r="I10" s="60"/>
    </row>
    <row r="11" spans="1:12">
      <c r="A11" s="585" t="s">
        <v>10</v>
      </c>
      <c r="D11" s="896">
        <f>'PF Power Supply 09.2014 load'!D11-L11</f>
        <v>84578</v>
      </c>
      <c r="E11" s="59"/>
      <c r="F11" s="59">
        <f>F$9*D11</f>
        <v>54730.423800000004</v>
      </c>
      <c r="G11" s="65"/>
      <c r="H11" s="59"/>
      <c r="I11" s="60">
        <v>79064</v>
      </c>
      <c r="J11" s="894">
        <v>83074</v>
      </c>
      <c r="L11" s="60">
        <f>J11-I11</f>
        <v>4010</v>
      </c>
    </row>
    <row r="12" spans="1:12">
      <c r="A12" s="585" t="s">
        <v>11</v>
      </c>
      <c r="D12" s="351">
        <v>466</v>
      </c>
      <c r="E12" s="60"/>
      <c r="F12" s="60">
        <f>F$9*D12</f>
        <v>301.54860000000002</v>
      </c>
      <c r="G12" s="62"/>
      <c r="H12" s="59"/>
      <c r="I12" s="60">
        <v>466</v>
      </c>
      <c r="J12" s="60">
        <v>466</v>
      </c>
      <c r="L12" s="60">
        <f t="shared" ref="L12:L37" si="0">J12-I12</f>
        <v>0</v>
      </c>
    </row>
    <row r="13" spans="1:12">
      <c r="A13" s="585" t="s">
        <v>12</v>
      </c>
      <c r="D13" s="351">
        <v>0</v>
      </c>
      <c r="E13" s="60"/>
      <c r="F13" s="60">
        <f>F$9*D13</f>
        <v>0</v>
      </c>
      <c r="G13" s="62"/>
      <c r="H13" s="59"/>
      <c r="I13" s="60">
        <v>0</v>
      </c>
      <c r="J13" s="60">
        <v>0</v>
      </c>
      <c r="L13" s="60">
        <f t="shared" si="0"/>
        <v>0</v>
      </c>
    </row>
    <row r="14" spans="1:12">
      <c r="A14" s="650" t="s">
        <v>403</v>
      </c>
      <c r="B14" s="650"/>
      <c r="C14" s="650" t="s">
        <v>98</v>
      </c>
      <c r="D14" s="351">
        <f>15801-D15-D16</f>
        <v>15650</v>
      </c>
      <c r="E14" s="60"/>
      <c r="F14" s="60">
        <f>F$9*D14</f>
        <v>10127.115</v>
      </c>
      <c r="G14" s="62"/>
      <c r="H14" s="59"/>
      <c r="I14" s="60">
        <v>15650</v>
      </c>
      <c r="J14" s="60">
        <v>15650</v>
      </c>
      <c r="L14" s="60">
        <f t="shared" si="0"/>
        <v>0</v>
      </c>
    </row>
    <row r="15" spans="1:12" s="650" customFormat="1">
      <c r="A15" s="650" t="s">
        <v>403</v>
      </c>
      <c r="C15" s="650" t="s">
        <v>506</v>
      </c>
      <c r="D15" s="351">
        <v>100</v>
      </c>
      <c r="E15" s="60"/>
      <c r="F15" s="62">
        <f>D15</f>
        <v>100</v>
      </c>
      <c r="G15" s="62"/>
      <c r="H15" s="59"/>
      <c r="I15" s="60">
        <v>100</v>
      </c>
      <c r="J15" s="60">
        <v>100</v>
      </c>
      <c r="L15" s="60">
        <f t="shared" si="0"/>
        <v>0</v>
      </c>
    </row>
    <row r="16" spans="1:12" s="650" customFormat="1">
      <c r="A16" s="650" t="s">
        <v>403</v>
      </c>
      <c r="C16" s="650" t="s">
        <v>507</v>
      </c>
      <c r="D16" s="351">
        <v>51</v>
      </c>
      <c r="E16" s="60"/>
      <c r="F16" s="62">
        <v>0</v>
      </c>
      <c r="G16" s="62"/>
      <c r="H16" s="59"/>
      <c r="I16" s="60">
        <v>51</v>
      </c>
      <c r="J16" s="60">
        <v>51</v>
      </c>
      <c r="L16" s="60">
        <f t="shared" si="0"/>
        <v>0</v>
      </c>
    </row>
    <row r="17" spans="1:12">
      <c r="A17" s="585" t="s">
        <v>13</v>
      </c>
      <c r="D17" s="351">
        <v>0</v>
      </c>
      <c r="E17" s="60"/>
      <c r="F17" s="60">
        <f>F$9*D17</f>
        <v>0</v>
      </c>
      <c r="G17" s="62"/>
      <c r="H17" s="59"/>
      <c r="I17" s="60">
        <v>0</v>
      </c>
      <c r="J17" s="60">
        <v>0</v>
      </c>
      <c r="L17" s="60">
        <f t="shared" si="0"/>
        <v>0</v>
      </c>
    </row>
    <row r="18" spans="1:12">
      <c r="A18" s="585" t="s">
        <v>128</v>
      </c>
      <c r="D18" s="352">
        <v>0</v>
      </c>
      <c r="E18" s="62"/>
      <c r="F18" s="61">
        <f>D18</f>
        <v>0</v>
      </c>
      <c r="G18" s="62"/>
      <c r="H18" s="59"/>
      <c r="I18" s="61">
        <v>0</v>
      </c>
      <c r="J18" s="60">
        <v>0</v>
      </c>
      <c r="L18" s="60">
        <f t="shared" si="0"/>
        <v>0</v>
      </c>
    </row>
    <row r="19" spans="1:12">
      <c r="A19" s="585" t="s">
        <v>14</v>
      </c>
      <c r="D19" s="351">
        <f>SUM(D11:D18)</f>
        <v>100845</v>
      </c>
      <c r="E19" s="62"/>
      <c r="F19" s="60">
        <f>SUM(F11:F18)</f>
        <v>65259.087400000004</v>
      </c>
      <c r="G19" s="62"/>
      <c r="H19" s="59"/>
      <c r="I19" s="60">
        <v>95331</v>
      </c>
      <c r="J19" s="60">
        <v>99341</v>
      </c>
      <c r="L19" s="60">
        <f t="shared" si="0"/>
        <v>4010</v>
      </c>
    </row>
    <row r="20" spans="1:12">
      <c r="D20" s="351"/>
      <c r="E20" s="62"/>
      <c r="F20" s="60"/>
      <c r="G20" s="62"/>
      <c r="H20" s="59"/>
      <c r="I20" s="60"/>
      <c r="J20" s="60"/>
      <c r="L20" s="60">
        <f t="shared" si="0"/>
        <v>0</v>
      </c>
    </row>
    <row r="21" spans="1:12">
      <c r="D21" s="351"/>
      <c r="E21" s="62"/>
      <c r="F21" s="60"/>
      <c r="G21" s="62"/>
      <c r="H21" s="59"/>
      <c r="I21" s="60"/>
      <c r="J21" s="60"/>
      <c r="L21" s="60">
        <f t="shared" si="0"/>
        <v>0</v>
      </c>
    </row>
    <row r="22" spans="1:12">
      <c r="A22" s="585" t="s">
        <v>15</v>
      </c>
      <c r="D22" s="894">
        <v>29123</v>
      </c>
      <c r="E22" s="62"/>
      <c r="F22" s="60">
        <f>F$9*D22+1</f>
        <v>18846.493300000002</v>
      </c>
      <c r="G22" s="62"/>
      <c r="H22" s="59"/>
      <c r="I22" s="60">
        <v>29696</v>
      </c>
      <c r="J22" s="60">
        <v>29696</v>
      </c>
      <c r="L22" s="60">
        <f t="shared" si="0"/>
        <v>0</v>
      </c>
    </row>
    <row r="23" spans="1:12">
      <c r="A23" s="585" t="s">
        <v>16</v>
      </c>
      <c r="D23" s="351">
        <v>0</v>
      </c>
      <c r="E23" s="62"/>
      <c r="F23" s="60">
        <f t="shared" ref="F23:F30" si="1">F$9*D23</f>
        <v>0</v>
      </c>
      <c r="G23" s="62"/>
      <c r="H23" s="59"/>
      <c r="I23" s="60">
        <v>0</v>
      </c>
      <c r="J23" s="60">
        <v>0</v>
      </c>
      <c r="L23" s="60">
        <f t="shared" si="0"/>
        <v>0</v>
      </c>
    </row>
    <row r="24" spans="1:12">
      <c r="A24" s="585" t="s">
        <v>17</v>
      </c>
      <c r="D24" s="894">
        <v>77293</v>
      </c>
      <c r="E24" s="62"/>
      <c r="F24" s="60">
        <f t="shared" si="1"/>
        <v>50016.300300000003</v>
      </c>
      <c r="G24" s="62"/>
      <c r="H24" s="59"/>
      <c r="I24" s="60">
        <v>92175</v>
      </c>
      <c r="J24" s="60">
        <v>92175</v>
      </c>
      <c r="L24" s="60">
        <f t="shared" si="0"/>
        <v>0</v>
      </c>
    </row>
    <row r="25" spans="1:12">
      <c r="A25" s="585" t="s">
        <v>18</v>
      </c>
      <c r="D25" s="351">
        <v>1001</v>
      </c>
      <c r="E25" s="62"/>
      <c r="F25" s="60">
        <f t="shared" si="1"/>
        <v>647.74710000000005</v>
      </c>
      <c r="G25" s="62"/>
      <c r="H25" s="59"/>
      <c r="I25" s="60">
        <v>1001</v>
      </c>
      <c r="J25" s="60">
        <v>1001</v>
      </c>
      <c r="L25" s="60">
        <f t="shared" si="0"/>
        <v>0</v>
      </c>
    </row>
    <row r="26" spans="1:12">
      <c r="A26" s="585" t="s">
        <v>19</v>
      </c>
      <c r="D26" s="691">
        <f>'PF Power Supply 09.2014 load'!D26-L26</f>
        <v>122143</v>
      </c>
      <c r="E26" s="62"/>
      <c r="F26" s="60">
        <f>F$9*D26-1</f>
        <v>79037.7353</v>
      </c>
      <c r="G26" s="62"/>
      <c r="H26" s="59"/>
      <c r="I26" s="60">
        <v>119794</v>
      </c>
      <c r="J26" s="894">
        <v>116846</v>
      </c>
      <c r="L26" s="60">
        <f t="shared" si="0"/>
        <v>-2948</v>
      </c>
    </row>
    <row r="27" spans="1:12">
      <c r="A27" s="585" t="s">
        <v>20</v>
      </c>
      <c r="D27" s="351">
        <v>0</v>
      </c>
      <c r="E27" s="62"/>
      <c r="F27" s="351">
        <v>0</v>
      </c>
      <c r="G27" s="62"/>
      <c r="I27" s="60">
        <v>0</v>
      </c>
      <c r="J27" s="60">
        <v>0</v>
      </c>
      <c r="L27" s="60">
        <f t="shared" si="0"/>
        <v>0</v>
      </c>
    </row>
    <row r="28" spans="1:12">
      <c r="A28" s="585" t="s">
        <v>21</v>
      </c>
      <c r="D28" s="351">
        <v>0</v>
      </c>
      <c r="E28" s="62"/>
      <c r="F28" s="60">
        <f t="shared" si="1"/>
        <v>0</v>
      </c>
      <c r="G28" s="62"/>
      <c r="H28" s="59"/>
      <c r="I28" s="60">
        <v>0</v>
      </c>
      <c r="J28" s="60">
        <v>0</v>
      </c>
      <c r="L28" s="60">
        <f t="shared" si="0"/>
        <v>0</v>
      </c>
    </row>
    <row r="29" spans="1:12">
      <c r="A29" s="585" t="s">
        <v>22</v>
      </c>
      <c r="D29" s="351">
        <v>0</v>
      </c>
      <c r="E29" s="62"/>
      <c r="F29" s="60">
        <f t="shared" si="1"/>
        <v>0</v>
      </c>
      <c r="G29" s="62"/>
      <c r="H29" s="59"/>
      <c r="I29" s="60">
        <v>0</v>
      </c>
      <c r="J29" s="60">
        <v>0</v>
      </c>
      <c r="L29" s="60">
        <f t="shared" si="0"/>
        <v>0</v>
      </c>
    </row>
    <row r="30" spans="1:12">
      <c r="A30" s="585" t="s">
        <v>23</v>
      </c>
      <c r="D30" s="351">
        <v>690</v>
      </c>
      <c r="E30" s="62"/>
      <c r="F30" s="60">
        <f t="shared" si="1"/>
        <v>446.49900000000002</v>
      </c>
      <c r="G30" s="62"/>
      <c r="H30" s="59"/>
      <c r="I30" s="60">
        <v>690</v>
      </c>
      <c r="J30" s="60">
        <v>690</v>
      </c>
      <c r="L30" s="60">
        <f t="shared" si="0"/>
        <v>0</v>
      </c>
    </row>
    <row r="31" spans="1:12">
      <c r="A31" s="766" t="s">
        <v>690</v>
      </c>
      <c r="D31" s="351">
        <v>0</v>
      </c>
      <c r="E31" s="62"/>
      <c r="F31" s="778">
        <v>-1528</v>
      </c>
      <c r="G31" s="62"/>
      <c r="H31" s="780" t="s">
        <v>676</v>
      </c>
      <c r="I31" s="60">
        <v>0</v>
      </c>
      <c r="J31" s="60">
        <v>0</v>
      </c>
      <c r="L31" s="60">
        <f t="shared" si="0"/>
        <v>0</v>
      </c>
    </row>
    <row r="32" spans="1:12">
      <c r="A32" s="585" t="s">
        <v>24</v>
      </c>
      <c r="D32" s="351">
        <v>16809</v>
      </c>
      <c r="E32" s="62"/>
      <c r="F32" s="60">
        <f>F$9*D32</f>
        <v>10877.1039</v>
      </c>
      <c r="G32" s="62"/>
      <c r="H32" s="59"/>
      <c r="I32" s="60">
        <v>16809</v>
      </c>
      <c r="J32" s="60">
        <v>16809</v>
      </c>
      <c r="L32" s="60">
        <f t="shared" si="0"/>
        <v>0</v>
      </c>
    </row>
    <row r="33" spans="1:12" s="657" customFormat="1" ht="12.75" customHeight="1">
      <c r="A33" s="777" t="s">
        <v>574</v>
      </c>
      <c r="B33" s="777"/>
      <c r="C33" s="777"/>
      <c r="D33" s="778">
        <v>0</v>
      </c>
      <c r="E33" s="779"/>
      <c r="F33" s="778">
        <f>F$9*D33</f>
        <v>0</v>
      </c>
      <c r="G33" s="779"/>
      <c r="H33" s="780" t="s">
        <v>675</v>
      </c>
      <c r="I33" s="60">
        <v>0</v>
      </c>
      <c r="J33" s="60">
        <v>0</v>
      </c>
      <c r="L33" s="60">
        <f t="shared" si="0"/>
        <v>0</v>
      </c>
    </row>
    <row r="34" spans="1:12" s="657" customFormat="1" ht="12.75" customHeight="1">
      <c r="A34" s="777" t="s">
        <v>575</v>
      </c>
      <c r="B34" s="777"/>
      <c r="C34" s="777"/>
      <c r="D34" s="778">
        <v>0</v>
      </c>
      <c r="E34" s="779"/>
      <c r="F34" s="778">
        <f>F$9*D34</f>
        <v>0</v>
      </c>
      <c r="G34" s="779"/>
      <c r="H34" s="780" t="s">
        <v>675</v>
      </c>
      <c r="I34" s="61">
        <v>0</v>
      </c>
      <c r="J34" s="60">
        <v>0</v>
      </c>
      <c r="L34" s="60">
        <f t="shared" si="0"/>
        <v>0</v>
      </c>
    </row>
    <row r="35" spans="1:12">
      <c r="A35" s="585" t="s">
        <v>25</v>
      </c>
      <c r="D35" s="353">
        <f>SUM(D22:D34)</f>
        <v>247059</v>
      </c>
      <c r="E35" s="62"/>
      <c r="F35" s="63">
        <f>SUM(F22:F34)</f>
        <v>158343.87890000001</v>
      </c>
      <c r="G35" s="62"/>
      <c r="H35" s="59"/>
      <c r="I35" s="61">
        <v>260165</v>
      </c>
      <c r="J35" s="60">
        <v>257217</v>
      </c>
      <c r="L35" s="60">
        <f t="shared" si="0"/>
        <v>-2948</v>
      </c>
    </row>
    <row r="36" spans="1:12">
      <c r="D36" s="18"/>
      <c r="G36" s="72"/>
      <c r="H36" s="59"/>
      <c r="I36" s="60"/>
      <c r="J36" s="60"/>
      <c r="L36" s="60">
        <f t="shared" si="0"/>
        <v>0</v>
      </c>
    </row>
    <row r="37" spans="1:12">
      <c r="A37" s="585" t="s">
        <v>26</v>
      </c>
      <c r="D37" s="351">
        <f>D19-D35</f>
        <v>-146214</v>
      </c>
      <c r="E37" s="60"/>
      <c r="F37" s="60">
        <f>F19-F35</f>
        <v>-93084.791500000007</v>
      </c>
      <c r="G37" s="62"/>
      <c r="H37" s="59"/>
      <c r="I37" s="60">
        <v>-164834</v>
      </c>
      <c r="J37" s="60">
        <v>-157876</v>
      </c>
      <c r="L37" s="60">
        <f t="shared" si="0"/>
        <v>6958</v>
      </c>
    </row>
    <row r="38" spans="1:12">
      <c r="D38" s="18"/>
      <c r="E38" s="60"/>
      <c r="F38" s="60"/>
      <c r="G38" s="60"/>
      <c r="I38" s="60"/>
      <c r="J38" s="60"/>
    </row>
    <row r="39" spans="1:12">
      <c r="A39" s="585" t="s">
        <v>27</v>
      </c>
      <c r="C39" s="64">
        <v>0.35</v>
      </c>
      <c r="D39" s="18"/>
      <c r="E39" s="65"/>
      <c r="F39" s="61">
        <f>C39*F37</f>
        <v>-32579.677025000001</v>
      </c>
      <c r="G39" s="59"/>
      <c r="I39" s="60"/>
      <c r="J39" s="60"/>
    </row>
    <row r="40" spans="1:12">
      <c r="D40" s="18"/>
      <c r="E40" s="65"/>
      <c r="F40" s="59"/>
      <c r="G40" s="59"/>
      <c r="I40" s="60"/>
      <c r="J40" s="60"/>
    </row>
    <row r="41" spans="1:12">
      <c r="A41" s="585" t="s">
        <v>28</v>
      </c>
      <c r="D41" s="18"/>
      <c r="E41" s="60"/>
      <c r="F41" s="59">
        <f>F37-F39</f>
        <v>-60505.114475000009</v>
      </c>
      <c r="G41" s="60"/>
      <c r="I41" s="60"/>
      <c r="J41" s="60"/>
    </row>
    <row r="42" spans="1:12">
      <c r="D42" s="18"/>
      <c r="E42" s="60"/>
      <c r="F42" s="60"/>
      <c r="G42" s="60"/>
      <c r="I42" s="60"/>
      <c r="J42" s="60"/>
    </row>
    <row r="43" spans="1:12">
      <c r="A43" s="75"/>
      <c r="D43" s="18"/>
      <c r="I43" s="60"/>
      <c r="J43" s="60"/>
    </row>
    <row r="44" spans="1:12">
      <c r="A44" s="730" t="s">
        <v>574</v>
      </c>
      <c r="B44" s="730"/>
      <c r="C44" s="730"/>
      <c r="D44" s="691">
        <v>9335</v>
      </c>
      <c r="E44" s="743"/>
      <c r="F44" s="691">
        <f>F$9*D44</f>
        <v>6040.6785</v>
      </c>
      <c r="G44" s="62"/>
      <c r="H44" s="754" t="s">
        <v>675</v>
      </c>
      <c r="I44" s="60">
        <v>9335</v>
      </c>
      <c r="J44" s="60"/>
    </row>
    <row r="45" spans="1:12">
      <c r="A45" s="730" t="s">
        <v>575</v>
      </c>
      <c r="B45" s="730"/>
      <c r="C45" s="730"/>
      <c r="D45" s="691">
        <v>15005</v>
      </c>
      <c r="E45" s="743"/>
      <c r="F45" s="691">
        <f>F$9*D45</f>
        <v>9709.7355000000007</v>
      </c>
      <c r="G45" s="62"/>
      <c r="H45" s="754" t="s">
        <v>675</v>
      </c>
      <c r="I45" s="60">
        <v>15005</v>
      </c>
      <c r="J45" s="60">
        <v>9335</v>
      </c>
    </row>
    <row r="46" spans="1:12">
      <c r="J46" s="60">
        <v>15005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53"/>
  <sheetViews>
    <sheetView workbookViewId="0">
      <selection activeCell="G22" sqref="G22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1" ht="42" customHeight="1">
      <c r="A1" s="937" t="s">
        <v>248</v>
      </c>
      <c r="B1" s="937"/>
      <c r="C1" s="937"/>
      <c r="D1" s="937"/>
      <c r="E1" s="937"/>
      <c r="F1" s="937"/>
    </row>
    <row r="2" spans="1:11">
      <c r="A2" s="938" t="s">
        <v>93</v>
      </c>
      <c r="B2" s="938"/>
      <c r="C2" s="938"/>
      <c r="D2" s="938"/>
      <c r="E2" s="938"/>
      <c r="F2" s="938"/>
      <c r="G2" s="720"/>
    </row>
    <row r="3" spans="1:11">
      <c r="A3" s="158"/>
      <c r="B3" s="158"/>
      <c r="C3" s="158"/>
      <c r="D3" s="158"/>
      <c r="E3" s="158"/>
      <c r="F3" s="158"/>
    </row>
    <row r="4" spans="1:11">
      <c r="E4" s="158" t="s">
        <v>48</v>
      </c>
      <c r="G4" s="586" t="s">
        <v>89</v>
      </c>
      <c r="H4" s="586" t="s">
        <v>89</v>
      </c>
      <c r="I4" s="586" t="s">
        <v>571</v>
      </c>
      <c r="J4" s="586"/>
    </row>
    <row r="5" spans="1:11">
      <c r="E5" s="167" t="s">
        <v>119</v>
      </c>
      <c r="G5" s="586" t="s">
        <v>250</v>
      </c>
      <c r="H5" s="586" t="s">
        <v>250</v>
      </c>
      <c r="I5" s="586" t="s">
        <v>89</v>
      </c>
      <c r="J5" s="586" t="s">
        <v>572</v>
      </c>
    </row>
    <row r="6" spans="1:11">
      <c r="A6" s="158" t="s">
        <v>3</v>
      </c>
      <c r="E6" s="158" t="s">
        <v>249</v>
      </c>
      <c r="G6" s="586" t="s">
        <v>568</v>
      </c>
      <c r="H6" s="586" t="s">
        <v>570</v>
      </c>
      <c r="I6" s="586" t="s">
        <v>88</v>
      </c>
      <c r="J6" s="586" t="s">
        <v>48</v>
      </c>
    </row>
    <row r="7" spans="1:11">
      <c r="A7" s="159" t="s">
        <v>90</v>
      </c>
      <c r="C7" s="160" t="s">
        <v>4</v>
      </c>
      <c r="D7" s="158" t="s">
        <v>234</v>
      </c>
      <c r="E7" s="159" t="s">
        <v>250</v>
      </c>
      <c r="G7" s="614" t="s">
        <v>569</v>
      </c>
      <c r="H7" s="614" t="s">
        <v>569</v>
      </c>
      <c r="I7" s="614" t="s">
        <v>276</v>
      </c>
      <c r="J7" s="614" t="s">
        <v>119</v>
      </c>
    </row>
    <row r="8" spans="1:11">
      <c r="A8" s="158"/>
      <c r="F8" s="208"/>
      <c r="G8" s="208"/>
      <c r="H8" s="208"/>
      <c r="I8" s="208"/>
    </row>
    <row r="9" spans="1:11">
      <c r="A9" s="158"/>
      <c r="B9" s="156" t="s">
        <v>86</v>
      </c>
      <c r="F9" s="208"/>
      <c r="G9" s="208"/>
      <c r="H9" s="208"/>
      <c r="I9" s="208"/>
    </row>
    <row r="10" spans="1:11">
      <c r="A10" s="158">
        <v>1</v>
      </c>
      <c r="B10" s="156" t="s">
        <v>85</v>
      </c>
      <c r="D10" s="161"/>
      <c r="E10" s="874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  <c r="K10" s="156" t="s">
        <v>768</v>
      </c>
    </row>
    <row r="11" spans="1:11">
      <c r="A11" s="158">
        <v>2</v>
      </c>
      <c r="B11" s="156" t="s">
        <v>84</v>
      </c>
      <c r="E11" s="874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  <c r="K11" s="156" t="s">
        <v>768</v>
      </c>
    </row>
    <row r="12" spans="1:11">
      <c r="A12" s="158">
        <v>3</v>
      </c>
      <c r="B12" s="156" t="s">
        <v>83</v>
      </c>
      <c r="E12" s="874">
        <f>I12+J12</f>
        <v>-2595</v>
      </c>
      <c r="F12" s="208"/>
      <c r="G12" s="879">
        <f>ROUND('PF Power Supply 09.2014 load'!F11,0)</f>
        <v>57325</v>
      </c>
      <c r="H12" s="162">
        <f>ROUND('PF Power Supply 2016 load'!F11,0)</f>
        <v>54730</v>
      </c>
      <c r="I12" s="563">
        <f>H12-G12</f>
        <v>-2595</v>
      </c>
    </row>
    <row r="13" spans="1:11">
      <c r="A13" s="158">
        <v>4</v>
      </c>
      <c r="B13" s="156" t="s">
        <v>82</v>
      </c>
      <c r="E13" s="596">
        <f>SUM(E10:E12)</f>
        <v>3962.4971279193942</v>
      </c>
      <c r="F13" s="208"/>
      <c r="G13" s="883">
        <f>SUM(G10:G12)</f>
        <v>57325</v>
      </c>
      <c r="H13" s="596">
        <f>SUM(H10:H12)</f>
        <v>54730</v>
      </c>
      <c r="I13" s="596">
        <f>SUM(I10:I12)</f>
        <v>-2595</v>
      </c>
      <c r="J13" s="596">
        <f>SUM(J10:J12)</f>
        <v>6557.4971279193942</v>
      </c>
    </row>
    <row r="14" spans="1:11">
      <c r="A14" s="158">
        <v>5</v>
      </c>
      <c r="B14" s="156" t="s">
        <v>81</v>
      </c>
      <c r="E14" s="874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3">
        <f>H14-G14</f>
        <v>0</v>
      </c>
      <c r="J14" s="162">
        <f>'Attrition 09.2014 to 2016'!N11*'Attrition 09.2014 to 2016'!K11</f>
        <v>0</v>
      </c>
    </row>
    <row r="15" spans="1:11">
      <c r="A15" s="158">
        <v>6</v>
      </c>
      <c r="B15" s="156" t="s">
        <v>80</v>
      </c>
      <c r="E15" s="596">
        <f>E13+E14</f>
        <v>3962.4971279193942</v>
      </c>
      <c r="F15" s="208"/>
      <c r="G15" s="162">
        <f>G13+G14</f>
        <v>67854</v>
      </c>
      <c r="H15" s="162">
        <f>H13+H14</f>
        <v>65259</v>
      </c>
      <c r="I15" s="596">
        <f>I13+I14</f>
        <v>-2595</v>
      </c>
      <c r="J15" s="596">
        <f>J13+J14</f>
        <v>6557.4971279193942</v>
      </c>
    </row>
    <row r="16" spans="1:11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874">
        <f>I19+J19</f>
        <v>0</v>
      </c>
      <c r="F19" s="208"/>
      <c r="G19" s="554">
        <f>ROUND('PF Power Supply 09.2014 load'!F35-'incremental load expense'!G20,0)</f>
        <v>79305</v>
      </c>
      <c r="H19" s="162">
        <f>ROUND('PF Power Supply 2016 load'!F35-H20,0)-1</f>
        <v>79305</v>
      </c>
      <c r="I19" s="563">
        <f>H19-G19</f>
        <v>0</v>
      </c>
      <c r="J19" s="162"/>
    </row>
    <row r="20" spans="1:10">
      <c r="A20" s="158">
        <v>8</v>
      </c>
      <c r="C20" s="156" t="s">
        <v>77</v>
      </c>
      <c r="E20" s="874">
        <f>I20+J20</f>
        <v>1907</v>
      </c>
      <c r="F20" s="208"/>
      <c r="G20" s="879">
        <f>ROUND('PF Power Supply 09.2014 load'!F26,0)</f>
        <v>77131</v>
      </c>
      <c r="H20" s="162">
        <f>ROUND('PF Power Supply 2016 load'!F26,0)</f>
        <v>79038</v>
      </c>
      <c r="I20" s="563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563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156436</v>
      </c>
      <c r="H24" s="162">
        <f>SUM(H19:H23)</f>
        <v>158343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58">
        <f>ROR!L16</f>
        <v>3.8526999999999999E-2</v>
      </c>
      <c r="E29" s="874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96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58">
        <f>ROR!L12</f>
        <v>5.3530000000000001E-3</v>
      </c>
      <c r="E32" s="874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58">
        <f>ROR!L14</f>
        <v>2E-3</v>
      </c>
      <c r="E37" s="874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156436</v>
      </c>
      <c r="H41" s="164">
        <f>H24+H30+H32+H33+H34+H40</f>
        <v>158343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-88582</v>
      </c>
      <c r="H43" s="162">
        <f>H15-H41</f>
        <v>-93084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-31004</v>
      </c>
      <c r="H46" s="162">
        <f>ROUND(0.35*H43,0)</f>
        <v>-32579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-57578</v>
      </c>
      <c r="H51" s="162">
        <f>H43-H46-H47-H48-H49</f>
        <v>-60505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topLeftCell="A10" workbookViewId="0">
      <selection activeCell="T1" sqref="T1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39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39"/>
      <c r="R6" s="939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39"/>
      <c r="Q7" s="939"/>
      <c r="R7" s="939"/>
    </row>
    <row r="8" spans="1:18">
      <c r="A8" s="93" t="s">
        <v>155</v>
      </c>
      <c r="B8" s="95" t="s">
        <v>156</v>
      </c>
      <c r="C8" s="103"/>
      <c r="D8" s="589">
        <v>1562090323.9480615</v>
      </c>
      <c r="E8" s="589">
        <v>411760124.95869529</v>
      </c>
      <c r="F8" s="589">
        <v>1262061453.0310712</v>
      </c>
      <c r="G8" s="589">
        <v>126000000</v>
      </c>
      <c r="H8" s="589">
        <v>51176200.546248734</v>
      </c>
      <c r="I8" s="589"/>
      <c r="L8" s="96" t="s">
        <v>157</v>
      </c>
      <c r="N8" s="104">
        <v>1</v>
      </c>
      <c r="P8" s="939"/>
      <c r="Q8" s="939"/>
      <c r="R8" s="939"/>
    </row>
    <row r="9" spans="1:18">
      <c r="A9" s="93" t="s">
        <v>155</v>
      </c>
      <c r="B9" s="95" t="s">
        <v>158</v>
      </c>
      <c r="C9" s="103"/>
      <c r="D9" s="589">
        <v>532041223.03140402</v>
      </c>
      <c r="E9" s="589">
        <v>184890135.04130465</v>
      </c>
      <c r="F9" s="589">
        <v>166633499.96892866</v>
      </c>
      <c r="G9" s="589">
        <v>558890760</v>
      </c>
      <c r="H9" s="589">
        <v>85950103.453751266</v>
      </c>
      <c r="I9" s="589"/>
      <c r="K9" s="102" t="s">
        <v>159</v>
      </c>
      <c r="L9" s="95" t="s">
        <v>160</v>
      </c>
      <c r="N9" s="95" t="str">
        <f>CHOOSE(Base1_Billing2,L7,L9)</f>
        <v>BASE TARIFF</v>
      </c>
      <c r="P9" s="939"/>
      <c r="Q9" s="939"/>
      <c r="R9" s="939"/>
    </row>
    <row r="10" spans="1:18">
      <c r="A10" s="93" t="s">
        <v>155</v>
      </c>
      <c r="B10" s="95" t="s">
        <v>161</v>
      </c>
      <c r="C10" s="103"/>
      <c r="D10" s="589">
        <v>349561635.02053469</v>
      </c>
      <c r="E10" s="589"/>
      <c r="F10" s="589"/>
      <c r="G10" s="589">
        <v>420481376</v>
      </c>
      <c r="H10" s="589"/>
      <c r="I10" s="589"/>
      <c r="N10" s="95" t="str">
        <f>CHOOSE(Base1_Billing2,"Base","Billing")</f>
        <v>Base</v>
      </c>
      <c r="P10" s="939"/>
      <c r="Q10" s="939"/>
      <c r="R10" s="939"/>
    </row>
    <row r="11" spans="1:18">
      <c r="B11" s="95" t="s">
        <v>162</v>
      </c>
      <c r="C11" s="103"/>
      <c r="D11" s="589"/>
      <c r="E11" s="589"/>
      <c r="F11" s="589"/>
      <c r="G11" s="589"/>
      <c r="H11" s="589"/>
      <c r="I11" s="589"/>
      <c r="P11" s="939"/>
      <c r="Q11" s="939"/>
      <c r="R11" s="939"/>
    </row>
    <row r="12" spans="1:18">
      <c r="A12" s="93" t="s">
        <v>176</v>
      </c>
      <c r="B12" s="95" t="s">
        <v>163</v>
      </c>
      <c r="C12" s="105"/>
      <c r="D12" s="590"/>
      <c r="E12" s="590"/>
      <c r="F12" s="590"/>
      <c r="G12" s="590"/>
      <c r="H12" s="590"/>
      <c r="I12" s="591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5">
        <v>2462067</v>
      </c>
      <c r="E25" s="625">
        <v>364551.99999999994</v>
      </c>
      <c r="F25" s="625">
        <v>24110</v>
      </c>
      <c r="G25" s="625">
        <v>252</v>
      </c>
      <c r="H25" s="625">
        <v>29215.99999999996</v>
      </c>
      <c r="I25" s="625"/>
    </row>
    <row r="26" spans="1:9">
      <c r="B26" s="95" t="s">
        <v>171</v>
      </c>
      <c r="C26" s="103"/>
      <c r="D26" s="625"/>
      <c r="E26" s="625"/>
      <c r="F26" s="625"/>
      <c r="G26" s="625"/>
      <c r="H26" s="625"/>
      <c r="I26" s="625"/>
    </row>
    <row r="27" spans="1:9">
      <c r="A27" s="93" t="s">
        <v>155</v>
      </c>
      <c r="B27" s="95" t="s">
        <v>172</v>
      </c>
      <c r="C27" s="103"/>
      <c r="D27" s="625"/>
      <c r="E27" s="625">
        <v>402284</v>
      </c>
      <c r="F27" s="625">
        <v>2748136</v>
      </c>
      <c r="G27" s="625">
        <v>1276783</v>
      </c>
      <c r="H27" s="625"/>
      <c r="I27" s="625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29">
        <v>8.5</v>
      </c>
      <c r="E59" s="629">
        <v>18</v>
      </c>
      <c r="F59" s="629">
        <v>0</v>
      </c>
      <c r="G59" s="629">
        <v>0</v>
      </c>
      <c r="H59" s="629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27"/>
      <c r="E60" s="626"/>
      <c r="F60" s="626"/>
      <c r="G60" s="626"/>
      <c r="H60" s="626"/>
    </row>
    <row r="62" spans="1:14">
      <c r="A62" s="93" t="s">
        <v>378</v>
      </c>
      <c r="B62" s="95" t="s">
        <v>180</v>
      </c>
      <c r="D62" s="630">
        <v>7.5250000000000004</v>
      </c>
      <c r="E62" s="630">
        <v>11.507</v>
      </c>
      <c r="F62" s="630">
        <v>7.24</v>
      </c>
      <c r="G62" s="630">
        <v>5.6159999999999997</v>
      </c>
      <c r="H62" s="630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0">
        <v>8.7550000000000008</v>
      </c>
      <c r="E63" s="630">
        <v>8.4550000000000001</v>
      </c>
      <c r="F63" s="630">
        <v>6.4749999999999996</v>
      </c>
      <c r="G63" s="630">
        <v>5.0529999999999999</v>
      </c>
      <c r="H63" s="630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0">
        <v>10.263999999999999</v>
      </c>
      <c r="E64" s="630">
        <v>0</v>
      </c>
      <c r="F64" s="630">
        <v>0</v>
      </c>
      <c r="G64" s="630">
        <v>4.32</v>
      </c>
      <c r="H64" s="630">
        <v>0</v>
      </c>
      <c r="I64" s="123">
        <v>0</v>
      </c>
      <c r="K64" s="121">
        <v>4</v>
      </c>
    </row>
    <row r="65" spans="1:12">
      <c r="B65" s="95" t="s">
        <v>183</v>
      </c>
      <c r="D65" s="628"/>
      <c r="E65" s="628"/>
      <c r="F65" s="628"/>
      <c r="G65" s="628"/>
      <c r="H65" s="628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6">
        <v>8.1846000002466752</v>
      </c>
      <c r="E67" s="636">
        <v>10.561245460615403</v>
      </c>
      <c r="F67" s="636">
        <v>7.1507754755818773</v>
      </c>
      <c r="G67" s="636"/>
      <c r="H67" s="636">
        <v>7.9720166453257555</v>
      </c>
      <c r="I67" s="123"/>
    </row>
    <row r="68" spans="1:12">
      <c r="D68" s="634"/>
      <c r="E68" s="634"/>
      <c r="F68" s="634"/>
      <c r="G68" s="634"/>
      <c r="H68" s="634"/>
      <c r="I68" s="124"/>
    </row>
    <row r="69" spans="1:12" s="122" customFormat="1">
      <c r="A69" s="93" t="s">
        <v>378</v>
      </c>
      <c r="B69" s="122" t="s">
        <v>185</v>
      </c>
      <c r="D69" s="635">
        <v>0</v>
      </c>
      <c r="E69" s="635">
        <v>0</v>
      </c>
      <c r="F69" s="635">
        <v>500</v>
      </c>
      <c r="G69" s="635">
        <v>21000</v>
      </c>
      <c r="H69" s="635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5">
        <v>0</v>
      </c>
      <c r="E70" s="635">
        <v>6</v>
      </c>
      <c r="F70" s="635">
        <v>6</v>
      </c>
      <c r="G70" s="635">
        <v>6</v>
      </c>
      <c r="H70" s="635">
        <v>0</v>
      </c>
      <c r="I70" s="120">
        <v>0</v>
      </c>
      <c r="K70" s="121">
        <v>7</v>
      </c>
    </row>
    <row r="71" spans="1:12">
      <c r="D71" s="634"/>
      <c r="E71" s="634"/>
      <c r="F71" s="634"/>
      <c r="G71" s="634"/>
      <c r="H71" s="634"/>
      <c r="I71" s="124"/>
    </row>
    <row r="72" spans="1:12">
      <c r="D72" s="634"/>
      <c r="E72" s="634"/>
      <c r="F72" s="634"/>
      <c r="G72" s="634"/>
      <c r="H72" s="634"/>
      <c r="I72" s="124"/>
    </row>
    <row r="73" spans="1:12">
      <c r="D73" s="634"/>
      <c r="E73" s="634"/>
      <c r="F73" s="634"/>
      <c r="G73" s="634"/>
      <c r="H73" s="634"/>
      <c r="I73" s="124"/>
    </row>
    <row r="74" spans="1:12">
      <c r="D74" s="634"/>
      <c r="E74" s="634"/>
      <c r="F74" s="634"/>
      <c r="G74" s="634"/>
      <c r="H74" s="634"/>
      <c r="I74" s="124"/>
    </row>
    <row r="75" spans="1:12" ht="13.2">
      <c r="B75" s="99" t="s">
        <v>187</v>
      </c>
      <c r="D75" s="631"/>
      <c r="E75" s="631"/>
      <c r="F75" s="631"/>
      <c r="G75" s="631"/>
      <c r="H75" s="631"/>
    </row>
    <row r="76" spans="1:12">
      <c r="B76" s="95" t="s">
        <v>177</v>
      </c>
      <c r="D76" s="635">
        <v>8.5</v>
      </c>
      <c r="E76" s="635">
        <v>18</v>
      </c>
      <c r="F76" s="635"/>
      <c r="G76" s="635"/>
      <c r="H76" s="635">
        <v>18</v>
      </c>
      <c r="I76" s="120"/>
      <c r="K76" s="121">
        <v>1</v>
      </c>
      <c r="L76" s="125"/>
    </row>
    <row r="77" spans="1:12" ht="13.2">
      <c r="B77" s="95" t="s">
        <v>179</v>
      </c>
      <c r="D77" s="633"/>
      <c r="E77" s="631"/>
      <c r="F77" s="631"/>
      <c r="G77" s="631"/>
      <c r="H77" s="631"/>
    </row>
    <row r="79" spans="1:12">
      <c r="B79" s="95" t="s">
        <v>180</v>
      </c>
      <c r="C79" s="126"/>
      <c r="D79" s="636">
        <v>7.5250000000000004</v>
      </c>
      <c r="E79" s="636">
        <v>11.507</v>
      </c>
      <c r="F79" s="636">
        <v>7.24</v>
      </c>
      <c r="G79" s="636">
        <v>5.6159999999999997</v>
      </c>
      <c r="H79" s="636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6">
        <v>8.7550000000000008</v>
      </c>
      <c r="E80" s="636">
        <v>8.4550000000000001</v>
      </c>
      <c r="F80" s="636">
        <v>6.4749999999999996</v>
      </c>
      <c r="G80" s="636">
        <v>5.0529999999999999</v>
      </c>
      <c r="H80" s="636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6">
        <v>10.263999999999999</v>
      </c>
      <c r="E81" s="636"/>
      <c r="F81" s="636"/>
      <c r="G81" s="636">
        <v>4.32</v>
      </c>
      <c r="H81" s="636"/>
      <c r="I81" s="123"/>
      <c r="K81" s="121">
        <v>4</v>
      </c>
    </row>
    <row r="82" spans="1:11">
      <c r="B82" s="95" t="s">
        <v>183</v>
      </c>
      <c r="D82" s="634"/>
      <c r="E82" s="634"/>
      <c r="F82" s="634"/>
      <c r="G82" s="634"/>
      <c r="H82" s="634"/>
      <c r="I82" s="124"/>
      <c r="K82" s="121">
        <v>5</v>
      </c>
    </row>
    <row r="83" spans="1:11">
      <c r="D83" s="634"/>
      <c r="E83" s="634"/>
      <c r="F83" s="634"/>
      <c r="G83" s="634"/>
      <c r="H83" s="634"/>
      <c r="I83" s="124"/>
    </row>
    <row r="84" spans="1:11">
      <c r="B84" s="95" t="s">
        <v>184</v>
      </c>
      <c r="D84" s="636">
        <v>8.1846000002466752</v>
      </c>
      <c r="E84" s="636">
        <v>10.561245460615403</v>
      </c>
      <c r="F84" s="636">
        <v>7.1507754755818773</v>
      </c>
      <c r="G84" s="636"/>
      <c r="H84" s="636">
        <v>7.9720166453257555</v>
      </c>
      <c r="I84" s="123"/>
    </row>
    <row r="85" spans="1:11">
      <c r="D85" s="634"/>
      <c r="E85" s="634"/>
      <c r="F85" s="634"/>
      <c r="G85" s="634"/>
      <c r="H85" s="634"/>
      <c r="I85" s="124"/>
    </row>
    <row r="86" spans="1:11" s="122" customFormat="1">
      <c r="A86" s="93"/>
      <c r="B86" s="122" t="s">
        <v>185</v>
      </c>
      <c r="D86" s="635"/>
      <c r="E86" s="635"/>
      <c r="F86" s="635">
        <v>500</v>
      </c>
      <c r="G86" s="635">
        <v>21000</v>
      </c>
      <c r="H86" s="635"/>
      <c r="I86" s="120"/>
      <c r="K86" s="121">
        <v>6</v>
      </c>
    </row>
    <row r="87" spans="1:11" s="122" customFormat="1">
      <c r="A87" s="93"/>
      <c r="B87" s="122" t="s">
        <v>186</v>
      </c>
      <c r="D87" s="635"/>
      <c r="E87" s="635">
        <v>6</v>
      </c>
      <c r="F87" s="635">
        <v>6</v>
      </c>
      <c r="G87" s="635">
        <v>6</v>
      </c>
      <c r="H87" s="635"/>
      <c r="I87" s="120"/>
      <c r="K87" s="121">
        <v>7</v>
      </c>
    </row>
    <row r="88" spans="1:11" s="122" customFormat="1">
      <c r="A88" s="93"/>
      <c r="D88" s="632"/>
      <c r="E88" s="633"/>
      <c r="F88" s="633"/>
      <c r="G88" s="633"/>
      <c r="H88" s="633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40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41"/>
      <c r="D95" s="941"/>
      <c r="E95" s="941"/>
      <c r="F95" s="941"/>
      <c r="G95" s="941"/>
      <c r="H95" s="941"/>
    </row>
    <row r="96" spans="1:11" s="122" customFormat="1">
      <c r="A96" s="93"/>
      <c r="B96" s="941"/>
      <c r="C96" s="941"/>
      <c r="D96" s="941"/>
      <c r="E96" s="941"/>
      <c r="F96" s="941"/>
      <c r="G96" s="941"/>
      <c r="H96" s="941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2">
        <v>7411.5</v>
      </c>
      <c r="F119" s="642">
        <v>127296.5</v>
      </c>
      <c r="G119" s="642"/>
      <c r="H119" s="642">
        <v>4820</v>
      </c>
      <c r="I119" s="639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39"/>
      <c r="F120" s="643">
        <v>-70490</v>
      </c>
      <c r="G120" s="639">
        <v>-1240040.5</v>
      </c>
      <c r="H120" s="639"/>
      <c r="I120" s="639"/>
    </row>
    <row r="121" spans="1:9" ht="13.2">
      <c r="A121" s="391"/>
      <c r="B121" s="127" t="s">
        <v>191</v>
      </c>
      <c r="C121" s="103">
        <f t="shared" si="15"/>
        <v>0</v>
      </c>
      <c r="D121" s="103"/>
      <c r="E121" s="639"/>
      <c r="F121" s="639"/>
      <c r="G121" s="639"/>
      <c r="H121" s="639"/>
      <c r="I121" s="639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0"/>
      <c r="F122" s="640"/>
      <c r="G122" s="640"/>
      <c r="H122" s="640"/>
      <c r="I122" s="641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4">
        <v>-3326043</v>
      </c>
      <c r="E134" s="644">
        <v>230343</v>
      </c>
      <c r="F134" s="644">
        <v>208054</v>
      </c>
      <c r="G134" s="644"/>
      <c r="H134" s="644">
        <v>100740</v>
      </c>
      <c r="I134" s="408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09">
        <v>0</v>
      </c>
      <c r="E138" s="409">
        <v>0</v>
      </c>
      <c r="F138" s="409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1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6">
        <v>-61889108</v>
      </c>
      <c r="E145" s="646">
        <v>-8479367</v>
      </c>
      <c r="F145" s="647">
        <v>-9674736</v>
      </c>
      <c r="G145" s="646"/>
      <c r="H145" s="645"/>
      <c r="I145" s="645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49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48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685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1" t="str">
        <f>C4</f>
        <v xml:space="preserve"> </v>
      </c>
      <c r="D210" s="391"/>
      <c r="E210" s="143"/>
      <c r="F210" s="149"/>
      <c r="G210" s="149"/>
      <c r="H210" s="149"/>
      <c r="I210" s="149"/>
    </row>
    <row r="211" spans="1:9" s="96" customFormat="1" ht="13.2">
      <c r="A211" s="93"/>
      <c r="C211" s="391"/>
      <c r="D211" s="391"/>
      <c r="E211" s="143"/>
      <c r="F211" s="149"/>
      <c r="G211" s="149"/>
      <c r="H211" s="149"/>
      <c r="I211" s="149"/>
    </row>
    <row r="212" spans="1:9" s="96" customFormat="1" ht="13.2">
      <c r="A212" s="93"/>
      <c r="C212" s="391"/>
      <c r="D212" s="391"/>
      <c r="E212" s="143"/>
      <c r="F212" s="149"/>
      <c r="G212" s="149"/>
      <c r="H212" s="149"/>
      <c r="I212" s="149"/>
    </row>
    <row r="213" spans="1:9" s="96" customFormat="1" ht="13.2">
      <c r="A213" s="93"/>
      <c r="C213" s="391"/>
      <c r="D213" s="391"/>
      <c r="E213" s="143"/>
      <c r="F213" s="149"/>
      <c r="G213" s="149"/>
      <c r="H213" s="149"/>
      <c r="I213" s="149"/>
    </row>
    <row r="214" spans="1:9" s="96" customFormat="1" ht="13.2">
      <c r="A214" s="93"/>
      <c r="C214" s="391"/>
      <c r="D214" s="391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82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1"/>
      <c r="E264" s="391"/>
      <c r="F264" s="391"/>
      <c r="G264" s="391"/>
      <c r="H264" s="391"/>
      <c r="I264" s="391"/>
    </row>
    <row r="265" spans="1:9" s="96" customFormat="1" ht="13.2">
      <c r="A265" s="93"/>
      <c r="C265" s="391"/>
      <c r="D265" s="391"/>
      <c r="E265" s="143"/>
      <c r="F265" s="149"/>
      <c r="G265" s="149"/>
      <c r="H265" s="149"/>
      <c r="I265" s="149"/>
    </row>
    <row r="266" spans="1:9" s="96" customFormat="1" ht="13.2">
      <c r="A266" s="93"/>
      <c r="C266" s="391"/>
      <c r="D266" s="391"/>
      <c r="E266" s="143"/>
      <c r="F266" s="149"/>
      <c r="G266" s="149"/>
      <c r="H266" s="149"/>
      <c r="I266" s="149"/>
    </row>
    <row r="267" spans="1:9" s="96" customFormat="1" ht="13.2">
      <c r="A267" s="93"/>
      <c r="C267" s="391"/>
      <c r="D267" s="391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37" t="s">
        <v>511</v>
      </c>
      <c r="J1" s="4" t="s">
        <v>518</v>
      </c>
    </row>
    <row r="2" spans="1:10" ht="13.8">
      <c r="A2" s="3" t="s">
        <v>2</v>
      </c>
    </row>
    <row r="3" spans="1:10">
      <c r="G3" s="387" t="s">
        <v>31</v>
      </c>
      <c r="H3" s="387" t="s">
        <v>359</v>
      </c>
    </row>
    <row r="4" spans="1:10">
      <c r="G4" s="332">
        <v>2016</v>
      </c>
      <c r="H4" s="332">
        <v>2016</v>
      </c>
    </row>
    <row r="5" spans="1:10">
      <c r="A5" s="593" t="s">
        <v>43</v>
      </c>
      <c r="G5" s="332"/>
      <c r="H5" s="332"/>
    </row>
    <row r="6" spans="1:10">
      <c r="A6" s="609" t="s">
        <v>33</v>
      </c>
      <c r="B6" s="7"/>
      <c r="C6" s="7"/>
      <c r="D6" s="7"/>
      <c r="E6" s="7"/>
      <c r="F6" s="7"/>
      <c r="G6" s="603">
        <v>209394.33333333334</v>
      </c>
      <c r="H6" s="333">
        <f>G6*12</f>
        <v>2512732</v>
      </c>
      <c r="J6" s="4" t="s">
        <v>519</v>
      </c>
    </row>
    <row r="7" spans="1:10">
      <c r="A7" s="609" t="s">
        <v>37</v>
      </c>
      <c r="B7" s="7"/>
      <c r="C7" s="7"/>
      <c r="D7" s="7"/>
      <c r="E7" s="7"/>
      <c r="F7" s="7"/>
      <c r="G7" s="603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09" t="s">
        <v>34</v>
      </c>
      <c r="B8" s="7"/>
      <c r="C8" s="7"/>
      <c r="D8" s="7"/>
      <c r="E8" s="7"/>
      <c r="F8" s="7"/>
      <c r="G8" s="603">
        <v>9270.25</v>
      </c>
      <c r="H8" s="333">
        <f t="shared" si="0"/>
        <v>111243</v>
      </c>
      <c r="J8" s="4" t="s">
        <v>521</v>
      </c>
    </row>
    <row r="9" spans="1:10">
      <c r="A9" s="609" t="s">
        <v>38</v>
      </c>
      <c r="B9" s="7"/>
      <c r="C9" s="7"/>
      <c r="D9" s="7"/>
      <c r="E9" s="7"/>
      <c r="F9" s="7"/>
      <c r="G9" s="603">
        <v>1964.1555167003778</v>
      </c>
      <c r="H9" s="333">
        <f t="shared" si="0"/>
        <v>23569.866200404533</v>
      </c>
      <c r="J9" s="4" t="s">
        <v>522</v>
      </c>
    </row>
    <row r="10" spans="1:10">
      <c r="A10" s="609" t="s">
        <v>35</v>
      </c>
      <c r="B10" s="7"/>
      <c r="C10" s="7"/>
      <c r="D10" s="7"/>
      <c r="E10" s="7"/>
      <c r="F10" s="7"/>
      <c r="G10" s="603">
        <v>54.618041666666663</v>
      </c>
      <c r="H10" s="333">
        <f t="shared" si="0"/>
        <v>655.41649999999993</v>
      </c>
      <c r="J10" s="4" t="s">
        <v>523</v>
      </c>
    </row>
    <row r="11" spans="1:10">
      <c r="A11" s="609" t="s">
        <v>39</v>
      </c>
      <c r="B11" s="7"/>
      <c r="C11" s="7"/>
      <c r="D11" s="7"/>
      <c r="E11" s="7"/>
      <c r="F11" s="7"/>
      <c r="G11" s="603">
        <v>20.974075673563011</v>
      </c>
      <c r="H11" s="333">
        <f t="shared" si="0"/>
        <v>251.68890808275614</v>
      </c>
      <c r="J11" s="4" t="s">
        <v>524</v>
      </c>
    </row>
    <row r="12" spans="1:10">
      <c r="A12" s="609" t="s">
        <v>41</v>
      </c>
      <c r="B12" s="7"/>
      <c r="C12" s="7"/>
      <c r="D12" s="7"/>
      <c r="E12" s="7"/>
      <c r="F12" s="7"/>
      <c r="G12" s="603">
        <v>0</v>
      </c>
      <c r="H12" s="333">
        <f t="shared" si="0"/>
        <v>0</v>
      </c>
      <c r="J12" s="4" t="s">
        <v>525</v>
      </c>
    </row>
    <row r="13" spans="1:10">
      <c r="A13" s="609" t="s">
        <v>40</v>
      </c>
      <c r="B13" s="7"/>
      <c r="C13" s="7"/>
      <c r="D13" s="7"/>
      <c r="E13" s="7"/>
      <c r="F13" s="7"/>
      <c r="G13" s="603">
        <v>1256.8935910567657</v>
      </c>
      <c r="H13" s="333">
        <f t="shared" si="0"/>
        <v>15082.723092681188</v>
      </c>
      <c r="J13" s="4" t="s">
        <v>526</v>
      </c>
    </row>
    <row r="14" spans="1:10">
      <c r="A14" s="609" t="s">
        <v>36</v>
      </c>
      <c r="B14" s="7"/>
      <c r="C14" s="7"/>
      <c r="D14" s="7"/>
      <c r="E14" s="7"/>
      <c r="F14" s="7"/>
      <c r="G14" s="603">
        <v>1218.806325</v>
      </c>
      <c r="H14" s="333">
        <f t="shared" si="0"/>
        <v>14625.6759</v>
      </c>
      <c r="J14" s="4" t="s">
        <v>527</v>
      </c>
    </row>
    <row r="15" spans="1:10">
      <c r="A15" s="609" t="s">
        <v>42</v>
      </c>
      <c r="B15" s="7"/>
      <c r="C15" s="7"/>
      <c r="D15" s="7"/>
      <c r="E15" s="7"/>
      <c r="F15" s="7"/>
      <c r="G15" s="603">
        <v>397.44294999999994</v>
      </c>
      <c r="H15" s="333">
        <f t="shared" si="0"/>
        <v>4769.3153999999995</v>
      </c>
      <c r="J15" s="4" t="s">
        <v>528</v>
      </c>
    </row>
    <row r="16" spans="1:10">
      <c r="A16" s="609" t="s">
        <v>260</v>
      </c>
      <c r="B16" s="7"/>
      <c r="C16" s="7"/>
      <c r="D16" s="7"/>
      <c r="E16" s="7"/>
      <c r="F16" s="7"/>
      <c r="G16" s="603">
        <v>105892.70273403819</v>
      </c>
      <c r="H16" s="333">
        <f t="shared" si="0"/>
        <v>1270712.4328084583</v>
      </c>
      <c r="J16" s="4" t="s">
        <v>529</v>
      </c>
    </row>
    <row r="17" spans="1:10">
      <c r="A17" s="609" t="s">
        <v>265</v>
      </c>
      <c r="B17" s="7"/>
      <c r="C17" s="7"/>
      <c r="D17" s="7"/>
      <c r="E17" s="7"/>
      <c r="F17" s="7"/>
      <c r="G17" s="603">
        <v>16007.131658333334</v>
      </c>
      <c r="H17" s="333">
        <f t="shared" si="0"/>
        <v>192085.57990000001</v>
      </c>
      <c r="J17" s="4" t="s">
        <v>530</v>
      </c>
    </row>
    <row r="18" spans="1:10">
      <c r="A18" s="609" t="s">
        <v>261</v>
      </c>
      <c r="B18" s="7"/>
      <c r="C18" s="7"/>
      <c r="D18" s="7"/>
      <c r="E18" s="7"/>
      <c r="F18" s="7"/>
      <c r="G18" s="603">
        <v>5277.75</v>
      </c>
      <c r="H18" s="333">
        <f t="shared" si="0"/>
        <v>63333</v>
      </c>
      <c r="J18" s="4" t="s">
        <v>531</v>
      </c>
    </row>
    <row r="19" spans="1:10">
      <c r="A19" s="609" t="s">
        <v>266</v>
      </c>
      <c r="B19" s="7"/>
      <c r="C19" s="8"/>
      <c r="D19" s="7"/>
      <c r="E19" s="7"/>
      <c r="F19" s="7"/>
      <c r="G19" s="603">
        <v>1133.5452936413924</v>
      </c>
      <c r="H19" s="333">
        <f t="shared" si="0"/>
        <v>13602.54352369671</v>
      </c>
      <c r="J19" s="4" t="s">
        <v>532</v>
      </c>
    </row>
    <row r="20" spans="1:10">
      <c r="A20" s="609" t="s">
        <v>262</v>
      </c>
      <c r="B20" s="7"/>
      <c r="C20" s="7"/>
      <c r="D20" s="7"/>
      <c r="E20" s="7"/>
      <c r="F20" s="7"/>
      <c r="G20" s="603">
        <v>21.445034499375708</v>
      </c>
      <c r="H20" s="333">
        <f t="shared" si="0"/>
        <v>257.3404139925085</v>
      </c>
      <c r="J20" s="4" t="s">
        <v>533</v>
      </c>
    </row>
    <row r="21" spans="1:10">
      <c r="A21" s="609" t="s">
        <v>267</v>
      </c>
      <c r="B21" s="7"/>
      <c r="C21" s="7"/>
      <c r="D21" s="7"/>
      <c r="E21" s="7"/>
      <c r="F21" s="7"/>
      <c r="G21" s="603">
        <v>9</v>
      </c>
      <c r="H21" s="333">
        <f t="shared" si="0"/>
        <v>108</v>
      </c>
      <c r="J21" s="4" t="s">
        <v>534</v>
      </c>
    </row>
    <row r="22" spans="1:10">
      <c r="A22" s="609" t="s">
        <v>269</v>
      </c>
      <c r="B22" s="7"/>
      <c r="C22" s="7"/>
      <c r="D22" s="7"/>
      <c r="E22" s="7"/>
      <c r="F22" s="7"/>
      <c r="G22" s="603">
        <v>1</v>
      </c>
      <c r="H22" s="333">
        <f t="shared" si="0"/>
        <v>12</v>
      </c>
      <c r="J22" s="4" t="s">
        <v>535</v>
      </c>
    </row>
    <row r="23" spans="1:10">
      <c r="A23" s="609" t="s">
        <v>268</v>
      </c>
      <c r="G23" s="603">
        <v>729.54100833333325</v>
      </c>
      <c r="H23" s="333">
        <f t="shared" si="0"/>
        <v>8754.4920999999995</v>
      </c>
      <c r="J23" s="4" t="s">
        <v>536</v>
      </c>
    </row>
    <row r="24" spans="1:10">
      <c r="A24" s="609" t="s">
        <v>263</v>
      </c>
      <c r="G24" s="603">
        <v>685.10282500000005</v>
      </c>
      <c r="H24" s="333">
        <f t="shared" si="0"/>
        <v>8221.2339000000011</v>
      </c>
      <c r="J24" s="4" t="s">
        <v>537</v>
      </c>
    </row>
    <row r="25" spans="1:10">
      <c r="A25" s="609" t="s">
        <v>264</v>
      </c>
      <c r="B25" s="7"/>
      <c r="C25" s="7"/>
      <c r="G25" s="603">
        <v>147</v>
      </c>
      <c r="H25" s="333">
        <f t="shared" si="0"/>
        <v>1764</v>
      </c>
      <c r="J25" s="4" t="s">
        <v>538</v>
      </c>
    </row>
    <row r="26" spans="1:10">
      <c r="A26" s="606"/>
      <c r="B26" s="7"/>
      <c r="C26" s="7"/>
      <c r="G26" s="333"/>
      <c r="H26" s="333"/>
    </row>
    <row r="27" spans="1:10">
      <c r="A27" s="593" t="s">
        <v>358</v>
      </c>
      <c r="B27" s="7"/>
      <c r="C27" s="7"/>
      <c r="G27" s="333"/>
      <c r="H27" s="333"/>
    </row>
    <row r="28" spans="1:10" s="9" customFormat="1">
      <c r="A28" s="618" t="s">
        <v>32</v>
      </c>
      <c r="B28" s="10"/>
      <c r="C28" s="10"/>
      <c r="G28" s="502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599" t="s">
        <v>259</v>
      </c>
      <c r="B29" s="10"/>
      <c r="C29" s="10"/>
      <c r="G29" s="502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1"/>
      <c r="B30" s="10"/>
      <c r="C30" s="10"/>
      <c r="G30" s="502"/>
      <c r="H30" s="334"/>
      <c r="J30" s="4"/>
    </row>
    <row r="31" spans="1:10">
      <c r="A31" s="621" t="s">
        <v>357</v>
      </c>
      <c r="B31" s="5"/>
      <c r="C31" s="7"/>
      <c r="G31" s="503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8" t="s">
        <v>8</v>
      </c>
      <c r="H34"/>
    </row>
    <row r="35" spans="1:10">
      <c r="B35" s="10"/>
      <c r="C35" s="10"/>
      <c r="D35" s="11"/>
      <c r="E35" s="9"/>
      <c r="F35" s="9"/>
      <c r="G35" s="487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17" t="s">
        <v>45</v>
      </c>
      <c r="B40" s="613"/>
      <c r="C40"/>
      <c r="D40"/>
      <c r="E40"/>
      <c r="F40"/>
      <c r="G40" s="332"/>
      <c r="H40" s="333"/>
    </row>
    <row r="41" spans="1:10">
      <c r="A41" s="620" t="s">
        <v>46</v>
      </c>
      <c r="B41" s="613"/>
      <c r="C41"/>
      <c r="D41"/>
      <c r="E41"/>
      <c r="F41"/>
      <c r="G41" s="333"/>
      <c r="H41" s="333"/>
    </row>
    <row r="42" spans="1:10">
      <c r="A42" s="602" t="s">
        <v>37</v>
      </c>
      <c r="B42" s="610" t="s">
        <v>360</v>
      </c>
      <c r="C42"/>
      <c r="D42"/>
      <c r="E42"/>
      <c r="F42"/>
      <c r="G42" s="624">
        <v>356508.5</v>
      </c>
      <c r="H42" s="333"/>
      <c r="J42" s="4" t="s">
        <v>545</v>
      </c>
    </row>
    <row r="43" spans="1:10">
      <c r="A43" s="602" t="s">
        <v>34</v>
      </c>
      <c r="B43" s="610" t="s">
        <v>360</v>
      </c>
      <c r="C43"/>
      <c r="D43"/>
      <c r="E43"/>
      <c r="F43"/>
      <c r="G43" s="624">
        <v>8132.5</v>
      </c>
      <c r="H43" s="333"/>
      <c r="J43" s="4" t="s">
        <v>546</v>
      </c>
    </row>
    <row r="44" spans="1:10">
      <c r="A44" s="602" t="s">
        <v>38</v>
      </c>
      <c r="B44" s="610" t="s">
        <v>361</v>
      </c>
      <c r="C44"/>
      <c r="D44"/>
      <c r="E44"/>
      <c r="F44"/>
      <c r="G44" s="624">
        <v>2643570.541666667</v>
      </c>
      <c r="H44" s="333"/>
      <c r="J44" s="4" t="s">
        <v>547</v>
      </c>
    </row>
    <row r="45" spans="1:10">
      <c r="A45" s="602" t="s">
        <v>35</v>
      </c>
      <c r="B45" s="610" t="s">
        <v>361</v>
      </c>
      <c r="C45"/>
      <c r="D45"/>
      <c r="E45"/>
      <c r="F45"/>
      <c r="G45" s="624">
        <v>53982.5</v>
      </c>
      <c r="H45" s="333"/>
      <c r="J45" s="4" t="s">
        <v>548</v>
      </c>
    </row>
    <row r="46" spans="1:10">
      <c r="A46" s="602" t="s">
        <v>39</v>
      </c>
      <c r="B46" s="610" t="s">
        <v>362</v>
      </c>
      <c r="C46"/>
      <c r="D46"/>
      <c r="E46"/>
      <c r="F46"/>
      <c r="G46" s="624">
        <v>1168073</v>
      </c>
      <c r="H46" s="333"/>
      <c r="J46" s="4" t="s">
        <v>549</v>
      </c>
    </row>
    <row r="47" spans="1:10">
      <c r="A47" s="602" t="s">
        <v>265</v>
      </c>
      <c r="B47" s="610" t="s">
        <v>360</v>
      </c>
      <c r="C47"/>
      <c r="D47"/>
      <c r="E47"/>
      <c r="F47"/>
      <c r="G47" s="624">
        <v>227091.75</v>
      </c>
      <c r="H47" s="333"/>
      <c r="J47" s="4" t="s">
        <v>550</v>
      </c>
    </row>
    <row r="48" spans="1:10">
      <c r="A48" s="602" t="s">
        <v>261</v>
      </c>
      <c r="B48" s="610" t="s">
        <v>360</v>
      </c>
      <c r="C48"/>
      <c r="D48"/>
      <c r="E48"/>
      <c r="F48"/>
      <c r="G48" s="624">
        <v>8132.5</v>
      </c>
      <c r="H48" s="333"/>
      <c r="J48" s="4" t="s">
        <v>551</v>
      </c>
    </row>
    <row r="49" spans="1:10">
      <c r="A49" s="602" t="s">
        <v>266</v>
      </c>
      <c r="B49" s="610" t="s">
        <v>361</v>
      </c>
      <c r="C49"/>
      <c r="D49"/>
      <c r="E49"/>
      <c r="F49"/>
      <c r="G49" s="624">
        <v>1286037.25</v>
      </c>
      <c r="H49" s="333"/>
      <c r="J49" s="4" t="s">
        <v>552</v>
      </c>
    </row>
    <row r="50" spans="1:10">
      <c r="A50" s="602" t="s">
        <v>262</v>
      </c>
      <c r="B50" s="610" t="s">
        <v>361</v>
      </c>
      <c r="C50"/>
      <c r="D50"/>
      <c r="E50"/>
      <c r="F50"/>
      <c r="G50" s="624">
        <v>15704.958333333334</v>
      </c>
      <c r="H50" s="333"/>
      <c r="J50" s="4" t="s">
        <v>553</v>
      </c>
    </row>
    <row r="51" spans="1:10">
      <c r="A51" s="602" t="s">
        <v>267</v>
      </c>
      <c r="B51" s="610" t="s">
        <v>362</v>
      </c>
      <c r="C51"/>
      <c r="D51"/>
      <c r="E51"/>
      <c r="F51"/>
      <c r="G51" s="624">
        <v>270260.5</v>
      </c>
      <c r="H51" s="333"/>
      <c r="J51" s="4" t="s">
        <v>554</v>
      </c>
    </row>
    <row r="52" spans="1:10">
      <c r="A52" s="602" t="s">
        <v>269</v>
      </c>
      <c r="B52" s="610" t="s">
        <v>362</v>
      </c>
      <c r="C52"/>
      <c r="D52"/>
      <c r="E52"/>
      <c r="F52"/>
      <c r="G52" s="624">
        <v>649540</v>
      </c>
      <c r="H52" s="333"/>
      <c r="J52" s="4" t="s">
        <v>555</v>
      </c>
    </row>
    <row r="53" spans="1:10">
      <c r="A53" s="331"/>
      <c r="B53" s="389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2" t="s">
        <v>47</v>
      </c>
      <c r="B55"/>
      <c r="C55"/>
      <c r="D55"/>
      <c r="E55"/>
      <c r="F55"/>
      <c r="G55"/>
      <c r="H55" s="333"/>
    </row>
    <row r="56" spans="1:10" s="9" customFormat="1">
      <c r="A56" s="383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4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5"/>
      <c r="B58"/>
      <c r="C58"/>
      <c r="D58"/>
      <c r="E58"/>
      <c r="F58"/>
      <c r="G58"/>
      <c r="H58" s="333"/>
    </row>
    <row r="59" spans="1:10">
      <c r="A59" s="386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.4">
      <c r="B192" s="684"/>
    </row>
    <row r="242" spans="9:9">
      <c r="I242" s="681"/>
    </row>
    <row r="243" spans="9:9">
      <c r="I243" s="681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37" t="s">
        <v>511</v>
      </c>
      <c r="I1" s="631"/>
      <c r="J1" s="631"/>
      <c r="K1" s="631"/>
      <c r="L1" s="631"/>
      <c r="M1" s="631"/>
      <c r="N1" s="631"/>
    </row>
    <row r="2" spans="1:14">
      <c r="F2" s="637" t="s">
        <v>512</v>
      </c>
      <c r="I2" s="631"/>
      <c r="J2" s="631"/>
      <c r="K2" s="631"/>
      <c r="L2" s="631"/>
      <c r="M2" s="631"/>
      <c r="N2" s="631"/>
    </row>
    <row r="3" spans="1:14">
      <c r="I3" s="631"/>
      <c r="J3" s="631"/>
      <c r="K3" s="631"/>
      <c r="L3" s="631"/>
      <c r="M3" s="631"/>
      <c r="N3" s="631"/>
    </row>
    <row r="4" spans="1:14">
      <c r="A4" s="608" t="s">
        <v>270</v>
      </c>
      <c r="D4" s="638">
        <v>2016</v>
      </c>
      <c r="I4" s="631"/>
      <c r="J4" s="631"/>
      <c r="K4" s="631"/>
      <c r="L4" s="631"/>
      <c r="M4" s="631"/>
      <c r="N4" s="631"/>
    </row>
    <row r="5" spans="1:14">
      <c r="A5" s="601" t="s">
        <v>33</v>
      </c>
      <c r="D5" s="607">
        <v>2447894612.94909</v>
      </c>
      <c r="F5" s="637" t="s">
        <v>525</v>
      </c>
      <c r="G5" s="637"/>
      <c r="I5" s="631"/>
      <c r="J5" s="631"/>
      <c r="K5" s="631"/>
      <c r="L5" s="631"/>
      <c r="M5" s="631"/>
      <c r="N5" s="631"/>
    </row>
    <row r="6" spans="1:14">
      <c r="A6" s="601" t="s">
        <v>37</v>
      </c>
      <c r="D6" s="600">
        <v>533190763.92359316</v>
      </c>
      <c r="F6" s="637" t="s">
        <v>526</v>
      </c>
      <c r="G6" s="637"/>
      <c r="I6" s="631"/>
      <c r="J6" s="631"/>
      <c r="K6" s="631"/>
      <c r="L6" s="631"/>
      <c r="M6" s="631"/>
      <c r="N6" s="631"/>
    </row>
    <row r="7" spans="1:14">
      <c r="A7" s="601" t="s">
        <v>34</v>
      </c>
      <c r="D7" s="600">
        <v>58198159.318362407</v>
      </c>
      <c r="F7" s="637" t="s">
        <v>527</v>
      </c>
      <c r="G7" s="637"/>
      <c r="I7" s="631"/>
      <c r="J7" s="631"/>
      <c r="K7" s="631"/>
      <c r="L7" s="631"/>
      <c r="M7" s="631"/>
      <c r="N7" s="631"/>
    </row>
    <row r="8" spans="1:14">
      <c r="A8" s="601" t="s">
        <v>38</v>
      </c>
      <c r="D8" s="600">
        <v>1394199937.4331989</v>
      </c>
      <c r="F8" s="637" t="s">
        <v>528</v>
      </c>
      <c r="G8" s="637"/>
      <c r="I8" s="631"/>
      <c r="J8" s="631"/>
      <c r="K8" s="631"/>
      <c r="L8" s="631"/>
      <c r="M8" s="631"/>
      <c r="N8" s="631"/>
    </row>
    <row r="9" spans="1:14">
      <c r="A9" s="601" t="s">
        <v>35</v>
      </c>
      <c r="D9" s="600">
        <v>36949668.457222924</v>
      </c>
      <c r="F9" s="637" t="s">
        <v>529</v>
      </c>
      <c r="G9" s="637"/>
      <c r="I9" s="631"/>
      <c r="J9" s="631"/>
      <c r="K9" s="631"/>
      <c r="L9" s="631"/>
      <c r="M9" s="631"/>
      <c r="N9" s="631"/>
    </row>
    <row r="10" spans="1:14">
      <c r="A10" s="601" t="s">
        <v>39</v>
      </c>
      <c r="D10" s="600">
        <v>1114987712.0720894</v>
      </c>
      <c r="F10" s="637" t="s">
        <v>530</v>
      </c>
      <c r="G10" s="637"/>
      <c r="I10" s="631"/>
      <c r="J10" s="631"/>
      <c r="K10" s="631"/>
      <c r="L10" s="631"/>
      <c r="M10" s="631"/>
      <c r="N10" s="631"/>
    </row>
    <row r="11" spans="1:14">
      <c r="A11" s="601" t="s">
        <v>41</v>
      </c>
      <c r="D11" s="600">
        <v>0</v>
      </c>
      <c r="F11" s="637" t="s">
        <v>531</v>
      </c>
      <c r="G11" s="637"/>
      <c r="I11" s="631"/>
      <c r="J11" s="631"/>
      <c r="K11" s="631"/>
      <c r="L11" s="631"/>
      <c r="M11" s="631"/>
      <c r="N11" s="631"/>
    </row>
    <row r="12" spans="1:14">
      <c r="A12" s="601" t="s">
        <v>40</v>
      </c>
      <c r="D12" s="600">
        <v>123625944.32330225</v>
      </c>
      <c r="F12" s="637" t="s">
        <v>532</v>
      </c>
      <c r="G12" s="637"/>
      <c r="I12" s="631"/>
      <c r="J12" s="631"/>
      <c r="K12" s="631"/>
      <c r="L12" s="631"/>
      <c r="M12" s="631"/>
      <c r="N12" s="631"/>
    </row>
    <row r="13" spans="1:14">
      <c r="A13" s="601" t="s">
        <v>36</v>
      </c>
      <c r="D13" s="600">
        <v>8099403.0397304203</v>
      </c>
      <c r="F13" s="637" t="s">
        <v>533</v>
      </c>
      <c r="G13" s="637"/>
      <c r="I13" s="631"/>
      <c r="J13" s="631"/>
      <c r="K13" s="631"/>
      <c r="L13" s="631"/>
      <c r="M13" s="631"/>
      <c r="N13" s="631"/>
    </row>
    <row r="14" spans="1:14">
      <c r="A14" s="623" t="s">
        <v>42</v>
      </c>
      <c r="D14" s="600">
        <v>24890112.090452805</v>
      </c>
      <c r="F14" s="637" t="s">
        <v>534</v>
      </c>
      <c r="G14" s="637"/>
      <c r="I14" s="631"/>
      <c r="J14" s="631"/>
      <c r="K14" s="631"/>
      <c r="L14" s="631"/>
      <c r="M14" s="631"/>
      <c r="N14" s="631"/>
    </row>
    <row r="15" spans="1:14">
      <c r="A15" s="601" t="s">
        <v>260</v>
      </c>
      <c r="D15" s="600">
        <v>1202461977.0101345</v>
      </c>
      <c r="F15" s="637" t="s">
        <v>535</v>
      </c>
      <c r="G15" s="637"/>
      <c r="I15" s="631"/>
      <c r="J15" s="631"/>
      <c r="K15" s="631"/>
      <c r="L15" s="631"/>
      <c r="M15" s="631"/>
      <c r="N15" s="631"/>
    </row>
    <row r="16" spans="1:14">
      <c r="A16" s="601" t="s">
        <v>265</v>
      </c>
      <c r="D16" s="600">
        <v>338210070.58827966</v>
      </c>
      <c r="F16" s="637" t="s">
        <v>536</v>
      </c>
      <c r="G16" s="637"/>
      <c r="I16" s="631"/>
      <c r="J16" s="631"/>
      <c r="K16" s="631"/>
      <c r="L16" s="631"/>
      <c r="M16" s="631"/>
      <c r="N16" s="631"/>
    </row>
    <row r="17" spans="1:14">
      <c r="A17" s="601" t="s">
        <v>261</v>
      </c>
      <c r="D17" s="600">
        <v>25811535.578046337</v>
      </c>
      <c r="F17" s="637" t="s">
        <v>537</v>
      </c>
      <c r="G17" s="637"/>
      <c r="I17" s="631"/>
      <c r="J17" s="631"/>
      <c r="K17" s="631"/>
      <c r="L17" s="631"/>
      <c r="M17" s="631"/>
      <c r="N17" s="631"/>
    </row>
    <row r="18" spans="1:14">
      <c r="A18" s="601" t="s">
        <v>266</v>
      </c>
      <c r="D18" s="600">
        <v>675583052.13072968</v>
      </c>
      <c r="F18" s="637" t="s">
        <v>538</v>
      </c>
      <c r="G18" s="637"/>
      <c r="I18" s="631"/>
      <c r="J18" s="631"/>
      <c r="K18" s="631"/>
      <c r="L18" s="631"/>
      <c r="M18" s="631"/>
      <c r="N18" s="631"/>
    </row>
    <row r="19" spans="1:14">
      <c r="A19" s="601" t="s">
        <v>262</v>
      </c>
      <c r="D19" s="600">
        <v>10480484.077333149</v>
      </c>
      <c r="F19" s="637" t="s">
        <v>539</v>
      </c>
      <c r="G19" s="637"/>
      <c r="I19" s="631"/>
      <c r="J19" s="631"/>
      <c r="K19" s="631"/>
      <c r="L19" s="631"/>
      <c r="M19" s="631"/>
      <c r="N19" s="631"/>
    </row>
    <row r="20" spans="1:14">
      <c r="A20" s="601" t="s">
        <v>267</v>
      </c>
      <c r="D20" s="600">
        <v>331839388</v>
      </c>
      <c r="F20" s="637" t="s">
        <v>540</v>
      </c>
      <c r="G20" s="637"/>
      <c r="I20" s="631"/>
      <c r="J20" s="631"/>
      <c r="K20" s="631"/>
      <c r="L20" s="631"/>
      <c r="M20" s="631"/>
      <c r="N20" s="631"/>
    </row>
    <row r="21" spans="1:14">
      <c r="A21" s="601" t="s">
        <v>269</v>
      </c>
      <c r="D21" s="600">
        <v>452814683</v>
      </c>
      <c r="F21" s="637" t="s">
        <v>541</v>
      </c>
      <c r="G21" s="637"/>
      <c r="I21" s="631"/>
      <c r="J21" s="631"/>
      <c r="K21" s="631"/>
      <c r="L21" s="631"/>
      <c r="M21" s="631"/>
      <c r="N21" s="631"/>
    </row>
    <row r="22" spans="1:14">
      <c r="A22" s="601" t="s">
        <v>268</v>
      </c>
      <c r="D22" s="600">
        <v>50391402.280106425</v>
      </c>
      <c r="F22" s="637" t="s">
        <v>542</v>
      </c>
      <c r="G22" s="637"/>
      <c r="I22" s="631"/>
      <c r="J22" s="631"/>
      <c r="K22" s="631"/>
      <c r="L22" s="631"/>
      <c r="M22" s="631"/>
      <c r="N22" s="631"/>
    </row>
    <row r="23" spans="1:14">
      <c r="A23" s="601" t="s">
        <v>263</v>
      </c>
      <c r="D23" s="600">
        <v>5213090.2355687255</v>
      </c>
      <c r="F23" s="637" t="s">
        <v>543</v>
      </c>
      <c r="G23" s="637"/>
      <c r="I23" s="631"/>
      <c r="J23" s="631"/>
      <c r="K23" s="631"/>
      <c r="L23" s="631"/>
      <c r="M23" s="631"/>
      <c r="N23" s="631"/>
    </row>
    <row r="24" spans="1:14">
      <c r="A24" s="623" t="s">
        <v>264</v>
      </c>
      <c r="D24" s="600">
        <v>13880887</v>
      </c>
      <c r="F24" s="637" t="s">
        <v>544</v>
      </c>
      <c r="G24" s="637"/>
      <c r="I24" s="631"/>
      <c r="J24" s="631"/>
      <c r="K24" s="631"/>
      <c r="L24" s="631"/>
      <c r="M24" s="631"/>
      <c r="N24" s="631"/>
    </row>
    <row r="25" spans="1:14">
      <c r="A25" s="595"/>
      <c r="D25" s="605"/>
      <c r="F25" s="637"/>
      <c r="G25" s="637"/>
      <c r="I25" s="631"/>
      <c r="J25" s="631"/>
      <c r="K25" s="631"/>
      <c r="L25" s="631"/>
      <c r="M25" s="631"/>
      <c r="N25" s="631"/>
    </row>
    <row r="26" spans="1:14">
      <c r="A26" s="608" t="s">
        <v>271</v>
      </c>
      <c r="D26" s="622"/>
      <c r="F26" s="637"/>
      <c r="G26" s="637"/>
      <c r="I26" s="631"/>
      <c r="J26" s="631"/>
      <c r="K26" s="631"/>
      <c r="L26" s="631"/>
      <c r="M26" s="631"/>
      <c r="N26" s="631"/>
    </row>
    <row r="27" spans="1:14">
      <c r="A27" s="594" t="s">
        <v>32</v>
      </c>
      <c r="D27" s="600">
        <f>SUM(D5:D14)</f>
        <v>5742036313.6070423</v>
      </c>
      <c r="F27" s="637" t="s">
        <v>559</v>
      </c>
      <c r="G27" s="637"/>
      <c r="I27" s="631"/>
      <c r="J27" s="631"/>
      <c r="K27" s="631"/>
      <c r="L27" s="631"/>
      <c r="M27" s="631"/>
      <c r="N27" s="631"/>
    </row>
    <row r="28" spans="1:14">
      <c r="A28" s="592" t="s">
        <v>259</v>
      </c>
      <c r="D28" s="600">
        <f>SUM(D15:D24)</f>
        <v>3106686569.900198</v>
      </c>
      <c r="F28" s="637" t="s">
        <v>560</v>
      </c>
      <c r="G28" s="637"/>
      <c r="I28" s="631"/>
      <c r="J28" s="631"/>
      <c r="K28" s="631"/>
      <c r="L28" s="631"/>
      <c r="M28" s="631"/>
      <c r="N28" s="631"/>
    </row>
    <row r="29" spans="1:14">
      <c r="A29" s="616"/>
      <c r="D29" s="605"/>
      <c r="F29" s="637"/>
      <c r="G29" s="637"/>
      <c r="I29" s="631"/>
      <c r="J29" s="631"/>
      <c r="K29" s="631"/>
      <c r="L29" s="631"/>
      <c r="M29" s="631"/>
      <c r="N29" s="631"/>
    </row>
    <row r="30" spans="1:14">
      <c r="A30" s="604" t="s">
        <v>357</v>
      </c>
      <c r="D30" s="600">
        <f>D27+D28</f>
        <v>8848722883.5072403</v>
      </c>
      <c r="F30" s="637" t="s">
        <v>561</v>
      </c>
      <c r="G30" s="637"/>
      <c r="I30" s="631"/>
      <c r="J30" s="631"/>
      <c r="K30" s="631"/>
      <c r="L30" s="631"/>
      <c r="M30" s="631"/>
      <c r="N30" s="631"/>
    </row>
    <row r="31" spans="1:14">
      <c r="A31" s="616"/>
      <c r="D31" s="597">
        <v>8.3914183815001694E-3</v>
      </c>
      <c r="F31" s="637" t="s">
        <v>562</v>
      </c>
      <c r="G31" s="637"/>
      <c r="I31" s="631"/>
      <c r="J31" s="631"/>
      <c r="K31" s="631"/>
      <c r="L31" s="631"/>
      <c r="M31" s="631"/>
      <c r="N31" s="631"/>
    </row>
    <row r="32" spans="1:14">
      <c r="A32" s="616"/>
      <c r="D32" s="619"/>
      <c r="F32" s="637"/>
      <c r="G32" s="637"/>
      <c r="I32" s="631"/>
      <c r="J32" s="631"/>
      <c r="K32" s="631"/>
      <c r="L32" s="631"/>
      <c r="M32" s="631"/>
      <c r="N32" s="631"/>
    </row>
    <row r="33" spans="1:14">
      <c r="A33" s="616"/>
      <c r="D33" s="619"/>
      <c r="F33" s="637"/>
      <c r="G33" s="637"/>
      <c r="I33" s="631"/>
      <c r="J33" s="631"/>
      <c r="K33" s="631"/>
      <c r="L33" s="631"/>
      <c r="M33" s="631"/>
      <c r="N33" s="631"/>
    </row>
    <row r="34" spans="1:14">
      <c r="A34" s="615" t="s">
        <v>513</v>
      </c>
      <c r="D34" s="619"/>
      <c r="F34" s="637"/>
      <c r="G34" s="637"/>
      <c r="I34" s="631"/>
      <c r="J34" s="631"/>
      <c r="K34" s="631"/>
      <c r="L34" s="631"/>
      <c r="M34" s="631"/>
      <c r="N34" s="631"/>
    </row>
    <row r="35" spans="1:14">
      <c r="A35" s="616" t="s">
        <v>514</v>
      </c>
      <c r="D35" s="600">
        <v>9434612307.8230515</v>
      </c>
      <c r="F35" s="637" t="s">
        <v>563</v>
      </c>
      <c r="G35" s="637"/>
    </row>
    <row r="36" spans="1:14">
      <c r="A36" s="616" t="s">
        <v>515</v>
      </c>
      <c r="D36" s="600">
        <v>585889424.31581163</v>
      </c>
      <c r="F36" s="637" t="s">
        <v>564</v>
      </c>
      <c r="G36" s="637"/>
    </row>
    <row r="37" spans="1:14">
      <c r="F37" s="637"/>
      <c r="G37" s="637"/>
    </row>
    <row r="38" spans="1:14">
      <c r="A38" s="616" t="s">
        <v>516</v>
      </c>
      <c r="D38" s="600">
        <f>D35-D36</f>
        <v>8848722883.5072403</v>
      </c>
      <c r="F38" s="637" t="s">
        <v>565</v>
      </c>
      <c r="G38" s="637"/>
    </row>
    <row r="39" spans="1:14">
      <c r="F39" s="637"/>
      <c r="G39" s="637"/>
    </row>
    <row r="40" spans="1:14">
      <c r="A40" s="598" t="s">
        <v>517</v>
      </c>
      <c r="D40" s="612">
        <f>D38-D30</f>
        <v>0</v>
      </c>
      <c r="F40" s="637" t="s">
        <v>566</v>
      </c>
      <c r="G40" s="637"/>
    </row>
    <row r="150" spans="2:2">
      <c r="B150" s="631"/>
    </row>
    <row r="152" spans="2:2">
      <c r="B152" s="631"/>
    </row>
    <row r="154" spans="2:2">
      <c r="B154" s="631"/>
    </row>
    <row r="164" spans="2:2">
      <c r="B164" s="631"/>
    </row>
    <row r="166" spans="2:2">
      <c r="B166" s="631"/>
    </row>
    <row r="170" spans="2:2">
      <c r="B170" s="631"/>
    </row>
    <row r="172" spans="2:2">
      <c r="B172" s="631"/>
    </row>
    <row r="176" spans="2:2">
      <c r="B176" s="631"/>
    </row>
    <row r="186" spans="2:2">
      <c r="B186" s="631"/>
    </row>
    <row r="188" spans="2:2">
      <c r="B188" s="631"/>
    </row>
    <row r="190" spans="2:2">
      <c r="B190" s="631"/>
    </row>
    <row r="192" spans="2:2" ht="14.4">
      <c r="B192" s="683"/>
    </row>
    <row r="196" spans="2:2">
      <c r="B196" s="631"/>
    </row>
    <row r="242" spans="9:9">
      <c r="I242" s="680"/>
    </row>
    <row r="243" spans="9:9">
      <c r="I243" s="680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zoomScaleNormal="100" workbookViewId="0">
      <selection activeCell="I6" sqref="I6"/>
    </sheetView>
  </sheetViews>
  <sheetFormatPr defaultColWidth="9.109375" defaultRowHeight="13.2"/>
  <cols>
    <col min="1" max="1" width="22.109375" style="456" customWidth="1"/>
    <col min="2" max="2" width="9.109375" style="456"/>
    <col min="3" max="3" width="9.44140625" style="456" customWidth="1"/>
    <col min="4" max="4" width="9.88671875" style="456" customWidth="1"/>
    <col min="5" max="5" width="8" style="456" customWidth="1"/>
    <col min="6" max="6" width="12.109375" style="456" customWidth="1"/>
    <col min="7" max="7" width="3.6640625" style="456" customWidth="1"/>
    <col min="8" max="8" width="22.6640625" style="75" customWidth="1"/>
    <col min="9" max="11" width="9.109375" style="75"/>
    <col min="12" max="12" width="14.6640625" style="75" customWidth="1"/>
    <col min="13" max="17" width="9.109375" style="75"/>
    <col min="18" max="16384" width="9.109375" style="456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4"/>
    </row>
    <row r="2" spans="1:17">
      <c r="A2" s="55" t="s">
        <v>126</v>
      </c>
      <c r="B2" s="55"/>
      <c r="C2" s="55"/>
      <c r="D2" s="55"/>
      <c r="E2" s="55"/>
      <c r="F2" s="55"/>
      <c r="G2" s="55"/>
      <c r="H2" s="744"/>
    </row>
    <row r="3" spans="1:17">
      <c r="A3" s="56" t="s">
        <v>612</v>
      </c>
      <c r="B3" s="55"/>
      <c r="C3" s="55"/>
      <c r="D3" s="55"/>
      <c r="E3" s="55"/>
      <c r="F3" s="55"/>
      <c r="G3" s="55"/>
      <c r="H3" s="744"/>
    </row>
    <row r="4" spans="1:17">
      <c r="G4" s="72"/>
      <c r="L4" s="745"/>
      <c r="M4" s="745"/>
      <c r="N4" s="745"/>
      <c r="O4" s="745"/>
    </row>
    <row r="5" spans="1:17">
      <c r="D5" s="740" t="s">
        <v>627</v>
      </c>
      <c r="G5" s="72"/>
      <c r="I5" s="740"/>
      <c r="L5" s="745"/>
      <c r="M5" s="745"/>
      <c r="N5" s="745"/>
      <c r="O5" s="745"/>
    </row>
    <row r="6" spans="1:17">
      <c r="D6" s="457" t="s">
        <v>89</v>
      </c>
      <c r="E6" s="457"/>
      <c r="F6" s="457" t="s">
        <v>8</v>
      </c>
      <c r="G6" s="72"/>
      <c r="I6" s="873" t="s">
        <v>89</v>
      </c>
      <c r="L6" s="741"/>
      <c r="M6" s="741"/>
      <c r="N6" s="741"/>
      <c r="O6" s="745"/>
    </row>
    <row r="7" spans="1:17">
      <c r="D7" s="457" t="s">
        <v>88</v>
      </c>
      <c r="E7" s="457"/>
      <c r="F7" s="457" t="s">
        <v>5</v>
      </c>
      <c r="G7" s="72"/>
      <c r="I7" s="873" t="s">
        <v>88</v>
      </c>
      <c r="L7" s="741"/>
      <c r="M7" s="741"/>
      <c r="N7" s="741"/>
      <c r="O7" s="745"/>
    </row>
    <row r="8" spans="1:17">
      <c r="D8" s="58" t="s">
        <v>98</v>
      </c>
      <c r="E8" s="58"/>
      <c r="F8" s="58" t="s">
        <v>127</v>
      </c>
      <c r="G8" s="73"/>
      <c r="I8" s="58" t="s">
        <v>98</v>
      </c>
      <c r="L8" s="548"/>
      <c r="M8" s="548"/>
      <c r="N8" s="548"/>
      <c r="O8" s="745"/>
    </row>
    <row r="9" spans="1:17">
      <c r="A9" s="456" t="s">
        <v>9</v>
      </c>
      <c r="E9" s="1"/>
      <c r="F9" s="776">
        <v>0.64710000000000001</v>
      </c>
      <c r="G9" s="74"/>
      <c r="L9" s="745"/>
      <c r="M9" s="746"/>
      <c r="N9" s="746"/>
      <c r="O9" s="745"/>
    </row>
    <row r="10" spans="1:17">
      <c r="G10" s="72"/>
      <c r="L10" s="745"/>
      <c r="M10" s="745"/>
      <c r="N10" s="745"/>
      <c r="O10" s="745"/>
    </row>
    <row r="11" spans="1:17">
      <c r="A11" s="456" t="s">
        <v>10</v>
      </c>
      <c r="D11" s="59">
        <v>94264</v>
      </c>
      <c r="E11" s="59"/>
      <c r="F11" s="59">
        <f>ROUND(F$9*D11,0)</f>
        <v>60998</v>
      </c>
      <c r="G11" s="65"/>
      <c r="H11" s="747"/>
      <c r="I11" s="884">
        <v>94264</v>
      </c>
      <c r="L11" s="748"/>
      <c r="M11" s="748"/>
      <c r="N11" s="748"/>
      <c r="O11" s="745"/>
    </row>
    <row r="12" spans="1:17">
      <c r="A12" s="456" t="s">
        <v>11</v>
      </c>
      <c r="D12" s="60">
        <v>475</v>
      </c>
      <c r="E12" s="60"/>
      <c r="F12" s="60">
        <f>ROUND(F$9*D12,0)</f>
        <v>307</v>
      </c>
      <c r="G12" s="62"/>
      <c r="H12" s="747"/>
      <c r="I12" s="884">
        <v>475</v>
      </c>
      <c r="L12" s="749"/>
      <c r="M12" s="749"/>
      <c r="N12" s="749"/>
      <c r="O12" s="745"/>
    </row>
    <row r="13" spans="1:17">
      <c r="A13" s="456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7"/>
      <c r="I13" s="884">
        <v>0</v>
      </c>
      <c r="L13" s="749"/>
      <c r="M13" s="749"/>
      <c r="N13" s="749"/>
      <c r="O13" s="745"/>
    </row>
    <row r="14" spans="1:17">
      <c r="A14" s="456" t="s">
        <v>403</v>
      </c>
      <c r="C14" s="584" t="s">
        <v>98</v>
      </c>
      <c r="D14" s="351">
        <f>16406-D15-D16</f>
        <v>16264</v>
      </c>
      <c r="E14" s="60"/>
      <c r="F14" s="60">
        <f t="shared" si="0"/>
        <v>10524</v>
      </c>
      <c r="G14" s="62"/>
      <c r="H14" s="747"/>
      <c r="I14" s="885">
        <v>16264</v>
      </c>
      <c r="J14" s="750"/>
      <c r="K14" s="751"/>
      <c r="L14" s="751"/>
      <c r="N14" s="749"/>
      <c r="O14" s="745"/>
    </row>
    <row r="15" spans="1:17" s="584" customFormat="1">
      <c r="A15" s="584" t="s">
        <v>403</v>
      </c>
      <c r="C15" s="584" t="s">
        <v>506</v>
      </c>
      <c r="D15" s="351">
        <v>98</v>
      </c>
      <c r="E15" s="60"/>
      <c r="F15" s="60">
        <f>D15</f>
        <v>98</v>
      </c>
      <c r="G15" s="62"/>
      <c r="H15" s="752"/>
      <c r="I15" s="728">
        <v>98</v>
      </c>
      <c r="J15" s="38"/>
      <c r="K15" s="38"/>
      <c r="L15" s="749"/>
      <c r="M15" s="749"/>
      <c r="N15" s="749"/>
      <c r="O15" s="745"/>
      <c r="P15" s="75"/>
      <c r="Q15" s="75"/>
    </row>
    <row r="16" spans="1:17" s="584" customFormat="1">
      <c r="A16" s="584" t="s">
        <v>403</v>
      </c>
      <c r="C16" s="584" t="s">
        <v>507</v>
      </c>
      <c r="D16" s="351">
        <v>44</v>
      </c>
      <c r="E16" s="60"/>
      <c r="F16" s="60">
        <v>0</v>
      </c>
      <c r="G16" s="62"/>
      <c r="H16" s="752"/>
      <c r="I16" s="728">
        <v>44</v>
      </c>
      <c r="J16" s="38"/>
      <c r="K16" s="38"/>
      <c r="L16" s="749"/>
      <c r="M16" s="749"/>
      <c r="N16" s="749"/>
      <c r="O16" s="745"/>
      <c r="P16" s="75"/>
      <c r="Q16" s="75"/>
    </row>
    <row r="17" spans="1:15">
      <c r="A17" s="456" t="s">
        <v>13</v>
      </c>
      <c r="D17" s="728">
        <f>4169-D18</f>
        <v>4006</v>
      </c>
      <c r="E17" s="60"/>
      <c r="F17" s="60">
        <f t="shared" si="0"/>
        <v>2592</v>
      </c>
      <c r="G17" s="62"/>
      <c r="H17" s="747"/>
      <c r="I17" s="884">
        <v>4006</v>
      </c>
      <c r="L17" s="749"/>
      <c r="M17" s="749"/>
      <c r="N17" s="749"/>
      <c r="O17" s="745"/>
    </row>
    <row r="18" spans="1:15">
      <c r="A18" s="456" t="s">
        <v>128</v>
      </c>
      <c r="D18" s="352">
        <v>163</v>
      </c>
      <c r="E18" s="62"/>
      <c r="F18" s="60">
        <f>D18</f>
        <v>163</v>
      </c>
      <c r="G18" s="62"/>
      <c r="H18" s="747"/>
      <c r="I18" s="886">
        <v>163</v>
      </c>
      <c r="L18" s="749"/>
      <c r="M18" s="749"/>
      <c r="N18" s="749"/>
      <c r="O18" s="745"/>
    </row>
    <row r="19" spans="1:15">
      <c r="A19" s="456" t="s">
        <v>14</v>
      </c>
      <c r="D19" s="60">
        <f>SUM(D11:D18)</f>
        <v>115314</v>
      </c>
      <c r="E19" s="62"/>
      <c r="F19" s="464">
        <f>SUM(F11:F18)</f>
        <v>74682</v>
      </c>
      <c r="G19" s="62"/>
      <c r="H19" s="747"/>
      <c r="I19" s="884">
        <v>115314</v>
      </c>
      <c r="L19" s="749"/>
      <c r="M19" s="749"/>
      <c r="N19" s="749"/>
      <c r="O19" s="745"/>
    </row>
    <row r="20" spans="1:15">
      <c r="D20" s="60"/>
      <c r="E20" s="62"/>
      <c r="F20" s="60"/>
      <c r="G20" s="62"/>
      <c r="H20" s="747"/>
      <c r="I20" s="884"/>
      <c r="L20" s="749"/>
      <c r="M20" s="749"/>
      <c r="N20" s="749"/>
      <c r="O20" s="745"/>
    </row>
    <row r="21" spans="1:15">
      <c r="D21" s="60"/>
      <c r="E21" s="62"/>
      <c r="F21" s="60"/>
      <c r="G21" s="62"/>
      <c r="H21" s="747"/>
      <c r="I21" s="884"/>
      <c r="L21" s="749"/>
      <c r="M21" s="749"/>
      <c r="N21" s="749"/>
      <c r="O21" s="745"/>
    </row>
    <row r="22" spans="1:15">
      <c r="A22" s="456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7"/>
      <c r="I22" s="884">
        <v>27420</v>
      </c>
      <c r="L22" s="749"/>
      <c r="M22" s="749"/>
      <c r="N22" s="749"/>
      <c r="O22" s="745"/>
    </row>
    <row r="23" spans="1:15">
      <c r="A23" s="456" t="s">
        <v>16</v>
      </c>
      <c r="D23" s="60">
        <v>0</v>
      </c>
      <c r="E23" s="62"/>
      <c r="F23" s="60">
        <f t="shared" si="1"/>
        <v>0</v>
      </c>
      <c r="G23" s="62"/>
      <c r="H23" s="747"/>
      <c r="I23" s="884">
        <v>0</v>
      </c>
      <c r="L23" s="749"/>
      <c r="M23" s="749"/>
      <c r="N23" s="749"/>
      <c r="O23" s="745"/>
    </row>
    <row r="24" spans="1:15">
      <c r="A24" s="456" t="s">
        <v>17</v>
      </c>
      <c r="D24" s="60">
        <v>55782</v>
      </c>
      <c r="E24" s="62"/>
      <c r="F24" s="60">
        <f t="shared" si="1"/>
        <v>36097</v>
      </c>
      <c r="G24" s="62"/>
      <c r="H24" s="747"/>
      <c r="I24" s="884">
        <v>55782</v>
      </c>
      <c r="L24" s="749"/>
      <c r="M24" s="749"/>
      <c r="N24" s="749"/>
      <c r="O24" s="745"/>
    </row>
    <row r="25" spans="1:15">
      <c r="A25" s="456" t="s">
        <v>18</v>
      </c>
      <c r="D25" s="60">
        <v>983</v>
      </c>
      <c r="E25" s="62"/>
      <c r="F25" s="60">
        <f t="shared" si="1"/>
        <v>636</v>
      </c>
      <c r="G25" s="62"/>
      <c r="H25" s="747"/>
      <c r="I25" s="884">
        <v>983</v>
      </c>
      <c r="L25" s="749"/>
      <c r="M25" s="749"/>
      <c r="N25" s="749"/>
      <c r="O25" s="745"/>
    </row>
    <row r="26" spans="1:15">
      <c r="A26" s="456" t="s">
        <v>19</v>
      </c>
      <c r="D26" s="60">
        <v>180254</v>
      </c>
      <c r="E26" s="62"/>
      <c r="F26" s="60">
        <f>ROUND(F$9*D26,0)-1</f>
        <v>116641</v>
      </c>
      <c r="G26" s="62"/>
      <c r="H26" s="747"/>
      <c r="I26" s="884">
        <v>180254</v>
      </c>
      <c r="L26" s="749"/>
      <c r="M26" s="749"/>
      <c r="N26" s="749"/>
      <c r="O26" s="745"/>
    </row>
    <row r="27" spans="1:15">
      <c r="A27" s="456" t="s">
        <v>20</v>
      </c>
      <c r="D27" s="60">
        <v>0</v>
      </c>
      <c r="E27" s="62"/>
      <c r="F27" s="60">
        <f t="shared" si="1"/>
        <v>0</v>
      </c>
      <c r="G27" s="62"/>
      <c r="H27" s="747"/>
      <c r="I27" s="728">
        <v>0</v>
      </c>
      <c r="J27" s="38"/>
      <c r="K27" s="38"/>
      <c r="L27" s="749"/>
      <c r="M27" s="749"/>
      <c r="N27" s="749"/>
      <c r="O27" s="745"/>
    </row>
    <row r="28" spans="1:15">
      <c r="A28" s="456" t="s">
        <v>21</v>
      </c>
      <c r="D28" s="60">
        <v>0</v>
      </c>
      <c r="E28" s="62"/>
      <c r="F28" s="60">
        <f t="shared" si="1"/>
        <v>0</v>
      </c>
      <c r="G28" s="62"/>
      <c r="H28" s="747"/>
      <c r="I28" s="728">
        <v>0</v>
      </c>
      <c r="J28" s="38"/>
      <c r="K28" s="38"/>
      <c r="L28" s="749"/>
      <c r="M28" s="749"/>
      <c r="N28" s="749"/>
      <c r="O28" s="745"/>
    </row>
    <row r="29" spans="1:15">
      <c r="A29" s="456" t="s">
        <v>22</v>
      </c>
      <c r="D29" s="60">
        <v>0</v>
      </c>
      <c r="E29" s="62"/>
      <c r="F29" s="60">
        <f t="shared" si="1"/>
        <v>0</v>
      </c>
      <c r="G29" s="62"/>
      <c r="H29" s="747"/>
      <c r="I29" s="728">
        <v>0</v>
      </c>
      <c r="J29" s="38"/>
      <c r="K29" s="38"/>
      <c r="L29" s="749"/>
      <c r="M29" s="749"/>
      <c r="N29" s="749"/>
      <c r="O29" s="745"/>
    </row>
    <row r="30" spans="1:15">
      <c r="A30" s="456" t="s">
        <v>23</v>
      </c>
      <c r="D30" s="351">
        <f>2977-D31</f>
        <v>581</v>
      </c>
      <c r="E30" s="62"/>
      <c r="F30" s="60">
        <f t="shared" si="1"/>
        <v>376</v>
      </c>
      <c r="G30" s="62"/>
      <c r="H30" s="753"/>
      <c r="I30" s="887">
        <v>581</v>
      </c>
      <c r="J30" s="755"/>
      <c r="K30" s="755"/>
      <c r="L30" s="755"/>
      <c r="M30" s="749"/>
      <c r="N30" s="749"/>
      <c r="O30" s="745"/>
    </row>
    <row r="31" spans="1:15">
      <c r="A31" s="456" t="s">
        <v>129</v>
      </c>
      <c r="D31" s="351">
        <f>735+1661</f>
        <v>2396</v>
      </c>
      <c r="E31" s="62"/>
      <c r="F31" s="60">
        <f>D31</f>
        <v>2396</v>
      </c>
      <c r="G31" s="62"/>
      <c r="H31" s="753"/>
      <c r="I31" s="887">
        <v>2396</v>
      </c>
      <c r="J31" s="755"/>
      <c r="K31" s="755"/>
      <c r="L31" s="755"/>
      <c r="M31" s="749"/>
      <c r="N31" s="749"/>
      <c r="O31" s="745"/>
    </row>
    <row r="32" spans="1:15">
      <c r="A32" s="456" t="s">
        <v>24</v>
      </c>
      <c r="D32" s="60">
        <v>18896</v>
      </c>
      <c r="E32" s="62"/>
      <c r="F32" s="60">
        <f t="shared" si="1"/>
        <v>12228</v>
      </c>
      <c r="G32" s="62"/>
      <c r="H32" s="747"/>
      <c r="I32" s="728">
        <v>18896</v>
      </c>
      <c r="J32" s="38"/>
      <c r="K32" s="38"/>
      <c r="L32" s="749"/>
      <c r="M32" s="749"/>
      <c r="N32" s="749"/>
      <c r="O32" s="745"/>
    </row>
    <row r="33" spans="1:17" s="657" customFormat="1" ht="12.75" customHeight="1">
      <c r="A33" s="777" t="s">
        <v>574</v>
      </c>
      <c r="B33" s="777"/>
      <c r="C33" s="777"/>
      <c r="D33" s="778">
        <v>0</v>
      </c>
      <c r="E33" s="779"/>
      <c r="F33" s="778">
        <f>F$9*D33</f>
        <v>0</v>
      </c>
      <c r="G33" s="779"/>
      <c r="H33" s="780" t="s">
        <v>675</v>
      </c>
      <c r="I33" s="888">
        <v>0</v>
      </c>
      <c r="J33" s="756"/>
      <c r="K33" s="756"/>
      <c r="L33" s="756"/>
      <c r="M33" s="38"/>
      <c r="N33" s="75"/>
      <c r="O33" s="75"/>
      <c r="P33" s="75"/>
      <c r="Q33" s="75"/>
    </row>
    <row r="34" spans="1:17" s="657" customFormat="1" ht="12.75" customHeight="1">
      <c r="A34" s="777" t="s">
        <v>575</v>
      </c>
      <c r="B34" s="777"/>
      <c r="C34" s="777"/>
      <c r="D34" s="778">
        <v>0</v>
      </c>
      <c r="E34" s="779"/>
      <c r="F34" s="778">
        <f>F$9*D34</f>
        <v>0</v>
      </c>
      <c r="G34" s="779"/>
      <c r="H34" s="780" t="s">
        <v>675</v>
      </c>
      <c r="I34" s="889">
        <v>0</v>
      </c>
      <c r="J34" s="756"/>
      <c r="K34" s="756"/>
      <c r="L34" s="756"/>
      <c r="M34" s="38"/>
      <c r="N34" s="75"/>
      <c r="O34" s="75"/>
      <c r="P34" s="75"/>
      <c r="Q34" s="75"/>
    </row>
    <row r="35" spans="1:17">
      <c r="A35" s="456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7"/>
      <c r="I35" s="890">
        <v>286312</v>
      </c>
      <c r="J35" s="38"/>
      <c r="K35" s="38"/>
      <c r="L35" s="749"/>
      <c r="M35" s="749"/>
      <c r="N35" s="749"/>
      <c r="O35" s="745"/>
    </row>
    <row r="36" spans="1:17">
      <c r="G36" s="72"/>
      <c r="H36" s="747"/>
      <c r="I36" s="728"/>
      <c r="J36" s="38"/>
      <c r="K36" s="38"/>
      <c r="L36" s="745"/>
      <c r="M36" s="745"/>
      <c r="N36" s="745"/>
      <c r="O36" s="745"/>
    </row>
    <row r="37" spans="1:17">
      <c r="A37" s="456" t="s">
        <v>26</v>
      </c>
      <c r="D37" s="60">
        <f>D19-D35</f>
        <v>-170998</v>
      </c>
      <c r="E37" s="60"/>
      <c r="F37" s="60">
        <f>F19-F35</f>
        <v>-111435</v>
      </c>
      <c r="G37" s="62"/>
      <c r="H37" s="747"/>
      <c r="I37" s="884">
        <v>-170998</v>
      </c>
      <c r="L37" s="749"/>
      <c r="M37" s="749"/>
      <c r="N37" s="749"/>
      <c r="O37" s="745"/>
    </row>
    <row r="38" spans="1:17">
      <c r="E38" s="60"/>
      <c r="F38" s="60"/>
      <c r="G38" s="60"/>
      <c r="L38" s="745"/>
      <c r="M38" s="749"/>
      <c r="N38" s="749"/>
      <c r="O38" s="745"/>
    </row>
    <row r="39" spans="1:17">
      <c r="A39" s="456" t="s">
        <v>27</v>
      </c>
      <c r="C39" s="64">
        <v>0.35</v>
      </c>
      <c r="E39" s="65"/>
      <c r="F39" s="61">
        <f>C39*F37</f>
        <v>-39002.25</v>
      </c>
      <c r="G39" s="59"/>
      <c r="L39" s="745"/>
      <c r="M39" s="748"/>
      <c r="N39" s="749"/>
      <c r="O39" s="745"/>
    </row>
    <row r="40" spans="1:17">
      <c r="E40" s="65"/>
      <c r="F40" s="59"/>
      <c r="G40" s="59"/>
      <c r="L40" s="745"/>
      <c r="M40" s="748"/>
      <c r="N40" s="748"/>
      <c r="O40" s="745"/>
    </row>
    <row r="41" spans="1:17">
      <c r="A41" s="456" t="s">
        <v>28</v>
      </c>
      <c r="E41" s="60"/>
      <c r="F41" s="59">
        <f>F37-F39</f>
        <v>-72432.75</v>
      </c>
      <c r="G41" s="60"/>
      <c r="L41" s="745"/>
      <c r="M41" s="749"/>
      <c r="N41" s="748"/>
      <c r="O41" s="745"/>
    </row>
    <row r="42" spans="1:17">
      <c r="E42" s="60"/>
      <c r="F42" s="60"/>
      <c r="G42" s="60"/>
      <c r="L42" s="745"/>
      <c r="M42" s="745"/>
      <c r="N42" s="745"/>
      <c r="O42" s="745"/>
    </row>
    <row r="43" spans="1:17">
      <c r="A43" s="75"/>
      <c r="L43" s="745"/>
      <c r="M43" s="745"/>
      <c r="N43" s="745"/>
      <c r="O43" s="745"/>
    </row>
    <row r="44" spans="1:17">
      <c r="A44" s="75"/>
      <c r="L44" s="745"/>
      <c r="M44" s="745"/>
      <c r="N44" s="745"/>
      <c r="O44" s="745"/>
    </row>
    <row r="45" spans="1:17">
      <c r="A45" s="75"/>
      <c r="L45" s="745"/>
      <c r="M45" s="745"/>
      <c r="N45" s="745"/>
      <c r="O45" s="745"/>
    </row>
    <row r="46" spans="1:17">
      <c r="A46" s="777" t="s">
        <v>574</v>
      </c>
      <c r="B46" s="777"/>
      <c r="C46" s="777"/>
      <c r="D46" s="778">
        <v>5764</v>
      </c>
      <c r="E46" s="779"/>
      <c r="F46" s="778">
        <f>F$9*D46</f>
        <v>3729.8843999999999</v>
      </c>
      <c r="G46" s="779"/>
      <c r="H46" s="780" t="s">
        <v>675</v>
      </c>
      <c r="I46" s="75">
        <v>5764</v>
      </c>
      <c r="L46" s="745"/>
      <c r="M46" s="745"/>
      <c r="N46" s="745"/>
      <c r="O46" s="745"/>
    </row>
    <row r="47" spans="1:17">
      <c r="A47" s="777" t="s">
        <v>575</v>
      </c>
      <c r="B47" s="777"/>
      <c r="C47" s="777"/>
      <c r="D47" s="778">
        <v>12979</v>
      </c>
      <c r="E47" s="779"/>
      <c r="F47" s="778">
        <f>F$9*D47</f>
        <v>8398.7109</v>
      </c>
      <c r="G47" s="779"/>
      <c r="H47" s="780" t="s">
        <v>675</v>
      </c>
      <c r="I47" s="75">
        <v>12979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8671875" defaultRowHeight="13.2"/>
  <cols>
    <col min="1" max="1" width="11.33203125" style="687" bestFit="1" customWidth="1"/>
    <col min="2" max="2" width="41" style="687" bestFit="1" customWidth="1"/>
    <col min="3" max="3" width="19.6640625" style="687" bestFit="1" customWidth="1"/>
    <col min="4" max="4" width="11.109375" style="687" bestFit="1" customWidth="1"/>
    <col min="5" max="5" width="20.6640625" style="687" customWidth="1"/>
    <col min="6" max="6" width="10.33203125" style="687" customWidth="1"/>
    <col min="7" max="7" width="12.6640625" style="687" bestFit="1" customWidth="1"/>
    <col min="8" max="8" width="18.33203125" style="687" customWidth="1"/>
    <col min="9" max="9" width="14.5546875" style="687" customWidth="1"/>
    <col min="10" max="10" width="12.6640625" style="687" customWidth="1"/>
    <col min="11" max="16384" width="8.88671875" style="687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96" t="s">
        <v>584</v>
      </c>
      <c r="B3" s="697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698"/>
      <c r="B5" s="699"/>
      <c r="C5" s="700"/>
      <c r="D5" s="701"/>
      <c r="E5" s="702" t="s">
        <v>586</v>
      </c>
      <c r="F5" s="703"/>
      <c r="G5" s="703"/>
      <c r="H5" s="704"/>
      <c r="I5" s="718" t="s">
        <v>89</v>
      </c>
      <c r="J5" s="718" t="s">
        <v>665</v>
      </c>
    </row>
    <row r="6" spans="1:10" ht="13.8">
      <c r="A6" s="705"/>
      <c r="B6" s="706"/>
      <c r="C6" s="707"/>
      <c r="D6" s="708" t="s">
        <v>587</v>
      </c>
      <c r="E6" s="708" t="s">
        <v>588</v>
      </c>
      <c r="F6" s="708" t="s">
        <v>259</v>
      </c>
      <c r="G6" s="708" t="s">
        <v>32</v>
      </c>
      <c r="H6" s="709" t="s">
        <v>589</v>
      </c>
      <c r="I6" s="718" t="s">
        <v>88</v>
      </c>
      <c r="J6" s="718"/>
    </row>
    <row r="7" spans="1:10" ht="13.8">
      <c r="A7" s="708" t="s">
        <v>590</v>
      </c>
      <c r="B7" s="708" t="s">
        <v>629</v>
      </c>
      <c r="C7" s="708" t="s">
        <v>591</v>
      </c>
      <c r="D7" s="710"/>
      <c r="E7" s="710"/>
      <c r="F7" s="710"/>
      <c r="G7" s="710"/>
      <c r="H7" s="710"/>
    </row>
    <row r="8" spans="1:10" ht="13.8">
      <c r="A8" s="711" t="s">
        <v>630</v>
      </c>
      <c r="B8" s="711" t="s">
        <v>631</v>
      </c>
      <c r="C8" s="708" t="s">
        <v>632</v>
      </c>
      <c r="D8" s="710"/>
      <c r="E8" s="712">
        <v>10582</v>
      </c>
      <c r="F8" s="712" t="s">
        <v>594</v>
      </c>
      <c r="G8" s="712" t="s">
        <v>594</v>
      </c>
      <c r="H8" s="712">
        <v>10582</v>
      </c>
    </row>
    <row r="9" spans="1:10" ht="13.8">
      <c r="A9" s="713"/>
      <c r="B9" s="713"/>
      <c r="C9" s="708" t="s">
        <v>633</v>
      </c>
      <c r="D9" s="710"/>
      <c r="E9" s="712">
        <v>889279.74</v>
      </c>
      <c r="F9" s="712" t="s">
        <v>594</v>
      </c>
      <c r="G9" s="712" t="s">
        <v>594</v>
      </c>
      <c r="H9" s="712">
        <v>889279.74</v>
      </c>
    </row>
    <row r="10" spans="1:10" ht="13.8">
      <c r="A10" s="713"/>
      <c r="B10" s="714"/>
      <c r="C10" s="708" t="s">
        <v>634</v>
      </c>
      <c r="D10" s="710"/>
      <c r="E10" s="712">
        <v>3679.62</v>
      </c>
      <c r="F10" s="712">
        <v>683.02</v>
      </c>
      <c r="G10" s="712">
        <v>38699.56</v>
      </c>
      <c r="H10" s="712">
        <v>43062.200000000004</v>
      </c>
    </row>
    <row r="11" spans="1:10" ht="13.8">
      <c r="A11" s="713"/>
      <c r="B11" s="708" t="s">
        <v>635</v>
      </c>
      <c r="C11" s="708" t="s">
        <v>636</v>
      </c>
      <c r="D11" s="710"/>
      <c r="E11" s="712">
        <v>16978.95</v>
      </c>
      <c r="F11" s="712" t="s">
        <v>594</v>
      </c>
      <c r="G11" s="712" t="s">
        <v>594</v>
      </c>
      <c r="H11" s="712">
        <v>16978.95</v>
      </c>
    </row>
    <row r="12" spans="1:10" ht="13.8">
      <c r="A12" s="713"/>
      <c r="B12" s="711" t="s">
        <v>637</v>
      </c>
      <c r="C12" s="708" t="s">
        <v>638</v>
      </c>
      <c r="D12" s="710"/>
      <c r="E12" s="712">
        <v>6800</v>
      </c>
      <c r="F12" s="712" t="s">
        <v>594</v>
      </c>
      <c r="G12" s="712" t="s">
        <v>594</v>
      </c>
      <c r="H12" s="712">
        <v>6800</v>
      </c>
    </row>
    <row r="13" spans="1:10" ht="13.8">
      <c r="A13" s="713"/>
      <c r="B13" s="713"/>
      <c r="C13" s="708" t="s">
        <v>639</v>
      </c>
      <c r="D13" s="710"/>
      <c r="E13" s="712">
        <v>7023.6900000000005</v>
      </c>
      <c r="F13" s="712" t="s">
        <v>594</v>
      </c>
      <c r="G13" s="712" t="s">
        <v>594</v>
      </c>
      <c r="H13" s="712">
        <v>7023.6900000000005</v>
      </c>
    </row>
    <row r="14" spans="1:10" ht="13.8">
      <c r="A14" s="713"/>
      <c r="B14" s="713"/>
      <c r="C14" s="708" t="s">
        <v>640</v>
      </c>
      <c r="D14" s="710"/>
      <c r="E14" s="712">
        <v>666530.53</v>
      </c>
      <c r="F14" s="712" t="s">
        <v>594</v>
      </c>
      <c r="G14" s="712" t="s">
        <v>594</v>
      </c>
      <c r="H14" s="712">
        <v>666530.53</v>
      </c>
    </row>
    <row r="15" spans="1:10" ht="13.8">
      <c r="A15" s="713"/>
      <c r="B15" s="714"/>
      <c r="C15" s="708" t="s">
        <v>641</v>
      </c>
      <c r="D15" s="710"/>
      <c r="E15" s="712">
        <v>456.12</v>
      </c>
      <c r="F15" s="712" t="s">
        <v>594</v>
      </c>
      <c r="G15" s="712" t="s">
        <v>594</v>
      </c>
      <c r="H15" s="712">
        <v>456.12</v>
      </c>
    </row>
    <row r="16" spans="1:10" ht="13.8">
      <c r="A16" s="714"/>
      <c r="B16" s="708" t="s">
        <v>642</v>
      </c>
      <c r="C16" s="708" t="s">
        <v>643</v>
      </c>
      <c r="D16" s="710"/>
      <c r="E16" s="712">
        <v>46995</v>
      </c>
      <c r="F16" s="712" t="s">
        <v>594</v>
      </c>
      <c r="G16" s="712" t="s">
        <v>594</v>
      </c>
      <c r="H16" s="712">
        <v>46995</v>
      </c>
    </row>
    <row r="17" spans="1:10" ht="13.8">
      <c r="A17" s="711" t="s">
        <v>644</v>
      </c>
      <c r="B17" s="711" t="s">
        <v>645</v>
      </c>
      <c r="C17" s="708" t="s">
        <v>646</v>
      </c>
      <c r="D17" s="710"/>
      <c r="E17" s="712">
        <v>-7723892.5</v>
      </c>
      <c r="F17" s="712" t="s">
        <v>594</v>
      </c>
      <c r="G17" s="712" t="s">
        <v>594</v>
      </c>
      <c r="H17" s="712">
        <v>-7723892.5</v>
      </c>
      <c r="I17" s="719">
        <f>H17</f>
        <v>-7723892.5</v>
      </c>
    </row>
    <row r="18" spans="1:10" ht="13.8">
      <c r="A18" s="713"/>
      <c r="B18" s="713"/>
      <c r="C18" s="708" t="s">
        <v>647</v>
      </c>
      <c r="D18" s="710"/>
      <c r="E18" s="712">
        <v>-2718369.75</v>
      </c>
      <c r="F18" s="712" t="s">
        <v>594</v>
      </c>
      <c r="G18" s="712" t="s">
        <v>594</v>
      </c>
      <c r="H18" s="712">
        <v>-2718369.75</v>
      </c>
      <c r="I18" s="719">
        <f t="shared" ref="I18:I23" si="0">H18</f>
        <v>-2718369.75</v>
      </c>
    </row>
    <row r="19" spans="1:10" ht="13.8">
      <c r="A19" s="714"/>
      <c r="B19" s="714"/>
      <c r="C19" s="708" t="s">
        <v>648</v>
      </c>
      <c r="D19" s="710"/>
      <c r="E19" s="712">
        <v>24.8</v>
      </c>
      <c r="F19" s="712" t="s">
        <v>594</v>
      </c>
      <c r="G19" s="712" t="s">
        <v>594</v>
      </c>
      <c r="H19" s="712">
        <v>24.8</v>
      </c>
      <c r="I19" s="719">
        <f t="shared" si="0"/>
        <v>24.8</v>
      </c>
    </row>
    <row r="20" spans="1:10" ht="13.8">
      <c r="A20" s="711" t="s">
        <v>649</v>
      </c>
      <c r="B20" s="711" t="s">
        <v>645</v>
      </c>
      <c r="C20" s="708" t="s">
        <v>650</v>
      </c>
      <c r="D20" s="710"/>
      <c r="E20" s="712">
        <v>855810.15</v>
      </c>
      <c r="F20" s="712" t="s">
        <v>594</v>
      </c>
      <c r="G20" s="712" t="s">
        <v>594</v>
      </c>
      <c r="H20" s="712">
        <v>855810.15</v>
      </c>
      <c r="I20" s="719">
        <f t="shared" si="0"/>
        <v>855810.15</v>
      </c>
    </row>
    <row r="21" spans="1:10" ht="13.8">
      <c r="A21" s="714"/>
      <c r="B21" s="714"/>
      <c r="C21" s="708" t="s">
        <v>651</v>
      </c>
      <c r="D21" s="710"/>
      <c r="E21" s="712">
        <v>29287951.550000001</v>
      </c>
      <c r="F21" s="712" t="s">
        <v>594</v>
      </c>
      <c r="G21" s="712" t="s">
        <v>594</v>
      </c>
      <c r="H21" s="712">
        <v>29287951.550000001</v>
      </c>
      <c r="I21" s="719">
        <f t="shared" si="0"/>
        <v>29287951.550000001</v>
      </c>
    </row>
    <row r="22" spans="1:10" ht="13.8">
      <c r="A22" s="711" t="s">
        <v>652</v>
      </c>
      <c r="B22" s="711" t="s">
        <v>653</v>
      </c>
      <c r="C22" s="708" t="s">
        <v>654</v>
      </c>
      <c r="D22" s="710"/>
      <c r="E22" s="712">
        <v>4006377.64</v>
      </c>
      <c r="F22" s="712" t="s">
        <v>594</v>
      </c>
      <c r="G22" s="712" t="s">
        <v>594</v>
      </c>
      <c r="H22" s="712">
        <v>4006377.64</v>
      </c>
      <c r="I22" s="719">
        <f t="shared" si="0"/>
        <v>4006377.64</v>
      </c>
    </row>
    <row r="23" spans="1:10" ht="13.8">
      <c r="A23" s="714"/>
      <c r="B23" s="714"/>
      <c r="C23" s="708" t="s">
        <v>655</v>
      </c>
      <c r="D23" s="710"/>
      <c r="E23" s="712" t="s">
        <v>594</v>
      </c>
      <c r="F23" s="712" t="s">
        <v>594</v>
      </c>
      <c r="G23" s="712">
        <v>162500</v>
      </c>
      <c r="H23" s="712">
        <v>162500</v>
      </c>
      <c r="I23" s="719">
        <f t="shared" si="0"/>
        <v>162500</v>
      </c>
    </row>
    <row r="24" spans="1:10" ht="13.8">
      <c r="A24" s="708" t="s">
        <v>592</v>
      </c>
      <c r="B24" s="708" t="s">
        <v>656</v>
      </c>
      <c r="C24" s="708" t="s">
        <v>593</v>
      </c>
      <c r="D24" s="710"/>
      <c r="E24" s="712">
        <v>60244.08</v>
      </c>
      <c r="F24" s="712" t="s">
        <v>594</v>
      </c>
      <c r="G24" s="712" t="s">
        <v>594</v>
      </c>
      <c r="H24" s="712">
        <v>60244.08</v>
      </c>
      <c r="J24" s="719">
        <f>H24</f>
        <v>60244.08</v>
      </c>
    </row>
    <row r="25" spans="1:10" ht="13.8">
      <c r="A25" s="708" t="s">
        <v>657</v>
      </c>
      <c r="B25" s="708" t="s">
        <v>658</v>
      </c>
      <c r="C25" s="708" t="s">
        <v>659</v>
      </c>
      <c r="D25" s="710"/>
      <c r="E25" s="712">
        <v>529103.25</v>
      </c>
      <c r="F25" s="712" t="s">
        <v>594</v>
      </c>
      <c r="G25" s="712" t="s">
        <v>594</v>
      </c>
      <c r="H25" s="712">
        <v>529103.25</v>
      </c>
      <c r="I25" s="729"/>
      <c r="J25" s="719">
        <f>H25</f>
        <v>529103.25</v>
      </c>
    </row>
    <row r="26" spans="1:10" ht="13.8">
      <c r="A26" s="708" t="s">
        <v>595</v>
      </c>
      <c r="B26" s="708" t="s">
        <v>656</v>
      </c>
      <c r="C26" s="708" t="s">
        <v>596</v>
      </c>
      <c r="D26" s="710"/>
      <c r="E26" s="712">
        <v>11553981.52</v>
      </c>
      <c r="F26" s="712" t="s">
        <v>594</v>
      </c>
      <c r="G26" s="712" t="s">
        <v>594</v>
      </c>
      <c r="H26" s="712">
        <v>11553981.52</v>
      </c>
      <c r="J26" s="719">
        <f>H26</f>
        <v>11553981.52</v>
      </c>
    </row>
    <row r="27" spans="1:10" ht="13.8">
      <c r="A27" s="708" t="s">
        <v>597</v>
      </c>
      <c r="B27" s="708" t="s">
        <v>656</v>
      </c>
      <c r="C27" s="708" t="s">
        <v>598</v>
      </c>
      <c r="D27" s="710"/>
      <c r="E27" s="712">
        <v>3192000</v>
      </c>
      <c r="F27" s="712" t="s">
        <v>594</v>
      </c>
      <c r="G27" s="712" t="s">
        <v>594</v>
      </c>
      <c r="H27" s="712">
        <v>3192000</v>
      </c>
      <c r="J27" s="719">
        <f t="shared" ref="J27:J29" si="1">H27</f>
        <v>3192000</v>
      </c>
    </row>
    <row r="28" spans="1:10" ht="13.8">
      <c r="A28" s="708" t="s">
        <v>599</v>
      </c>
      <c r="B28" s="708" t="s">
        <v>656</v>
      </c>
      <c r="C28" s="708" t="s">
        <v>600</v>
      </c>
      <c r="D28" s="710"/>
      <c r="E28" s="712" t="s">
        <v>594</v>
      </c>
      <c r="F28" s="712">
        <v>44019.49</v>
      </c>
      <c r="G28" s="712">
        <v>97939.56</v>
      </c>
      <c r="H28" s="712">
        <v>141959.05000000002</v>
      </c>
      <c r="J28" s="719">
        <f t="shared" si="1"/>
        <v>141959.05000000002</v>
      </c>
    </row>
    <row r="29" spans="1:10" ht="13.8">
      <c r="A29" s="708" t="s">
        <v>601</v>
      </c>
      <c r="B29" s="708" t="s">
        <v>656</v>
      </c>
      <c r="C29" s="708" t="s">
        <v>602</v>
      </c>
      <c r="D29" s="710"/>
      <c r="E29" s="712">
        <v>928944</v>
      </c>
      <c r="F29" s="712" t="s">
        <v>594</v>
      </c>
      <c r="G29" s="712" t="s">
        <v>594</v>
      </c>
      <c r="H29" s="712">
        <v>928944</v>
      </c>
      <c r="J29" s="719">
        <f t="shared" si="1"/>
        <v>928944</v>
      </c>
    </row>
    <row r="30" spans="1:10" ht="13.8">
      <c r="A30" s="708" t="s">
        <v>660</v>
      </c>
      <c r="B30" s="708" t="s">
        <v>645</v>
      </c>
      <c r="C30" s="708" t="s">
        <v>661</v>
      </c>
      <c r="D30" s="710"/>
      <c r="E30" s="712">
        <v>-44500</v>
      </c>
      <c r="F30" s="712" t="s">
        <v>594</v>
      </c>
      <c r="G30" s="712" t="s">
        <v>594</v>
      </c>
      <c r="H30" s="712">
        <v>-44500</v>
      </c>
      <c r="I30" s="719">
        <f t="shared" ref="I30:I32" si="2">H30</f>
        <v>-44500</v>
      </c>
    </row>
    <row r="31" spans="1:10" ht="13.8">
      <c r="A31" s="708" t="s">
        <v>662</v>
      </c>
      <c r="B31" s="708" t="s">
        <v>645</v>
      </c>
      <c r="C31" s="708" t="s">
        <v>661</v>
      </c>
      <c r="D31" s="710"/>
      <c r="E31" s="712">
        <v>44500</v>
      </c>
      <c r="F31" s="712" t="s">
        <v>594</v>
      </c>
      <c r="G31" s="712" t="s">
        <v>594</v>
      </c>
      <c r="H31" s="712">
        <v>44500</v>
      </c>
      <c r="I31" s="719">
        <f t="shared" si="2"/>
        <v>44500</v>
      </c>
    </row>
    <row r="32" spans="1:10" ht="13.8">
      <c r="A32" s="708" t="s">
        <v>663</v>
      </c>
      <c r="B32" s="708" t="s">
        <v>645</v>
      </c>
      <c r="C32" s="708" t="s">
        <v>664</v>
      </c>
      <c r="D32" s="710"/>
      <c r="E32" s="712">
        <v>67420725.560000002</v>
      </c>
      <c r="F32" s="712" t="s">
        <v>594</v>
      </c>
      <c r="G32" s="712" t="s">
        <v>594</v>
      </c>
      <c r="H32" s="712">
        <v>67420725.560000002</v>
      </c>
      <c r="I32" s="719">
        <f t="shared" si="2"/>
        <v>67420725.560000002</v>
      </c>
    </row>
    <row r="33" spans="1:10">
      <c r="A33" s="715" t="s">
        <v>603</v>
      </c>
      <c r="B33" s="716"/>
      <c r="C33" s="717"/>
      <c r="D33" s="710"/>
      <c r="E33" s="712">
        <v>109041225.95</v>
      </c>
      <c r="F33" s="712">
        <v>44702.51</v>
      </c>
      <c r="G33" s="712">
        <v>299139.12</v>
      </c>
      <c r="H33" s="712">
        <v>109385067.58</v>
      </c>
    </row>
    <row r="34" spans="1:10">
      <c r="I34" s="719">
        <f>SUM(I17:I32)</f>
        <v>91291127.450000003</v>
      </c>
      <c r="J34" s="78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09375" defaultRowHeight="13.2"/>
  <cols>
    <col min="1" max="3" width="9.109375" style="687"/>
    <col min="4" max="4" width="10.33203125" style="687" bestFit="1" customWidth="1"/>
    <col min="5" max="6" width="9.109375" style="687"/>
    <col min="7" max="7" width="12.33203125" style="687" customWidth="1"/>
    <col min="8" max="8" width="7.88671875" style="687" customWidth="1"/>
    <col min="9" max="12" width="9.109375" style="687"/>
    <col min="13" max="13" width="11" style="687" customWidth="1"/>
    <col min="14" max="16384" width="9.109375" style="687"/>
  </cols>
  <sheetData>
    <row r="1" spans="1:14" ht="15.6">
      <c r="A1" s="784" t="s">
        <v>692</v>
      </c>
    </row>
    <row r="2" spans="1:14">
      <c r="A2" s="757" t="s">
        <v>679</v>
      </c>
    </row>
    <row r="3" spans="1:14" ht="13.8" thickBot="1">
      <c r="D3" s="761" t="s">
        <v>680</v>
      </c>
      <c r="E3" s="761"/>
      <c r="F3" s="761" t="s">
        <v>681</v>
      </c>
      <c r="G3" s="761" t="s">
        <v>686</v>
      </c>
    </row>
    <row r="4" spans="1:14">
      <c r="A4" s="785" t="s">
        <v>574</v>
      </c>
      <c r="B4" s="786"/>
      <c r="C4" s="786"/>
      <c r="D4" s="787">
        <f>'12.2014 CB Power Supply'!F46</f>
        <v>3729.8843999999999</v>
      </c>
      <c r="E4" s="787"/>
      <c r="F4" s="787">
        <f>'PF Power Supply 09.2014 load'!F45</f>
        <v>6040.6785</v>
      </c>
      <c r="G4" s="787">
        <f>F4-D4</f>
        <v>2310.7941000000001</v>
      </c>
      <c r="H4" s="788" t="s">
        <v>682</v>
      </c>
      <c r="I4" s="789"/>
      <c r="J4" s="789"/>
      <c r="K4" s="789"/>
      <c r="L4" s="789"/>
      <c r="M4" s="789"/>
      <c r="N4" s="789"/>
    </row>
    <row r="5" spans="1:14" ht="13.8" thickBot="1">
      <c r="A5" s="790" t="s">
        <v>575</v>
      </c>
      <c r="B5" s="791"/>
      <c r="C5" s="791"/>
      <c r="D5" s="792">
        <f>'12.2014 CB Power Supply'!F47</f>
        <v>8398.7109</v>
      </c>
      <c r="E5" s="792"/>
      <c r="F5" s="792">
        <f>'PF Power Supply 09.2014 load'!F46</f>
        <v>9709.7355000000007</v>
      </c>
      <c r="G5" s="792">
        <f>F5-D5</f>
        <v>1311.0246000000006</v>
      </c>
      <c r="H5" s="793" t="s">
        <v>682</v>
      </c>
      <c r="I5" s="789"/>
      <c r="J5" s="789"/>
      <c r="K5" s="789"/>
      <c r="L5" s="789"/>
      <c r="M5" s="789"/>
      <c r="N5" s="789"/>
    </row>
    <row r="6" spans="1:14">
      <c r="A6" s="742"/>
      <c r="B6" s="742"/>
      <c r="C6" s="742"/>
      <c r="D6" s="60">
        <f>SUM(D4:D5)</f>
        <v>12128.595300000001</v>
      </c>
      <c r="E6" s="742"/>
      <c r="F6" s="60">
        <f>SUM(F4:F5)</f>
        <v>15750.414000000001</v>
      </c>
      <c r="G6" s="760">
        <f>F6-D6</f>
        <v>3621.8186999999998</v>
      </c>
    </row>
    <row r="7" spans="1:14">
      <c r="H7" s="759"/>
    </row>
    <row r="8" spans="1:14">
      <c r="C8" s="758" t="s">
        <v>683</v>
      </c>
      <c r="D8" s="762" t="e">
        <f>100%+'Cost Trends'!#REF!</f>
        <v>#REF!</v>
      </c>
      <c r="H8" s="759"/>
    </row>
    <row r="9" spans="1:14">
      <c r="H9" s="794" t="s">
        <v>685</v>
      </c>
      <c r="I9" s="795"/>
      <c r="J9" s="795"/>
      <c r="K9" s="795"/>
      <c r="L9" s="795"/>
      <c r="M9" s="795"/>
    </row>
    <row r="10" spans="1:14">
      <c r="C10" s="758" t="s">
        <v>684</v>
      </c>
      <c r="D10" s="763" t="e">
        <f>D6*D8</f>
        <v>#REF!</v>
      </c>
      <c r="F10" s="764">
        <f>F6</f>
        <v>15750.414000000001</v>
      </c>
      <c r="H10" s="796" t="e">
        <f>F10-D10</f>
        <v>#REF!</v>
      </c>
      <c r="I10" s="795"/>
      <c r="J10" s="797"/>
      <c r="K10" s="795"/>
      <c r="L10" s="795"/>
      <c r="M10" s="795"/>
    </row>
    <row r="11" spans="1:14">
      <c r="H11" s="759"/>
    </row>
    <row r="12" spans="1:14">
      <c r="H12" s="759"/>
    </row>
    <row r="13" spans="1:14">
      <c r="H13" s="759"/>
    </row>
    <row r="14" spans="1:14">
      <c r="H14" s="759"/>
    </row>
  </sheetData>
  <pageMargins left="0.7" right="0.7" top="0.75" bottom="0.75" header="0.3" footer="0.3"/>
  <pageSetup scale="9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31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0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78">
        <v>2014</v>
      </c>
    </row>
    <row r="10" spans="1:19">
      <c r="S10" s="236"/>
    </row>
    <row r="11" spans="1:19">
      <c r="A11" s="12" t="s">
        <v>300</v>
      </c>
      <c r="E11" s="355">
        <f>'CBR Hist'!F24</f>
        <v>-3114</v>
      </c>
      <c r="F11" s="355">
        <f>'CBR Hist'!G24</f>
        <v>9152</v>
      </c>
      <c r="G11" s="355">
        <f>'CBR Hist'!H24</f>
        <v>13808</v>
      </c>
      <c r="H11" s="355">
        <f>'CBR Hist'!I24</f>
        <v>14915</v>
      </c>
      <c r="I11" s="355">
        <f>'CBR Hist'!J24</f>
        <v>22879</v>
      </c>
      <c r="J11" s="355">
        <f>'CBR Hist'!K24</f>
        <v>13812</v>
      </c>
      <c r="K11" s="355">
        <f>'CBR Hist'!L24</f>
        <v>25745</v>
      </c>
      <c r="L11" s="355">
        <f>'CBR Hist'!M24</f>
        <v>21795</v>
      </c>
      <c r="M11" s="355">
        <f>'CBR Hist'!N24</f>
        <v>22000</v>
      </c>
      <c r="N11" s="355">
        <f>'CBR Hist'!O24</f>
        <v>22266</v>
      </c>
      <c r="O11" s="355">
        <f>'CBR Hist'!P24</f>
        <v>22129</v>
      </c>
      <c r="P11" s="355">
        <f>'CBR Hist'!Q24</f>
        <v>25158</v>
      </c>
      <c r="Q11" s="355">
        <f>'CBR Hist'!R24+Q19</f>
        <v>25680</v>
      </c>
      <c r="R11" s="355">
        <f>'CBR Hist'!S24</f>
        <v>23284</v>
      </c>
      <c r="S11" s="724">
        <f>'CBR Hist'!T24</f>
        <v>23715</v>
      </c>
    </row>
    <row r="12" spans="1:19">
      <c r="A12" s="12" t="s">
        <v>301</v>
      </c>
      <c r="P12" s="355">
        <f>'CBR Hist'!Q25</f>
        <v>403</v>
      </c>
      <c r="Q12" s="355">
        <f>'CBR Hist'!R25-Q19</f>
        <v>-7744</v>
      </c>
      <c r="R12" s="355">
        <f>'CBR Hist'!S25</f>
        <v>8629</v>
      </c>
      <c r="S12" s="724">
        <f>'CBR Hist'!T25</f>
        <v>8101</v>
      </c>
    </row>
    <row r="13" spans="1:19">
      <c r="A13" s="12"/>
      <c r="S13" s="236"/>
    </row>
    <row r="14" spans="1:19">
      <c r="A14" s="12"/>
      <c r="B14" s="12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S14" s="236"/>
    </row>
    <row r="15" spans="1:19">
      <c r="A15" s="12"/>
      <c r="B15" s="12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S15" s="236"/>
    </row>
    <row r="16" spans="1:19">
      <c r="A16" s="12" t="s">
        <v>302</v>
      </c>
      <c r="E16" s="356">
        <f>10346-213</f>
        <v>10133</v>
      </c>
      <c r="F16" s="356">
        <f>10784-205</f>
        <v>10579</v>
      </c>
      <c r="G16" s="356">
        <f>12359+3035-228</f>
        <v>15166</v>
      </c>
      <c r="H16" s="356">
        <f>14152+1470-219</f>
        <v>15403</v>
      </c>
      <c r="I16" s="356">
        <f>15379+1705-113-221</f>
        <v>16750</v>
      </c>
      <c r="J16" s="356">
        <f>17205-154-219</f>
        <v>16832</v>
      </c>
      <c r="K16" s="356">
        <f>18582-216</f>
        <v>18366</v>
      </c>
      <c r="L16" s="356">
        <f>18487-225</f>
        <v>18262</v>
      </c>
      <c r="M16" s="356">
        <f>17022-195</f>
        <v>16827</v>
      </c>
      <c r="N16" s="356">
        <f>17556-193</f>
        <v>17363</v>
      </c>
      <c r="O16" s="356">
        <f>18188-191</f>
        <v>17997</v>
      </c>
      <c r="P16" s="356">
        <f>18013-191</f>
        <v>17822</v>
      </c>
      <c r="Q16" s="356">
        <f>18237</f>
        <v>18237</v>
      </c>
      <c r="R16" s="356">
        <v>16250</v>
      </c>
      <c r="S16" s="238">
        <v>16426</v>
      </c>
    </row>
    <row r="17" spans="1:19">
      <c r="A17" s="12" t="s">
        <v>303</v>
      </c>
      <c r="E17" s="356">
        <f>4492</f>
        <v>4492</v>
      </c>
      <c r="F17" s="356">
        <f>4393</f>
        <v>4393</v>
      </c>
      <c r="G17" s="356">
        <f>4780</f>
        <v>4780</v>
      </c>
      <c r="H17" s="356">
        <f>4891</f>
        <v>4891</v>
      </c>
      <c r="I17" s="356">
        <f>5220</f>
        <v>5220</v>
      </c>
      <c r="J17" s="356">
        <v>5531</v>
      </c>
      <c r="K17" s="356">
        <f>5957</f>
        <v>5957</v>
      </c>
      <c r="L17" s="356">
        <f>6352+1</f>
        <v>6353</v>
      </c>
      <c r="M17" s="356">
        <v>5969</v>
      </c>
      <c r="N17" s="356">
        <v>6116</v>
      </c>
      <c r="O17" s="356">
        <v>6354</v>
      </c>
      <c r="P17" s="356">
        <v>6681</v>
      </c>
      <c r="Q17" s="356">
        <v>6976</v>
      </c>
      <c r="R17" s="356">
        <v>6529</v>
      </c>
      <c r="S17" s="238">
        <v>6725</v>
      </c>
    </row>
    <row r="18" spans="1:19">
      <c r="A18" s="12" t="s">
        <v>304</v>
      </c>
      <c r="E18" s="356">
        <f>9+216</f>
        <v>225</v>
      </c>
      <c r="F18" s="356">
        <f>9+221</f>
        <v>230</v>
      </c>
      <c r="G18" s="356">
        <f>1+210</f>
        <v>211</v>
      </c>
      <c r="H18" s="356">
        <f>17+212</f>
        <v>229</v>
      </c>
      <c r="I18" s="356">
        <f>9+212+8+11+102</f>
        <v>342</v>
      </c>
      <c r="J18" s="356">
        <f>10+221+31+4</f>
        <v>266</v>
      </c>
      <c r="K18" s="356">
        <f>32+222</f>
        <v>254</v>
      </c>
      <c r="L18" s="356">
        <f>44+218</f>
        <v>262</v>
      </c>
      <c r="M18" s="356">
        <f>62+218</f>
        <v>280</v>
      </c>
      <c r="N18" s="356">
        <f>63+427</f>
        <v>490</v>
      </c>
      <c r="O18" s="356">
        <f>595+62</f>
        <v>657</v>
      </c>
      <c r="P18" s="356">
        <f>655</f>
        <v>655</v>
      </c>
      <c r="Q18" s="356">
        <v>659</v>
      </c>
      <c r="R18" s="356">
        <v>652</v>
      </c>
      <c r="S18" s="238">
        <v>710</v>
      </c>
    </row>
    <row r="19" spans="1:19">
      <c r="A19" s="12"/>
      <c r="E19" s="358" t="s">
        <v>326</v>
      </c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>
        <v>-192</v>
      </c>
      <c r="R19" s="356">
        <v>-147</v>
      </c>
      <c r="S19" s="238">
        <v>-146</v>
      </c>
    </row>
    <row r="20" spans="1:19">
      <c r="A20" s="12"/>
      <c r="B20" s="12" t="s">
        <v>324</v>
      </c>
      <c r="E20" s="359">
        <f>SUM(E16:E18)</f>
        <v>14850</v>
      </c>
      <c r="F20" s="359">
        <f t="shared" ref="F20:P20" si="0">SUM(F16:F18)</f>
        <v>15202</v>
      </c>
      <c r="G20" s="359">
        <f t="shared" si="0"/>
        <v>20157</v>
      </c>
      <c r="H20" s="359">
        <f t="shared" si="0"/>
        <v>20523</v>
      </c>
      <c r="I20" s="359">
        <f t="shared" si="0"/>
        <v>22312</v>
      </c>
      <c r="J20" s="359">
        <f t="shared" si="0"/>
        <v>22629</v>
      </c>
      <c r="K20" s="359">
        <f t="shared" si="0"/>
        <v>24577</v>
      </c>
      <c r="L20" s="359">
        <f t="shared" si="0"/>
        <v>24877</v>
      </c>
      <c r="M20" s="359">
        <f t="shared" si="0"/>
        <v>23076</v>
      </c>
      <c r="N20" s="359">
        <f t="shared" si="0"/>
        <v>23969</v>
      </c>
      <c r="O20" s="359">
        <f t="shared" si="0"/>
        <v>25008</v>
      </c>
      <c r="P20" s="359">
        <f t="shared" si="0"/>
        <v>25158</v>
      </c>
      <c r="Q20" s="359">
        <f>SUM(Q16:Q19)</f>
        <v>25680</v>
      </c>
      <c r="R20" s="359">
        <f>SUM(R16:R19)</f>
        <v>23284</v>
      </c>
      <c r="S20" s="725">
        <f>SUM(S16:S19)</f>
        <v>23715</v>
      </c>
    </row>
    <row r="21" spans="1:19">
      <c r="A21" s="12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6">
        <v>2450</v>
      </c>
      <c r="S22" s="546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6">
        <v>32</v>
      </c>
      <c r="S23" s="546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4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4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5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0" t="s">
        <v>325</v>
      </c>
      <c r="D42" s="236"/>
      <c r="E42" s="576">
        <f>SUM(E22:E41)</f>
        <v>-17964</v>
      </c>
      <c r="F42" s="576">
        <f t="shared" ref="F42:P42" si="1">SUM(F22:F41)</f>
        <v>-6050</v>
      </c>
      <c r="G42" s="576">
        <f t="shared" si="1"/>
        <v>-6349</v>
      </c>
      <c r="H42" s="576">
        <f t="shared" si="1"/>
        <v>-5608</v>
      </c>
      <c r="I42" s="576">
        <f t="shared" si="1"/>
        <v>567</v>
      </c>
      <c r="J42" s="576">
        <f t="shared" si="1"/>
        <v>-8817</v>
      </c>
      <c r="K42" s="576">
        <f t="shared" si="1"/>
        <v>1168</v>
      </c>
      <c r="L42" s="576">
        <f t="shared" si="1"/>
        <v>-3082</v>
      </c>
      <c r="M42" s="576">
        <f t="shared" si="1"/>
        <v>-1076</v>
      </c>
      <c r="N42" s="576">
        <f t="shared" si="1"/>
        <v>-1703</v>
      </c>
      <c r="O42" s="576">
        <f t="shared" si="1"/>
        <v>-2879</v>
      </c>
      <c r="P42" s="576">
        <f t="shared" si="1"/>
        <v>403</v>
      </c>
      <c r="Q42" s="576">
        <f>SUM(Q22:Q41)</f>
        <v>-7744</v>
      </c>
      <c r="R42" s="576">
        <f>SUM(R22:R41)</f>
        <v>8629</v>
      </c>
      <c r="S42" s="576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7">
        <f t="shared" ref="E44:P44" si="2">E20+E42</f>
        <v>-3114</v>
      </c>
      <c r="F44" s="577">
        <f t="shared" si="2"/>
        <v>9152</v>
      </c>
      <c r="G44" s="577">
        <f t="shared" si="2"/>
        <v>13808</v>
      </c>
      <c r="H44" s="577">
        <f t="shared" si="2"/>
        <v>14915</v>
      </c>
      <c r="I44" s="577">
        <f t="shared" si="2"/>
        <v>22879</v>
      </c>
      <c r="J44" s="577">
        <f t="shared" si="2"/>
        <v>13812</v>
      </c>
      <c r="K44" s="577">
        <f t="shared" si="2"/>
        <v>25745</v>
      </c>
      <c r="L44" s="577">
        <f t="shared" si="2"/>
        <v>21795</v>
      </c>
      <c r="M44" s="577">
        <f t="shared" si="2"/>
        <v>22000</v>
      </c>
      <c r="N44" s="577">
        <f t="shared" si="2"/>
        <v>22266</v>
      </c>
      <c r="O44" s="577">
        <f t="shared" si="2"/>
        <v>22129</v>
      </c>
      <c r="P44" s="577">
        <f t="shared" si="2"/>
        <v>25561</v>
      </c>
      <c r="Q44" s="577">
        <f>Q20+Q42</f>
        <v>17936</v>
      </c>
      <c r="R44" s="577">
        <f>R20+R42</f>
        <v>31913</v>
      </c>
      <c r="S44" s="577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7">
        <f>E42-E25</f>
        <v>-1320</v>
      </c>
      <c r="F47" s="577">
        <f>F42-F28</f>
        <v>-4634</v>
      </c>
      <c r="G47" s="577">
        <f t="shared" ref="G47:O47" si="4">G42-G28</f>
        <v>1163</v>
      </c>
      <c r="H47" s="577">
        <f t="shared" si="4"/>
        <v>731</v>
      </c>
      <c r="I47" s="577">
        <f t="shared" si="4"/>
        <v>567</v>
      </c>
      <c r="J47" s="577">
        <f t="shared" si="4"/>
        <v>571</v>
      </c>
      <c r="K47" s="577">
        <f>K42-K28</f>
        <v>1168</v>
      </c>
      <c r="L47" s="577">
        <f t="shared" si="4"/>
        <v>2500</v>
      </c>
      <c r="M47" s="577">
        <f t="shared" si="4"/>
        <v>2500</v>
      </c>
      <c r="N47" s="577">
        <f t="shared" si="4"/>
        <v>2302</v>
      </c>
      <c r="O47" s="577">
        <f t="shared" si="4"/>
        <v>3365</v>
      </c>
      <c r="P47" s="577">
        <f>P42-P28-P33</f>
        <v>5013</v>
      </c>
      <c r="Q47" s="577">
        <f>Q42-Q28-Q33</f>
        <v>583</v>
      </c>
      <c r="R47" s="577">
        <f>R42-R28</f>
        <v>8629</v>
      </c>
      <c r="S47" s="577">
        <f>S42-S28</f>
        <v>8101</v>
      </c>
    </row>
    <row r="48" spans="1:19">
      <c r="D48" s="236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236"/>
      <c r="S48" s="236"/>
    </row>
    <row r="49" spans="1:19">
      <c r="D49" s="236"/>
      <c r="E49" s="578">
        <v>2000</v>
      </c>
      <c r="F49" s="578">
        <v>2001</v>
      </c>
      <c r="G49" s="578">
        <v>2002</v>
      </c>
      <c r="H49" s="578">
        <v>2003</v>
      </c>
      <c r="I49" s="578">
        <v>2004</v>
      </c>
      <c r="J49" s="578">
        <v>2005</v>
      </c>
      <c r="K49" s="578">
        <v>2006</v>
      </c>
      <c r="L49" s="578">
        <v>2007</v>
      </c>
      <c r="M49" s="578">
        <v>2008</v>
      </c>
      <c r="N49" s="578">
        <v>2009</v>
      </c>
      <c r="O49" s="578">
        <v>2010</v>
      </c>
      <c r="P49" s="578">
        <v>2011</v>
      </c>
      <c r="Q49" s="578">
        <v>2012</v>
      </c>
      <c r="R49" s="578">
        <v>2013</v>
      </c>
      <c r="S49" s="578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79">
        <f>'CBR Hist'!F58</f>
        <v>15127</v>
      </c>
      <c r="F52" s="579">
        <f>'CBR Hist'!G58</f>
        <v>16340</v>
      </c>
      <c r="G52" s="579">
        <f>'CBR Hist'!H58</f>
        <v>20910</v>
      </c>
      <c r="H52" s="579">
        <f>'CBR Hist'!I58</f>
        <v>21299</v>
      </c>
      <c r="I52" s="579">
        <f>'CBR Hist'!J58</f>
        <v>21374</v>
      </c>
      <c r="J52" s="579">
        <f>'CBR Hist'!K58</f>
        <v>22459</v>
      </c>
      <c r="K52" s="579">
        <f>'CBR Hist'!L58</f>
        <v>23458</v>
      </c>
      <c r="L52" s="579">
        <f>'CBR Hist'!M58</f>
        <v>20632</v>
      </c>
      <c r="M52" s="579">
        <f>'CBR Hist'!N58</f>
        <v>23321</v>
      </c>
      <c r="N52" s="579">
        <f>'CBR Hist'!O58</f>
        <v>57116</v>
      </c>
      <c r="O52" s="579">
        <f>'CBR Hist'!P58</f>
        <v>81955</v>
      </c>
      <c r="P52" s="579">
        <f>'CBR Hist'!Q58</f>
        <v>84081</v>
      </c>
      <c r="Q52" s="579">
        <f>'CBR Hist'!R58</f>
        <v>85247</v>
      </c>
      <c r="R52" s="579">
        <f>'CBR Hist'!S58</f>
        <v>91466</v>
      </c>
      <c r="S52" s="579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5">
        <f>SUM(E52:E56)</f>
        <v>1022583</v>
      </c>
      <c r="F57" s="425">
        <f t="shared" ref="F57:O57" si="5">SUM(F52:F56)</f>
        <v>1066652</v>
      </c>
      <c r="G57" s="425">
        <f t="shared" si="5"/>
        <v>1295496</v>
      </c>
      <c r="H57" s="425">
        <f t="shared" si="5"/>
        <v>1331772</v>
      </c>
      <c r="I57" s="425">
        <f t="shared" si="5"/>
        <v>1409192</v>
      </c>
      <c r="J57" s="425">
        <f t="shared" si="5"/>
        <v>1462135</v>
      </c>
      <c r="K57" s="425">
        <f t="shared" si="5"/>
        <v>1554029</v>
      </c>
      <c r="L57" s="425">
        <f t="shared" si="5"/>
        <v>1603303</v>
      </c>
      <c r="M57" s="425">
        <f t="shared" si="5"/>
        <v>1689260</v>
      </c>
      <c r="N57" s="425">
        <f t="shared" si="5"/>
        <v>1806872</v>
      </c>
      <c r="O57" s="425">
        <f t="shared" si="5"/>
        <v>1921533</v>
      </c>
      <c r="P57" s="425">
        <f t="shared" ref="P57" si="6">SUM(P52:P56)</f>
        <v>1955287</v>
      </c>
      <c r="Q57" s="425">
        <f t="shared" ref="Q57:R57" si="7">SUM(Q52:Q56)</f>
        <v>2043913</v>
      </c>
      <c r="R57" s="425">
        <f t="shared" si="7"/>
        <v>2165496</v>
      </c>
      <c r="S57" s="425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29">
        <f>SUM(P59:P63)</f>
        <v>666983</v>
      </c>
      <c r="Q64" s="429">
        <f>SUM(Q59:Q63)</f>
        <v>704134</v>
      </c>
      <c r="R64" s="429">
        <f>SUM(R59:R63)</f>
        <v>749132</v>
      </c>
      <c r="S64" s="429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8">
        <f t="shared" ref="E65" si="9">E57-E64</f>
        <v>674238</v>
      </c>
      <c r="F65" s="428">
        <f t="shared" ref="F65:O65" si="10">F57-F64</f>
        <v>706998</v>
      </c>
      <c r="G65" s="428">
        <f t="shared" si="10"/>
        <v>876903</v>
      </c>
      <c r="H65" s="428">
        <f t="shared" si="10"/>
        <v>881676</v>
      </c>
      <c r="I65" s="428">
        <f t="shared" si="10"/>
        <v>933257</v>
      </c>
      <c r="J65" s="428">
        <f t="shared" si="10"/>
        <v>958941</v>
      </c>
      <c r="K65" s="428">
        <f t="shared" si="10"/>
        <v>1017347</v>
      </c>
      <c r="L65" s="428">
        <f t="shared" si="10"/>
        <v>1035983</v>
      </c>
      <c r="M65" s="428">
        <f t="shared" si="10"/>
        <v>1088968</v>
      </c>
      <c r="N65" s="428">
        <f t="shared" si="10"/>
        <v>1174762</v>
      </c>
      <c r="O65" s="428">
        <f t="shared" si="10"/>
        <v>1244898</v>
      </c>
      <c r="P65" s="428">
        <f t="shared" ref="P65:Q65" si="11">P57-P64</f>
        <v>1288304</v>
      </c>
      <c r="Q65" s="428">
        <f t="shared" si="11"/>
        <v>1339779</v>
      </c>
      <c r="R65" s="428">
        <f t="shared" ref="R65:S65" si="12">R57-R64</f>
        <v>1416364</v>
      </c>
      <c r="S65" s="428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5">
        <f>E65+E67</f>
        <v>569992</v>
      </c>
      <c r="F68" s="425">
        <f t="shared" ref="F68:O68" si="13">F65+F67</f>
        <v>598885</v>
      </c>
      <c r="G68" s="425">
        <f t="shared" si="13"/>
        <v>763096</v>
      </c>
      <c r="H68" s="425">
        <f t="shared" si="13"/>
        <v>743549</v>
      </c>
      <c r="I68" s="425">
        <f t="shared" si="13"/>
        <v>778726</v>
      </c>
      <c r="J68" s="425">
        <f t="shared" si="13"/>
        <v>820685</v>
      </c>
      <c r="K68" s="425">
        <f t="shared" si="13"/>
        <v>874964</v>
      </c>
      <c r="L68" s="425">
        <f t="shared" si="13"/>
        <v>892437</v>
      </c>
      <c r="M68" s="425">
        <f t="shared" si="13"/>
        <v>937291</v>
      </c>
      <c r="N68" s="425">
        <f t="shared" si="13"/>
        <v>1005341</v>
      </c>
      <c r="O68" s="425">
        <f t="shared" si="13"/>
        <v>1053967</v>
      </c>
      <c r="P68" s="425">
        <f t="shared" ref="P68" si="14">P65+P67</f>
        <v>1087141</v>
      </c>
      <c r="Q68" s="425">
        <f t="shared" ref="Q68:R68" si="15">Q65+Q67</f>
        <v>1131570</v>
      </c>
      <c r="R68" s="425">
        <f t="shared" si="15"/>
        <v>1195010</v>
      </c>
      <c r="S68" s="425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7">
        <f>SUM(E68:E71)</f>
        <v>568492</v>
      </c>
      <c r="F72" s="427">
        <f t="shared" ref="F72:O72" si="17">SUM(F68:F71)</f>
        <v>597515</v>
      </c>
      <c r="G72" s="427">
        <f t="shared" si="17"/>
        <v>761858</v>
      </c>
      <c r="H72" s="427">
        <f t="shared" si="17"/>
        <v>742443</v>
      </c>
      <c r="I72" s="427">
        <f t="shared" si="17"/>
        <v>778011</v>
      </c>
      <c r="J72" s="427">
        <f t="shared" si="17"/>
        <v>819842</v>
      </c>
      <c r="K72" s="427">
        <f t="shared" si="17"/>
        <v>874511</v>
      </c>
      <c r="L72" s="427">
        <f t="shared" si="17"/>
        <v>891855</v>
      </c>
      <c r="M72" s="427">
        <f t="shared" si="17"/>
        <v>936840</v>
      </c>
      <c r="N72" s="427">
        <f t="shared" si="17"/>
        <v>1005019</v>
      </c>
      <c r="O72" s="427">
        <f t="shared" si="17"/>
        <v>1072028</v>
      </c>
      <c r="P72" s="427">
        <f t="shared" ref="P72" si="18">SUM(P68:P71)</f>
        <v>1137863</v>
      </c>
      <c r="Q72" s="427">
        <f t="shared" ref="Q72:R72" si="19">SUM(Q68:Q71)</f>
        <v>1158975</v>
      </c>
      <c r="R72" s="427">
        <f t="shared" si="19"/>
        <v>1226052</v>
      </c>
      <c r="S72" s="427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0">
        <f>E49</f>
        <v>2000</v>
      </c>
      <c r="F74" s="580">
        <f t="shared" ref="F74:R74" si="22">F49</f>
        <v>2001</v>
      </c>
      <c r="G74" s="580">
        <f t="shared" si="22"/>
        <v>2002</v>
      </c>
      <c r="H74" s="580">
        <f t="shared" si="22"/>
        <v>2003</v>
      </c>
      <c r="I74" s="580">
        <f t="shared" si="22"/>
        <v>2004</v>
      </c>
      <c r="J74" s="580">
        <f t="shared" si="22"/>
        <v>2005</v>
      </c>
      <c r="K74" s="580">
        <f t="shared" si="22"/>
        <v>2006</v>
      </c>
      <c r="L74" s="580">
        <f t="shared" si="22"/>
        <v>2007</v>
      </c>
      <c r="M74" s="580">
        <f t="shared" si="22"/>
        <v>2008</v>
      </c>
      <c r="N74" s="580">
        <f t="shared" si="22"/>
        <v>2009</v>
      </c>
      <c r="O74" s="580">
        <f t="shared" si="22"/>
        <v>2010</v>
      </c>
      <c r="P74" s="580">
        <f t="shared" si="22"/>
        <v>2011</v>
      </c>
      <c r="Q74" s="580">
        <f t="shared" si="22"/>
        <v>2012</v>
      </c>
      <c r="R74" s="580">
        <f t="shared" si="22"/>
        <v>2013</v>
      </c>
      <c r="S74" s="580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1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1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1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1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1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1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1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1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1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1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1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1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1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1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1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1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1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2" t="s">
        <v>336</v>
      </c>
      <c r="E93" s="356"/>
      <c r="F93" s="356"/>
      <c r="G93" s="356"/>
      <c r="H93" s="356"/>
      <c r="I93" s="356"/>
      <c r="J93" s="356"/>
      <c r="K93" s="356"/>
      <c r="L93" s="356"/>
      <c r="M93" s="356"/>
      <c r="N93" s="356">
        <f>-236-78</f>
        <v>-314</v>
      </c>
      <c r="O93" s="356">
        <f>-476-429</f>
        <v>-905</v>
      </c>
      <c r="P93" s="356">
        <f>-501-36-240-153</f>
        <v>-930</v>
      </c>
      <c r="Q93" s="356">
        <f>-448-33-215-136</f>
        <v>-832</v>
      </c>
      <c r="R93" s="356">
        <f>-395-189-121</f>
        <v>-705</v>
      </c>
      <c r="S93" s="238">
        <f>-342-163-104</f>
        <v>-609</v>
      </c>
    </row>
    <row r="94" spans="1:19">
      <c r="A94" s="12" t="s">
        <v>339</v>
      </c>
      <c r="D94" s="362" t="s">
        <v>347</v>
      </c>
      <c r="E94" s="356"/>
      <c r="F94" s="356"/>
      <c r="G94" s="356"/>
      <c r="H94" s="356"/>
      <c r="I94" s="356"/>
      <c r="J94" s="356"/>
      <c r="K94" s="356"/>
      <c r="L94" s="356"/>
      <c r="M94" s="356"/>
      <c r="N94" s="356">
        <v>5075</v>
      </c>
      <c r="O94" s="356">
        <v>4398</v>
      </c>
      <c r="P94" s="356">
        <v>3721</v>
      </c>
      <c r="Q94" s="356">
        <v>3045</v>
      </c>
      <c r="R94" s="356">
        <v>2368</v>
      </c>
      <c r="S94" s="238">
        <v>1692</v>
      </c>
    </row>
    <row r="95" spans="1:19">
      <c r="A95" s="12" t="s">
        <v>339</v>
      </c>
      <c r="D95" s="362" t="s">
        <v>336</v>
      </c>
      <c r="E95" s="356"/>
      <c r="F95" s="356"/>
      <c r="G95" s="356"/>
      <c r="H95" s="356"/>
      <c r="I95" s="356"/>
      <c r="J95" s="356"/>
      <c r="K95" s="356"/>
      <c r="L95" s="356"/>
      <c r="M95" s="356"/>
      <c r="N95" s="356">
        <v>-1776</v>
      </c>
      <c r="O95" s="356">
        <v>-1539</v>
      </c>
      <c r="P95" s="356">
        <v>-1303</v>
      </c>
      <c r="Q95" s="356">
        <v>-1066</v>
      </c>
      <c r="R95" s="356">
        <v>-829</v>
      </c>
      <c r="S95" s="238">
        <v>-592</v>
      </c>
    </row>
    <row r="96" spans="1:19">
      <c r="A96" s="12" t="s">
        <v>340</v>
      </c>
      <c r="D96" s="362" t="s">
        <v>347</v>
      </c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>
        <v>279</v>
      </c>
      <c r="P96" s="356">
        <v>6007</v>
      </c>
      <c r="Q96" s="356">
        <v>4647</v>
      </c>
      <c r="R96" s="356">
        <v>3287</v>
      </c>
      <c r="S96" s="238">
        <v>1927</v>
      </c>
    </row>
    <row r="97" spans="1:19">
      <c r="A97" s="12" t="s">
        <v>340</v>
      </c>
      <c r="D97" s="362" t="s">
        <v>336</v>
      </c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>
        <v>-98</v>
      </c>
      <c r="P97" s="356">
        <v>-2102</v>
      </c>
      <c r="Q97" s="356">
        <v>-1626</v>
      </c>
      <c r="R97" s="356">
        <v>-1150</v>
      </c>
      <c r="S97" s="238">
        <v>-674</v>
      </c>
    </row>
    <row r="98" spans="1:19">
      <c r="A98" s="12" t="s">
        <v>344</v>
      </c>
      <c r="D98" s="362" t="s">
        <v>347</v>
      </c>
      <c r="E98" s="356">
        <v>24</v>
      </c>
      <c r="F98" s="356">
        <v>479</v>
      </c>
      <c r="G98" s="356">
        <v>286</v>
      </c>
      <c r="H98" s="356">
        <v>95</v>
      </c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238"/>
    </row>
    <row r="99" spans="1:19">
      <c r="A99" s="12" t="s">
        <v>341</v>
      </c>
      <c r="D99" s="362" t="s">
        <v>348</v>
      </c>
      <c r="E99" s="356">
        <v>-848</v>
      </c>
      <c r="F99" s="356">
        <v>-487</v>
      </c>
      <c r="G99" s="356">
        <v>-245</v>
      </c>
      <c r="H99" s="356">
        <v>-225</v>
      </c>
      <c r="I99" s="356">
        <v>-223</v>
      </c>
      <c r="J99" s="356">
        <v>-248</v>
      </c>
      <c r="K99" s="356">
        <v>-267</v>
      </c>
      <c r="L99" s="356">
        <v>-258</v>
      </c>
      <c r="M99" s="356">
        <v>-232</v>
      </c>
      <c r="N99" s="356">
        <v>-257</v>
      </c>
      <c r="O99" s="356">
        <v>-279</v>
      </c>
      <c r="P99" s="356">
        <f>-248-22</f>
        <v>-270</v>
      </c>
      <c r="Q99" s="356">
        <v>-236</v>
      </c>
      <c r="R99" s="356">
        <v>-363</v>
      </c>
      <c r="S99" s="238">
        <v>-438</v>
      </c>
    </row>
    <row r="100" spans="1:19">
      <c r="A100" s="12" t="s">
        <v>342</v>
      </c>
      <c r="D100" s="362" t="s">
        <v>348</v>
      </c>
      <c r="E100" s="356"/>
      <c r="F100" s="356"/>
      <c r="G100" s="356"/>
      <c r="H100" s="356"/>
      <c r="I100" s="356"/>
      <c r="J100" s="356"/>
      <c r="K100" s="356"/>
      <c r="L100" s="356"/>
      <c r="M100" s="356"/>
      <c r="N100" s="356">
        <v>-3060</v>
      </c>
      <c r="O100" s="356">
        <v>-3419</v>
      </c>
      <c r="P100" s="356">
        <v>-3743</v>
      </c>
      <c r="Q100" s="356">
        <v>-2942</v>
      </c>
      <c r="R100" s="356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7">
        <f t="shared" ref="E102:M102" si="24">SUM(E76:E100)</f>
        <v>-80657</v>
      </c>
      <c r="F102" s="357">
        <f t="shared" si="24"/>
        <v>-64763</v>
      </c>
      <c r="G102" s="357">
        <f t="shared" si="24"/>
        <v>22356</v>
      </c>
      <c r="H102" s="357">
        <f t="shared" si="24"/>
        <v>21841</v>
      </c>
      <c r="I102" s="357">
        <f t="shared" si="24"/>
        <v>20255</v>
      </c>
      <c r="J102" s="357">
        <f t="shared" si="24"/>
        <v>20751</v>
      </c>
      <c r="K102" s="357">
        <f t="shared" si="24"/>
        <v>18799</v>
      </c>
      <c r="L102" s="357">
        <f t="shared" si="24"/>
        <v>21020</v>
      </c>
      <c r="M102" s="357">
        <f t="shared" si="24"/>
        <v>19593</v>
      </c>
      <c r="N102" s="357">
        <f t="shared" ref="N102:S102" si="25">SUM(N76:N100)</f>
        <v>17776</v>
      </c>
      <c r="O102" s="357">
        <f t="shared" si="25"/>
        <v>17776</v>
      </c>
      <c r="P102" s="357">
        <f t="shared" si="25"/>
        <v>18845</v>
      </c>
      <c r="Q102" s="357">
        <f t="shared" si="25"/>
        <v>16438</v>
      </c>
      <c r="R102" s="357">
        <f t="shared" si="25"/>
        <v>14761</v>
      </c>
      <c r="S102" s="577">
        <f t="shared" si="25"/>
        <v>10846</v>
      </c>
    </row>
    <row r="103" spans="1:19">
      <c r="A103" s="12" t="s">
        <v>345</v>
      </c>
      <c r="E103" s="357">
        <f>E78+E80+E82+E85+E88+E91+E94+E96+E98</f>
        <v>-86175</v>
      </c>
      <c r="F103" s="357">
        <f t="shared" ref="F103:O103" si="26">F78+F80+F82+F85+F88+F91+F94+F96+F98</f>
        <v>-77770</v>
      </c>
      <c r="G103" s="357">
        <f t="shared" si="26"/>
        <v>53521</v>
      </c>
      <c r="H103" s="357">
        <f t="shared" si="26"/>
        <v>53601</v>
      </c>
      <c r="I103" s="357">
        <f t="shared" si="26"/>
        <v>53340</v>
      </c>
      <c r="J103" s="357">
        <f t="shared" si="26"/>
        <v>53419</v>
      </c>
      <c r="K103" s="357">
        <f t="shared" si="26"/>
        <v>53490</v>
      </c>
      <c r="L103" s="357">
        <f t="shared" si="26"/>
        <v>67386</v>
      </c>
      <c r="M103" s="357">
        <f t="shared" si="26"/>
        <v>67317</v>
      </c>
      <c r="N103" s="357">
        <f t="shared" si="26"/>
        <v>73409</v>
      </c>
      <c r="O103" s="357">
        <f t="shared" si="26"/>
        <v>74943</v>
      </c>
      <c r="P103" s="357"/>
      <c r="Q103" s="357"/>
      <c r="R103" s="357"/>
      <c r="S103" s="577"/>
    </row>
    <row r="104" spans="1:19">
      <c r="A104" s="12" t="s">
        <v>346</v>
      </c>
      <c r="E104" s="357">
        <f>E99+E100</f>
        <v>-848</v>
      </c>
      <c r="F104" s="357">
        <f t="shared" ref="F104:O104" si="27">F99+F100</f>
        <v>-487</v>
      </c>
      <c r="G104" s="357">
        <f t="shared" si="27"/>
        <v>-245</v>
      </c>
      <c r="H104" s="357">
        <f t="shared" si="27"/>
        <v>-225</v>
      </c>
      <c r="I104" s="357">
        <f t="shared" si="27"/>
        <v>-223</v>
      </c>
      <c r="J104" s="357">
        <f t="shared" si="27"/>
        <v>-248</v>
      </c>
      <c r="K104" s="357">
        <f t="shared" si="27"/>
        <v>-267</v>
      </c>
      <c r="L104" s="357">
        <f t="shared" si="27"/>
        <v>-258</v>
      </c>
      <c r="M104" s="357">
        <f t="shared" si="27"/>
        <v>-232</v>
      </c>
      <c r="N104" s="357">
        <f t="shared" si="27"/>
        <v>-3317</v>
      </c>
      <c r="O104" s="357">
        <f t="shared" si="27"/>
        <v>-3698</v>
      </c>
      <c r="P104" s="357"/>
      <c r="Q104" s="357"/>
      <c r="R104" s="357"/>
      <c r="S104" s="577"/>
    </row>
    <row r="105" spans="1:19">
      <c r="A105" s="12" t="s">
        <v>334</v>
      </c>
      <c r="E105" s="357">
        <f>E79+E81+E83+E86+E89+E92</f>
        <v>6337</v>
      </c>
      <c r="F105" s="357">
        <f t="shared" ref="F105:O105" si="28">F79+F81+F83+F86+F89+F92</f>
        <v>13436</v>
      </c>
      <c r="G105" s="357">
        <f t="shared" si="28"/>
        <v>-27242</v>
      </c>
      <c r="H105" s="357">
        <f t="shared" si="28"/>
        <v>-27706</v>
      </c>
      <c r="I105" s="357">
        <f t="shared" si="28"/>
        <v>-28576</v>
      </c>
      <c r="J105" s="357">
        <f t="shared" si="28"/>
        <v>-28288</v>
      </c>
      <c r="K105" s="357">
        <f t="shared" si="28"/>
        <v>-30083</v>
      </c>
      <c r="L105" s="357">
        <f t="shared" si="28"/>
        <v>-41013</v>
      </c>
      <c r="M105" s="357">
        <f t="shared" si="28"/>
        <v>-42866</v>
      </c>
      <c r="N105" s="357">
        <f t="shared" si="28"/>
        <v>-46289</v>
      </c>
      <c r="O105" s="357">
        <f t="shared" si="28"/>
        <v>-47236</v>
      </c>
      <c r="P105" s="357"/>
      <c r="Q105" s="357"/>
      <c r="R105" s="357"/>
      <c r="S105" s="577"/>
    </row>
    <row r="106" spans="1:19">
      <c r="A106" s="12" t="s">
        <v>336</v>
      </c>
      <c r="E106" s="357">
        <f>E77+E84+E87+E90+E93+E95+E97</f>
        <v>1529</v>
      </c>
      <c r="F106" s="357">
        <f t="shared" ref="F106:O106" si="29">F77+F84+F87+F90+F93+F95+F97</f>
        <v>1428</v>
      </c>
      <c r="G106" s="357">
        <f t="shared" si="29"/>
        <v>-2440</v>
      </c>
      <c r="H106" s="357">
        <f t="shared" si="29"/>
        <v>-2723</v>
      </c>
      <c r="I106" s="357">
        <f t="shared" si="29"/>
        <v>-3571</v>
      </c>
      <c r="J106" s="357">
        <f t="shared" si="29"/>
        <v>-3289</v>
      </c>
      <c r="K106" s="357">
        <f t="shared" si="29"/>
        <v>-3888</v>
      </c>
      <c r="L106" s="357">
        <f t="shared" si="29"/>
        <v>-4513</v>
      </c>
      <c r="M106" s="357">
        <f t="shared" si="29"/>
        <v>-4175</v>
      </c>
      <c r="N106" s="357">
        <f t="shared" si="29"/>
        <v>-5705</v>
      </c>
      <c r="O106" s="357">
        <f t="shared" si="29"/>
        <v>-6106</v>
      </c>
      <c r="P106" s="357"/>
      <c r="Q106" s="357"/>
      <c r="R106" s="357"/>
      <c r="S106" s="577"/>
    </row>
    <row r="107" spans="1:19">
      <c r="A107" s="12" t="s">
        <v>239</v>
      </c>
      <c r="E107" s="357">
        <f t="shared" ref="E107" si="30">E76</f>
        <v>-1500</v>
      </c>
      <c r="F107" s="357">
        <f t="shared" ref="F107:O107" si="31">F76</f>
        <v>-1370</v>
      </c>
      <c r="G107" s="357">
        <f t="shared" si="31"/>
        <v>-1238</v>
      </c>
      <c r="H107" s="357">
        <f t="shared" si="31"/>
        <v>-1106</v>
      </c>
      <c r="I107" s="357">
        <f t="shared" si="31"/>
        <v>-715</v>
      </c>
      <c r="J107" s="357">
        <f t="shared" si="31"/>
        <v>-843</v>
      </c>
      <c r="K107" s="357">
        <f t="shared" si="31"/>
        <v>-453</v>
      </c>
      <c r="L107" s="357">
        <f t="shared" si="31"/>
        <v>-582</v>
      </c>
      <c r="M107" s="357">
        <f t="shared" si="31"/>
        <v>-451</v>
      </c>
      <c r="N107" s="357">
        <f t="shared" si="31"/>
        <v>-322</v>
      </c>
      <c r="O107" s="357">
        <f t="shared" si="31"/>
        <v>-127</v>
      </c>
      <c r="P107" s="357">
        <f>P69</f>
        <v>32534</v>
      </c>
      <c r="Q107" s="357">
        <f t="shared" ref="Q107" si="32">Q69</f>
        <v>16438</v>
      </c>
      <c r="R107" s="357">
        <f>R69</f>
        <v>14761</v>
      </c>
      <c r="S107" s="577">
        <f>S69</f>
        <v>10846</v>
      </c>
    </row>
    <row r="108" spans="1:19">
      <c r="S108" s="236"/>
    </row>
    <row r="109" spans="1:19">
      <c r="O109" s="362" t="s">
        <v>495</v>
      </c>
      <c r="P109" s="357">
        <f>P102-P107</f>
        <v>-13689</v>
      </c>
      <c r="S109" s="236"/>
    </row>
    <row r="110" spans="1:19">
      <c r="O110" s="362" t="s">
        <v>496</v>
      </c>
      <c r="P110" s="357">
        <f>-P109</f>
        <v>13689</v>
      </c>
      <c r="S110" s="236"/>
    </row>
    <row r="111" spans="1:19">
      <c r="P111" s="357"/>
      <c r="Q111" s="357"/>
      <c r="R111" s="357"/>
      <c r="S111" s="357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49" t="s">
        <v>610</v>
      </c>
      <c r="W7" s="549"/>
      <c r="X7" s="550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8" t="s">
        <v>92</v>
      </c>
      <c r="V8" s="557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8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8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8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1">
        <v>2004</v>
      </c>
      <c r="N7" s="560">
        <v>2005</v>
      </c>
      <c r="O7" s="551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6" t="s">
        <v>610</v>
      </c>
      <c r="W7" s="566"/>
      <c r="X7" s="69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2" t="s">
        <v>92</v>
      </c>
      <c r="N8" s="561" t="s">
        <v>92</v>
      </c>
      <c r="O8" s="552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8" t="s">
        <v>92</v>
      </c>
      <c r="V8" s="557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3" t="s">
        <v>235</v>
      </c>
      <c r="N9" s="562" t="s">
        <v>235</v>
      </c>
      <c r="O9" s="553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0"/>
      <c r="O10" s="550"/>
    </row>
    <row r="11" spans="1:24">
      <c r="A11" s="158"/>
      <c r="B11" s="156" t="s">
        <v>86</v>
      </c>
      <c r="E11" s="158"/>
      <c r="F11" s="156" t="s">
        <v>86</v>
      </c>
      <c r="M11" s="550"/>
      <c r="O11" s="550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8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4">
        <f>M24/$H12</f>
        <v>7504.2971533978953</v>
      </c>
      <c r="N12" s="563">
        <f t="shared" ref="N12:T12" si="0">N24/$D12</f>
        <v>9829.3372421735949</v>
      </c>
      <c r="O12" s="554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4"/>
      <c r="N13" s="563"/>
      <c r="O13" s="554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5"/>
      <c r="N14" s="564"/>
      <c r="O14" s="555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4">
        <f>SUM(M12:M14)</f>
        <v>7504.2971533978953</v>
      </c>
      <c r="N15" s="563">
        <f t="shared" ref="N15:T15" si="2">SUM(N12:N14)</f>
        <v>9829.3372421735949</v>
      </c>
      <c r="O15" s="554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5"/>
      <c r="N16" s="564"/>
      <c r="O16" s="555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4">
        <f>M15+M16</f>
        <v>7504.2971533978953</v>
      </c>
      <c r="N17" s="563">
        <f t="shared" ref="N17:T17" si="4">N15+N16</f>
        <v>9829.3372421735949</v>
      </c>
      <c r="O17" s="554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4"/>
      <c r="N18" s="563"/>
      <c r="O18" s="554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4"/>
      <c r="N19" s="563"/>
      <c r="O19" s="554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4"/>
      <c r="N20" s="563"/>
      <c r="O20" s="554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4"/>
      <c r="N21" s="563"/>
      <c r="O21" s="554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4"/>
      <c r="N22" s="563"/>
      <c r="O22" s="554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4"/>
      <c r="N23" s="563"/>
      <c r="O23" s="554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4">
        <v>7160</v>
      </c>
      <c r="N24" s="563">
        <v>9388</v>
      </c>
      <c r="O24" s="554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5"/>
      <c r="N25" s="564"/>
      <c r="O25" s="555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4">
        <f>SUM(M21:M25)</f>
        <v>7160</v>
      </c>
      <c r="N26" s="563">
        <f t="shared" ref="N26:T26" si="6">SUM(N21:N25)</f>
        <v>9388</v>
      </c>
      <c r="O26" s="554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4"/>
      <c r="N27" s="563"/>
      <c r="O27" s="554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4"/>
      <c r="N28" s="563"/>
      <c r="O28" s="554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4"/>
      <c r="N29" s="563"/>
      <c r="O29" s="554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4"/>
      <c r="N30" s="563"/>
      <c r="O30" s="554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8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5">
        <f>M12*$H31</f>
        <v>289.1180564289607</v>
      </c>
      <c r="N31" s="564">
        <f t="shared" ref="N31:U31" si="8">N12*$D31</f>
        <v>379.03890273269815</v>
      </c>
      <c r="O31" s="555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4">
        <f>SUM(M29:M31)</f>
        <v>289.1180564289607</v>
      </c>
      <c r="N32" s="563">
        <f t="shared" ref="N32:T32" si="9">SUM(N29:N31)</f>
        <v>379.03890273269815</v>
      </c>
      <c r="O32" s="554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4"/>
      <c r="N33" s="563"/>
      <c r="O33" s="554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8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4">
        <f>M12*$H34</f>
        <v>40.170502662138937</v>
      </c>
      <c r="N34" s="563">
        <f t="shared" ref="N34:S34" si="11">N12*$D34</f>
        <v>42.639664956549055</v>
      </c>
      <c r="O34" s="554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4"/>
      <c r="N35" s="563"/>
      <c r="O35" s="554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4"/>
      <c r="N36" s="563"/>
      <c r="O36" s="554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4"/>
      <c r="N37" s="563"/>
      <c r="O37" s="554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4"/>
      <c r="N38" s="563"/>
      <c r="O38" s="554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8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4">
        <f>M12*$H39</f>
        <v>15.008594306795791</v>
      </c>
      <c r="N39" s="563">
        <f t="shared" ref="N39:T39" si="12">N12*$D39</f>
        <v>19.658674484347191</v>
      </c>
      <c r="O39" s="554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4"/>
      <c r="N40" s="563"/>
      <c r="O40" s="554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5"/>
      <c r="N41" s="564"/>
      <c r="O41" s="555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6">
        <f>SUM(M39:M41)</f>
        <v>15.008594306795791</v>
      </c>
      <c r="N42" s="565">
        <f t="shared" ref="N42:T42" si="14">SUM(N39:N41)</f>
        <v>19.658674484347191</v>
      </c>
      <c r="O42" s="556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6">
        <f>M26+M32+M34+M35+M36+M42</f>
        <v>7504.2971533978962</v>
      </c>
      <c r="N43" s="565">
        <f t="shared" ref="N43:S43" si="16">N26+N32+N34+N35+N36+N42</f>
        <v>9829.3372421735949</v>
      </c>
      <c r="O43" s="556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4"/>
      <c r="N44" s="563"/>
      <c r="O44" s="554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4">
        <f>M17-M43</f>
        <v>0</v>
      </c>
      <c r="N45" s="563">
        <f t="shared" ref="N45:T45" si="17">N17-N43</f>
        <v>0</v>
      </c>
      <c r="O45" s="554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4"/>
      <c r="N46" s="563"/>
      <c r="O46" s="554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4"/>
      <c r="N47" s="563"/>
      <c r="O47" s="554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4">
        <f>ROUND(0.35*M45,0)</f>
        <v>0</v>
      </c>
      <c r="N48" s="563">
        <f t="shared" ref="N48:T48" si="19">ROUND(0.35*N45,0)</f>
        <v>0</v>
      </c>
      <c r="O48" s="554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4"/>
      <c r="N49" s="563"/>
      <c r="O49" s="554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4"/>
      <c r="N50" s="563"/>
      <c r="O50" s="554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5"/>
      <c r="N51" s="564"/>
      <c r="O51" s="555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4"/>
      <c r="N52" s="563"/>
      <c r="O52" s="554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4">
        <f>M45-M48-M49-M50-M51</f>
        <v>0</v>
      </c>
      <c r="N53" s="563">
        <f t="shared" ref="N53:T53" si="21">N45-N48-N49-N50-N51</f>
        <v>0</v>
      </c>
      <c r="O53" s="554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0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0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0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0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0"/>
      <c r="F7" s="26"/>
      <c r="G7" s="27"/>
      <c r="K7" s="26"/>
      <c r="O7" s="26"/>
      <c r="T7" s="740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0"/>
      <c r="F8" s="411" t="s">
        <v>387</v>
      </c>
      <c r="G8" s="411" t="s">
        <v>388</v>
      </c>
      <c r="H8" s="411" t="s">
        <v>389</v>
      </c>
      <c r="I8" s="411" t="s">
        <v>390</v>
      </c>
      <c r="J8" s="411" t="s">
        <v>391</v>
      </c>
      <c r="K8" s="411" t="s">
        <v>392</v>
      </c>
      <c r="L8" s="411" t="s">
        <v>393</v>
      </c>
      <c r="M8" s="411" t="s">
        <v>394</v>
      </c>
      <c r="N8" s="411" t="s">
        <v>395</v>
      </c>
      <c r="O8" s="411" t="s">
        <v>396</v>
      </c>
      <c r="P8" s="411" t="s">
        <v>397</v>
      </c>
      <c r="Q8" s="411" t="s">
        <v>398</v>
      </c>
      <c r="R8" s="411" t="s">
        <v>399</v>
      </c>
      <c r="S8" s="411" t="s">
        <v>488</v>
      </c>
      <c r="T8" s="411" t="s">
        <v>611</v>
      </c>
    </row>
    <row r="9" spans="1:20" s="76" customFormat="1">
      <c r="B9" s="77" t="s">
        <v>135</v>
      </c>
      <c r="E9" s="410"/>
      <c r="F9" s="79"/>
      <c r="G9" s="80"/>
      <c r="K9" s="78"/>
      <c r="O9" s="79"/>
    </row>
    <row r="10" spans="1:20" s="76" customFormat="1">
      <c r="B10" s="77" t="s">
        <v>136</v>
      </c>
      <c r="E10" s="410"/>
      <c r="F10" s="79"/>
      <c r="G10" s="80"/>
      <c r="K10" s="78"/>
      <c r="O10" s="79"/>
    </row>
    <row r="11" spans="1:20" s="76" customFormat="1">
      <c r="B11" s="77"/>
      <c r="E11" s="410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0"/>
      <c r="F13" s="412">
        <v>242529</v>
      </c>
      <c r="G13" s="412">
        <v>258201</v>
      </c>
      <c r="H13" s="412">
        <v>273318</v>
      </c>
      <c r="I13" s="412">
        <v>283356</v>
      </c>
      <c r="J13" s="412">
        <v>285399</v>
      </c>
      <c r="K13" s="412">
        <v>289216</v>
      </c>
      <c r="L13" s="412">
        <v>321929</v>
      </c>
      <c r="M13" s="412">
        <v>326335</v>
      </c>
      <c r="N13" s="412">
        <v>365425</v>
      </c>
      <c r="O13" s="412">
        <v>402618</v>
      </c>
      <c r="P13" s="412">
        <v>415739.9703632</v>
      </c>
      <c r="Q13" s="412">
        <v>451837</v>
      </c>
      <c r="R13" s="412">
        <v>460195</v>
      </c>
      <c r="S13" s="412">
        <v>468006</v>
      </c>
      <c r="T13" s="412">
        <v>488372</v>
      </c>
    </row>
    <row r="14" spans="1:20" s="22" customFormat="1">
      <c r="A14" s="19">
        <v>2</v>
      </c>
      <c r="B14" s="22" t="s">
        <v>84</v>
      </c>
      <c r="E14" s="410"/>
      <c r="F14" s="413">
        <v>546</v>
      </c>
      <c r="G14" s="413">
        <v>528</v>
      </c>
      <c r="H14" s="413">
        <v>791</v>
      </c>
      <c r="I14" s="413">
        <v>752</v>
      </c>
      <c r="J14" s="413">
        <v>752</v>
      </c>
      <c r="K14" s="413">
        <v>713</v>
      </c>
      <c r="L14" s="413">
        <v>733</v>
      </c>
      <c r="M14" s="413">
        <v>739</v>
      </c>
      <c r="N14" s="413">
        <v>820</v>
      </c>
      <c r="O14" s="413">
        <v>871.54909999999995</v>
      </c>
      <c r="P14" s="413">
        <v>790</v>
      </c>
      <c r="Q14" s="413">
        <v>820</v>
      </c>
      <c r="R14" s="413">
        <v>-113</v>
      </c>
      <c r="S14" s="413">
        <v>884</v>
      </c>
      <c r="T14" s="413">
        <v>922</v>
      </c>
    </row>
    <row r="15" spans="1:20" s="22" customFormat="1">
      <c r="A15" s="19">
        <v>3</v>
      </c>
      <c r="B15" s="22" t="s">
        <v>83</v>
      </c>
      <c r="E15" s="410"/>
      <c r="F15" s="414">
        <v>137117</v>
      </c>
      <c r="G15" s="414">
        <v>91388</v>
      </c>
      <c r="H15" s="414">
        <v>29918</v>
      </c>
      <c r="I15" s="414">
        <v>35252</v>
      </c>
      <c r="J15" s="414">
        <v>40460</v>
      </c>
      <c r="K15" s="414">
        <v>44718</v>
      </c>
      <c r="L15" s="414">
        <v>35380</v>
      </c>
      <c r="M15" s="414">
        <v>34954</v>
      </c>
      <c r="N15" s="414">
        <v>46848</v>
      </c>
      <c r="O15" s="414">
        <v>31491</v>
      </c>
      <c r="P15" s="414">
        <v>133479</v>
      </c>
      <c r="Q15" s="414">
        <v>52604</v>
      </c>
      <c r="R15" s="414">
        <v>54549</v>
      </c>
      <c r="S15" s="414">
        <v>75349</v>
      </c>
      <c r="T15" s="414">
        <v>60998</v>
      </c>
    </row>
    <row r="16" spans="1:20" s="22" customFormat="1">
      <c r="A16" s="19">
        <v>4</v>
      </c>
      <c r="B16" s="22" t="s">
        <v>82</v>
      </c>
      <c r="E16" s="410"/>
      <c r="F16" s="415">
        <v>380192</v>
      </c>
      <c r="G16" s="415">
        <v>350117</v>
      </c>
      <c r="H16" s="415">
        <v>304027</v>
      </c>
      <c r="I16" s="415">
        <v>319360</v>
      </c>
      <c r="J16" s="415">
        <v>326611</v>
      </c>
      <c r="K16" s="415">
        <v>334647</v>
      </c>
      <c r="L16" s="415">
        <v>358042</v>
      </c>
      <c r="M16" s="415">
        <v>362028</v>
      </c>
      <c r="N16" s="415">
        <v>413093</v>
      </c>
      <c r="O16" s="415">
        <v>434980.5491</v>
      </c>
      <c r="P16" s="415">
        <v>550008.97036319994</v>
      </c>
      <c r="Q16" s="415">
        <v>505261</v>
      </c>
      <c r="R16" s="415">
        <v>514631</v>
      </c>
      <c r="S16" s="415">
        <f>SUM(S13:S15)</f>
        <v>544239</v>
      </c>
      <c r="T16" s="415">
        <f>SUM(T13:T15)</f>
        <v>550292</v>
      </c>
    </row>
    <row r="17" spans="1:21" s="22" customFormat="1">
      <c r="A17" s="19">
        <v>5</v>
      </c>
      <c r="B17" s="22" t="s">
        <v>81</v>
      </c>
      <c r="E17" s="410"/>
      <c r="F17" s="414">
        <v>13062</v>
      </c>
      <c r="G17" s="414">
        <v>14305</v>
      </c>
      <c r="H17" s="414">
        <v>34274</v>
      </c>
      <c r="I17" s="414">
        <v>57244</v>
      </c>
      <c r="J17" s="414">
        <v>8587</v>
      </c>
      <c r="K17" s="414">
        <v>10259</v>
      </c>
      <c r="L17" s="414">
        <v>10178</v>
      </c>
      <c r="M17" s="414">
        <v>10170</v>
      </c>
      <c r="N17" s="414">
        <v>10927</v>
      </c>
      <c r="O17" s="414">
        <v>9395</v>
      </c>
      <c r="P17" s="414">
        <v>11786</v>
      </c>
      <c r="Q17" s="414">
        <v>13666</v>
      </c>
      <c r="R17" s="414">
        <v>13089</v>
      </c>
      <c r="S17" s="414">
        <v>13408</v>
      </c>
      <c r="T17" s="414">
        <v>17163</v>
      </c>
    </row>
    <row r="18" spans="1:21" s="22" customFormat="1">
      <c r="A18" s="19">
        <v>6</v>
      </c>
      <c r="B18" s="22" t="s">
        <v>80</v>
      </c>
      <c r="E18" s="410"/>
      <c r="F18" s="415">
        <v>393254</v>
      </c>
      <c r="G18" s="415">
        <v>364422</v>
      </c>
      <c r="H18" s="415">
        <v>338301</v>
      </c>
      <c r="I18" s="415">
        <v>376604</v>
      </c>
      <c r="J18" s="415">
        <v>335198</v>
      </c>
      <c r="K18" s="415">
        <v>344906</v>
      </c>
      <c r="L18" s="415">
        <v>368220</v>
      </c>
      <c r="M18" s="415">
        <v>372198</v>
      </c>
      <c r="N18" s="415">
        <v>424020</v>
      </c>
      <c r="O18" s="415">
        <v>444375.5491</v>
      </c>
      <c r="P18" s="415">
        <v>561794.97036319994</v>
      </c>
      <c r="Q18" s="415">
        <v>518927</v>
      </c>
      <c r="R18" s="415">
        <v>527720</v>
      </c>
      <c r="S18" s="415">
        <f>SUM(S16:S17)</f>
        <v>557647</v>
      </c>
      <c r="T18" s="415">
        <f>SUM(T16:T17)</f>
        <v>567455</v>
      </c>
    </row>
    <row r="19" spans="1:21" s="22" customFormat="1">
      <c r="A19" s="19"/>
      <c r="E19" s="410"/>
      <c r="F19" s="416"/>
      <c r="G19" s="416"/>
      <c r="H19" s="416"/>
      <c r="I19" s="416"/>
      <c r="J19" s="416"/>
      <c r="K19" s="416"/>
      <c r="L19" s="416"/>
      <c r="M19" s="415"/>
      <c r="N19" s="415"/>
      <c r="O19" s="415"/>
      <c r="P19" s="415"/>
      <c r="Q19" s="415"/>
      <c r="R19" s="415"/>
      <c r="S19" s="415"/>
      <c r="T19" s="415"/>
    </row>
    <row r="20" spans="1:21" s="22" customFormat="1">
      <c r="A20" s="19"/>
      <c r="B20" s="22" t="s">
        <v>79</v>
      </c>
      <c r="E20" s="410"/>
      <c r="F20" s="416"/>
      <c r="G20" s="416"/>
      <c r="H20" s="416"/>
      <c r="I20" s="416"/>
      <c r="J20" s="416"/>
      <c r="K20" s="416"/>
      <c r="L20" s="416"/>
      <c r="M20" s="415"/>
      <c r="N20" s="415"/>
      <c r="O20" s="415"/>
      <c r="P20" s="415"/>
      <c r="Q20" s="415"/>
      <c r="R20" s="415"/>
      <c r="S20" s="415"/>
      <c r="T20" s="415"/>
    </row>
    <row r="21" spans="1:21" s="22" customFormat="1">
      <c r="A21" s="19"/>
      <c r="B21" s="22" t="s">
        <v>78</v>
      </c>
      <c r="E21" s="410"/>
      <c r="F21" s="416"/>
      <c r="G21" s="416"/>
      <c r="H21" s="416"/>
      <c r="I21" s="416"/>
      <c r="J21" s="416"/>
      <c r="K21" s="416"/>
      <c r="L21" s="416"/>
      <c r="M21" s="415"/>
      <c r="N21" s="415"/>
      <c r="O21" s="415"/>
      <c r="P21" s="415"/>
      <c r="Q21" s="415"/>
      <c r="R21" s="415"/>
      <c r="S21" s="415"/>
      <c r="T21" s="415"/>
    </row>
    <row r="22" spans="1:21" s="22" customFormat="1">
      <c r="A22" s="19">
        <v>7</v>
      </c>
      <c r="C22" s="22" t="s">
        <v>70</v>
      </c>
      <c r="E22" s="410"/>
      <c r="F22" s="413">
        <v>78721</v>
      </c>
      <c r="G22" s="413">
        <v>47157</v>
      </c>
      <c r="H22" s="413">
        <v>101475</v>
      </c>
      <c r="I22" s="413">
        <v>132098</v>
      </c>
      <c r="J22" s="413">
        <v>101545</v>
      </c>
      <c r="K22" s="413">
        <v>105374</v>
      </c>
      <c r="L22" s="413">
        <v>104260</v>
      </c>
      <c r="M22" s="413">
        <v>102890</v>
      </c>
      <c r="N22" s="413">
        <v>117123</v>
      </c>
      <c r="O22" s="413">
        <v>87599</v>
      </c>
      <c r="P22" s="413">
        <v>147107</v>
      </c>
      <c r="Q22" s="413">
        <v>145634</v>
      </c>
      <c r="R22" s="413">
        <v>131795</v>
      </c>
      <c r="S22" s="413">
        <v>143904</v>
      </c>
      <c r="T22" s="798">
        <v>120307</v>
      </c>
      <c r="U22" s="799" t="s">
        <v>693</v>
      </c>
    </row>
    <row r="23" spans="1:21" s="22" customFormat="1">
      <c r="A23" s="19">
        <v>8</v>
      </c>
      <c r="C23" s="22" t="s">
        <v>77</v>
      </c>
      <c r="E23" s="410"/>
      <c r="F23" s="413">
        <v>181189</v>
      </c>
      <c r="G23" s="413">
        <v>132159</v>
      </c>
      <c r="H23" s="413">
        <v>50769</v>
      </c>
      <c r="I23" s="413">
        <v>46591</v>
      </c>
      <c r="J23" s="413">
        <v>51042</v>
      </c>
      <c r="K23" s="413">
        <v>55046</v>
      </c>
      <c r="L23" s="413">
        <v>79146</v>
      </c>
      <c r="M23" s="413">
        <v>65640</v>
      </c>
      <c r="N23" s="413">
        <v>72508</v>
      </c>
      <c r="O23" s="798">
        <f>104869-4432</f>
        <v>100437</v>
      </c>
      <c r="P23" s="413">
        <v>142197</v>
      </c>
      <c r="Q23" s="413">
        <v>91142</v>
      </c>
      <c r="R23" s="413">
        <v>101283</v>
      </c>
      <c r="S23" s="413">
        <v>109034</v>
      </c>
      <c r="T23" s="413">
        <v>116643</v>
      </c>
      <c r="U23" s="799" t="s">
        <v>694</v>
      </c>
    </row>
    <row r="24" spans="1:21" s="22" customFormat="1">
      <c r="A24" s="19">
        <v>9</v>
      </c>
      <c r="C24" s="22" t="s">
        <v>137</v>
      </c>
      <c r="E24" s="410"/>
      <c r="F24" s="413">
        <v>-3114</v>
      </c>
      <c r="G24" s="413">
        <v>9152</v>
      </c>
      <c r="H24" s="413">
        <v>13808</v>
      </c>
      <c r="I24" s="413">
        <v>14915</v>
      </c>
      <c r="J24" s="413">
        <v>22879</v>
      </c>
      <c r="K24" s="413">
        <v>13812</v>
      </c>
      <c r="L24" s="413">
        <v>25745</v>
      </c>
      <c r="M24" s="413">
        <v>21795</v>
      </c>
      <c r="N24" s="413">
        <v>22000</v>
      </c>
      <c r="O24" s="413">
        <v>22266</v>
      </c>
      <c r="P24" s="413">
        <v>22129</v>
      </c>
      <c r="Q24" s="413">
        <v>25158</v>
      </c>
      <c r="R24" s="413">
        <v>25872</v>
      </c>
      <c r="S24" s="413">
        <v>23284</v>
      </c>
      <c r="T24" s="413">
        <v>23715</v>
      </c>
    </row>
    <row r="25" spans="1:21" s="22" customFormat="1">
      <c r="A25" s="19">
        <v>10</v>
      </c>
      <c r="C25" s="23" t="s">
        <v>138</v>
      </c>
      <c r="D25" s="23"/>
      <c r="E25" s="410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0"/>
      <c r="F26" s="414">
        <v>9346</v>
      </c>
      <c r="G26" s="414">
        <v>5139</v>
      </c>
      <c r="H26" s="414">
        <v>7164</v>
      </c>
      <c r="I26" s="414">
        <v>6722</v>
      </c>
      <c r="J26" s="414">
        <v>7283</v>
      </c>
      <c r="K26" s="414">
        <v>9900</v>
      </c>
      <c r="L26" s="414">
        <v>9115</v>
      </c>
      <c r="M26" s="414">
        <v>8319</v>
      </c>
      <c r="N26" s="414">
        <v>8146</v>
      </c>
      <c r="O26" s="414">
        <v>9014</v>
      </c>
      <c r="P26" s="414">
        <v>9955</v>
      </c>
      <c r="Q26" s="414">
        <v>10846</v>
      </c>
      <c r="R26" s="414">
        <v>11456</v>
      </c>
      <c r="S26" s="414">
        <v>12913</v>
      </c>
      <c r="T26" s="414">
        <v>12828</v>
      </c>
    </row>
    <row r="27" spans="1:21" s="22" customFormat="1">
      <c r="A27" s="19">
        <v>12</v>
      </c>
      <c r="B27" s="22" t="s">
        <v>76</v>
      </c>
      <c r="E27" s="410"/>
      <c r="F27" s="415">
        <v>266142</v>
      </c>
      <c r="G27" s="415">
        <v>193607</v>
      </c>
      <c r="H27" s="415">
        <v>173216</v>
      </c>
      <c r="I27" s="415">
        <v>200326</v>
      </c>
      <c r="J27" s="415">
        <v>182749</v>
      </c>
      <c r="K27" s="415">
        <v>184132</v>
      </c>
      <c r="L27" s="415">
        <v>218266</v>
      </c>
      <c r="M27" s="415">
        <v>198644</v>
      </c>
      <c r="N27" s="415">
        <v>219777</v>
      </c>
      <c r="O27" s="415">
        <v>223748</v>
      </c>
      <c r="P27" s="415">
        <v>321388</v>
      </c>
      <c r="Q27" s="415">
        <v>273183</v>
      </c>
      <c r="R27" s="415">
        <v>262470</v>
      </c>
      <c r="S27" s="415">
        <f>SUM(S22:S26)</f>
        <v>297764</v>
      </c>
      <c r="T27" s="415">
        <f>SUM(T22:T26)</f>
        <v>281594</v>
      </c>
    </row>
    <row r="28" spans="1:21" s="22" customFormat="1">
      <c r="A28" s="19"/>
      <c r="E28" s="410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</row>
    <row r="29" spans="1:21" s="22" customFormat="1">
      <c r="A29" s="19"/>
      <c r="B29" s="22" t="s">
        <v>56</v>
      </c>
      <c r="E29" s="410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</row>
    <row r="30" spans="1:21" s="22" customFormat="1">
      <c r="A30" s="19">
        <v>13</v>
      </c>
      <c r="C30" s="22" t="s">
        <v>70</v>
      </c>
      <c r="E30" s="410"/>
      <c r="F30" s="413">
        <v>9418</v>
      </c>
      <c r="G30" s="413">
        <v>10560</v>
      </c>
      <c r="H30" s="413">
        <v>9631</v>
      </c>
      <c r="I30" s="413">
        <v>10171</v>
      </c>
      <c r="J30" s="413">
        <v>12016</v>
      </c>
      <c r="K30" s="413">
        <v>14263</v>
      </c>
      <c r="L30" s="413">
        <v>15485</v>
      </c>
      <c r="M30" s="413">
        <v>14563</v>
      </c>
      <c r="N30" s="413">
        <v>17329</v>
      </c>
      <c r="O30" s="413">
        <v>17267</v>
      </c>
      <c r="P30" s="413">
        <v>18354</v>
      </c>
      <c r="Q30" s="413">
        <v>19081</v>
      </c>
      <c r="R30" s="413">
        <v>21152</v>
      </c>
      <c r="S30" s="413">
        <v>20878</v>
      </c>
      <c r="T30" s="413">
        <v>21299</v>
      </c>
    </row>
    <row r="31" spans="1:21" s="22" customFormat="1">
      <c r="A31" s="19">
        <v>14</v>
      </c>
      <c r="C31" s="22" t="s">
        <v>139</v>
      </c>
      <c r="E31" s="410"/>
      <c r="F31" s="413">
        <v>9056</v>
      </c>
      <c r="G31" s="413">
        <v>9178</v>
      </c>
      <c r="H31" s="413">
        <v>9427</v>
      </c>
      <c r="I31" s="413">
        <v>9752</v>
      </c>
      <c r="J31" s="413">
        <v>10067</v>
      </c>
      <c r="K31" s="413">
        <v>10399</v>
      </c>
      <c r="L31" s="413">
        <v>10776</v>
      </c>
      <c r="M31" s="413">
        <v>11333</v>
      </c>
      <c r="N31" s="413">
        <v>15611</v>
      </c>
      <c r="O31" s="413">
        <v>16809</v>
      </c>
      <c r="P31" s="413">
        <v>17985</v>
      </c>
      <c r="Q31" s="413">
        <v>19240</v>
      </c>
      <c r="R31" s="413">
        <v>20749</v>
      </c>
      <c r="S31" s="413">
        <v>22303</v>
      </c>
      <c r="T31" s="413">
        <v>23794</v>
      </c>
    </row>
    <row r="32" spans="1:21" s="22" customFormat="1">
      <c r="A32" s="19">
        <v>15</v>
      </c>
      <c r="C32" s="22" t="s">
        <v>69</v>
      </c>
      <c r="E32" s="410"/>
      <c r="F32" s="414">
        <v>11693</v>
      </c>
      <c r="G32" s="414">
        <v>15462</v>
      </c>
      <c r="H32" s="414">
        <v>16996</v>
      </c>
      <c r="I32" s="414">
        <v>17286</v>
      </c>
      <c r="J32" s="414">
        <v>17401</v>
      </c>
      <c r="K32" s="414">
        <v>14988</v>
      </c>
      <c r="L32" s="414">
        <v>16307</v>
      </c>
      <c r="M32" s="414">
        <v>16156</v>
      </c>
      <c r="N32" s="414">
        <v>17416</v>
      </c>
      <c r="O32" s="414">
        <v>18207</v>
      </c>
      <c r="P32" s="414">
        <v>19990</v>
      </c>
      <c r="Q32" s="414">
        <v>22393.453812</v>
      </c>
      <c r="R32" s="414">
        <v>22594.925350000001</v>
      </c>
      <c r="S32" s="414">
        <v>23288</v>
      </c>
      <c r="T32" s="414">
        <v>25575</v>
      </c>
    </row>
    <row r="33" spans="1:20" s="22" customFormat="1">
      <c r="A33" s="19">
        <v>16</v>
      </c>
      <c r="B33" s="22" t="s">
        <v>75</v>
      </c>
      <c r="E33" s="410"/>
      <c r="F33" s="415">
        <v>30167</v>
      </c>
      <c r="G33" s="415">
        <v>35200</v>
      </c>
      <c r="H33" s="415">
        <v>36054</v>
      </c>
      <c r="I33" s="415">
        <v>37209</v>
      </c>
      <c r="J33" s="415">
        <v>39484</v>
      </c>
      <c r="K33" s="415">
        <v>39650</v>
      </c>
      <c r="L33" s="415">
        <v>42568</v>
      </c>
      <c r="M33" s="415">
        <v>42052</v>
      </c>
      <c r="N33" s="415">
        <v>50356</v>
      </c>
      <c r="O33" s="415">
        <v>52283</v>
      </c>
      <c r="P33" s="415">
        <v>56329</v>
      </c>
      <c r="Q33" s="415">
        <v>60714.453812</v>
      </c>
      <c r="R33" s="415">
        <v>64495.925350000005</v>
      </c>
      <c r="S33" s="415">
        <f>SUM(S30:S32)</f>
        <v>66469</v>
      </c>
      <c r="T33" s="415">
        <f>SUM(T30:T32)</f>
        <v>70668</v>
      </c>
    </row>
    <row r="34" spans="1:20" s="22" customFormat="1">
      <c r="E34" s="410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</row>
    <row r="35" spans="1:20" s="22" customFormat="1">
      <c r="A35" s="19">
        <v>17</v>
      </c>
      <c r="B35" s="22" t="s">
        <v>74</v>
      </c>
      <c r="E35" s="410"/>
      <c r="F35" s="413">
        <v>5768</v>
      </c>
      <c r="G35" s="413">
        <v>6196</v>
      </c>
      <c r="H35" s="413">
        <v>7113</v>
      </c>
      <c r="I35" s="413">
        <v>7129</v>
      </c>
      <c r="J35" s="413">
        <v>7352</v>
      </c>
      <c r="K35" s="413">
        <v>7156</v>
      </c>
      <c r="L35" s="413">
        <v>7097</v>
      </c>
      <c r="M35" s="413">
        <v>7514</v>
      </c>
      <c r="N35" s="413">
        <v>7919</v>
      </c>
      <c r="O35" s="413">
        <v>9646</v>
      </c>
      <c r="P35" s="413">
        <v>9261</v>
      </c>
      <c r="Q35" s="413">
        <v>10274.701588</v>
      </c>
      <c r="R35" s="413">
        <v>10335.791302</v>
      </c>
      <c r="S35" s="413">
        <v>11334</v>
      </c>
      <c r="T35" s="413">
        <v>11166</v>
      </c>
    </row>
    <row r="36" spans="1:20" s="22" customFormat="1">
      <c r="A36" s="19">
        <v>18</v>
      </c>
      <c r="B36" s="22" t="s">
        <v>73</v>
      </c>
      <c r="E36" s="410"/>
      <c r="F36" s="413">
        <v>5704</v>
      </c>
      <c r="G36" s="413">
        <v>5381</v>
      </c>
      <c r="H36" s="413">
        <v>6261</v>
      </c>
      <c r="I36" s="413">
        <v>6620</v>
      </c>
      <c r="J36" s="413">
        <v>266</v>
      </c>
      <c r="K36" s="413">
        <v>7127</v>
      </c>
      <c r="L36" s="413">
        <v>1159</v>
      </c>
      <c r="M36" s="413">
        <v>7472</v>
      </c>
      <c r="N36" s="413">
        <v>12847</v>
      </c>
      <c r="O36" s="413">
        <v>19736</v>
      </c>
      <c r="P36" s="413">
        <v>20832</v>
      </c>
      <c r="Q36" s="413">
        <v>21292</v>
      </c>
      <c r="R36" s="413">
        <v>18487</v>
      </c>
      <c r="S36" s="413">
        <v>1516</v>
      </c>
      <c r="T36" s="413">
        <v>1383</v>
      </c>
    </row>
    <row r="37" spans="1:20" s="22" customFormat="1">
      <c r="A37" s="19">
        <v>19</v>
      </c>
      <c r="B37" s="22" t="s">
        <v>72</v>
      </c>
      <c r="E37" s="410"/>
      <c r="F37" s="413">
        <v>1071</v>
      </c>
      <c r="G37" s="413">
        <v>734</v>
      </c>
      <c r="H37" s="413">
        <v>628</v>
      </c>
      <c r="I37" s="413">
        <v>734</v>
      </c>
      <c r="J37" s="413">
        <v>686</v>
      </c>
      <c r="K37" s="413">
        <v>430</v>
      </c>
      <c r="L37" s="413">
        <v>657</v>
      </c>
      <c r="M37" s="413">
        <v>682</v>
      </c>
      <c r="N37" s="413">
        <v>571</v>
      </c>
      <c r="O37" s="413">
        <v>660</v>
      </c>
      <c r="P37" s="413">
        <v>176</v>
      </c>
      <c r="Q37" s="413">
        <v>4</v>
      </c>
      <c r="R37" s="413">
        <v>5</v>
      </c>
      <c r="S37" s="413">
        <v>5</v>
      </c>
      <c r="T37" s="413">
        <v>0</v>
      </c>
    </row>
    <row r="38" spans="1:20" s="22" customFormat="1">
      <c r="A38" s="19"/>
      <c r="E38" s="410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</row>
    <row r="39" spans="1:20" s="22" customFormat="1">
      <c r="B39" s="22" t="s">
        <v>71</v>
      </c>
      <c r="E39" s="410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</row>
    <row r="40" spans="1:20" s="22" customFormat="1">
      <c r="A40" s="19">
        <v>20</v>
      </c>
      <c r="C40" s="22" t="s">
        <v>70</v>
      </c>
      <c r="E40" s="410"/>
      <c r="F40" s="413">
        <v>30350</v>
      </c>
      <c r="G40" s="413">
        <v>25102</v>
      </c>
      <c r="H40" s="413">
        <v>30304</v>
      </c>
      <c r="I40" s="413">
        <v>30153</v>
      </c>
      <c r="J40" s="413">
        <v>31927</v>
      </c>
      <c r="K40" s="413">
        <v>33143</v>
      </c>
      <c r="L40" s="413">
        <v>33148</v>
      </c>
      <c r="M40" s="413">
        <v>35844</v>
      </c>
      <c r="N40" s="413">
        <v>35982</v>
      </c>
      <c r="O40" s="413">
        <v>38461</v>
      </c>
      <c r="P40" s="413">
        <v>44662</v>
      </c>
      <c r="Q40" s="413">
        <v>44779.252</v>
      </c>
      <c r="R40" s="413">
        <v>49333.396000000001</v>
      </c>
      <c r="S40" s="413">
        <v>43310</v>
      </c>
      <c r="T40" s="413">
        <v>46210</v>
      </c>
    </row>
    <row r="41" spans="1:20" s="22" customFormat="1">
      <c r="A41" s="19">
        <v>21</v>
      </c>
      <c r="C41" s="22" t="s">
        <v>139</v>
      </c>
      <c r="E41" s="410"/>
      <c r="F41" s="413">
        <v>3998</v>
      </c>
      <c r="G41" s="413">
        <v>4414</v>
      </c>
      <c r="H41" s="413">
        <v>6606</v>
      </c>
      <c r="I41" s="413">
        <v>6659</v>
      </c>
      <c r="J41" s="413">
        <v>6072</v>
      </c>
      <c r="K41" s="413">
        <v>6537</v>
      </c>
      <c r="L41" s="413">
        <v>6459</v>
      </c>
      <c r="M41" s="413">
        <v>6739</v>
      </c>
      <c r="N41" s="413">
        <v>7187</v>
      </c>
      <c r="O41" s="413">
        <v>7688</v>
      </c>
      <c r="P41" s="413">
        <v>9277</v>
      </c>
      <c r="Q41" s="413">
        <v>10906</v>
      </c>
      <c r="R41" s="413">
        <v>12517</v>
      </c>
      <c r="S41" s="413">
        <v>14721</v>
      </c>
      <c r="T41" s="413">
        <v>16947</v>
      </c>
    </row>
    <row r="42" spans="1:20" s="22" customFormat="1">
      <c r="A42" s="81">
        <v>22</v>
      </c>
      <c r="C42" s="22" t="s">
        <v>69</v>
      </c>
      <c r="E42" s="410"/>
      <c r="F42" s="414">
        <v>5</v>
      </c>
      <c r="G42" s="414">
        <v>2</v>
      </c>
      <c r="H42" s="414">
        <v>1</v>
      </c>
      <c r="I42" s="414">
        <v>2</v>
      </c>
      <c r="J42" s="414">
        <v>3</v>
      </c>
      <c r="K42" s="414">
        <v>-4</v>
      </c>
      <c r="L42" s="414">
        <v>0</v>
      </c>
      <c r="M42" s="414">
        <v>-9</v>
      </c>
      <c r="N42" s="414">
        <v>-3</v>
      </c>
      <c r="O42" s="414">
        <v>-3</v>
      </c>
      <c r="P42" s="414">
        <v>2</v>
      </c>
      <c r="Q42" s="414">
        <v>0</v>
      </c>
      <c r="R42" s="414">
        <v>-4</v>
      </c>
      <c r="S42" s="414">
        <v>0</v>
      </c>
      <c r="T42" s="414">
        <v>0</v>
      </c>
    </row>
    <row r="43" spans="1:20" s="22" customFormat="1">
      <c r="A43" s="19">
        <v>23</v>
      </c>
      <c r="B43" s="22" t="s">
        <v>68</v>
      </c>
      <c r="E43" s="410"/>
      <c r="F43" s="417">
        <v>34353</v>
      </c>
      <c r="G43" s="417">
        <v>29518</v>
      </c>
      <c r="H43" s="417">
        <v>36911</v>
      </c>
      <c r="I43" s="417">
        <v>36814</v>
      </c>
      <c r="J43" s="417">
        <v>38002</v>
      </c>
      <c r="K43" s="417">
        <v>39676</v>
      </c>
      <c r="L43" s="417">
        <v>39607</v>
      </c>
      <c r="M43" s="417">
        <v>42574</v>
      </c>
      <c r="N43" s="417">
        <v>43166</v>
      </c>
      <c r="O43" s="417">
        <v>46146</v>
      </c>
      <c r="P43" s="417">
        <v>53941</v>
      </c>
      <c r="Q43" s="417">
        <v>55685.252</v>
      </c>
      <c r="R43" s="417">
        <v>61846.396000000001</v>
      </c>
      <c r="S43" s="417">
        <f>SUM(S40:S42)</f>
        <v>58031</v>
      </c>
      <c r="T43" s="417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0"/>
      <c r="F44" s="417">
        <v>343205</v>
      </c>
      <c r="G44" s="417">
        <v>270636</v>
      </c>
      <c r="H44" s="417">
        <v>260183</v>
      </c>
      <c r="I44" s="417">
        <v>288832</v>
      </c>
      <c r="J44" s="417">
        <v>268539</v>
      </c>
      <c r="K44" s="417">
        <v>278171</v>
      </c>
      <c r="L44" s="417">
        <v>309354</v>
      </c>
      <c r="M44" s="417">
        <v>298938</v>
      </c>
      <c r="N44" s="417">
        <v>334636</v>
      </c>
      <c r="O44" s="417">
        <v>352219</v>
      </c>
      <c r="P44" s="417">
        <v>461927</v>
      </c>
      <c r="Q44" s="417">
        <v>421153.40740000003</v>
      </c>
      <c r="R44" s="417">
        <v>417640.11265200004</v>
      </c>
      <c r="S44" s="417">
        <f>S27+S33+S35+S36+S37+S43</f>
        <v>435119</v>
      </c>
      <c r="T44" s="417">
        <f>T27+T33+T35+T36+T37+T43</f>
        <v>427968</v>
      </c>
    </row>
    <row r="45" spans="1:20" s="22" customFormat="1">
      <c r="E45" s="410"/>
      <c r="F45" s="415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5"/>
      <c r="S45" s="415"/>
      <c r="T45" s="415"/>
    </row>
    <row r="46" spans="1:20" s="22" customFormat="1">
      <c r="A46" s="19">
        <v>25</v>
      </c>
      <c r="B46" s="22" t="s">
        <v>66</v>
      </c>
      <c r="E46" s="410"/>
      <c r="F46" s="412">
        <v>50049</v>
      </c>
      <c r="G46" s="412">
        <v>93786</v>
      </c>
      <c r="H46" s="412">
        <v>78118</v>
      </c>
      <c r="I46" s="412">
        <v>87772</v>
      </c>
      <c r="J46" s="412">
        <v>66659</v>
      </c>
      <c r="K46" s="412">
        <v>66735</v>
      </c>
      <c r="L46" s="412">
        <v>58866</v>
      </c>
      <c r="M46" s="412">
        <v>73260</v>
      </c>
      <c r="N46" s="412">
        <v>89384</v>
      </c>
      <c r="O46" s="412">
        <v>92156.549100000004</v>
      </c>
      <c r="P46" s="412">
        <v>99867.970363199944</v>
      </c>
      <c r="Q46" s="412">
        <v>97773.592599999974</v>
      </c>
      <c r="R46" s="412">
        <v>110079.88734799996</v>
      </c>
      <c r="S46" s="412">
        <f>S18-S44</f>
        <v>122528</v>
      </c>
      <c r="T46" s="412">
        <f>T18-T44</f>
        <v>139487</v>
      </c>
    </row>
    <row r="47" spans="1:20" s="22" customFormat="1">
      <c r="A47" s="19"/>
      <c r="E47" s="410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</row>
    <row r="48" spans="1:20" s="22" customFormat="1">
      <c r="A48" s="21"/>
      <c r="B48" s="22" t="s">
        <v>65</v>
      </c>
      <c r="E48" s="410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</row>
    <row r="49" spans="1:21" s="22" customFormat="1">
      <c r="A49" s="81">
        <v>26</v>
      </c>
      <c r="B49" s="22" t="s">
        <v>140</v>
      </c>
      <c r="D49" s="70"/>
      <c r="E49" s="410"/>
      <c r="F49" s="418">
        <v>13500</v>
      </c>
      <c r="G49" s="418">
        <v>7802.6454399910144</v>
      </c>
      <c r="H49" s="418">
        <v>12532.4934614427</v>
      </c>
      <c r="I49" s="418">
        <v>18199.38094551977</v>
      </c>
      <c r="J49" s="418">
        <v>10602.745932108257</v>
      </c>
      <c r="K49" s="418">
        <v>6760.4768703774607</v>
      </c>
      <c r="L49" s="418">
        <v>3583.5198936206907</v>
      </c>
      <c r="M49" s="418">
        <v>5069.5165750000015</v>
      </c>
      <c r="N49" s="418">
        <v>-6217.1202000000012</v>
      </c>
      <c r="O49" s="418">
        <v>-1846</v>
      </c>
      <c r="P49" s="418">
        <v>9263</v>
      </c>
      <c r="Q49" s="418">
        <v>6568.9074099999998</v>
      </c>
      <c r="R49" s="418">
        <v>11499.260571799998</v>
      </c>
      <c r="S49" s="418">
        <v>19267</v>
      </c>
      <c r="T49" s="418">
        <v>-7683</v>
      </c>
    </row>
    <row r="50" spans="1:21" s="23" customFormat="1">
      <c r="A50" s="19">
        <v>27</v>
      </c>
      <c r="B50" s="23" t="s">
        <v>141</v>
      </c>
      <c r="E50" s="410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>
        <v>206.8288</v>
      </c>
      <c r="R50" s="418">
        <v>70.410550000000001</v>
      </c>
      <c r="S50" s="418">
        <v>1</v>
      </c>
      <c r="T50" s="418">
        <v>-136</v>
      </c>
    </row>
    <row r="51" spans="1:21" s="22" customFormat="1">
      <c r="A51" s="19">
        <v>28</v>
      </c>
      <c r="B51" s="22" t="s">
        <v>64</v>
      </c>
      <c r="E51" s="410"/>
      <c r="F51" s="418">
        <v>3549</v>
      </c>
      <c r="G51" s="418">
        <v>16107</v>
      </c>
      <c r="H51" s="418">
        <v>3470</v>
      </c>
      <c r="I51" s="418">
        <v>1284</v>
      </c>
      <c r="J51" s="418">
        <v>608</v>
      </c>
      <c r="K51" s="418">
        <v>3867</v>
      </c>
      <c r="L51" s="418">
        <v>3975</v>
      </c>
      <c r="M51" s="418">
        <v>6497</v>
      </c>
      <c r="N51" s="418">
        <v>26634</v>
      </c>
      <c r="O51" s="418">
        <v>23983</v>
      </c>
      <c r="P51" s="418">
        <v>13823</v>
      </c>
      <c r="Q51" s="418">
        <v>16402</v>
      </c>
      <c r="R51" s="418">
        <v>15684</v>
      </c>
      <c r="S51" s="418">
        <v>10613</v>
      </c>
      <c r="T51" s="798">
        <v>46085</v>
      </c>
      <c r="U51" s="799" t="s">
        <v>695</v>
      </c>
    </row>
    <row r="52" spans="1:21" s="22" customFormat="1">
      <c r="A52" s="21">
        <v>29</v>
      </c>
      <c r="B52" s="22" t="s">
        <v>63</v>
      </c>
      <c r="E52" s="410"/>
      <c r="F52" s="418"/>
      <c r="G52" s="418"/>
      <c r="H52" s="418"/>
      <c r="I52" s="418"/>
      <c r="J52" s="418"/>
      <c r="K52" s="418"/>
      <c r="L52" s="418"/>
      <c r="M52" s="418"/>
      <c r="N52" s="418"/>
      <c r="O52" s="418">
        <v>-58</v>
      </c>
      <c r="P52" s="418">
        <v>-83</v>
      </c>
      <c r="Q52" s="418">
        <v>-99</v>
      </c>
      <c r="R52" s="418">
        <v>-128</v>
      </c>
      <c r="S52" s="418">
        <v>-130</v>
      </c>
      <c r="T52" s="418">
        <v>-128</v>
      </c>
    </row>
    <row r="53" spans="1:21">
      <c r="B53" s="419" t="s">
        <v>298</v>
      </c>
      <c r="F53" s="418">
        <v>5683</v>
      </c>
      <c r="G53" s="418">
        <v>5369</v>
      </c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</row>
    <row r="54" spans="1:21" s="20" customFormat="1" ht="13.8" thickBot="1">
      <c r="A54" s="24">
        <v>30</v>
      </c>
      <c r="B54" s="20" t="s">
        <v>62</v>
      </c>
      <c r="E54" s="410"/>
      <c r="F54" s="420">
        <v>27317</v>
      </c>
      <c r="G54" s="420">
        <v>64507.354560008986</v>
      </c>
      <c r="H54" s="420">
        <v>62115.506538557296</v>
      </c>
      <c r="I54" s="420">
        <v>68288.619054480223</v>
      </c>
      <c r="J54" s="420">
        <v>55448.254067891743</v>
      </c>
      <c r="K54" s="420">
        <v>56107.523129622539</v>
      </c>
      <c r="L54" s="420">
        <v>51307.480106379313</v>
      </c>
      <c r="M54" s="420">
        <v>61693.483424999999</v>
      </c>
      <c r="N54" s="420">
        <v>68967.120200000005</v>
      </c>
      <c r="O54" s="420">
        <v>70077.549100000004</v>
      </c>
      <c r="P54" s="420">
        <v>76864.970363199944</v>
      </c>
      <c r="Q54" s="420">
        <v>74694.856389999972</v>
      </c>
      <c r="R54" s="420">
        <v>82954.216226199962</v>
      </c>
      <c r="S54" s="420">
        <f>S46-S49-S50-S51-S52</f>
        <v>92777</v>
      </c>
      <c r="T54" s="420">
        <f>T46-T49-T50-T51-T52</f>
        <v>101349</v>
      </c>
    </row>
    <row r="55" spans="1:21" ht="13.8" thickTop="1">
      <c r="A55" s="24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</row>
    <row r="56" spans="1:21">
      <c r="A56" s="24"/>
      <c r="B56" s="13" t="s">
        <v>61</v>
      </c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</row>
    <row r="57" spans="1:21">
      <c r="B57" s="13" t="s">
        <v>60</v>
      </c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</row>
    <row r="58" spans="1:21" s="20" customFormat="1">
      <c r="A58" s="82">
        <v>31</v>
      </c>
      <c r="C58" s="20" t="s">
        <v>59</v>
      </c>
      <c r="E58" s="410"/>
      <c r="F58" s="412">
        <v>15127</v>
      </c>
      <c r="G58" s="412">
        <v>16340</v>
      </c>
      <c r="H58" s="412">
        <v>20910</v>
      </c>
      <c r="I58" s="412">
        <v>21299</v>
      </c>
      <c r="J58" s="412">
        <v>21374</v>
      </c>
      <c r="K58" s="412">
        <v>22459</v>
      </c>
      <c r="L58" s="412">
        <v>23458</v>
      </c>
      <c r="M58" s="412">
        <v>20632</v>
      </c>
      <c r="N58" s="412">
        <v>23321</v>
      </c>
      <c r="O58" s="412">
        <v>57116</v>
      </c>
      <c r="P58" s="412">
        <v>81955</v>
      </c>
      <c r="Q58" s="412">
        <v>84081</v>
      </c>
      <c r="R58" s="412">
        <v>85247</v>
      </c>
      <c r="S58" s="412">
        <v>91466</v>
      </c>
      <c r="T58" s="412">
        <v>102620</v>
      </c>
    </row>
    <row r="59" spans="1:21" s="22" customFormat="1">
      <c r="A59" s="24">
        <v>32</v>
      </c>
      <c r="C59" s="22" t="s">
        <v>58</v>
      </c>
      <c r="E59" s="410"/>
      <c r="F59" s="418">
        <v>369323</v>
      </c>
      <c r="G59" s="418">
        <v>382522</v>
      </c>
      <c r="H59" s="418">
        <v>598523</v>
      </c>
      <c r="I59" s="418">
        <v>609668</v>
      </c>
      <c r="J59" s="418">
        <v>651608</v>
      </c>
      <c r="K59" s="418">
        <v>669043</v>
      </c>
      <c r="L59" s="418">
        <v>703455</v>
      </c>
      <c r="M59" s="418">
        <v>712962</v>
      </c>
      <c r="N59" s="418">
        <v>724416</v>
      </c>
      <c r="O59" s="418">
        <v>751055</v>
      </c>
      <c r="P59" s="418">
        <v>767632</v>
      </c>
      <c r="Q59" s="418">
        <v>706894</v>
      </c>
      <c r="R59" s="418">
        <v>717448</v>
      </c>
      <c r="S59" s="418">
        <v>738315</v>
      </c>
      <c r="T59" s="418">
        <v>746101</v>
      </c>
    </row>
    <row r="60" spans="1:21" s="22" customFormat="1">
      <c r="A60" s="24">
        <v>33</v>
      </c>
      <c r="C60" s="22" t="s">
        <v>57</v>
      </c>
      <c r="E60" s="410"/>
      <c r="F60" s="418">
        <v>181627</v>
      </c>
      <c r="G60" s="418">
        <v>191517</v>
      </c>
      <c r="H60" s="418">
        <v>186550</v>
      </c>
      <c r="I60" s="418">
        <v>196937</v>
      </c>
      <c r="J60" s="418">
        <v>213539</v>
      </c>
      <c r="K60" s="418">
        <v>224696</v>
      </c>
      <c r="L60" s="418">
        <v>244435</v>
      </c>
      <c r="M60" s="418">
        <v>259532</v>
      </c>
      <c r="N60" s="418">
        <v>289302</v>
      </c>
      <c r="O60" s="418">
        <v>301090</v>
      </c>
      <c r="P60" s="418">
        <v>312505</v>
      </c>
      <c r="Q60" s="418">
        <v>328012</v>
      </c>
      <c r="R60" s="418">
        <v>342382</v>
      </c>
      <c r="S60" s="418">
        <v>359941</v>
      </c>
      <c r="T60" s="418">
        <v>371971</v>
      </c>
    </row>
    <row r="61" spans="1:21" s="22" customFormat="1">
      <c r="A61" s="24">
        <v>34</v>
      </c>
      <c r="C61" s="22" t="s">
        <v>56</v>
      </c>
      <c r="E61" s="410"/>
      <c r="F61" s="418">
        <v>398104</v>
      </c>
      <c r="G61" s="418">
        <v>416427</v>
      </c>
      <c r="H61" s="418">
        <v>429742</v>
      </c>
      <c r="I61" s="418">
        <v>443424</v>
      </c>
      <c r="J61" s="418">
        <v>459516</v>
      </c>
      <c r="K61" s="418">
        <v>480638</v>
      </c>
      <c r="L61" s="418">
        <v>502571</v>
      </c>
      <c r="M61" s="418">
        <v>528809</v>
      </c>
      <c r="N61" s="418">
        <v>561016</v>
      </c>
      <c r="O61" s="418">
        <v>598884</v>
      </c>
      <c r="P61" s="418">
        <v>638445</v>
      </c>
      <c r="Q61" s="418">
        <v>696082</v>
      </c>
      <c r="R61" s="418">
        <v>743732</v>
      </c>
      <c r="S61" s="418">
        <v>796640</v>
      </c>
      <c r="T61" s="418">
        <v>842795</v>
      </c>
    </row>
    <row r="62" spans="1:21" s="22" customFormat="1">
      <c r="A62" s="24">
        <v>35</v>
      </c>
      <c r="C62" s="22" t="s">
        <v>55</v>
      </c>
      <c r="E62" s="410"/>
      <c r="F62" s="418">
        <v>58402</v>
      </c>
      <c r="G62" s="418">
        <v>59846</v>
      </c>
      <c r="H62" s="418">
        <v>59771</v>
      </c>
      <c r="I62" s="418">
        <v>60444</v>
      </c>
      <c r="J62" s="418">
        <v>63155</v>
      </c>
      <c r="K62" s="418">
        <v>65299</v>
      </c>
      <c r="L62" s="418">
        <v>80110</v>
      </c>
      <c r="M62" s="418">
        <v>81368</v>
      </c>
      <c r="N62" s="418">
        <v>91205</v>
      </c>
      <c r="O62" s="418">
        <v>98727</v>
      </c>
      <c r="P62" s="418">
        <v>120996</v>
      </c>
      <c r="Q62" s="418">
        <v>140218</v>
      </c>
      <c r="R62" s="418">
        <v>155104</v>
      </c>
      <c r="S62" s="418">
        <v>179134</v>
      </c>
      <c r="T62" s="418">
        <v>196867</v>
      </c>
    </row>
    <row r="63" spans="1:21" s="22" customFormat="1">
      <c r="A63" s="24">
        <v>36</v>
      </c>
      <c r="B63" s="22" t="s">
        <v>54</v>
      </c>
      <c r="E63" s="410"/>
      <c r="F63" s="421">
        <v>1022583</v>
      </c>
      <c r="G63" s="421">
        <v>1066652</v>
      </c>
      <c r="H63" s="421">
        <v>1295496</v>
      </c>
      <c r="I63" s="421">
        <v>1331772</v>
      </c>
      <c r="J63" s="421">
        <v>1409192</v>
      </c>
      <c r="K63" s="421">
        <v>1462135</v>
      </c>
      <c r="L63" s="421">
        <v>1554029</v>
      </c>
      <c r="M63" s="421">
        <v>1603303</v>
      </c>
      <c r="N63" s="421">
        <v>1689260</v>
      </c>
      <c r="O63" s="421">
        <v>1806872</v>
      </c>
      <c r="P63" s="421">
        <v>1921533</v>
      </c>
      <c r="Q63" s="421">
        <v>1955287</v>
      </c>
      <c r="R63" s="421">
        <v>2043913</v>
      </c>
      <c r="S63" s="421">
        <f>SUM(S58:S62)</f>
        <v>2165496</v>
      </c>
      <c r="T63" s="421">
        <f>SUM(T58:T62)</f>
        <v>2260354</v>
      </c>
    </row>
    <row r="64" spans="1:21" s="22" customFormat="1" ht="18" customHeight="1">
      <c r="A64" s="24"/>
      <c r="B64" s="22" t="s">
        <v>142</v>
      </c>
      <c r="E64" s="410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0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3">
        <v>3744</v>
      </c>
      <c r="R65" s="423">
        <v>4369</v>
      </c>
      <c r="S65" s="423">
        <v>17667</v>
      </c>
      <c r="T65" s="423">
        <v>20242</v>
      </c>
    </row>
    <row r="66" spans="1:20" s="22" customFormat="1">
      <c r="A66" s="24">
        <v>38</v>
      </c>
      <c r="C66" s="22" t="s">
        <v>58</v>
      </c>
      <c r="E66" s="410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3">
        <v>286300</v>
      </c>
      <c r="R66" s="423">
        <v>300170</v>
      </c>
      <c r="S66" s="423">
        <v>314599</v>
      </c>
      <c r="T66" s="423">
        <v>325531</v>
      </c>
    </row>
    <row r="67" spans="1:20" s="22" customFormat="1">
      <c r="A67" s="24">
        <v>39</v>
      </c>
      <c r="C67" s="22" t="s">
        <v>57</v>
      </c>
      <c r="E67" s="410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3">
        <v>111144</v>
      </c>
      <c r="R67" s="423">
        <v>116316</v>
      </c>
      <c r="S67" s="423">
        <v>122308</v>
      </c>
      <c r="T67" s="423">
        <v>123869</v>
      </c>
    </row>
    <row r="68" spans="1:20" s="22" customFormat="1">
      <c r="A68" s="24">
        <v>40</v>
      </c>
      <c r="C68" s="22" t="s">
        <v>56</v>
      </c>
      <c r="E68" s="410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3">
        <v>209101</v>
      </c>
      <c r="R68" s="423">
        <v>221408</v>
      </c>
      <c r="S68" s="423">
        <v>236201</v>
      </c>
      <c r="T68" s="423">
        <v>252722</v>
      </c>
    </row>
    <row r="69" spans="1:20" s="22" customFormat="1">
      <c r="A69" s="24">
        <v>41</v>
      </c>
      <c r="C69" s="22" t="s">
        <v>55</v>
      </c>
      <c r="E69" s="410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545">
        <v>56694</v>
      </c>
      <c r="R69" s="545">
        <v>61871</v>
      </c>
      <c r="S69" s="545">
        <v>58357</v>
      </c>
      <c r="T69" s="545">
        <v>65720</v>
      </c>
    </row>
    <row r="70" spans="1:20" s="22" customFormat="1">
      <c r="A70" s="24">
        <v>42</v>
      </c>
      <c r="B70" s="22" t="s">
        <v>143</v>
      </c>
      <c r="E70" s="410"/>
      <c r="F70" s="418">
        <v>348345</v>
      </c>
      <c r="G70" s="418">
        <v>359654</v>
      </c>
      <c r="H70" s="418">
        <v>418593</v>
      </c>
      <c r="I70" s="418">
        <v>450096</v>
      </c>
      <c r="J70" s="418">
        <v>475935</v>
      </c>
      <c r="K70" s="418">
        <v>503194</v>
      </c>
      <c r="L70" s="418">
        <v>536682</v>
      </c>
      <c r="M70" s="418">
        <v>567320</v>
      </c>
      <c r="N70" s="418">
        <v>600292</v>
      </c>
      <c r="O70" s="418">
        <v>632110</v>
      </c>
      <c r="P70" s="418">
        <v>676635</v>
      </c>
      <c r="Q70" s="418">
        <v>666983</v>
      </c>
      <c r="R70" s="418">
        <v>704134</v>
      </c>
      <c r="S70" s="418">
        <f>SUM(S65:S69)</f>
        <v>749132</v>
      </c>
      <c r="T70" s="418">
        <f>SUM(T65:T69)</f>
        <v>788084</v>
      </c>
    </row>
    <row r="71" spans="1:20" s="22" customFormat="1">
      <c r="A71" s="24">
        <v>43</v>
      </c>
      <c r="B71" s="22" t="s">
        <v>144</v>
      </c>
      <c r="E71" s="410"/>
      <c r="F71" s="421">
        <v>674238</v>
      </c>
      <c r="G71" s="421">
        <v>706998</v>
      </c>
      <c r="H71" s="421">
        <v>876903</v>
      </c>
      <c r="I71" s="421">
        <v>881676</v>
      </c>
      <c r="J71" s="421">
        <v>933257</v>
      </c>
      <c r="K71" s="421">
        <v>958941</v>
      </c>
      <c r="L71" s="421">
        <v>1017347</v>
      </c>
      <c r="M71" s="421">
        <v>1035983</v>
      </c>
      <c r="N71" s="421">
        <v>1088968</v>
      </c>
      <c r="O71" s="421">
        <v>1174762</v>
      </c>
      <c r="P71" s="421">
        <v>1244898</v>
      </c>
      <c r="Q71" s="421">
        <v>1288304</v>
      </c>
      <c r="R71" s="421">
        <v>1339779</v>
      </c>
      <c r="S71" s="421">
        <f>S63-S70</f>
        <v>1416364</v>
      </c>
      <c r="T71" s="421">
        <f>T63-T70</f>
        <v>1472270</v>
      </c>
    </row>
    <row r="72" spans="1:20" s="22" customFormat="1" ht="6.75" customHeight="1">
      <c r="A72" s="24"/>
      <c r="E72" s="410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</row>
    <row r="73" spans="1:20" s="22" customFormat="1">
      <c r="A73" s="21">
        <v>44</v>
      </c>
      <c r="B73" s="22" t="s">
        <v>52</v>
      </c>
      <c r="E73" s="410"/>
      <c r="F73" s="418">
        <v>-104246</v>
      </c>
      <c r="G73" s="418">
        <v>-108113</v>
      </c>
      <c r="H73" s="418">
        <v>-113807</v>
      </c>
      <c r="I73" s="418">
        <v>-138127</v>
      </c>
      <c r="J73" s="418">
        <v>-154531</v>
      </c>
      <c r="K73" s="418">
        <v>-138256</v>
      </c>
      <c r="L73" s="418">
        <v>-142383</v>
      </c>
      <c r="M73" s="418">
        <v>-143546</v>
      </c>
      <c r="N73" s="418">
        <v>-151677</v>
      </c>
      <c r="O73" s="418">
        <v>-169421</v>
      </c>
      <c r="P73" s="418">
        <v>-190931</v>
      </c>
      <c r="Q73" s="418">
        <v>-201163</v>
      </c>
      <c r="R73" s="418">
        <v>-208209</v>
      </c>
      <c r="S73" s="418">
        <v>-221354</v>
      </c>
      <c r="T73" s="418">
        <v>-257766</v>
      </c>
    </row>
    <row r="74" spans="1:20" s="22" customFormat="1">
      <c r="A74" s="21">
        <v>45</v>
      </c>
      <c r="C74" s="22" t="s">
        <v>145</v>
      </c>
      <c r="E74" s="410"/>
      <c r="F74" s="421">
        <v>569992</v>
      </c>
      <c r="G74" s="421">
        <v>598885</v>
      </c>
      <c r="H74" s="421">
        <v>763096</v>
      </c>
      <c r="I74" s="421">
        <v>743549</v>
      </c>
      <c r="J74" s="421">
        <v>778726</v>
      </c>
      <c r="K74" s="421">
        <v>820685</v>
      </c>
      <c r="L74" s="421">
        <v>874964</v>
      </c>
      <c r="M74" s="421">
        <v>892437</v>
      </c>
      <c r="N74" s="421">
        <v>937291</v>
      </c>
      <c r="O74" s="421">
        <v>1005341</v>
      </c>
      <c r="P74" s="421">
        <v>1053967</v>
      </c>
      <c r="Q74" s="421">
        <v>1087141</v>
      </c>
      <c r="R74" s="421">
        <v>1131570</v>
      </c>
      <c r="S74" s="421">
        <f>S71+S73</f>
        <v>1195010</v>
      </c>
      <c r="T74" s="421">
        <f>T71+T73</f>
        <v>1214504</v>
      </c>
    </row>
    <row r="75" spans="1:20" s="22" customFormat="1">
      <c r="A75" s="24">
        <v>46</v>
      </c>
      <c r="B75" s="22" t="s">
        <v>146</v>
      </c>
      <c r="E75" s="410"/>
      <c r="F75" s="418">
        <v>-1500</v>
      </c>
      <c r="G75" s="418">
        <v>-1370</v>
      </c>
      <c r="H75" s="418">
        <v>-1238</v>
      </c>
      <c r="I75" s="418">
        <v>-1106</v>
      </c>
      <c r="J75" s="418">
        <v>-715</v>
      </c>
      <c r="K75" s="418">
        <v>-843</v>
      </c>
      <c r="L75" s="418">
        <v>-453</v>
      </c>
      <c r="M75" s="418">
        <v>-582</v>
      </c>
      <c r="N75" s="418">
        <v>-451</v>
      </c>
      <c r="O75" s="418">
        <v>-322</v>
      </c>
      <c r="P75" s="418">
        <v>-127</v>
      </c>
      <c r="Q75" s="418">
        <v>32534</v>
      </c>
      <c r="R75" s="418">
        <v>16438</v>
      </c>
      <c r="S75" s="418">
        <v>14761</v>
      </c>
      <c r="T75" s="418">
        <v>10846</v>
      </c>
    </row>
    <row r="76" spans="1:20" s="22" customFormat="1">
      <c r="A76" s="24">
        <v>47</v>
      </c>
      <c r="B76" s="22" t="s">
        <v>53</v>
      </c>
      <c r="E76" s="410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>
        <v>18188</v>
      </c>
      <c r="Q76" s="418">
        <v>18188</v>
      </c>
      <c r="R76" s="418">
        <v>10967</v>
      </c>
      <c r="S76" s="418">
        <v>16281</v>
      </c>
      <c r="T76" s="418">
        <v>47807</v>
      </c>
    </row>
    <row r="77" spans="1:20" s="22" customFormat="1">
      <c r="A77" s="21"/>
      <c r="E77" s="410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0"/>
      <c r="F78" s="424">
        <v>568492</v>
      </c>
      <c r="G78" s="424">
        <v>597515</v>
      </c>
      <c r="H78" s="424">
        <v>761858</v>
      </c>
      <c r="I78" s="424">
        <v>742443</v>
      </c>
      <c r="J78" s="424">
        <v>778011</v>
      </c>
      <c r="K78" s="424">
        <v>819842</v>
      </c>
      <c r="L78" s="424">
        <v>874511</v>
      </c>
      <c r="M78" s="424">
        <v>891855</v>
      </c>
      <c r="N78" s="424">
        <v>936840</v>
      </c>
      <c r="O78" s="424">
        <v>1005019</v>
      </c>
      <c r="P78" s="424">
        <v>1072028</v>
      </c>
      <c r="Q78" s="424">
        <v>1137863</v>
      </c>
      <c r="R78" s="424">
        <v>1158975</v>
      </c>
      <c r="S78" s="424">
        <f>SUM(S74:S76)</f>
        <v>1226052</v>
      </c>
      <c r="T78" s="424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0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workbookViewId="0">
      <selection activeCell="H9" sqref="H9"/>
    </sheetView>
  </sheetViews>
  <sheetFormatPr defaultColWidth="8.88671875" defaultRowHeight="13.2"/>
  <cols>
    <col min="1" max="1" width="34.6640625" style="410" customWidth="1"/>
    <col min="2" max="3" width="0" style="410" hidden="1" customWidth="1"/>
    <col min="4" max="4" width="5.5546875" style="410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0" customWidth="1"/>
    <col min="19" max="19" width="13.44140625" style="689" customWidth="1"/>
    <col min="20" max="16384" width="8.88671875" style="410"/>
  </cols>
  <sheetData>
    <row r="1" spans="1:20">
      <c r="A1" s="942" t="s">
        <v>6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</row>
    <row r="2" spans="1:20">
      <c r="A2" s="943" t="s">
        <v>7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</row>
    <row r="3" spans="1:20">
      <c r="D3" s="57"/>
    </row>
    <row r="4" spans="1:20">
      <c r="D4" s="57"/>
      <c r="E4" s="944" t="s">
        <v>29</v>
      </c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</row>
    <row r="5" spans="1:20">
      <c r="D5" s="57"/>
      <c r="E5" s="945" t="s">
        <v>294</v>
      </c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S5" s="740" t="s">
        <v>674</v>
      </c>
    </row>
    <row r="6" spans="1:20">
      <c r="D6" s="58"/>
      <c r="E6" s="431">
        <v>2000</v>
      </c>
      <c r="F6" s="349">
        <v>2001</v>
      </c>
      <c r="G6" s="349">
        <v>2002</v>
      </c>
      <c r="H6" s="349">
        <v>2003</v>
      </c>
      <c r="I6" s="349">
        <v>2004</v>
      </c>
      <c r="J6" s="349">
        <v>2005</v>
      </c>
      <c r="K6" s="349">
        <v>2006</v>
      </c>
      <c r="L6" s="349">
        <v>2007</v>
      </c>
      <c r="M6" s="349">
        <v>2008</v>
      </c>
      <c r="N6" s="349">
        <v>2009</v>
      </c>
      <c r="O6" s="349">
        <v>2010</v>
      </c>
      <c r="P6" s="432">
        <v>2011</v>
      </c>
      <c r="Q6" s="432">
        <v>2012</v>
      </c>
      <c r="R6" s="432">
        <v>2013</v>
      </c>
      <c r="S6" s="432">
        <v>2014</v>
      </c>
    </row>
    <row r="7" spans="1:20">
      <c r="A7" s="410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3">
        <v>0.65239999999999998</v>
      </c>
      <c r="Q7" s="433">
        <v>0.65010000000000001</v>
      </c>
      <c r="R7" s="433">
        <v>0.65190000000000003</v>
      </c>
      <c r="S7" s="433">
        <v>0.64710000000000001</v>
      </c>
    </row>
    <row r="8" spans="1:20"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</row>
    <row r="9" spans="1:20">
      <c r="A9" s="410" t="s">
        <v>10</v>
      </c>
      <c r="D9" s="59"/>
      <c r="E9" s="350">
        <v>135976.0367</v>
      </c>
      <c r="F9" s="350">
        <v>90880</v>
      </c>
      <c r="G9" s="350">
        <v>31728</v>
      </c>
      <c r="H9" s="350">
        <v>35221</v>
      </c>
      <c r="I9" s="350">
        <v>40439</v>
      </c>
      <c r="J9" s="350">
        <v>44689.546799999996</v>
      </c>
      <c r="K9" s="350">
        <v>35381</v>
      </c>
      <c r="L9" s="350">
        <v>34954</v>
      </c>
      <c r="M9" s="350">
        <v>46849</v>
      </c>
      <c r="N9" s="350">
        <v>30933.259500000004</v>
      </c>
      <c r="O9" s="350">
        <v>132773.274</v>
      </c>
      <c r="P9" s="350">
        <v>52603.011999999995</v>
      </c>
      <c r="Q9" s="350">
        <v>54547.940699999999</v>
      </c>
      <c r="R9" s="350">
        <v>75350</v>
      </c>
      <c r="S9" s="350">
        <f>'12.2014 CB Power Supply'!F11</f>
        <v>60998</v>
      </c>
    </row>
    <row r="10" spans="1:20">
      <c r="A10" s="410" t="s">
        <v>11</v>
      </c>
      <c r="D10" s="60"/>
      <c r="E10" s="351">
        <v>300.2937</v>
      </c>
      <c r="F10" s="351">
        <v>281</v>
      </c>
      <c r="G10" s="351">
        <v>38</v>
      </c>
      <c r="H10" s="351">
        <v>297</v>
      </c>
      <c r="I10" s="351">
        <v>238</v>
      </c>
      <c r="J10" s="351">
        <v>124.85669999999999</v>
      </c>
      <c r="K10" s="351">
        <v>153</v>
      </c>
      <c r="L10" s="351">
        <v>200</v>
      </c>
      <c r="M10" s="351">
        <v>198</v>
      </c>
      <c r="N10" s="351">
        <v>247.15470000000002</v>
      </c>
      <c r="O10" s="351">
        <v>183.75119999999998</v>
      </c>
      <c r="P10" s="351">
        <v>330.76679999999999</v>
      </c>
      <c r="Q10" s="351">
        <v>303.5967</v>
      </c>
      <c r="R10" s="351">
        <v>282</v>
      </c>
      <c r="S10" s="351">
        <f>'12.2014 CB Power Supply'!F12</f>
        <v>307</v>
      </c>
    </row>
    <row r="11" spans="1:20">
      <c r="A11" s="410" t="s">
        <v>12</v>
      </c>
      <c r="D11" s="60"/>
      <c r="E11" s="351">
        <v>43.751400000000004</v>
      </c>
      <c r="F11" s="351">
        <v>0</v>
      </c>
      <c r="G11" s="351">
        <v>30</v>
      </c>
      <c r="H11" s="351">
        <v>16</v>
      </c>
      <c r="I11" s="351">
        <v>16</v>
      </c>
      <c r="J11" s="351">
        <v>12.420299999999999</v>
      </c>
      <c r="K11" s="351">
        <v>14</v>
      </c>
      <c r="L11" s="351">
        <v>14</v>
      </c>
      <c r="M11" s="351">
        <v>16</v>
      </c>
      <c r="N11" s="351">
        <v>18.8123</v>
      </c>
      <c r="O11" s="351">
        <v>0</v>
      </c>
      <c r="P11" s="351">
        <v>0</v>
      </c>
      <c r="Q11" s="351">
        <v>0</v>
      </c>
      <c r="R11" s="351">
        <v>0</v>
      </c>
      <c r="S11" s="351">
        <f>'12.2014 CB Power Supply'!F13</f>
        <v>0</v>
      </c>
    </row>
    <row r="12" spans="1:20">
      <c r="A12" s="570" t="s">
        <v>13</v>
      </c>
      <c r="D12" s="62"/>
      <c r="E12" s="460">
        <v>10967.6805</v>
      </c>
      <c r="F12" s="460">
        <v>11862</v>
      </c>
      <c r="G12" s="460">
        <v>25225</v>
      </c>
      <c r="H12" s="460">
        <v>46826</v>
      </c>
      <c r="I12" s="460">
        <v>31</v>
      </c>
      <c r="J12" s="460">
        <v>41.836799999999997</v>
      </c>
      <c r="K12" s="460">
        <v>31</v>
      </c>
      <c r="L12" s="460">
        <v>7</v>
      </c>
      <c r="M12" s="460">
        <v>2</v>
      </c>
      <c r="N12" s="460">
        <v>93.412800000000004</v>
      </c>
      <c r="O12" s="460">
        <v>456.11999999999995</v>
      </c>
      <c r="P12" s="460">
        <v>1420.9271999999999</v>
      </c>
      <c r="Q12" s="460">
        <v>1122.7227</v>
      </c>
      <c r="R12" s="460">
        <v>0</v>
      </c>
      <c r="S12" s="460">
        <f>'12.2014 CB Power Supply'!F17</f>
        <v>2592</v>
      </c>
      <c r="T12" s="695" t="s">
        <v>673</v>
      </c>
    </row>
    <row r="13" spans="1:20" s="456" customFormat="1">
      <c r="A13" s="456" t="s">
        <v>404</v>
      </c>
      <c r="D13" s="62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>
        <v>63</v>
      </c>
      <c r="R13" s="460">
        <v>0</v>
      </c>
      <c r="S13" s="460">
        <f>'12.2014 CB Power Supply'!F18</f>
        <v>163</v>
      </c>
      <c r="T13" s="695" t="s">
        <v>673</v>
      </c>
    </row>
    <row r="14" spans="1:20">
      <c r="A14" s="410" t="s">
        <v>14</v>
      </c>
      <c r="D14" s="62"/>
      <c r="E14" s="461">
        <f>SUM(E9:E12)</f>
        <v>147287.7623</v>
      </c>
      <c r="F14" s="461">
        <f t="shared" ref="F14:Q14" si="0">SUM(F9:F12)</f>
        <v>103023</v>
      </c>
      <c r="G14" s="461">
        <f t="shared" si="0"/>
        <v>57021</v>
      </c>
      <c r="H14" s="461">
        <f t="shared" si="0"/>
        <v>82360</v>
      </c>
      <c r="I14" s="461">
        <f t="shared" si="0"/>
        <v>40724</v>
      </c>
      <c r="J14" s="461">
        <f t="shared" si="0"/>
        <v>44868.660599999988</v>
      </c>
      <c r="K14" s="461">
        <f t="shared" si="0"/>
        <v>35579</v>
      </c>
      <c r="L14" s="461">
        <f t="shared" si="0"/>
        <v>35175</v>
      </c>
      <c r="M14" s="461">
        <f t="shared" si="0"/>
        <v>47065</v>
      </c>
      <c r="N14" s="461">
        <f t="shared" si="0"/>
        <v>31292.639300000003</v>
      </c>
      <c r="O14" s="461">
        <f t="shared" si="0"/>
        <v>133413.1452</v>
      </c>
      <c r="P14" s="461">
        <f t="shared" si="0"/>
        <v>54354.705999999991</v>
      </c>
      <c r="Q14" s="461">
        <f t="shared" si="0"/>
        <v>55974.2601</v>
      </c>
      <c r="R14" s="461">
        <f>SUM(R9:R13)</f>
        <v>75632</v>
      </c>
      <c r="S14" s="461">
        <f>SUM(S9:S13)</f>
        <v>64060</v>
      </c>
    </row>
    <row r="15" spans="1:20">
      <c r="D15" s="62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</row>
    <row r="16" spans="1:20">
      <c r="D16" s="62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</row>
    <row r="17" spans="1:25">
      <c r="A17" s="410" t="s">
        <v>15</v>
      </c>
      <c r="D17" s="62"/>
      <c r="E17" s="351">
        <v>18358.352600000002</v>
      </c>
      <c r="F17" s="351">
        <v>10164</v>
      </c>
      <c r="G17" s="351">
        <v>9430</v>
      </c>
      <c r="H17" s="351">
        <v>12014</v>
      </c>
      <c r="I17" s="351">
        <v>12358</v>
      </c>
      <c r="J17" s="351">
        <v>12956.9877</v>
      </c>
      <c r="K17" s="351">
        <v>15914</v>
      </c>
      <c r="L17" s="351">
        <v>16710</v>
      </c>
      <c r="M17" s="351">
        <v>18086</v>
      </c>
      <c r="N17" s="351">
        <v>16203.228600000002</v>
      </c>
      <c r="O17" s="351">
        <v>19974.797999999999</v>
      </c>
      <c r="P17" s="351">
        <v>21546.8148</v>
      </c>
      <c r="Q17" s="351">
        <v>16459.231800000001</v>
      </c>
      <c r="R17" s="351">
        <v>18925</v>
      </c>
      <c r="S17" s="351">
        <f>'12.2014 CB Power Supply'!F22</f>
        <v>17743</v>
      </c>
    </row>
    <row r="18" spans="1:25">
      <c r="A18" s="410" t="s">
        <v>16</v>
      </c>
      <c r="D18" s="62"/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0</v>
      </c>
      <c r="R18" s="351">
        <v>0</v>
      </c>
      <c r="S18" s="351">
        <f>'12.2014 CB Power Supply'!F23</f>
        <v>0</v>
      </c>
    </row>
    <row r="19" spans="1:25">
      <c r="A19" s="410" t="s">
        <v>17</v>
      </c>
      <c r="D19" s="62"/>
      <c r="E19" s="351">
        <v>23060.302300000003</v>
      </c>
      <c r="F19" s="351">
        <v>3582</v>
      </c>
      <c r="G19" s="351">
        <v>8111</v>
      </c>
      <c r="H19" s="351">
        <v>15447</v>
      </c>
      <c r="I19" s="351">
        <v>45629</v>
      </c>
      <c r="J19" s="351">
        <v>55227.190799999997</v>
      </c>
      <c r="K19" s="351">
        <v>47155</v>
      </c>
      <c r="L19" s="351">
        <v>43656</v>
      </c>
      <c r="M19" s="351">
        <v>52704</v>
      </c>
      <c r="N19" s="351">
        <v>15927.531100000002</v>
      </c>
      <c r="O19" s="351">
        <v>74448.55799999999</v>
      </c>
      <c r="P19" s="351">
        <v>62923.979999999996</v>
      </c>
      <c r="Q19" s="351">
        <v>50012.192999999999</v>
      </c>
      <c r="R19" s="351">
        <v>60338</v>
      </c>
      <c r="S19" s="351">
        <f>'12.2014 CB Power Supply'!F24</f>
        <v>36097</v>
      </c>
    </row>
    <row r="20" spans="1:25">
      <c r="A20" s="410" t="s">
        <v>18</v>
      </c>
      <c r="D20" s="62"/>
      <c r="E20" s="351">
        <v>548.88120000000004</v>
      </c>
      <c r="F20" s="351">
        <v>528</v>
      </c>
      <c r="G20" s="351">
        <v>392</v>
      </c>
      <c r="H20" s="351">
        <v>528</v>
      </c>
      <c r="I20" s="351">
        <v>490</v>
      </c>
      <c r="J20" s="351">
        <v>497.46569999999997</v>
      </c>
      <c r="K20" s="351">
        <v>450</v>
      </c>
      <c r="L20" s="351">
        <v>420</v>
      </c>
      <c r="M20" s="351">
        <v>421</v>
      </c>
      <c r="N20" s="351">
        <v>464.46920000000006</v>
      </c>
      <c r="O20" s="351">
        <v>555.81479999999999</v>
      </c>
      <c r="P20" s="351">
        <v>635.43759999999997</v>
      </c>
      <c r="Q20" s="351">
        <v>673.50360000000001</v>
      </c>
      <c r="R20" s="351">
        <v>671</v>
      </c>
      <c r="S20" s="351">
        <f>'12.2014 CB Power Supply'!F25</f>
        <v>636</v>
      </c>
    </row>
    <row r="21" spans="1:25">
      <c r="A21" s="410" t="s">
        <v>19</v>
      </c>
      <c r="D21" s="62"/>
      <c r="E21" s="351">
        <v>180040.32550000001</v>
      </c>
      <c r="F21" s="351">
        <v>131649</v>
      </c>
      <c r="G21" s="351">
        <v>50729</v>
      </c>
      <c r="H21" s="351">
        <v>53591</v>
      </c>
      <c r="I21" s="351">
        <v>51029</v>
      </c>
      <c r="J21" s="351">
        <v>55379.502899999992</v>
      </c>
      <c r="K21" s="351">
        <v>79145</v>
      </c>
      <c r="L21" s="351">
        <v>65642</v>
      </c>
      <c r="M21" s="351">
        <v>72581</v>
      </c>
      <c r="N21" s="351">
        <v>104870.13940000001</v>
      </c>
      <c r="O21" s="351">
        <v>142281.42119999998</v>
      </c>
      <c r="P21" s="351">
        <v>91141.584799999997</v>
      </c>
      <c r="Q21" s="351">
        <v>101282.32950000001</v>
      </c>
      <c r="R21" s="351">
        <v>109035</v>
      </c>
      <c r="S21" s="351">
        <f>'12.2014 CB Power Supply'!F26</f>
        <v>116641</v>
      </c>
    </row>
    <row r="22" spans="1:25">
      <c r="A22" s="410" t="s">
        <v>20</v>
      </c>
      <c r="D22" s="62"/>
      <c r="E22" s="351">
        <v>0</v>
      </c>
      <c r="F22" s="351">
        <v>0</v>
      </c>
      <c r="G22" s="351">
        <v>85</v>
      </c>
      <c r="H22" s="351">
        <v>87</v>
      </c>
      <c r="I22" s="351">
        <v>87</v>
      </c>
      <c r="J22" s="351">
        <v>86.942099999999996</v>
      </c>
      <c r="K22" s="351">
        <v>115</v>
      </c>
      <c r="L22" s="351">
        <v>100</v>
      </c>
      <c r="M22" s="351">
        <v>113</v>
      </c>
      <c r="N22" s="351">
        <v>103.792</v>
      </c>
      <c r="O22" s="351">
        <v>104.256</v>
      </c>
      <c r="P22" s="351">
        <v>104.384</v>
      </c>
      <c r="Q22" s="351">
        <v>104.01600000000001</v>
      </c>
      <c r="R22" s="351">
        <v>104</v>
      </c>
      <c r="S22" s="351">
        <f>'12.2014 CB Power Supply'!F27</f>
        <v>0</v>
      </c>
    </row>
    <row r="23" spans="1:25">
      <c r="A23" s="410" t="s">
        <v>21</v>
      </c>
      <c r="D23" s="62"/>
      <c r="E23" s="351">
        <v>3013.5434</v>
      </c>
      <c r="F23" s="351">
        <v>3056</v>
      </c>
      <c r="G23" s="351">
        <v>3059</v>
      </c>
      <c r="H23" s="351">
        <v>3066</v>
      </c>
      <c r="I23" s="351">
        <v>4385</v>
      </c>
      <c r="J23" s="351">
        <v>2320.6349999999998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1">
        <v>0</v>
      </c>
      <c r="Q23" s="351">
        <v>0</v>
      </c>
      <c r="R23" s="351">
        <v>0</v>
      </c>
      <c r="S23" s="351">
        <f>'12.2014 CB Power Supply'!F28</f>
        <v>0</v>
      </c>
    </row>
    <row r="24" spans="1:25">
      <c r="A24" s="410" t="s">
        <v>22</v>
      </c>
      <c r="D24" s="62"/>
      <c r="E24" s="351">
        <v>109.3785</v>
      </c>
      <c r="F24" s="351">
        <v>171</v>
      </c>
      <c r="G24" s="351">
        <v>150</v>
      </c>
      <c r="H24" s="351">
        <v>173</v>
      </c>
      <c r="I24" s="351">
        <v>99</v>
      </c>
      <c r="J24" s="351">
        <v>141.19919999999999</v>
      </c>
      <c r="K24" s="351">
        <v>0</v>
      </c>
      <c r="L24" s="351">
        <v>0</v>
      </c>
      <c r="M24" s="351">
        <v>0</v>
      </c>
      <c r="N24" s="351">
        <v>0</v>
      </c>
      <c r="O24" s="351">
        <v>0</v>
      </c>
      <c r="P24" s="351">
        <v>0</v>
      </c>
      <c r="Q24" s="351">
        <v>0</v>
      </c>
      <c r="R24" s="351">
        <v>0</v>
      </c>
      <c r="S24" s="351">
        <f>'12.2014 CB Power Supply'!F29</f>
        <v>0</v>
      </c>
    </row>
    <row r="25" spans="1:25">
      <c r="A25" s="410" t="s">
        <v>23</v>
      </c>
      <c r="D25" s="62"/>
      <c r="E25" s="351">
        <v>1984.7226000000001</v>
      </c>
      <c r="F25" s="351">
        <v>25</v>
      </c>
      <c r="G25" s="351">
        <v>46700</v>
      </c>
      <c r="H25" s="351">
        <v>63438</v>
      </c>
      <c r="I25" s="351">
        <v>51</v>
      </c>
      <c r="J25" s="351">
        <v>73.868099999999998</v>
      </c>
      <c r="K25" s="351">
        <v>291</v>
      </c>
      <c r="L25" s="351">
        <v>243</v>
      </c>
      <c r="M25" s="351">
        <v>297</v>
      </c>
      <c r="N25" s="351">
        <v>307.48380000000003</v>
      </c>
      <c r="O25" s="351">
        <v>465.89399999999995</v>
      </c>
      <c r="P25" s="351">
        <v>820.7192</v>
      </c>
      <c r="Q25" s="351">
        <v>891.93719999999996</v>
      </c>
      <c r="R25" s="351">
        <v>711</v>
      </c>
      <c r="S25" s="351">
        <f>'12.2014 CB Power Supply'!F30</f>
        <v>376</v>
      </c>
    </row>
    <row r="26" spans="1:25" s="456" customFormat="1">
      <c r="A26" s="456" t="s">
        <v>405</v>
      </c>
      <c r="D26" s="62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>
        <v>0</v>
      </c>
      <c r="R26" s="351">
        <v>0</v>
      </c>
      <c r="S26" s="351">
        <f>'12.2014 CB Power Supply'!F31</f>
        <v>2396</v>
      </c>
    </row>
    <row r="27" spans="1:25">
      <c r="A27" s="410" t="s">
        <v>24</v>
      </c>
      <c r="D27" s="62"/>
      <c r="E27" s="351">
        <v>7669.7530000000006</v>
      </c>
      <c r="F27" s="351">
        <v>7010</v>
      </c>
      <c r="G27" s="351">
        <v>5723</v>
      </c>
      <c r="H27" s="351">
        <v>5938</v>
      </c>
      <c r="I27" s="351">
        <v>8671</v>
      </c>
      <c r="J27" s="351">
        <v>6436.3301999999994</v>
      </c>
      <c r="K27" s="351">
        <v>9054</v>
      </c>
      <c r="L27" s="351">
        <v>8948</v>
      </c>
      <c r="M27" s="351">
        <v>8782</v>
      </c>
      <c r="N27" s="351">
        <v>8661.4423999999999</v>
      </c>
      <c r="O27" s="351">
        <v>11537.8812</v>
      </c>
      <c r="P27" s="351">
        <v>11410.475999999999</v>
      </c>
      <c r="Q27" s="351">
        <v>11410.555200000001</v>
      </c>
      <c r="R27" s="351">
        <v>11687</v>
      </c>
      <c r="S27" s="351">
        <f>'12.2014 CB Power Supply'!F32</f>
        <v>12228</v>
      </c>
    </row>
    <row r="28" spans="1:25" ht="15.6" customHeight="1">
      <c r="A28" s="18"/>
      <c r="B28" s="18"/>
      <c r="C28" s="18"/>
      <c r="D28" s="460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18"/>
      <c r="V28" s="18"/>
      <c r="W28" s="18"/>
      <c r="X28" s="18"/>
      <c r="Y28" s="18"/>
    </row>
    <row r="29" spans="1:25">
      <c r="A29" s="410" t="s">
        <v>25</v>
      </c>
      <c r="D29" s="62"/>
      <c r="E29" s="353">
        <f>SUM(E17:E28)</f>
        <v>234785.2591</v>
      </c>
      <c r="F29" s="353">
        <f t="shared" ref="F29:Q29" si="1">SUM(F17:F28)</f>
        <v>156185</v>
      </c>
      <c r="G29" s="353">
        <f t="shared" si="1"/>
        <v>124379</v>
      </c>
      <c r="H29" s="353">
        <f t="shared" si="1"/>
        <v>154282</v>
      </c>
      <c r="I29" s="353">
        <f t="shared" si="1"/>
        <v>122799</v>
      </c>
      <c r="J29" s="353">
        <f t="shared" si="1"/>
        <v>133120.12169999999</v>
      </c>
      <c r="K29" s="353">
        <f t="shared" si="1"/>
        <v>152124</v>
      </c>
      <c r="L29" s="353">
        <f t="shared" si="1"/>
        <v>135719</v>
      </c>
      <c r="M29" s="353">
        <f t="shared" si="1"/>
        <v>152984</v>
      </c>
      <c r="N29" s="353">
        <f t="shared" si="1"/>
        <v>146538.0865</v>
      </c>
      <c r="O29" s="353">
        <f t="shared" si="1"/>
        <v>249368.62319999994</v>
      </c>
      <c r="P29" s="353">
        <f t="shared" si="1"/>
        <v>188583.39639999997</v>
      </c>
      <c r="Q29" s="353">
        <f t="shared" si="1"/>
        <v>180833.76630000002</v>
      </c>
      <c r="R29" s="353">
        <f t="shared" ref="R29:S29" si="2">SUM(R17:R28)</f>
        <v>201471</v>
      </c>
      <c r="S29" s="353">
        <f t="shared" si="2"/>
        <v>186117</v>
      </c>
    </row>
    <row r="30" spans="1:25"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</row>
    <row r="31" spans="1:25">
      <c r="A31" s="410" t="s">
        <v>26</v>
      </c>
      <c r="D31" s="60"/>
      <c r="E31" s="351">
        <f>E14-E29</f>
        <v>-87497.496799999994</v>
      </c>
      <c r="F31" s="351">
        <f t="shared" ref="F31:Q31" si="3">F14-F29</f>
        <v>-53162</v>
      </c>
      <c r="G31" s="351">
        <f t="shared" si="3"/>
        <v>-67358</v>
      </c>
      <c r="H31" s="351">
        <f t="shared" si="3"/>
        <v>-71922</v>
      </c>
      <c r="I31" s="351">
        <f t="shared" si="3"/>
        <v>-82075</v>
      </c>
      <c r="J31" s="351">
        <f t="shared" si="3"/>
        <v>-88251.4611</v>
      </c>
      <c r="K31" s="351">
        <f t="shared" si="3"/>
        <v>-116545</v>
      </c>
      <c r="L31" s="351">
        <f t="shared" si="3"/>
        <v>-100544</v>
      </c>
      <c r="M31" s="351">
        <f t="shared" si="3"/>
        <v>-105919</v>
      </c>
      <c r="N31" s="351">
        <f t="shared" si="3"/>
        <v>-115245.4472</v>
      </c>
      <c r="O31" s="351">
        <f t="shared" si="3"/>
        <v>-115955.47799999994</v>
      </c>
      <c r="P31" s="351">
        <f t="shared" si="3"/>
        <v>-134228.69039999996</v>
      </c>
      <c r="Q31" s="351">
        <f t="shared" si="3"/>
        <v>-124859.50620000002</v>
      </c>
      <c r="R31" s="351">
        <f t="shared" ref="R31:S31" si="4">R14-R29</f>
        <v>-125839</v>
      </c>
      <c r="S31" s="351">
        <f t="shared" si="4"/>
        <v>-122057</v>
      </c>
    </row>
    <row r="32" spans="1:25">
      <c r="D32" s="60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</row>
    <row r="33" spans="1:19">
      <c r="A33" s="410" t="s">
        <v>27</v>
      </c>
      <c r="C33" s="64">
        <v>0.35</v>
      </c>
      <c r="D33" s="65"/>
      <c r="E33" s="352">
        <f>E31*0.35</f>
        <v>-30624.123879999996</v>
      </c>
      <c r="F33" s="352">
        <f t="shared" ref="F33:Q33" si="5">F31*0.35</f>
        <v>-18606.699999999997</v>
      </c>
      <c r="G33" s="352">
        <f t="shared" si="5"/>
        <v>-23575.3</v>
      </c>
      <c r="H33" s="352">
        <f t="shared" si="5"/>
        <v>-25172.699999999997</v>
      </c>
      <c r="I33" s="352">
        <f t="shared" si="5"/>
        <v>-28726.249999999996</v>
      </c>
      <c r="J33" s="352">
        <f t="shared" si="5"/>
        <v>-30888.011384999998</v>
      </c>
      <c r="K33" s="352">
        <f t="shared" si="5"/>
        <v>-40790.75</v>
      </c>
      <c r="L33" s="352">
        <f t="shared" si="5"/>
        <v>-35190.399999999994</v>
      </c>
      <c r="M33" s="352">
        <f t="shared" si="5"/>
        <v>-37071.649999999994</v>
      </c>
      <c r="N33" s="352">
        <f t="shared" si="5"/>
        <v>-40335.906519999997</v>
      </c>
      <c r="O33" s="352">
        <f t="shared" si="5"/>
        <v>-40584.417299999979</v>
      </c>
      <c r="P33" s="352">
        <f t="shared" si="5"/>
        <v>-46980.041639999981</v>
      </c>
      <c r="Q33" s="352">
        <f t="shared" si="5"/>
        <v>-43700.827170000004</v>
      </c>
      <c r="R33" s="352">
        <f t="shared" ref="R33:S33" si="6">R31*0.35</f>
        <v>-44043.649999999994</v>
      </c>
      <c r="S33" s="352">
        <f t="shared" si="6"/>
        <v>-42719.95</v>
      </c>
    </row>
    <row r="34" spans="1:19">
      <c r="D34" s="65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</row>
    <row r="35" spans="1:19">
      <c r="A35" s="410" t="s">
        <v>28</v>
      </c>
      <c r="D35" s="60"/>
      <c r="E35" s="434">
        <f>E31-E33</f>
        <v>-56873.372919999994</v>
      </c>
      <c r="F35" s="434">
        <f t="shared" ref="F35:Q35" si="7">F31-F33</f>
        <v>-34555.300000000003</v>
      </c>
      <c r="G35" s="434">
        <f t="shared" si="7"/>
        <v>-43782.7</v>
      </c>
      <c r="H35" s="434">
        <f t="shared" si="7"/>
        <v>-46749.3</v>
      </c>
      <c r="I35" s="434">
        <f t="shared" si="7"/>
        <v>-53348.75</v>
      </c>
      <c r="J35" s="434">
        <f t="shared" si="7"/>
        <v>-57363.449715000002</v>
      </c>
      <c r="K35" s="434">
        <f t="shared" si="7"/>
        <v>-75754.25</v>
      </c>
      <c r="L35" s="434">
        <f t="shared" si="7"/>
        <v>-65353.600000000006</v>
      </c>
      <c r="M35" s="434">
        <f t="shared" si="7"/>
        <v>-68847.350000000006</v>
      </c>
      <c r="N35" s="434">
        <f t="shared" si="7"/>
        <v>-74909.540680000006</v>
      </c>
      <c r="O35" s="434">
        <f t="shared" si="7"/>
        <v>-75371.060699999973</v>
      </c>
      <c r="P35" s="434">
        <f t="shared" si="7"/>
        <v>-87248.648759999982</v>
      </c>
      <c r="Q35" s="434">
        <f t="shared" si="7"/>
        <v>-81158.679030000014</v>
      </c>
      <c r="R35" s="434">
        <f t="shared" ref="R35:S35" si="8">R31-R33</f>
        <v>-81795.350000000006</v>
      </c>
      <c r="S35" s="434">
        <f t="shared" si="8"/>
        <v>-79337.05</v>
      </c>
    </row>
    <row r="36" spans="1:19">
      <c r="E36" s="351"/>
      <c r="F36" s="351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5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5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1"/>
    </row>
    <row r="45" spans="1:19">
      <c r="J45" s="431"/>
    </row>
    <row r="54" spans="1:21">
      <c r="A54" s="726" t="s">
        <v>671</v>
      </c>
      <c r="B54" s="726"/>
      <c r="C54" s="726"/>
      <c r="D54" s="62"/>
      <c r="E54" s="691"/>
      <c r="F54" s="691"/>
      <c r="G54" s="691"/>
      <c r="H54" s="691"/>
      <c r="I54" s="691"/>
      <c r="J54" s="727">
        <f>ROUND(9555*J33,0)</f>
        <v>-295134949</v>
      </c>
      <c r="K54" s="727">
        <f>ROUND(12757*K33,0)</f>
        <v>-520367598</v>
      </c>
      <c r="L54" s="727">
        <f>ROUND(14241*L33,0)</f>
        <v>-501146486</v>
      </c>
      <c r="M54" s="727">
        <f>ROUND(15869*M33,0)</f>
        <v>-588290014</v>
      </c>
      <c r="N54" s="727">
        <f>ROUND(16051*N33,0)</f>
        <v>-647431636</v>
      </c>
      <c r="O54" s="727">
        <f>ROUND(15132*O33,0)</f>
        <v>-614123403</v>
      </c>
      <c r="P54" s="727">
        <f>ROUND(16369*P33,0)</f>
        <v>-769016302</v>
      </c>
      <c r="Q54" s="727">
        <f>ROUND(21605*Q33,0)</f>
        <v>-944156371</v>
      </c>
      <c r="R54" s="727">
        <f>ROUND(17902*R33,0)</f>
        <v>-788469422</v>
      </c>
      <c r="S54" s="727">
        <f>ROUND(18743*S33,0)</f>
        <v>-800700023</v>
      </c>
      <c r="T54" s="691">
        <f>'12.2014 CB Power Supply'!F59+'12.2014 CB Power Supply'!F60</f>
        <v>0</v>
      </c>
      <c r="U54" s="726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09375" defaultRowHeight="14.4"/>
  <cols>
    <col min="1" max="4" width="9.109375" style="364"/>
    <col min="5" max="5" width="11.5546875" style="364" bestFit="1" customWidth="1"/>
    <col min="6" max="14" width="10.5546875" style="364" bestFit="1" customWidth="1"/>
    <col min="15" max="15" width="11.5546875" style="364" bestFit="1" customWidth="1"/>
    <col min="16" max="19" width="10.5546875" style="364" bestFit="1" customWidth="1"/>
    <col min="20" max="16384" width="9.109375" style="364"/>
  </cols>
  <sheetData>
    <row r="1" spans="1:20">
      <c r="A1" s="364" t="s">
        <v>350</v>
      </c>
    </row>
    <row r="2" spans="1:20">
      <c r="P2" s="365"/>
      <c r="Q2" s="365"/>
      <c r="R2" s="365"/>
      <c r="S2" s="740" t="s">
        <v>674</v>
      </c>
    </row>
    <row r="3" spans="1:20">
      <c r="D3" s="366"/>
      <c r="E3" s="367">
        <v>2000</v>
      </c>
      <c r="F3" s="368">
        <v>2001</v>
      </c>
      <c r="G3" s="368">
        <v>2002</v>
      </c>
      <c r="H3" s="368">
        <v>2003</v>
      </c>
      <c r="I3" s="368">
        <v>2004</v>
      </c>
      <c r="J3" s="368">
        <v>2005</v>
      </c>
      <c r="K3" s="368">
        <v>2006</v>
      </c>
      <c r="L3" s="368">
        <v>2007</v>
      </c>
      <c r="M3" s="368">
        <v>2008</v>
      </c>
      <c r="N3" s="368">
        <v>2009</v>
      </c>
      <c r="O3" s="368">
        <v>2010</v>
      </c>
      <c r="P3" s="368">
        <v>2011</v>
      </c>
      <c r="Q3" s="368">
        <v>2012</v>
      </c>
      <c r="R3" s="368">
        <v>2013</v>
      </c>
      <c r="S3" s="368">
        <v>2014</v>
      </c>
    </row>
    <row r="4" spans="1:20">
      <c r="A4" s="364" t="s">
        <v>9</v>
      </c>
      <c r="D4" s="369"/>
      <c r="E4" s="370">
        <v>0.66290000000000004</v>
      </c>
      <c r="F4" s="370">
        <v>0.67479999999999996</v>
      </c>
      <c r="G4" s="370">
        <v>0.64119999999999999</v>
      </c>
      <c r="H4" s="370">
        <v>0.65480000000000005</v>
      </c>
      <c r="I4" s="370">
        <v>0.65159999999999996</v>
      </c>
      <c r="J4" s="370">
        <v>0.65369999999999995</v>
      </c>
      <c r="K4" s="370">
        <v>0.6583</v>
      </c>
      <c r="L4" s="370">
        <v>0.64590000000000003</v>
      </c>
      <c r="M4" s="370">
        <v>0.64419999999999999</v>
      </c>
      <c r="N4" s="370">
        <v>0.64870000000000005</v>
      </c>
      <c r="O4" s="370">
        <v>0.65159999999999996</v>
      </c>
      <c r="P4" s="371">
        <v>0.65239999999999998</v>
      </c>
      <c r="Q4" s="371">
        <v>0.65010000000000001</v>
      </c>
      <c r="R4" s="371">
        <v>0.65190000000000003</v>
      </c>
      <c r="S4" s="371">
        <v>0.64710000000000001</v>
      </c>
    </row>
    <row r="5" spans="1:20">
      <c r="A5" s="364" t="s">
        <v>351</v>
      </c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20">
      <c r="A6" s="364" t="s">
        <v>10</v>
      </c>
      <c r="D6" s="372"/>
      <c r="E6" s="373">
        <v>135976.0367</v>
      </c>
      <c r="F6" s="373">
        <v>90880</v>
      </c>
      <c r="G6" s="373">
        <v>31728</v>
      </c>
      <c r="H6" s="373">
        <v>35221</v>
      </c>
      <c r="I6" s="373">
        <v>40439</v>
      </c>
      <c r="J6" s="373">
        <v>44689.546799999996</v>
      </c>
      <c r="K6" s="373">
        <v>35381</v>
      </c>
      <c r="L6" s="373">
        <v>34954</v>
      </c>
      <c r="M6" s="373">
        <v>46849</v>
      </c>
      <c r="N6" s="373">
        <v>30933.259500000004</v>
      </c>
      <c r="O6" s="373">
        <v>132773.274</v>
      </c>
      <c r="P6" s="373">
        <v>52603.011999999995</v>
      </c>
      <c r="Q6" s="373">
        <v>54547.940699999999</v>
      </c>
      <c r="R6" s="350">
        <v>75350</v>
      </c>
      <c r="S6" s="350">
        <f>'PS Consolidated'!S9</f>
        <v>60998</v>
      </c>
    </row>
    <row r="7" spans="1:20">
      <c r="A7" s="364" t="s">
        <v>11</v>
      </c>
      <c r="D7" s="374"/>
      <c r="E7" s="375">
        <v>300.2937</v>
      </c>
      <c r="F7" s="375">
        <v>281</v>
      </c>
      <c r="G7" s="375">
        <v>38</v>
      </c>
      <c r="H7" s="375">
        <v>297</v>
      </c>
      <c r="I7" s="375">
        <v>238</v>
      </c>
      <c r="J7" s="375">
        <v>124.85669999999999</v>
      </c>
      <c r="K7" s="375">
        <v>153</v>
      </c>
      <c r="L7" s="375">
        <v>200</v>
      </c>
      <c r="M7" s="375">
        <v>198</v>
      </c>
      <c r="N7" s="375">
        <v>247.15470000000002</v>
      </c>
      <c r="O7" s="375">
        <v>183.75119999999998</v>
      </c>
      <c r="P7" s="375">
        <v>330.76679999999999</v>
      </c>
      <c r="Q7" s="375">
        <v>303.5967</v>
      </c>
      <c r="R7" s="375">
        <v>282</v>
      </c>
      <c r="S7" s="375">
        <f>475*S4</f>
        <v>307.3725</v>
      </c>
    </row>
    <row r="8" spans="1:20">
      <c r="A8" s="364" t="s">
        <v>12</v>
      </c>
      <c r="D8" s="374"/>
      <c r="E8" s="375">
        <v>43.751400000000004</v>
      </c>
      <c r="F8" s="375">
        <v>0</v>
      </c>
      <c r="G8" s="375">
        <v>30</v>
      </c>
      <c r="H8" s="375">
        <v>16</v>
      </c>
      <c r="I8" s="375">
        <v>16</v>
      </c>
      <c r="J8" s="375">
        <v>12.420299999999999</v>
      </c>
      <c r="K8" s="375">
        <v>14</v>
      </c>
      <c r="L8" s="375">
        <v>14</v>
      </c>
      <c r="M8" s="375">
        <v>16</v>
      </c>
      <c r="N8" s="375">
        <v>18.8123</v>
      </c>
      <c r="O8" s="375">
        <v>0</v>
      </c>
      <c r="P8" s="375">
        <v>0</v>
      </c>
      <c r="Q8" s="375">
        <v>0</v>
      </c>
      <c r="R8" s="375">
        <v>0</v>
      </c>
      <c r="S8" s="375">
        <v>0</v>
      </c>
    </row>
    <row r="9" spans="1:20">
      <c r="A9" s="364" t="s">
        <v>13</v>
      </c>
      <c r="D9" s="376"/>
      <c r="E9" s="377">
        <v>10967.6805</v>
      </c>
      <c r="F9" s="377">
        <v>11862</v>
      </c>
      <c r="G9" s="377">
        <v>25225</v>
      </c>
      <c r="H9" s="377">
        <v>46826</v>
      </c>
      <c r="I9" s="377">
        <v>31</v>
      </c>
      <c r="J9" s="377">
        <v>41.836799999999997</v>
      </c>
      <c r="K9" s="377">
        <v>31</v>
      </c>
      <c r="L9" s="377">
        <v>7</v>
      </c>
      <c r="M9" s="377">
        <v>2</v>
      </c>
      <c r="N9" s="377">
        <v>93.412800000000004</v>
      </c>
      <c r="O9" s="377">
        <v>456.11999999999995</v>
      </c>
      <c r="P9" s="377">
        <v>1420.9271999999999</v>
      </c>
      <c r="Q9" s="377">
        <f>'PS Consolidated'!Q12+'PS Consolidated'!Q13</f>
        <v>1185.7227</v>
      </c>
      <c r="R9" s="377">
        <f>'PS Consolidated'!R12+'PS Consolidated'!R13</f>
        <v>0</v>
      </c>
      <c r="S9" s="377">
        <f>'PS Consolidated'!S12+'PS Consolidated'!S13</f>
        <v>2755</v>
      </c>
    </row>
    <row r="10" spans="1:20">
      <c r="A10" s="364" t="s">
        <v>14</v>
      </c>
      <c r="D10" s="376"/>
      <c r="E10" s="375">
        <f t="shared" ref="E10:R10" si="0">SUM(E6:E9)</f>
        <v>147287.7623</v>
      </c>
      <c r="F10" s="375">
        <f t="shared" si="0"/>
        <v>103023</v>
      </c>
      <c r="G10" s="375">
        <f t="shared" si="0"/>
        <v>57021</v>
      </c>
      <c r="H10" s="375">
        <f t="shared" si="0"/>
        <v>82360</v>
      </c>
      <c r="I10" s="375">
        <f t="shared" si="0"/>
        <v>40724</v>
      </c>
      <c r="J10" s="375">
        <f t="shared" si="0"/>
        <v>44868.660599999988</v>
      </c>
      <c r="K10" s="375">
        <f t="shared" si="0"/>
        <v>35579</v>
      </c>
      <c r="L10" s="375">
        <f t="shared" si="0"/>
        <v>35175</v>
      </c>
      <c r="M10" s="375">
        <f t="shared" si="0"/>
        <v>47065</v>
      </c>
      <c r="N10" s="375">
        <f t="shared" si="0"/>
        <v>31292.639300000003</v>
      </c>
      <c r="O10" s="375">
        <f t="shared" si="0"/>
        <v>133413.1452</v>
      </c>
      <c r="P10" s="375">
        <f t="shared" si="0"/>
        <v>54354.705999999991</v>
      </c>
      <c r="Q10" s="375">
        <f t="shared" si="0"/>
        <v>56037.2601</v>
      </c>
      <c r="R10" s="375">
        <f t="shared" si="0"/>
        <v>75632</v>
      </c>
      <c r="S10" s="375">
        <f t="shared" ref="S10" si="1">SUM(S6:S9)</f>
        <v>64060.372499999998</v>
      </c>
    </row>
    <row r="11" spans="1:20">
      <c r="R11" s="571"/>
      <c r="S11" s="571"/>
    </row>
    <row r="12" spans="1:20">
      <c r="A12" s="364" t="s">
        <v>352</v>
      </c>
      <c r="R12" s="571"/>
      <c r="S12" s="571"/>
    </row>
    <row r="13" spans="1:20">
      <c r="A13" s="364" t="s">
        <v>353</v>
      </c>
      <c r="E13" s="378">
        <f>'CBR Hist'!F15</f>
        <v>137117</v>
      </c>
      <c r="F13" s="378">
        <f>'CBR Hist'!G15</f>
        <v>91388</v>
      </c>
      <c r="G13" s="378">
        <f>'CBR Hist'!H15</f>
        <v>29918</v>
      </c>
      <c r="H13" s="378">
        <f>'CBR Hist'!I15</f>
        <v>35252</v>
      </c>
      <c r="I13" s="378">
        <f>'CBR Hist'!J15</f>
        <v>40460</v>
      </c>
      <c r="J13" s="378">
        <f>'CBR Hist'!K15</f>
        <v>44718</v>
      </c>
      <c r="K13" s="378">
        <f>'CBR Hist'!L15</f>
        <v>35380</v>
      </c>
      <c r="L13" s="378">
        <f>'CBR Hist'!M15</f>
        <v>34954</v>
      </c>
      <c r="M13" s="378">
        <f>'CBR Hist'!N15</f>
        <v>46848</v>
      </c>
      <c r="N13" s="378">
        <f>'CBR Hist'!O15</f>
        <v>31491</v>
      </c>
      <c r="O13" s="378">
        <f>'CBR Hist'!P15</f>
        <v>133479</v>
      </c>
      <c r="P13" s="378">
        <f>'CBR Hist'!Q15</f>
        <v>52604</v>
      </c>
      <c r="Q13" s="378">
        <f>'CBR Hist'!R15</f>
        <v>54549</v>
      </c>
      <c r="R13" s="379">
        <f>'CBR Hist'!S15+1</f>
        <v>75350</v>
      </c>
      <c r="S13" s="379">
        <f>'CBR Hist'!T15</f>
        <v>60998</v>
      </c>
    </row>
    <row r="14" spans="1:20">
      <c r="A14" s="364" t="s">
        <v>1</v>
      </c>
      <c r="E14" s="378">
        <f>'CBR Hist'!F17</f>
        <v>13062</v>
      </c>
      <c r="F14" s="378">
        <f>'CBR Hist'!G17</f>
        <v>14305</v>
      </c>
      <c r="G14" s="378">
        <f>'CBR Hist'!H17</f>
        <v>34274</v>
      </c>
      <c r="H14" s="378">
        <f>'CBR Hist'!I17</f>
        <v>57244</v>
      </c>
      <c r="I14" s="378">
        <f>'CBR Hist'!J17</f>
        <v>8587</v>
      </c>
      <c r="J14" s="378">
        <f>'CBR Hist'!K17</f>
        <v>10259</v>
      </c>
      <c r="K14" s="378">
        <f>'CBR Hist'!L17</f>
        <v>10178</v>
      </c>
      <c r="L14" s="378">
        <f>'CBR Hist'!M17</f>
        <v>10170</v>
      </c>
      <c r="M14" s="378">
        <f>'CBR Hist'!N17</f>
        <v>10927</v>
      </c>
      <c r="N14" s="378">
        <f>'CBR Hist'!O17</f>
        <v>9395</v>
      </c>
      <c r="O14" s="378">
        <f>'CBR Hist'!P17</f>
        <v>11786</v>
      </c>
      <c r="P14" s="378">
        <f>'CBR Hist'!Q17</f>
        <v>13666</v>
      </c>
      <c r="Q14" s="378">
        <f>'CBR Hist'!R17</f>
        <v>13089</v>
      </c>
      <c r="R14" s="379">
        <f>'CBR Hist'!S17</f>
        <v>13408</v>
      </c>
      <c r="S14" s="379">
        <f>'CBR Hist'!T17</f>
        <v>17163</v>
      </c>
    </row>
    <row r="15" spans="1:20">
      <c r="R15" s="571"/>
      <c r="S15" s="571"/>
    </row>
    <row r="16" spans="1:20">
      <c r="A16" s="462" t="s">
        <v>403</v>
      </c>
      <c r="E16" s="378">
        <v>7824</v>
      </c>
      <c r="F16" s="378">
        <v>9892</v>
      </c>
      <c r="G16" s="378">
        <f>ROUND(11097*G4,0)</f>
        <v>7115</v>
      </c>
      <c r="H16" s="378">
        <f>ROUND(11559*H4,0)</f>
        <v>7569</v>
      </c>
      <c r="I16" s="378">
        <f>ROUND(8476*I4,0)</f>
        <v>5523</v>
      </c>
      <c r="J16" s="379">
        <f>ROUND(10033*J4,0)+78</f>
        <v>6637</v>
      </c>
      <c r="K16" s="379">
        <f>ROUND(10539*K4,0)+86</f>
        <v>7024</v>
      </c>
      <c r="L16" s="379">
        <f>ROUND(10488*L4,0)+102</f>
        <v>6876</v>
      </c>
      <c r="M16" s="379">
        <f>ROUND(9486*M4,0)+102</f>
        <v>6213</v>
      </c>
      <c r="N16" s="379">
        <f>ROUND(9315*N4,0)+90</f>
        <v>6133</v>
      </c>
      <c r="O16" s="379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0"/>
    </row>
    <row r="17" spans="1:19">
      <c r="A17" s="462" t="s">
        <v>406</v>
      </c>
      <c r="E17" s="380">
        <f>E9-E16</f>
        <v>3143.6805000000004</v>
      </c>
      <c r="F17" s="380">
        <f>F9-F16</f>
        <v>1970</v>
      </c>
      <c r="G17" s="380">
        <f>G9</f>
        <v>25225</v>
      </c>
      <c r="H17" s="380">
        <f>H9</f>
        <v>46826</v>
      </c>
      <c r="I17" s="380">
        <f>I9</f>
        <v>31</v>
      </c>
      <c r="J17" s="380">
        <f t="shared" ref="J17:Q17" si="2">J9</f>
        <v>41.836799999999997</v>
      </c>
      <c r="K17" s="380">
        <f t="shared" si="2"/>
        <v>31</v>
      </c>
      <c r="L17" s="380">
        <f t="shared" si="2"/>
        <v>7</v>
      </c>
      <c r="M17" s="380">
        <f>M9+1623</f>
        <v>1625</v>
      </c>
      <c r="N17" s="380">
        <f>N9+89</f>
        <v>182.4128</v>
      </c>
      <c r="O17" s="380">
        <f t="shared" si="2"/>
        <v>456.11999999999995</v>
      </c>
      <c r="P17" s="380">
        <f t="shared" si="2"/>
        <v>1420.9271999999999</v>
      </c>
      <c r="Q17" s="380">
        <f t="shared" si="2"/>
        <v>1185.7227</v>
      </c>
      <c r="R17" s="572">
        <f>R9</f>
        <v>0</v>
      </c>
      <c r="S17" s="572">
        <f>S9</f>
        <v>2755</v>
      </c>
    </row>
    <row r="18" spans="1:19">
      <c r="A18" s="462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572"/>
      <c r="S18" s="572"/>
    </row>
    <row r="19" spans="1:19">
      <c r="A19" s="495" t="s">
        <v>463</v>
      </c>
      <c r="E19" s="380">
        <f t="shared" ref="E19:R19" si="3">E17+E7+E8</f>
        <v>3487.7256000000007</v>
      </c>
      <c r="F19" s="380">
        <f t="shared" si="3"/>
        <v>2251</v>
      </c>
      <c r="G19" s="380">
        <f t="shared" si="3"/>
        <v>25293</v>
      </c>
      <c r="H19" s="380">
        <f t="shared" si="3"/>
        <v>47139</v>
      </c>
      <c r="I19" s="380">
        <f t="shared" si="3"/>
        <v>285</v>
      </c>
      <c r="J19" s="380">
        <f t="shared" si="3"/>
        <v>179.11379999999997</v>
      </c>
      <c r="K19" s="380">
        <f t="shared" si="3"/>
        <v>198</v>
      </c>
      <c r="L19" s="380">
        <f t="shared" si="3"/>
        <v>221</v>
      </c>
      <c r="M19" s="380">
        <f t="shared" si="3"/>
        <v>1839</v>
      </c>
      <c r="N19" s="380">
        <f t="shared" si="3"/>
        <v>448.37979999999999</v>
      </c>
      <c r="O19" s="380">
        <f t="shared" si="3"/>
        <v>639.87119999999993</v>
      </c>
      <c r="P19" s="380">
        <f t="shared" si="3"/>
        <v>1751.694</v>
      </c>
      <c r="Q19" s="380">
        <f t="shared" si="3"/>
        <v>1489.3194000000001</v>
      </c>
      <c r="R19" s="572">
        <f t="shared" si="3"/>
        <v>282</v>
      </c>
      <c r="S19" s="572">
        <f>S17+S7+S8</f>
        <v>3062.3724999999999</v>
      </c>
    </row>
    <row r="20" spans="1:19">
      <c r="R20" s="571"/>
      <c r="S20" s="571"/>
    </row>
    <row r="21" spans="1:19">
      <c r="A21" s="364" t="s">
        <v>354</v>
      </c>
      <c r="E21" s="380">
        <f>E14-E9-E7-E8</f>
        <v>1750.2743999999996</v>
      </c>
      <c r="F21" s="380">
        <f>F14-F9-F7-F8</f>
        <v>2162</v>
      </c>
      <c r="G21" s="380">
        <f t="shared" ref="G21:Q21" si="4">G14-G16-G17-G7-G8</f>
        <v>1866</v>
      </c>
      <c r="H21" s="380">
        <f t="shared" si="4"/>
        <v>2536</v>
      </c>
      <c r="I21" s="380">
        <f t="shared" si="4"/>
        <v>2779</v>
      </c>
      <c r="J21" s="380">
        <f t="shared" si="4"/>
        <v>3442.8861999999999</v>
      </c>
      <c r="K21" s="380">
        <f t="shared" si="4"/>
        <v>2956</v>
      </c>
      <c r="L21" s="380">
        <f t="shared" si="4"/>
        <v>3073</v>
      </c>
      <c r="M21" s="380">
        <f t="shared" si="4"/>
        <v>2875</v>
      </c>
      <c r="N21" s="380">
        <f t="shared" si="4"/>
        <v>2813.6201999999998</v>
      </c>
      <c r="O21" s="380">
        <f t="shared" si="4"/>
        <v>2813.1288</v>
      </c>
      <c r="P21" s="380">
        <f t="shared" si="4"/>
        <v>2812.306</v>
      </c>
      <c r="Q21" s="380">
        <f t="shared" si="4"/>
        <v>3314.6805999999997</v>
      </c>
      <c r="R21" s="572">
        <f>R14-R16-R17-R7-R8</f>
        <v>3464</v>
      </c>
      <c r="S21" s="572">
        <f>S14-S16-S17-S7-S8</f>
        <v>3478.1931</v>
      </c>
    </row>
    <row r="23" spans="1:19">
      <c r="A23" s="463" t="s">
        <v>407</v>
      </c>
      <c r="E23" s="380" t="str">
        <f t="shared" ref="E23:R23" si="5">IF(E7+E8+E16+E17+E21=E14,"","footing error")</f>
        <v/>
      </c>
      <c r="F23" s="380" t="str">
        <f t="shared" si="5"/>
        <v/>
      </c>
      <c r="G23" s="380" t="str">
        <f t="shared" si="5"/>
        <v/>
      </c>
      <c r="H23" s="380" t="str">
        <f t="shared" si="5"/>
        <v/>
      </c>
      <c r="I23" s="380" t="str">
        <f t="shared" si="5"/>
        <v/>
      </c>
      <c r="J23" s="380" t="str">
        <f t="shared" si="5"/>
        <v/>
      </c>
      <c r="K23" s="380" t="str">
        <f t="shared" si="5"/>
        <v/>
      </c>
      <c r="L23" s="380" t="str">
        <f t="shared" si="5"/>
        <v/>
      </c>
      <c r="M23" s="380" t="str">
        <f t="shared" si="5"/>
        <v/>
      </c>
      <c r="N23" s="380" t="str">
        <f t="shared" si="5"/>
        <v/>
      </c>
      <c r="O23" s="380" t="str">
        <f t="shared" si="5"/>
        <v/>
      </c>
      <c r="P23" s="380" t="str">
        <f t="shared" si="5"/>
        <v/>
      </c>
      <c r="Q23" s="380" t="str">
        <f t="shared" si="5"/>
        <v/>
      </c>
      <c r="R23" s="380" t="str">
        <f t="shared" si="5"/>
        <v/>
      </c>
      <c r="S23" s="380" t="str">
        <f t="shared" ref="S23" si="6">IF(S7+S8+S16+S17+S21=S14,"","footing error")</f>
        <v/>
      </c>
    </row>
    <row r="24" spans="1:19">
      <c r="I24" s="559" t="s">
        <v>504</v>
      </c>
      <c r="M24" s="380">
        <v>1623</v>
      </c>
      <c r="N24" s="380">
        <v>89</v>
      </c>
      <c r="O24" s="380"/>
      <c r="P24" s="380"/>
    </row>
    <row r="25" spans="1:19">
      <c r="I25" s="381" t="s">
        <v>355</v>
      </c>
      <c r="M25" s="380"/>
      <c r="N25" s="380"/>
      <c r="O25" s="380">
        <v>-767</v>
      </c>
      <c r="P25" s="380"/>
    </row>
    <row r="26" spans="1:19">
      <c r="I26" s="381" t="s">
        <v>356</v>
      </c>
      <c r="M26" s="380"/>
      <c r="N26" s="380"/>
      <c r="O26" s="380"/>
      <c r="P26" s="380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7FDE4436DDBF4D82FDD1C15667C2E2" ma:contentTypeVersion="119" ma:contentTypeDescription="" ma:contentTypeScope="" ma:versionID="c032a4c147a26dcdd45af4d4b2559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2015-02-09T08:00:00+00:00</OpenedDate>
    <Date1 xmlns="dc463f71-b30c-4ab2-9473-d307f9d35888">2016-01-26T23:07:28+00:00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F89DF39-6998-4B98-816C-D36A535A8A94}"/>
</file>

<file path=customXml/itemProps2.xml><?xml version="1.0" encoding="utf-8"?>
<ds:datastoreItem xmlns:ds="http://schemas.openxmlformats.org/officeDocument/2006/customXml" ds:itemID="{05567C00-A00A-4FE2-B984-B9E83AB9466F}"/>
</file>

<file path=customXml/itemProps3.xml><?xml version="1.0" encoding="utf-8"?>
<ds:datastoreItem xmlns:ds="http://schemas.openxmlformats.org/officeDocument/2006/customXml" ds:itemID="{3EF7F323-7CA8-4D70-834C-77E93ABA52B5}"/>
</file>

<file path=customXml/itemProps4.xml><?xml version="1.0" encoding="utf-8"?>
<ds:datastoreItem xmlns:ds="http://schemas.openxmlformats.org/officeDocument/2006/customXml" ds:itemID="{BA984CF9-CFCA-4FCA-959E-C9206EECF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Summary</vt:lpstr>
      <vt:lpstr>ROR</vt:lpstr>
      <vt:lpstr>Attrition 09.2014 to 2016</vt:lpstr>
      <vt:lpstr>Plant Trends</vt:lpstr>
      <vt:lpstr>remove dist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PF Power Supply 09.2014 load</vt:lpstr>
      <vt:lpstr>PF Power Supply 2016 load</vt:lpstr>
      <vt:lpstr>incremental load expense</vt:lpstr>
      <vt:lpstr>09.2014 Rev Model</vt:lpstr>
      <vt:lpstr>2016 Customers and Demand</vt:lpstr>
      <vt:lpstr>2016 Forecast Energy</vt:lpstr>
      <vt:lpstr>12.2014 CB Power Supply</vt:lpstr>
      <vt:lpstr>456 Revenue</vt:lpstr>
      <vt:lpstr>CS2-Colstrip 2016 Incrmntl Exp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Krista Gross</cp:lastModifiedBy>
  <cp:lastPrinted>2015-06-17T17:14:07Z</cp:lastPrinted>
  <dcterms:created xsi:type="dcterms:W3CDTF">2012-01-25T16:30:38Z</dcterms:created>
  <dcterms:modified xsi:type="dcterms:W3CDTF">2016-01-26T16:27:30Z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0x0101006E56B4D1795A2E4DB2F0B01679ED314A005A7FDE4436DDBF4D82FDD1C15667C2E2</vt:lpwstr>
  </property>
  <property fmtid="{D5CDD505-2E9C-101B-9397-08002B2CF9AE}" pid="3" name="_docset_NoMedatataSyncRequired">
    <vt:lpwstr>False</vt:lpwstr>
  </property>
</Properties>
</file>