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80" yWindow="405" windowWidth="14520" windowHeight="13170" tabRatio="799" firstSheet="2" activeTab="7"/>
  </bookViews>
  <sheets>
    <sheet name="Comp Depr Rates Sept 07" sheetId="3" state="hidden" r:id="rId1"/>
    <sheet name="Depreciation Recon" sheetId="2" state="hidden" r:id="rId2"/>
    <sheet name="Lead E" sheetId="12" r:id="rId3"/>
    <sheet name="2025 Retirement 3&amp;4" sheetId="61" r:id="rId4"/>
    <sheet name="2029 Retirement 3&amp;4" sheetId="62" r:id="rId5"/>
    <sheet name="Elec Depr Stdy Orig Adj" sheetId="60" r:id="rId6"/>
    <sheet name="Colstrip 3&amp;4 2025" sheetId="58" r:id="rId7"/>
    <sheet name="Colstrip 3&amp;4 2029" sheetId="59" r:id="rId8"/>
  </sheets>
  <definedNames>
    <definedName name="_xlnm.Print_Area" localSheetId="3">'2025 Retirement 3&amp;4'!$A$3:$M$48</definedName>
    <definedName name="_xlnm.Print_Area" localSheetId="4">'2029 Retirement 3&amp;4'!$A$3:$M$50</definedName>
    <definedName name="_xlnm.Print_Area" localSheetId="2">'Lead E'!$A$3:$O$57</definedName>
    <definedName name="_xlnm.Print_Titles" localSheetId="3">'2025 Retirement 3&amp;4'!$3:$5</definedName>
    <definedName name="_xlnm.Print_Titles" localSheetId="4">'2029 Retirement 3&amp;4'!$3:$5</definedName>
    <definedName name="_xlnm.Print_Titles" localSheetId="0">'Comp Depr Rates Sept 07'!$2:$4</definedName>
  </definedNames>
  <calcPr calcId="145621"/>
</workbook>
</file>

<file path=xl/calcChain.xml><?xml version="1.0" encoding="utf-8"?>
<calcChain xmlns="http://schemas.openxmlformats.org/spreadsheetml/2006/main">
  <c r="A46" i="12" l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I14" i="61" l="1"/>
  <c r="H16" i="62" l="1"/>
  <c r="I16" i="62"/>
  <c r="J16" i="62"/>
  <c r="M16" i="62" s="1"/>
  <c r="H17" i="62"/>
  <c r="I17" i="62"/>
  <c r="J17" i="62"/>
  <c r="M17" i="62" s="1"/>
  <c r="H18" i="62"/>
  <c r="I18" i="62"/>
  <c r="J18" i="62"/>
  <c r="M18" i="62" s="1"/>
  <c r="C20" i="62"/>
  <c r="D20" i="62"/>
  <c r="F20" i="62" s="1"/>
  <c r="E20" i="62"/>
  <c r="I20" i="62"/>
  <c r="G20" i="62" s="1"/>
  <c r="H20" i="62" s="1"/>
  <c r="K20" i="62" s="1"/>
  <c r="L20" i="62"/>
  <c r="L50" i="62" s="1"/>
  <c r="H23" i="62"/>
  <c r="I23" i="62"/>
  <c r="J23" i="62"/>
  <c r="M23" i="62"/>
  <c r="M27" i="62" s="1"/>
  <c r="H24" i="62"/>
  <c r="I24" i="62"/>
  <c r="J24" i="62"/>
  <c r="M24" i="62"/>
  <c r="H25" i="62"/>
  <c r="I25" i="62"/>
  <c r="J25" i="62"/>
  <c r="M25" i="62"/>
  <c r="C27" i="62"/>
  <c r="D27" i="62"/>
  <c r="E27" i="62"/>
  <c r="F27" i="62"/>
  <c r="I27" i="62"/>
  <c r="G27" i="62" s="1"/>
  <c r="H27" i="62" s="1"/>
  <c r="K27" i="62" s="1"/>
  <c r="J27" i="62"/>
  <c r="L27" i="62"/>
  <c r="H30" i="62"/>
  <c r="I30" i="62" s="1"/>
  <c r="H31" i="62"/>
  <c r="I31" i="62" s="1"/>
  <c r="J31" i="62" s="1"/>
  <c r="M31" i="62" s="1"/>
  <c r="C33" i="62"/>
  <c r="E33" i="62" s="1"/>
  <c r="D33" i="62"/>
  <c r="L33" i="62"/>
  <c r="H36" i="62"/>
  <c r="I36" i="62"/>
  <c r="J36" i="62" s="1"/>
  <c r="H37" i="62"/>
  <c r="I37" i="62"/>
  <c r="J37" i="62" s="1"/>
  <c r="M37" i="62" s="1"/>
  <c r="H38" i="62"/>
  <c r="I38" i="62"/>
  <c r="J38" i="62" s="1"/>
  <c r="M38" i="62" s="1"/>
  <c r="C40" i="62"/>
  <c r="D40" i="62"/>
  <c r="D50" i="62" s="1"/>
  <c r="L40" i="62"/>
  <c r="H43" i="62"/>
  <c r="I43" i="62"/>
  <c r="I48" i="62" s="1"/>
  <c r="G48" i="62" s="1"/>
  <c r="J43" i="62"/>
  <c r="M43" i="62" s="1"/>
  <c r="M44" i="62"/>
  <c r="H45" i="62"/>
  <c r="I45" i="62"/>
  <c r="J45" i="62" s="1"/>
  <c r="M45" i="62" s="1"/>
  <c r="H46" i="62"/>
  <c r="I46" i="62"/>
  <c r="J46" i="62" s="1"/>
  <c r="M46" i="62" s="1"/>
  <c r="C48" i="62"/>
  <c r="D48" i="62"/>
  <c r="E48" i="62" s="1"/>
  <c r="L48" i="62"/>
  <c r="H48" i="62" l="1"/>
  <c r="K48" i="62" s="1"/>
  <c r="M36" i="62"/>
  <c r="M40" i="62" s="1"/>
  <c r="J40" i="62"/>
  <c r="M20" i="62"/>
  <c r="M48" i="62"/>
  <c r="J30" i="62"/>
  <c r="I33" i="62"/>
  <c r="G33" i="62" s="1"/>
  <c r="H33" i="62" s="1"/>
  <c r="K33" i="62" s="1"/>
  <c r="F33" i="62"/>
  <c r="C50" i="62"/>
  <c r="F50" i="62" s="1"/>
  <c r="J48" i="62"/>
  <c r="F48" i="62"/>
  <c r="F40" i="62"/>
  <c r="I40" i="62"/>
  <c r="G40" i="62" s="1"/>
  <c r="H40" i="62" s="1"/>
  <c r="K40" i="62" s="1"/>
  <c r="E40" i="62"/>
  <c r="J20" i="62"/>
  <c r="M30" i="62" l="1"/>
  <c r="J33" i="62"/>
  <c r="J50" i="62"/>
  <c r="I50" i="62"/>
  <c r="G50" i="62" s="1"/>
  <c r="H50" i="62" s="1"/>
  <c r="K50" i="62" s="1"/>
  <c r="M33" i="62" l="1"/>
  <c r="M50" i="62" s="1"/>
  <c r="H14" i="61" l="1"/>
  <c r="H15" i="61"/>
  <c r="I15" i="61" s="1"/>
  <c r="J15" i="61" s="1"/>
  <c r="M15" i="61" s="1"/>
  <c r="H16" i="61"/>
  <c r="I16" i="61" s="1"/>
  <c r="J16" i="61" s="1"/>
  <c r="M16" i="61" s="1"/>
  <c r="C18" i="61"/>
  <c r="E18" i="61" s="1"/>
  <c r="D18" i="61"/>
  <c r="L18" i="61"/>
  <c r="H21" i="61"/>
  <c r="I21" i="61"/>
  <c r="J21" i="61" s="1"/>
  <c r="H22" i="61"/>
  <c r="I22" i="61"/>
  <c r="J22" i="61" s="1"/>
  <c r="M22" i="61" s="1"/>
  <c r="H23" i="61"/>
  <c r="I23" i="61"/>
  <c r="J23" i="61" s="1"/>
  <c r="M23" i="61" s="1"/>
  <c r="C25" i="61"/>
  <c r="D25" i="61"/>
  <c r="E25" i="61" s="1"/>
  <c r="L25" i="61"/>
  <c r="H28" i="61"/>
  <c r="I28" i="61"/>
  <c r="J28" i="61"/>
  <c r="M28" i="61" s="1"/>
  <c r="H29" i="61"/>
  <c r="I29" i="61"/>
  <c r="J29" i="61"/>
  <c r="M29" i="61" s="1"/>
  <c r="C31" i="61"/>
  <c r="D31" i="61"/>
  <c r="F31" i="61" s="1"/>
  <c r="E31" i="61"/>
  <c r="I31" i="61"/>
  <c r="G31" i="61" s="1"/>
  <c r="H31" i="61" s="1"/>
  <c r="K31" i="61" s="1"/>
  <c r="L31" i="61"/>
  <c r="H34" i="61"/>
  <c r="I34" i="61"/>
  <c r="J34" i="61"/>
  <c r="M34" i="61"/>
  <c r="M38" i="61" s="1"/>
  <c r="H35" i="61"/>
  <c r="I35" i="61"/>
  <c r="J35" i="61"/>
  <c r="M35" i="61"/>
  <c r="H36" i="61"/>
  <c r="I36" i="61"/>
  <c r="J36" i="61"/>
  <c r="M36" i="61"/>
  <c r="C38" i="61"/>
  <c r="D38" i="61"/>
  <c r="E38" i="61"/>
  <c r="F38" i="61"/>
  <c r="I38" i="61"/>
  <c r="G38" i="61" s="1"/>
  <c r="H38" i="61" s="1"/>
  <c r="K38" i="61" s="1"/>
  <c r="J38" i="61"/>
  <c r="L38" i="61"/>
  <c r="H41" i="61"/>
  <c r="I41" i="61" s="1"/>
  <c r="H42" i="61"/>
  <c r="I42" i="61" s="1"/>
  <c r="J42" i="61" s="1"/>
  <c r="M42" i="61" s="1"/>
  <c r="H43" i="61"/>
  <c r="I43" i="61" s="1"/>
  <c r="J43" i="61" s="1"/>
  <c r="M43" i="61" s="1"/>
  <c r="H44" i="61"/>
  <c r="I44" i="61" s="1"/>
  <c r="J44" i="61" s="1"/>
  <c r="M44" i="61" s="1"/>
  <c r="C46" i="61"/>
  <c r="E46" i="61" s="1"/>
  <c r="D46" i="61"/>
  <c r="L46" i="61"/>
  <c r="D48" i="61"/>
  <c r="L48" i="61"/>
  <c r="E44" i="12"/>
  <c r="J14" i="61" l="1"/>
  <c r="I18" i="61"/>
  <c r="G18" i="61" s="1"/>
  <c r="M21" i="61"/>
  <c r="M25" i="61" s="1"/>
  <c r="J25" i="61"/>
  <c r="J41" i="61"/>
  <c r="I46" i="61"/>
  <c r="G46" i="61" s="1"/>
  <c r="H46" i="61" s="1"/>
  <c r="K46" i="61" s="1"/>
  <c r="M31" i="61"/>
  <c r="C48" i="61"/>
  <c r="F46" i="61"/>
  <c r="F18" i="61"/>
  <c r="F25" i="61"/>
  <c r="J31" i="61"/>
  <c r="I25" i="61"/>
  <c r="G25" i="61" s="1"/>
  <c r="D34" i="12"/>
  <c r="D29" i="12"/>
  <c r="D30" i="12"/>
  <c r="D22" i="12"/>
  <c r="D23" i="12"/>
  <c r="D16" i="12"/>
  <c r="D17" i="12"/>
  <c r="D18" i="12"/>
  <c r="D19" i="12"/>
  <c r="C34" i="12"/>
  <c r="C31" i="12"/>
  <c r="C30" i="12"/>
  <c r="C29" i="12"/>
  <c r="C23" i="12"/>
  <c r="C22" i="12"/>
  <c r="C19" i="12"/>
  <c r="C18" i="12"/>
  <c r="C17" i="12"/>
  <c r="C16" i="12"/>
  <c r="E14" i="60"/>
  <c r="A15" i="60"/>
  <c r="E15" i="60"/>
  <c r="A16" i="60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D16" i="60"/>
  <c r="E16" i="60" s="1"/>
  <c r="E17" i="60"/>
  <c r="C18" i="60"/>
  <c r="E20" i="60"/>
  <c r="E21" i="60"/>
  <c r="C22" i="60"/>
  <c r="D22" i="60"/>
  <c r="E22" i="60"/>
  <c r="C24" i="60"/>
  <c r="E27" i="60"/>
  <c r="E28" i="60"/>
  <c r="C29" i="60"/>
  <c r="D29" i="60"/>
  <c r="E29" i="60"/>
  <c r="E32" i="60"/>
  <c r="H18" i="61" l="1"/>
  <c r="K18" i="61" s="1"/>
  <c r="H25" i="61"/>
  <c r="K25" i="61" s="1"/>
  <c r="M41" i="61"/>
  <c r="M46" i="61" s="1"/>
  <c r="J46" i="61"/>
  <c r="J48" i="61"/>
  <c r="M14" i="61"/>
  <c r="J18" i="61"/>
  <c r="I48" i="61"/>
  <c r="K48" i="61" s="1"/>
  <c r="E18" i="60"/>
  <c r="D18" i="60"/>
  <c r="D24" i="60" s="1"/>
  <c r="E24" i="60" s="1"/>
  <c r="E35" i="60" s="1"/>
  <c r="M48" i="61" l="1"/>
  <c r="M18" i="61"/>
  <c r="E36" i="60"/>
  <c r="E37" i="60" s="1"/>
  <c r="E41" i="60"/>
  <c r="E43" i="60" s="1"/>
  <c r="M44" i="12" l="1"/>
  <c r="L34" i="12"/>
  <c r="O34" i="12" s="1"/>
  <c r="L30" i="12"/>
  <c r="O30" i="12" s="1"/>
  <c r="L29" i="12"/>
  <c r="O29" i="12" s="1"/>
  <c r="L23" i="12"/>
  <c r="O23" i="12" s="1"/>
  <c r="L22" i="12"/>
  <c r="O22" i="12" s="1"/>
  <c r="O24" i="12" s="1"/>
  <c r="L19" i="12"/>
  <c r="L18" i="12"/>
  <c r="L17" i="12"/>
  <c r="O17" i="12" s="1"/>
  <c r="L16" i="12"/>
  <c r="O16" i="12" s="1"/>
  <c r="E14" i="59"/>
  <c r="A15" i="59"/>
  <c r="E15" i="59"/>
  <c r="A16" i="59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D16" i="59"/>
  <c r="E16" i="59" s="1"/>
  <c r="E17" i="59"/>
  <c r="C18" i="59"/>
  <c r="E20" i="59"/>
  <c r="E21" i="59"/>
  <c r="C22" i="59"/>
  <c r="D22" i="59"/>
  <c r="E22" i="59"/>
  <c r="C24" i="59"/>
  <c r="E27" i="59"/>
  <c r="E28" i="59"/>
  <c r="C29" i="59"/>
  <c r="D29" i="59"/>
  <c r="E29" i="59"/>
  <c r="E32" i="59"/>
  <c r="O31" i="12" l="1"/>
  <c r="E18" i="59"/>
  <c r="D18" i="59"/>
  <c r="D24" i="59" s="1"/>
  <c r="E24" i="59" s="1"/>
  <c r="E35" i="59" s="1"/>
  <c r="E36" i="59" l="1"/>
  <c r="E37" i="59" s="1"/>
  <c r="E41" i="59"/>
  <c r="E43" i="59" s="1"/>
  <c r="H44" i="12" l="1"/>
  <c r="E29" i="12"/>
  <c r="G34" i="12"/>
  <c r="J34" i="12" s="1"/>
  <c r="G30" i="12"/>
  <c r="H30" i="12" s="1"/>
  <c r="G29" i="12"/>
  <c r="J29" i="12" s="1"/>
  <c r="G23" i="12"/>
  <c r="G22" i="12"/>
  <c r="H22" i="12" s="1"/>
  <c r="G19" i="12"/>
  <c r="G18" i="12"/>
  <c r="G17" i="12"/>
  <c r="G16" i="12"/>
  <c r="J16" i="12" s="1"/>
  <c r="E14" i="58"/>
  <c r="A15" i="58"/>
  <c r="E15" i="58"/>
  <c r="A16" i="58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D16" i="58"/>
  <c r="E16" i="58" s="1"/>
  <c r="E17" i="58"/>
  <c r="C18" i="58"/>
  <c r="E20" i="58"/>
  <c r="E21" i="58"/>
  <c r="C22" i="58"/>
  <c r="D22" i="58"/>
  <c r="E22" i="58"/>
  <c r="C24" i="58"/>
  <c r="E27" i="58"/>
  <c r="E28" i="58"/>
  <c r="C29" i="58"/>
  <c r="D29" i="58"/>
  <c r="E29" i="58"/>
  <c r="E32" i="58"/>
  <c r="H29" i="12" l="1"/>
  <c r="H31" i="12" s="1"/>
  <c r="E18" i="58"/>
  <c r="D18" i="58"/>
  <c r="D24" i="58" s="1"/>
  <c r="E24" i="58" s="1"/>
  <c r="E35" i="58" s="1"/>
  <c r="L31" i="12"/>
  <c r="M22" i="12"/>
  <c r="M16" i="12"/>
  <c r="L24" i="12" l="1"/>
  <c r="E36" i="58"/>
  <c r="E37" i="58" s="1"/>
  <c r="E41" i="58"/>
  <c r="E43" i="58" s="1"/>
  <c r="J23" i="12"/>
  <c r="G31" i="12" l="1"/>
  <c r="H16" i="12"/>
  <c r="J22" i="12"/>
  <c r="G24" i="12"/>
  <c r="L20" i="12"/>
  <c r="L26" i="12" s="1"/>
  <c r="G20" i="12" l="1"/>
  <c r="G26" i="12" s="1"/>
  <c r="J30" i="12" l="1"/>
  <c r="E30" i="12" l="1"/>
  <c r="E31" i="12" s="1"/>
  <c r="A17" i="12" l="1"/>
  <c r="A18" i="12" l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l="1"/>
  <c r="F500" i="3" l="1"/>
  <c r="F514" i="3" s="1"/>
  <c r="F510" i="3"/>
  <c r="F512" i="3"/>
  <c r="F474" i="3"/>
  <c r="F494" i="3" s="1"/>
  <c r="F475" i="3"/>
  <c r="F478" i="3"/>
  <c r="F479" i="3"/>
  <c r="F480" i="3"/>
  <c r="F481" i="3"/>
  <c r="F487" i="3"/>
  <c r="F488" i="3"/>
  <c r="F489" i="3"/>
  <c r="F492" i="3"/>
  <c r="F468" i="3"/>
  <c r="F460" i="3"/>
  <c r="F440" i="3"/>
  <c r="F441" i="3"/>
  <c r="F444" i="3" s="1"/>
  <c r="F83" i="3"/>
  <c r="F74" i="3"/>
  <c r="F66" i="3"/>
  <c r="F58" i="3"/>
  <c r="F50" i="3"/>
  <c r="F46" i="3"/>
  <c r="F36" i="3"/>
  <c r="F90" i="3"/>
  <c r="F98" i="3"/>
  <c r="F106" i="3"/>
  <c r="F108" i="3"/>
  <c r="F167" i="3"/>
  <c r="F157" i="3"/>
  <c r="F143" i="3"/>
  <c r="F125" i="3"/>
  <c r="F132" i="3" s="1"/>
  <c r="F169" i="3" s="1"/>
  <c r="F122" i="3"/>
  <c r="F179" i="3"/>
  <c r="F192" i="3"/>
  <c r="F198" i="3"/>
  <c r="F207" i="3"/>
  <c r="F215" i="3"/>
  <c r="F217" i="3" s="1"/>
  <c r="F224" i="3"/>
  <c r="F227" i="3" s="1"/>
  <c r="F234" i="3"/>
  <c r="F240" i="3"/>
  <c r="F242" i="3"/>
  <c r="F243" i="3" s="1"/>
  <c r="F249" i="3"/>
  <c r="F310" i="3"/>
  <c r="F313" i="3"/>
  <c r="F315" i="3" s="1"/>
  <c r="F304" i="3"/>
  <c r="F306" i="3"/>
  <c r="F295" i="3"/>
  <c r="F296" i="3"/>
  <c r="F297" i="3"/>
  <c r="F283" i="3"/>
  <c r="F285" i="3"/>
  <c r="F290" i="3" s="1"/>
  <c r="F286" i="3"/>
  <c r="F287" i="3"/>
  <c r="F288" i="3"/>
  <c r="F289" i="3"/>
  <c r="F280" i="3"/>
  <c r="F275" i="3"/>
  <c r="F265" i="3"/>
  <c r="F350" i="3"/>
  <c r="F351" i="3"/>
  <c r="F352" i="3"/>
  <c r="F353" i="3"/>
  <c r="F354" i="3"/>
  <c r="F355" i="3"/>
  <c r="F358" i="3"/>
  <c r="F360" i="3"/>
  <c r="F361" i="3"/>
  <c r="F385" i="3"/>
  <c r="F387" i="3" s="1"/>
  <c r="F378" i="3"/>
  <c r="F372" i="3"/>
  <c r="F374" i="3"/>
  <c r="F368" i="3"/>
  <c r="F347" i="3"/>
  <c r="F341" i="3"/>
  <c r="F331" i="3"/>
  <c r="F336" i="3" s="1"/>
  <c r="F332" i="3"/>
  <c r="F324" i="3"/>
  <c r="F320" i="3"/>
  <c r="F392" i="3"/>
  <c r="F394" i="3"/>
  <c r="F421" i="3"/>
  <c r="F411" i="3"/>
  <c r="F8" i="3"/>
  <c r="F24" i="3" s="1"/>
  <c r="F9" i="3"/>
  <c r="F10" i="3"/>
  <c r="F12" i="3"/>
  <c r="F19" i="3"/>
  <c r="F20" i="3"/>
  <c r="D49" i="2"/>
  <c r="B49" i="2"/>
  <c r="D29" i="2"/>
  <c r="C29" i="2"/>
  <c r="B29" i="2"/>
  <c r="D11" i="2"/>
  <c r="B11" i="2"/>
  <c r="E510" i="3"/>
  <c r="E500" i="3"/>
  <c r="E514" i="3"/>
  <c r="E516" i="3" s="1"/>
  <c r="E489" i="3"/>
  <c r="E488" i="3"/>
  <c r="E487" i="3"/>
  <c r="E481" i="3"/>
  <c r="E480" i="3"/>
  <c r="E479" i="3"/>
  <c r="E478" i="3"/>
  <c r="E475" i="3"/>
  <c r="E474" i="3"/>
  <c r="E441" i="3"/>
  <c r="E440" i="3"/>
  <c r="E401" i="3"/>
  <c r="E411" i="3"/>
  <c r="E394" i="3"/>
  <c r="E392" i="3"/>
  <c r="E421" i="3" s="1"/>
  <c r="E353" i="3"/>
  <c r="E352" i="3"/>
  <c r="E350" i="3"/>
  <c r="E372" i="3"/>
  <c r="E360" i="3"/>
  <c r="E358" i="3"/>
  <c r="E355" i="3"/>
  <c r="E354" i="3"/>
  <c r="E351" i="3"/>
  <c r="E332" i="3"/>
  <c r="E331" i="3"/>
  <c r="E310" i="3"/>
  <c r="E304" i="3"/>
  <c r="E306" i="3" s="1"/>
  <c r="E315" i="3" s="1"/>
  <c r="E296" i="3"/>
  <c r="E295" i="3"/>
  <c r="E289" i="3"/>
  <c r="E288" i="3"/>
  <c r="E287" i="3"/>
  <c r="E286" i="3"/>
  <c r="E283" i="3"/>
  <c r="E290" i="3" s="1"/>
  <c r="E224" i="3"/>
  <c r="E227" i="3"/>
  <c r="E242" i="3"/>
  <c r="E240" i="3"/>
  <c r="E215" i="3"/>
  <c r="E217" i="3"/>
  <c r="E125" i="3"/>
  <c r="E132" i="3"/>
  <c r="E20" i="3"/>
  <c r="E19" i="3"/>
  <c r="E12" i="3"/>
  <c r="E10" i="3"/>
  <c r="E9" i="3"/>
  <c r="E8" i="3"/>
  <c r="E24" i="3" s="1"/>
  <c r="E572" i="3"/>
  <c r="E574" i="3" s="1"/>
  <c r="E559" i="3"/>
  <c r="E539" i="3"/>
  <c r="E494" i="3"/>
  <c r="E468" i="3"/>
  <c r="E460" i="3"/>
  <c r="E444" i="3"/>
  <c r="E83" i="3"/>
  <c r="E74" i="3"/>
  <c r="E66" i="3"/>
  <c r="E58" i="3"/>
  <c r="E50" i="3"/>
  <c r="E46" i="3"/>
  <c r="E108" i="3" s="1"/>
  <c r="E423" i="3" s="1"/>
  <c r="E36" i="3"/>
  <c r="E90" i="3"/>
  <c r="E98" i="3"/>
  <c r="E106" i="3"/>
  <c r="E167" i="3"/>
  <c r="E157" i="3"/>
  <c r="E143" i="3"/>
  <c r="E169" i="3" s="1"/>
  <c r="E122" i="3"/>
  <c r="E179" i="3"/>
  <c r="E192" i="3"/>
  <c r="E198" i="3"/>
  <c r="E207" i="3"/>
  <c r="E234" i="3"/>
  <c r="E243" i="3"/>
  <c r="E249" i="3"/>
  <c r="E313" i="3"/>
  <c r="E297" i="3"/>
  <c r="E280" i="3"/>
  <c r="E275" i="3"/>
  <c r="E265" i="3"/>
  <c r="E361" i="3"/>
  <c r="E385" i="3"/>
  <c r="E378" i="3"/>
  <c r="E387" i="3" s="1"/>
  <c r="E374" i="3"/>
  <c r="E368" i="3"/>
  <c r="E347" i="3"/>
  <c r="E341" i="3"/>
  <c r="E336" i="3"/>
  <c r="E324" i="3"/>
  <c r="E320" i="3"/>
  <c r="E251" i="3"/>
  <c r="E524" i="3" l="1"/>
  <c r="F516" i="3"/>
  <c r="F520" i="3" s="1"/>
  <c r="E577" i="3"/>
  <c r="F251" i="3"/>
  <c r="F423" i="3" s="1"/>
  <c r="F431" i="3" s="1"/>
  <c r="F524" i="3" l="1"/>
  <c r="E16" i="12" l="1"/>
  <c r="J31" i="12" l="1"/>
  <c r="D31" i="12" l="1"/>
  <c r="J24" i="12" l="1"/>
  <c r="E22" i="12"/>
  <c r="D24" i="12"/>
  <c r="H18" i="12" l="1"/>
  <c r="M18" i="12"/>
  <c r="H34" i="12"/>
  <c r="J18" i="12" l="1"/>
  <c r="O18" i="12"/>
  <c r="H19" i="12"/>
  <c r="M19" i="12"/>
  <c r="E18" i="12"/>
  <c r="J19" i="12" l="1"/>
  <c r="O19" i="12"/>
  <c r="O20" i="12" s="1"/>
  <c r="E34" i="12"/>
  <c r="H17" i="12"/>
  <c r="H20" i="12" s="1"/>
  <c r="M17" i="12"/>
  <c r="M20" i="12" s="1"/>
  <c r="M27" i="12" s="1"/>
  <c r="E19" i="12"/>
  <c r="E17" i="12"/>
  <c r="C20" i="12"/>
  <c r="E20" i="12" l="1"/>
  <c r="M23" i="12"/>
  <c r="H23" i="12"/>
  <c r="H24" i="12" s="1"/>
  <c r="J17" i="12"/>
  <c r="J20" i="12" s="1"/>
  <c r="D20" i="12"/>
  <c r="E23" i="12"/>
  <c r="E24" i="12" s="1"/>
  <c r="C24" i="12"/>
  <c r="C26" i="12" s="1"/>
  <c r="D26" i="12" l="1"/>
  <c r="H26" i="12"/>
  <c r="H37" i="12" s="1"/>
  <c r="M26" i="12"/>
  <c r="M37" i="12" s="1"/>
  <c r="E26" i="12" l="1"/>
  <c r="E37" i="12" s="1"/>
  <c r="E38" i="12" s="1"/>
  <c r="O26" i="12"/>
  <c r="J26" i="12"/>
  <c r="M43" i="12"/>
  <c r="M38" i="12"/>
  <c r="M39" i="12" s="1"/>
  <c r="H38" i="12"/>
  <c r="H43" i="12"/>
  <c r="J38" i="12" l="1"/>
  <c r="E43" i="12"/>
  <c r="J43" i="12" s="1"/>
  <c r="J37" i="12"/>
  <c r="O37" i="12"/>
  <c r="O38" i="12" s="1"/>
  <c r="O39" i="12" s="1"/>
  <c r="M52" i="12" s="1"/>
  <c r="H39" i="12"/>
  <c r="M45" i="12"/>
  <c r="O43" i="12"/>
  <c r="M50" i="12" s="1"/>
  <c r="M51" i="12" s="1"/>
  <c r="H45" i="12"/>
  <c r="E39" i="12"/>
  <c r="M54" i="12" l="1"/>
  <c r="M56" i="12" s="1"/>
  <c r="J39" i="12"/>
  <c r="H52" i="12" s="1"/>
  <c r="O44" i="12" l="1"/>
  <c r="O45" i="12" s="1"/>
  <c r="J44" i="12"/>
  <c r="E45" i="12"/>
  <c r="J45" i="12" s="1"/>
  <c r="H50" i="12" s="1"/>
  <c r="H51" i="12" s="1"/>
  <c r="H54" i="12" s="1"/>
  <c r="H56" i="12" s="1"/>
</calcChain>
</file>

<file path=xl/sharedStrings.xml><?xml version="1.0" encoding="utf-8"?>
<sst xmlns="http://schemas.openxmlformats.org/spreadsheetml/2006/main" count="1148" uniqueCount="543">
  <si>
    <t>COMMON PLANT</t>
  </si>
  <si>
    <t>Colstrip Unit 1</t>
  </si>
  <si>
    <t>STRUCTURES AND IMPROVEMENTS</t>
  </si>
  <si>
    <t>BOILER PLANT EQUIPMENT</t>
  </si>
  <si>
    <t>TURBOGENERATOR EQUIPMENT</t>
  </si>
  <si>
    <t>ACCESSORY ELECTRIC EQUIPMENT</t>
  </si>
  <si>
    <t>MISC. POWER PLANT EQUIPMENT</t>
  </si>
  <si>
    <t>Total Colstrip Unit 1</t>
  </si>
  <si>
    <t>Colstrip Unit 1-2 Common</t>
  </si>
  <si>
    <t>Total Colstrip Unit 1-2 Common</t>
  </si>
  <si>
    <t>Colstrip Unit 1-4 Common</t>
  </si>
  <si>
    <t>Total Colstrip Unit 1-4 Common</t>
  </si>
  <si>
    <t>Colstrip Unit 2</t>
  </si>
  <si>
    <t>Total Colstrip Unit 2</t>
  </si>
  <si>
    <t>Colstrip Unit 3</t>
  </si>
  <si>
    <t>Total Colstrip Unit 3</t>
  </si>
  <si>
    <t>Colstrip Unit 3-4 Common</t>
  </si>
  <si>
    <t>Total Colstrip Unit 3-4 Common</t>
  </si>
  <si>
    <t>Colstrip Unit 4</t>
  </si>
  <si>
    <t>Total Colstrip Unit 4</t>
  </si>
  <si>
    <t>Encogen</t>
  </si>
  <si>
    <t>FUEL HOLDERS, PRODUCERS &amp; ACCESS.</t>
  </si>
  <si>
    <t>GENERATORS</t>
  </si>
  <si>
    <t>Total Encogen</t>
  </si>
  <si>
    <t>EPCOR Frederickson</t>
  </si>
  <si>
    <t>STRUCTURES &amp; IMPROVEMENTS</t>
  </si>
  <si>
    <t>Total EPCOR Frederickson</t>
  </si>
  <si>
    <t>TOTAL STEAM PRODUCTION PLANT</t>
  </si>
  <si>
    <t>HYDROELECTRIC PRODUCTION PLANT</t>
  </si>
  <si>
    <t>Electron</t>
  </si>
  <si>
    <t>RESERVOIRS, DAMS &amp; WATERWAYS</t>
  </si>
  <si>
    <t>WATER WHEELS, TURBINES &amp; GENERATORS</t>
  </si>
  <si>
    <t>MISCELLANEOUS TOOLS</t>
  </si>
  <si>
    <t>ROADS, RAILROADS &amp; BRIDGES</t>
  </si>
  <si>
    <t>Total Electron</t>
  </si>
  <si>
    <t>Lower Baker</t>
  </si>
  <si>
    <t>Total Lower Baker</t>
  </si>
  <si>
    <t>Snoqualmie Unit 1</t>
  </si>
  <si>
    <t>EASEMENTS</t>
  </si>
  <si>
    <t>Total Snoqualmie Unit 1</t>
  </si>
  <si>
    <t>Snoqualmie Unit 2</t>
  </si>
  <si>
    <t>Total Snoqualmie Unit 2</t>
  </si>
  <si>
    <t>Upper Baker</t>
  </si>
  <si>
    <t>Total Upper Baker</t>
  </si>
  <si>
    <t>TOTAL HYDROELECTRIC PRODUCTION PLANT</t>
  </si>
  <si>
    <t>OTHER PRODUCTION PLANT</t>
  </si>
  <si>
    <t>Crystal Mountain</t>
  </si>
  <si>
    <t>Total Crystal Mountain</t>
  </si>
  <si>
    <t>Frederickson 1</t>
  </si>
  <si>
    <t>Frederickson</t>
  </si>
  <si>
    <t>Total Frederickson</t>
  </si>
  <si>
    <t>Fredonia Unit 1&amp;2</t>
  </si>
  <si>
    <t>Total Fredonia Unit 1&amp;2</t>
  </si>
  <si>
    <t>Hopkins Ridge</t>
  </si>
  <si>
    <t>Total Hopkins Ridge</t>
  </si>
  <si>
    <t>Whitehorn Unit 2&amp;3</t>
  </si>
  <si>
    <t>Total Whitehorn Unit 2&amp;3</t>
  </si>
  <si>
    <t>Wild Horse</t>
  </si>
  <si>
    <t>TOTAL OTHER PRODUCTION PLANT</t>
  </si>
  <si>
    <t>TRANSMISSION PLANT</t>
  </si>
  <si>
    <t>STATION EQUIPMENT</t>
  </si>
  <si>
    <t>TOWERS &amp; FIXTURES</t>
  </si>
  <si>
    <t>POLES &amp; FIXTURES</t>
  </si>
  <si>
    <t>OVERHEAD CONDUCTORS AND DEVICES</t>
  </si>
  <si>
    <t>UNDERGROUND CONDUCTORS AND DEVICES</t>
  </si>
  <si>
    <t>ROADS AND TRAILS</t>
  </si>
  <si>
    <t>TOTAL TRANSMISSION PLANT</t>
  </si>
  <si>
    <t>DISTRIBUTION PLANT</t>
  </si>
  <si>
    <t>POLES, TOWERS &amp; FIXTURES</t>
  </si>
  <si>
    <t>UNDERGROUND CONDUIT</t>
  </si>
  <si>
    <t>LINE TRANSFORMERS</t>
  </si>
  <si>
    <t>SERVICES</t>
  </si>
  <si>
    <t>METERS</t>
  </si>
  <si>
    <t>STREET LIGHTING AND SIGNAL SYSTEMS</t>
  </si>
  <si>
    <t>TOTAL DISTRIBUTION PLANT</t>
  </si>
  <si>
    <t>GENERAL PLANT</t>
  </si>
  <si>
    <t>TOTAL GENERAL PLANT</t>
  </si>
  <si>
    <t>MANUFACTURED GAS PRODUCTION PLANT</t>
  </si>
  <si>
    <t>LIQUIFIED PETROLEUM GAS EQUIPMENT</t>
  </si>
  <si>
    <t>OTHER EQUIPMENT</t>
  </si>
  <si>
    <t>UNDERGROUND STORAGE</t>
  </si>
  <si>
    <t>WELL STRUCTURES</t>
  </si>
  <si>
    <t>COMPRESSOR STATION STRUCTURES</t>
  </si>
  <si>
    <t>MEAS &amp; REG STATION STRUCTURES</t>
  </si>
  <si>
    <t>OTHER STRUCTURES</t>
  </si>
  <si>
    <t>WELLS</t>
  </si>
  <si>
    <t>RESERVOIRS</t>
  </si>
  <si>
    <t>NON-RECOVERABLE CUSHION GAS</t>
  </si>
  <si>
    <t>LINES</t>
  </si>
  <si>
    <t>COMPRESSOR STATION EQUIPMENT</t>
  </si>
  <si>
    <t>MEASURING &amp; REGULATING EQUIPMENT</t>
  </si>
  <si>
    <t>PURIFICATION EQUIPMENT</t>
  </si>
  <si>
    <t>LIQUEFIED NATURAL GAS PLANT</t>
  </si>
  <si>
    <t>GAS HOLDERS</t>
  </si>
  <si>
    <t>TRANSPORTATION EQUIPMENT</t>
  </si>
  <si>
    <t>CAST-IRON</t>
  </si>
  <si>
    <t>PLASTIC</t>
  </si>
  <si>
    <t>BARE STEEL</t>
  </si>
  <si>
    <t>WRAPPED STEEL</t>
  </si>
  <si>
    <t>SERVICES - BARE STEEL</t>
  </si>
  <si>
    <t>METER INSTALLATIONS</t>
  </si>
  <si>
    <t>HOUSE REGULATORS</t>
  </si>
  <si>
    <t>HOUSE REGULATOR INSTALLATIONS</t>
  </si>
  <si>
    <t>INDUSTRIAL MEAS. &amp; REG. STA. EQUIP.</t>
  </si>
  <si>
    <t>COMMERCIAL WATER HEATERS</t>
  </si>
  <si>
    <t>RESIDENTIAL WATER HEATERS</t>
  </si>
  <si>
    <t>RESIDENTIAL CONVERSION BURNERS</t>
  </si>
  <si>
    <t>COMMERCIAL CONVERSION BURNERS</t>
  </si>
  <si>
    <t>OFFICE FURNITURE &amp; EQUIPMENT &lt;$20K</t>
  </si>
  <si>
    <t>DATA EQUIPMENT &lt;$20K</t>
  </si>
  <si>
    <t>COMPUTERS &gt; $20K</t>
  </si>
  <si>
    <t>COMPUTERS &lt; $20K</t>
  </si>
  <si>
    <t>STORES EQUIPMENT &lt;$20K</t>
  </si>
  <si>
    <t>TOOLS, SHOP &amp;  GARAGE EQUIP. &gt; $20K</t>
  </si>
  <si>
    <t>TOOLS, SHOP EQUIPMENT &lt;$20K</t>
  </si>
  <si>
    <t>TOOLS, SHOP EQUIPMENT &lt;$20K from G387</t>
  </si>
  <si>
    <t>TOOLS, SHOP EQUIPMENT - 5 YEAR TOOLS</t>
  </si>
  <si>
    <t>LABORATORY EQUIPMENT &lt; $20K</t>
  </si>
  <si>
    <t>POWER OPERATED EQUIPMENT</t>
  </si>
  <si>
    <t>COMMUNICATIONS EQUIPMENT - NON MOBILE</t>
  </si>
  <si>
    <t>COMMUNICATIONS EQUIPMENT - MOBILE</t>
  </si>
  <si>
    <t>MISCELLANEOUS EQUIPMENT &lt; $20K</t>
  </si>
  <si>
    <t>ELECTRIC PLANT</t>
  </si>
  <si>
    <t>STEAM PRODUCTION PLANT</t>
  </si>
  <si>
    <t>Total Wild Horse</t>
  </si>
  <si>
    <t>GAS PLANT</t>
  </si>
  <si>
    <t>TOTAL MANUFACTURED GAS PRODUCTION PLANT</t>
  </si>
  <si>
    <t>TOTAL UNDERGROUND STORAGE PLANT</t>
  </si>
  <si>
    <t>TOTAL LIQUEFIED NATURAL GAS PLANT</t>
  </si>
  <si>
    <t>ACCOUNT</t>
  </si>
  <si>
    <t>NUMBER</t>
  </si>
  <si>
    <t>DESCRIPTION</t>
  </si>
  <si>
    <t>ACQUISITION</t>
  </si>
  <si>
    <t>VALUE</t>
  </si>
  <si>
    <t>CURRENT</t>
  </si>
  <si>
    <t>RATE</t>
  </si>
  <si>
    <t>PROPOSED</t>
  </si>
  <si>
    <t>C390</t>
  </si>
  <si>
    <t>E303</t>
  </si>
  <si>
    <t>E341</t>
  </si>
  <si>
    <t>E344</t>
  </si>
  <si>
    <t>OTHER PROD PLANT GENERATORS-LEASE</t>
  </si>
  <si>
    <t>E390</t>
  </si>
  <si>
    <t>GEN PLANT STRUCT &amp; IMP - LEASEHOLDS</t>
  </si>
  <si>
    <t>MISC INTANGIBLE EQUIPMENT</t>
  </si>
  <si>
    <t>C302</t>
  </si>
  <si>
    <t>FRANCHISES &amp; CONSENTS</t>
  </si>
  <si>
    <t>C303</t>
  </si>
  <si>
    <t>C389</t>
  </si>
  <si>
    <t>COMMON PLANT - LAND &amp; LAND RIGHTS</t>
  </si>
  <si>
    <t>C392</t>
  </si>
  <si>
    <t>GEN PLANT TRANSP - AIRCRAFT</t>
  </si>
  <si>
    <t>C399</t>
  </si>
  <si>
    <t>GEN PLANT ARO</t>
  </si>
  <si>
    <t>MISCELLANEOUS EQUIPMENT &gt; $20K</t>
  </si>
  <si>
    <t>OFFICE FURNITURE &amp; EQUIP &gt; $20K</t>
  </si>
  <si>
    <t>OFFICE FURNITURE &amp; EQUIP &lt; $20K</t>
  </si>
  <si>
    <t>OFFICE FURNITURE &amp; EQUIP - MODULAR</t>
  </si>
  <si>
    <t>COMPUTER EQUIPMENT &gt; $20K</t>
  </si>
  <si>
    <t>COMPUTER EQUIPMENT &lt; $20K</t>
  </si>
  <si>
    <t>STORES EQUIPMENT</t>
  </si>
  <si>
    <t>COMMUNICATION EQUIP - MOBILE</t>
  </si>
  <si>
    <t>COMMUNICATION EQUIP - NON MOBILE</t>
  </si>
  <si>
    <t>TOOLS, SHOP &amp; GARAGE EQUIP. &gt; $20K</t>
  </si>
  <si>
    <t>DEPRECIATION</t>
  </si>
  <si>
    <t>EXPENSE</t>
  </si>
  <si>
    <t>E301</t>
  </si>
  <si>
    <t>E302</t>
  </si>
  <si>
    <t>INTANGIBLE PLANT - ORGANIZATION</t>
  </si>
  <si>
    <t>INTANGIBLE PLANT - FRANCHISES &amp; CONS</t>
  </si>
  <si>
    <t>E310</t>
  </si>
  <si>
    <t>STEAM PRODUCTION PLANT - LAND</t>
  </si>
  <si>
    <t>Goldendale</t>
  </si>
  <si>
    <t>Total Goldendale</t>
  </si>
  <si>
    <t>E317</t>
  </si>
  <si>
    <t>STEAM PRODUCTION PLANT - ARO</t>
  </si>
  <si>
    <t>E330</t>
  </si>
  <si>
    <t>HYDRAULIC PLANT - LAND &amp; LAND RIGHTS</t>
  </si>
  <si>
    <t>C391.1</t>
  </si>
  <si>
    <t>C391.2</t>
  </si>
  <si>
    <t>C393</t>
  </si>
  <si>
    <t>C394</t>
  </si>
  <si>
    <t>C396</t>
  </si>
  <si>
    <t>C397</t>
  </si>
  <si>
    <t>C398</t>
  </si>
  <si>
    <t>E311</t>
  </si>
  <si>
    <t>E312</t>
  </si>
  <si>
    <t>E314</t>
  </si>
  <si>
    <t>E315</t>
  </si>
  <si>
    <t>E316</t>
  </si>
  <si>
    <t>E331</t>
  </si>
  <si>
    <t>E332</t>
  </si>
  <si>
    <t>E333</t>
  </si>
  <si>
    <t>E334</t>
  </si>
  <si>
    <t>E335</t>
  </si>
  <si>
    <t>E335.1</t>
  </si>
  <si>
    <t>E336</t>
  </si>
  <si>
    <t>E338</t>
  </si>
  <si>
    <t>E342</t>
  </si>
  <si>
    <t>E345</t>
  </si>
  <si>
    <t>E346.1</t>
  </si>
  <si>
    <t>E346</t>
  </si>
  <si>
    <t>E348</t>
  </si>
  <si>
    <t>E351</t>
  </si>
  <si>
    <t>E352</t>
  </si>
  <si>
    <t>E353</t>
  </si>
  <si>
    <t>E354</t>
  </si>
  <si>
    <t>E355</t>
  </si>
  <si>
    <t>E356</t>
  </si>
  <si>
    <t>E358</t>
  </si>
  <si>
    <t>E359</t>
  </si>
  <si>
    <t>E361</t>
  </si>
  <si>
    <t>E362</t>
  </si>
  <si>
    <t>E364</t>
  </si>
  <si>
    <t>E365</t>
  </si>
  <si>
    <t>E366</t>
  </si>
  <si>
    <t>E367</t>
  </si>
  <si>
    <t>E368</t>
  </si>
  <si>
    <t>E369</t>
  </si>
  <si>
    <t>E370</t>
  </si>
  <si>
    <t>E373</t>
  </si>
  <si>
    <t>E375</t>
  </si>
  <si>
    <t>E391.1</t>
  </si>
  <si>
    <t>E391.2</t>
  </si>
  <si>
    <t>E392</t>
  </si>
  <si>
    <t>E393</t>
  </si>
  <si>
    <t>E394</t>
  </si>
  <si>
    <t>E395</t>
  </si>
  <si>
    <t>E396</t>
  </si>
  <si>
    <t>E397</t>
  </si>
  <si>
    <t>E398</t>
  </si>
  <si>
    <t>G305</t>
  </si>
  <si>
    <t>G311</t>
  </si>
  <si>
    <t>G320</t>
  </si>
  <si>
    <t>G351.1</t>
  </si>
  <si>
    <t>G351.2</t>
  </si>
  <si>
    <t>G351.3</t>
  </si>
  <si>
    <t>G351.4</t>
  </si>
  <si>
    <t>G352.1</t>
  </si>
  <si>
    <t>G352.2</t>
  </si>
  <si>
    <t>G352.3</t>
  </si>
  <si>
    <t>G353</t>
  </si>
  <si>
    <t>G354</t>
  </si>
  <si>
    <t>G355</t>
  </si>
  <si>
    <t>G356</t>
  </si>
  <si>
    <t>G357</t>
  </si>
  <si>
    <t>G361</t>
  </si>
  <si>
    <t>G362</t>
  </si>
  <si>
    <t>G363</t>
  </si>
  <si>
    <t>G364</t>
  </si>
  <si>
    <t>G373</t>
  </si>
  <si>
    <t>G375</t>
  </si>
  <si>
    <t>G376.1</t>
  </si>
  <si>
    <t>G376.2</t>
  </si>
  <si>
    <t>G376.3</t>
  </si>
  <si>
    <t>G376.4</t>
  </si>
  <si>
    <t>G378</t>
  </si>
  <si>
    <t>G380</t>
  </si>
  <si>
    <t>G380.1</t>
  </si>
  <si>
    <t>G381</t>
  </si>
  <si>
    <t>G382</t>
  </si>
  <si>
    <t>G383</t>
  </si>
  <si>
    <t>G384</t>
  </si>
  <si>
    <t>G385</t>
  </si>
  <si>
    <t>G386.1</t>
  </si>
  <si>
    <t>G386.2</t>
  </si>
  <si>
    <t>G386.3</t>
  </si>
  <si>
    <t>G386.5</t>
  </si>
  <si>
    <t>G387</t>
  </si>
  <si>
    <t>G390</t>
  </si>
  <si>
    <t>G391.1</t>
  </si>
  <si>
    <t>G391.2</t>
  </si>
  <si>
    <t>G393</t>
  </si>
  <si>
    <t>G394</t>
  </si>
  <si>
    <t>G395</t>
  </si>
  <si>
    <t>G396</t>
  </si>
  <si>
    <t>G397</t>
  </si>
  <si>
    <t>G398</t>
  </si>
  <si>
    <t>E340</t>
  </si>
  <si>
    <t>OTHER PROD PLANT - LAND</t>
  </si>
  <si>
    <t>E347</t>
  </si>
  <si>
    <t>OTHER PROD PLANT - ARO</t>
  </si>
  <si>
    <t>OTHER PROD PLANT STRUCT (LEASEHOLDS)</t>
  </si>
  <si>
    <t>E350</t>
  </si>
  <si>
    <t>TRANSMISSION PLANT - LAND</t>
  </si>
  <si>
    <t>E360</t>
  </si>
  <si>
    <t>DISTRIBUTION PLANT - LAND &amp; LAND RIGHTS</t>
  </si>
  <si>
    <t>E372</t>
  </si>
  <si>
    <t>E374</t>
  </si>
  <si>
    <t>DISTRIBUTION PLANT - LEASED PROP</t>
  </si>
  <si>
    <t>DISTRIBUTION PLANT - ARO</t>
  </si>
  <si>
    <t>E389</t>
  </si>
  <si>
    <t>GENERAL PLANT - LAND</t>
  </si>
  <si>
    <t xml:space="preserve">STRUCTURES &amp; IMPROVEMENTS </t>
  </si>
  <si>
    <t>STRUCTURES &amp; IMPROVEMENTS- COLSTRIP</t>
  </si>
  <si>
    <t xml:space="preserve">OFFICE FURNITURE &amp; EQUIP &lt; $20K </t>
  </si>
  <si>
    <t>OFFICE FURNITURE &amp; EQUIP MODULAR</t>
  </si>
  <si>
    <t>OFFICE FURNITURE &amp; EQUIP ENCOGEN &gt; 20K</t>
  </si>
  <si>
    <t>OFFICE FURN &amp; EQUIP - COMPUTERS &gt; 20K</t>
  </si>
  <si>
    <t>OFFICE FURN &amp; EQUIP - COMPUTERS &lt; 20K</t>
  </si>
  <si>
    <t>OFFICE FURN &amp; EQUIP - COMPUTERS FRED 1</t>
  </si>
  <si>
    <t>TRANSPORTATION EQUIPMENT - AMORTIZED</t>
  </si>
  <si>
    <t>TRANSP EQUIP - ENCOGEN AMORTIZED</t>
  </si>
  <si>
    <t xml:space="preserve">STORES EQUIPMENT &lt; $20K </t>
  </si>
  <si>
    <t xml:space="preserve">STORES EQUPMENT - FORKLIFT </t>
  </si>
  <si>
    <t xml:space="preserve">TOOLS, SHOP &amp; GARAGE  &gt; $20K </t>
  </si>
  <si>
    <t>TOOLS, SHOP &amp; GARAGE 30 YEAR TOOLS</t>
  </si>
  <si>
    <t>TOOLS, SHOP &amp; GARAGE 5 YEAR TOOLS</t>
  </si>
  <si>
    <t xml:space="preserve">LABORATORY EQUIPMENT &gt; $20K </t>
  </si>
  <si>
    <t xml:space="preserve">LABORATORY EQUIPMENT &lt; $20K </t>
  </si>
  <si>
    <t>COMMUNICATION EQUIPMENT - NON MOBILE</t>
  </si>
  <si>
    <t>COMMUNICATION EQUIPMENT - MOBILE</t>
  </si>
  <si>
    <t>COMMUNICATION EQUIPMENT - 3RD AC</t>
  </si>
  <si>
    <t>COMMUNICATION EQUIPMENT - COLSTRIP 1 &amp; 2</t>
  </si>
  <si>
    <t>COMMUNICATION EQUIPMENT - COLSTRIP 3 &amp; 4</t>
  </si>
  <si>
    <t>COMM EQUIPMENT - FREDRICKSON 1</t>
  </si>
  <si>
    <t>COMM EQUIPMENT - HOPKINS RIDGE</t>
  </si>
  <si>
    <t>COMM EQUIPMENT - MOBILE RADIO</t>
  </si>
  <si>
    <t>MISCELLANEOUS EQUIPMENT</t>
  </si>
  <si>
    <t>E399</t>
  </si>
  <si>
    <t>GENERAL PLANT - ARO</t>
  </si>
  <si>
    <t>G301</t>
  </si>
  <si>
    <t>G302</t>
  </si>
  <si>
    <t>G303</t>
  </si>
  <si>
    <t>G304</t>
  </si>
  <si>
    <t>INTANGIBLE PLANT - FRANCHISES &amp; CONSENTS</t>
  </si>
  <si>
    <t>INTANGIBLE PLANT - MISC INTANGIBLE PLANT</t>
  </si>
  <si>
    <t>PRODUCTION PLANT - LAND &amp; LAND RIGHTS</t>
  </si>
  <si>
    <t>G350</t>
  </si>
  <si>
    <t>UNDERGROUND STORAGE - LAND</t>
  </si>
  <si>
    <t>G360</t>
  </si>
  <si>
    <t>G374</t>
  </si>
  <si>
    <t>OTHER STORAGE - LAND &amp; LAND RIGHTS</t>
  </si>
  <si>
    <t>G376</t>
  </si>
  <si>
    <t>DISTR PLANT - MAINS (CATHODIC PROTECTION)</t>
  </si>
  <si>
    <t>DISTR PLANT - SERVICES ( CATH PROTECTION)</t>
  </si>
  <si>
    <t>G388</t>
  </si>
  <si>
    <t>G389</t>
  </si>
  <si>
    <t>GENERAL PLANT - LAND &amp; LAND RIGHTS</t>
  </si>
  <si>
    <t>RECONCILING ITEMS (NON-DEPRECIATED)</t>
  </si>
  <si>
    <t xml:space="preserve">Colstrip Unit 1-2 </t>
  </si>
  <si>
    <t xml:space="preserve">Colstrip Unit 3-4 </t>
  </si>
  <si>
    <t>TRANSMISSION PLANT - ROADS &amp; TRAILS (ARO)</t>
  </si>
  <si>
    <t>Non Project Transmission</t>
  </si>
  <si>
    <t>Total Non Project Transmission</t>
  </si>
  <si>
    <t>Northern Intertie</t>
  </si>
  <si>
    <t>Total Northern Intertie</t>
  </si>
  <si>
    <t>Oregon State/3rd AC Line</t>
  </si>
  <si>
    <t>Total Oregon State/3rd AC Line</t>
  </si>
  <si>
    <t>Non Project Distribution</t>
  </si>
  <si>
    <t>Total Non Project Distribution</t>
  </si>
  <si>
    <t>Snoqualmie #1</t>
  </si>
  <si>
    <t>Snoqualmie #2</t>
  </si>
  <si>
    <t>Total Snoqualmie #2</t>
  </si>
  <si>
    <t>Total Snoqualmie #1</t>
  </si>
  <si>
    <t>Koma Kulshan Total</t>
  </si>
  <si>
    <t>Total Koma Kulshan Total</t>
  </si>
  <si>
    <t>TOTAL UTILITY PLANT IN SERVICE</t>
  </si>
  <si>
    <t>TOTAL COMMON PLANT IN SERVICE</t>
  </si>
  <si>
    <t>TOTAL ELECTRIC PLANT IN SERVICE</t>
  </si>
  <si>
    <t>TOTAL GAS PLANT IN SERVICE</t>
  </si>
  <si>
    <t>TOTAL UTILITY PLANT IN SERVICE (DEPRECIATED)</t>
  </si>
  <si>
    <t>TOTAL UTILITY PLANT IN SERVICE (NON-DEPRECIATED)</t>
  </si>
  <si>
    <t>Reconciling Items:</t>
  </si>
  <si>
    <t>Electric</t>
  </si>
  <si>
    <t>Gas</t>
  </si>
  <si>
    <t>to cc 300</t>
  </si>
  <si>
    <t>G392</t>
  </si>
  <si>
    <t>TOTAL COMMON PLANT (NON-DEPRECIATED)</t>
  </si>
  <si>
    <t>TOTAL ELECTRIC PLANT (NON-DEPRECIATED)</t>
  </si>
  <si>
    <t>TOTAL GAS PLANT (NON DEPRECIATED)</t>
  </si>
  <si>
    <t xml:space="preserve">Depreciation Rate Comparison </t>
  </si>
  <si>
    <t>Financial Statements</t>
  </si>
  <si>
    <t>C392 - Aircraft, not included in depr study - group #s 101208-09</t>
  </si>
  <si>
    <t xml:space="preserve">Common </t>
  </si>
  <si>
    <t>Balance as of 9/30/2007</t>
  </si>
  <si>
    <t>E372 - Dist Lease, not included in depr study - group #s 101085,86</t>
  </si>
  <si>
    <t>G386 - Group # 100284 - 0 acquisition value.</t>
  </si>
  <si>
    <t>E331 - Group # 100054 WRG - 0 acqusition value</t>
  </si>
  <si>
    <t>E358 - Group # 100167 - 0 acquisition value</t>
  </si>
  <si>
    <t>E344 - Group # 100736 - 0 acquisition value</t>
  </si>
  <si>
    <t>G386.2 Pipe &amp; vents not included in depr study - group # 100779</t>
  </si>
  <si>
    <t>G386.3 Pipe &amp; vents not included in depr study - group # 100780</t>
  </si>
  <si>
    <t>G386.5 Pipe &amp; vents not included in depr study - group # 100818</t>
  </si>
  <si>
    <t>G366 - Gas Transmission not included in depr study</t>
  </si>
  <si>
    <t>G367 - Gas Transmission not included in depr study</t>
  </si>
  <si>
    <t>G369 - Gas Transmission not included in depr study</t>
  </si>
  <si>
    <t>G372 - Gas Transmission not included in depr study</t>
  </si>
  <si>
    <t>G376 - Cathodic Protection, not included in depr study - group # 100933</t>
  </si>
  <si>
    <t>G380 - Cathodic Protection, not included in depr study - group # 100934</t>
  </si>
  <si>
    <t xml:space="preserve">C392 - cleared to cc300 </t>
  </si>
  <si>
    <t xml:space="preserve">C396 - cleared to cc300 </t>
  </si>
  <si>
    <t xml:space="preserve">G392 - cleared to cc300 </t>
  </si>
  <si>
    <t xml:space="preserve">C386 - cleared to cc300 </t>
  </si>
  <si>
    <t>Gas pipe &amp; vents (cleared to regulatory asset)</t>
  </si>
  <si>
    <t xml:space="preserve">C399 - Asset Retirement Cost (ARO Asset) - Not Recoverable </t>
  </si>
  <si>
    <t>Depreciation reclass to ARO (E317)</t>
  </si>
  <si>
    <t>Depreciation reclass to ARO (E359)</t>
  </si>
  <si>
    <t>Depreciation reclass to ARO (E374)</t>
  </si>
  <si>
    <t>group # 100933</t>
  </si>
  <si>
    <t>group # 100934</t>
  </si>
  <si>
    <t>TOTAL ELECTRIC PLANT WITH ARO RECLASSES</t>
  </si>
  <si>
    <t>ARO RECLASSES</t>
  </si>
  <si>
    <t>TOTAL GAS PLANT WITH ARO RECLASSES</t>
  </si>
  <si>
    <t>403.1 ARO Depreciation (from E311 to E317)</t>
  </si>
  <si>
    <t>403.1 ARO Depreciation (from E355 to E359)</t>
  </si>
  <si>
    <t>403.1 ARO Depreciation (from E364 to E374)</t>
  </si>
  <si>
    <t>403.1 ARO Depreciation (from E368 to E374)</t>
  </si>
  <si>
    <t>403.1 ARO Depreciation (from G376 to G388)</t>
  </si>
  <si>
    <t>Depreciation reclass to ARO (G388)</t>
  </si>
  <si>
    <t xml:space="preserve">   ** includes reclasses</t>
  </si>
  <si>
    <t>Notes:</t>
  </si>
  <si>
    <t>The following manual entries were made in the 4th quarter of 2006</t>
  </si>
  <si>
    <t>E337 - Easement, group # 100970, not included in depr. study</t>
  </si>
  <si>
    <t>Asset Retirement Cost (ARO Asset) - no reclass</t>
  </si>
  <si>
    <t>Misclass (adjustment) to balance to subledger</t>
  </si>
  <si>
    <t>Manual depreciation accrual (E364, E365, E366, E377)</t>
  </si>
  <si>
    <t>Manual depreciation accrual (G354)</t>
  </si>
  <si>
    <t>From E364-group # 100177 to E374-group # 101135</t>
  </si>
  <si>
    <t>From E368-group # 100181 to E374-group # 101136</t>
  </si>
  <si>
    <t>From G376-group # 100887 to G388-group # 101151</t>
  </si>
  <si>
    <t>E347 - Easement group # 100125 and ARO group # 101103,  not included in depreciation study</t>
  </si>
  <si>
    <t>From G376-group # 100900 to G388-group # 101106</t>
  </si>
  <si>
    <t>to reclass from 403 directly to 108 (for new and recalculated of AROs)</t>
  </si>
  <si>
    <t>TOTAL STRUCTURES AND IMPROVEMENTS</t>
  </si>
  <si>
    <t xml:space="preserve">STEAM PRODUCTION PLANT </t>
  </si>
  <si>
    <t xml:space="preserve">  COLSTRIP 3               </t>
  </si>
  <si>
    <t xml:space="preserve">  COLSTRIP 4               </t>
  </si>
  <si>
    <t xml:space="preserve">  COLSTRIP 3-4             </t>
  </si>
  <si>
    <t xml:space="preserve">  COLSTRIP 3          </t>
  </si>
  <si>
    <t xml:space="preserve">  COLSTRIP 4          </t>
  </si>
  <si>
    <t xml:space="preserve">  COLSTRIP 3-4        </t>
  </si>
  <si>
    <t>TOTAL BOILER PLANT EQUIPMENT</t>
  </si>
  <si>
    <t>TURBOGENERATOR UNITS</t>
  </si>
  <si>
    <t xml:space="preserve">  COLSTRIP 3        </t>
  </si>
  <si>
    <t xml:space="preserve">  COLSTRIP 4        </t>
  </si>
  <si>
    <t>TOTAL TURBOGENERATOR UNITS</t>
  </si>
  <si>
    <t xml:space="preserve">  COLSTRIP 3                </t>
  </si>
  <si>
    <t xml:space="preserve">  COLSTRIP 4                </t>
  </si>
  <si>
    <t xml:space="preserve">  COLSTRIP 3-4              </t>
  </si>
  <si>
    <t xml:space="preserve">  COLSTRIP 3                       </t>
  </si>
  <si>
    <t xml:space="preserve">  COLSTRIP 4                       </t>
  </si>
  <si>
    <t xml:space="preserve">  COLSTRIP 1-4                     </t>
  </si>
  <si>
    <t xml:space="preserve">  COLSTRIP 3-4                     </t>
  </si>
  <si>
    <t xml:space="preserve">    TOTAL STEAM PRODUCTION PLANT </t>
  </si>
  <si>
    <t>INCREASE</t>
  </si>
  <si>
    <t>(DECREASE)</t>
  </si>
  <si>
    <t>EXPENSE AMOUNT</t>
  </si>
  <si>
    <t>AMOUNT</t>
  </si>
  <si>
    <t>TOTAL  ADJUSTMENT TO RATEBASE</t>
  </si>
  <si>
    <t>ADJUSTMENT TO RATE BASE</t>
  </si>
  <si>
    <t>INCREASE(DECREASE) NOI</t>
  </si>
  <si>
    <t>INCREASE(DECREASE) EXPENSE</t>
  </si>
  <si>
    <t>AMORTIZATION EXPENSE</t>
  </si>
  <si>
    <t>TOTAL DEPRECIATION EXPENSE</t>
  </si>
  <si>
    <t>403 ELEC. PORTION OF COMMON</t>
  </si>
  <si>
    <t>RESTATED</t>
  </si>
  <si>
    <t>ACTUAL</t>
  </si>
  <si>
    <t>NO.</t>
  </si>
  <si>
    <t>LINE</t>
  </si>
  <si>
    <t>DEPRECIATION STUDY</t>
  </si>
  <si>
    <t>PUGET SOUND ENERGY - ELECTRIC</t>
  </si>
  <si>
    <t>Colstrip 3&amp;4</t>
  </si>
  <si>
    <t>RETIREMENT</t>
  </si>
  <si>
    <t>DFIT</t>
  </si>
  <si>
    <t>FIT</t>
  </si>
  <si>
    <t>%</t>
  </si>
  <si>
    <t xml:space="preserve">Diff % </t>
  </si>
  <si>
    <t>FOR THE TWELVE MONTHS ENDED SEPTEMBER 30, 2016</t>
  </si>
  <si>
    <t>2017 GENERAL RATE CASE</t>
  </si>
  <si>
    <t>SUBTOTAL ACCRETION EXPENSE 411.10</t>
  </si>
  <si>
    <t>SUBTOTAL DEPRECIATION EXPENSE</t>
  </si>
  <si>
    <t>FLEET DEPRECIATION EXPENSE IN FERC 403</t>
  </si>
  <si>
    <t>Colstrip 3&amp;4 2025 Retirement</t>
  </si>
  <si>
    <t>(A)</t>
  </si>
  <si>
    <t>(B)</t>
  </si>
  <si>
    <t>(C)</t>
  </si>
  <si>
    <t>(D)</t>
  </si>
  <si>
    <t>403 ELEC. DEPR. EXP.</t>
  </si>
  <si>
    <t>403 DEPR. EXP. ON ASSETS NOT IN STUDY</t>
  </si>
  <si>
    <t>404 DEPR. EXP. ON ASSETS NOT IN STUDY</t>
  </si>
  <si>
    <t>SUBTOTAL DEPR. EXP. 403.1</t>
  </si>
  <si>
    <t>403.1 DEPR. EXP- FAS 143 (IN RATES)</t>
  </si>
  <si>
    <t>403.1 DEPR. EXP - FAS 143 (NOT IN RATES)</t>
  </si>
  <si>
    <t>411.10 ACCRETION EXP. - FAS 143 (IN RATES)</t>
  </si>
  <si>
    <t>411.10 ACCRETION EXP. - FAS 143 (NOTIN RATES)</t>
  </si>
  <si>
    <t>ADJ TO ACCUM. DEPR. AT 50% DEPREC. EXP LINE 19</t>
  </si>
  <si>
    <t>ADJ.</t>
  </si>
  <si>
    <t>Increase In</t>
  </si>
  <si>
    <t>Depreciation</t>
  </si>
  <si>
    <t>Colstrip 3&amp;4 2029 Retirement</t>
  </si>
  <si>
    <t>(E)</t>
  </si>
  <si>
    <t>(F)</t>
  </si>
  <si>
    <t>ADJUSTMENT TO ACCUM. DEPREC. AT 50% DEPREC. EXPENSE LINE 19</t>
  </si>
  <si>
    <t>411.10 ACCRETION EXP. - FAS 143 (NOT RECOVERED IN RATES)</t>
  </si>
  <si>
    <t>411.10 ACCRETION EXP. - FAS 143 (RECOVERED IN RATES)</t>
  </si>
  <si>
    <t>SUBTOTAL DEPRECIATION EXPENSE 403.1</t>
  </si>
  <si>
    <t>403.1 DEPR. EXP - FAS 143 (NOT RECOVERED IN RATES)</t>
  </si>
  <si>
    <t>403.1 DEPR. EXP- FAS 143 (RECOVERED IN RATES)</t>
  </si>
  <si>
    <t>404 DEPR. EXP. ON ASSETS NOT INCLUDED IN STUDY</t>
  </si>
  <si>
    <t>403 DEPR. EXP. ON ASSETS NOT INCLUDED IN STUDY</t>
  </si>
  <si>
    <t>403 ELEC. DEPRECIATION EXPENSE</t>
  </si>
  <si>
    <t>ADJUSTMENT</t>
  </si>
  <si>
    <t>(C-A)</t>
  </si>
  <si>
    <t>(G</t>
  </si>
  <si>
    <t>(H)</t>
  </si>
  <si>
    <t>(F-A)</t>
  </si>
  <si>
    <t>TOTAL MISC POWER PLANT EQUIP</t>
  </si>
  <si>
    <t>MISC POWER PLANT EQUIPMENT</t>
  </si>
  <si>
    <t>TOTAL ACCESSORY ELECTRIC EQUIP</t>
  </si>
  <si>
    <t>3&amp;4</t>
  </si>
  <si>
    <t xml:space="preserve">COLSTRIP </t>
  </si>
  <si>
    <t xml:space="preserve"> DATE</t>
  </si>
  <si>
    <t xml:space="preserve"> 3&amp;4 2025 </t>
  </si>
  <si>
    <t>ORIGINAL</t>
  </si>
  <si>
    <t>COLSTRIP</t>
  </si>
  <si>
    <t>DUE TO 2025</t>
  </si>
  <si>
    <t>ACCT.</t>
  </si>
  <si>
    <t>DEPRECIATION STUDY WITH 2025 RETIREMENT DATE FOR COLSTRIP 3&amp;4</t>
  </si>
  <si>
    <t>DEPRECIATION STUDY WITH 2029 RETIREMENT DATE FOR COLSTRIP 3&amp;4</t>
  </si>
  <si>
    <t xml:space="preserve">DEPRECIATION STUDY COMPARISON </t>
  </si>
  <si>
    <t>REVENUE REQUIREMENT EFFECT</t>
  </si>
  <si>
    <t xml:space="preserve"> 2025 RETIREMENT</t>
  </si>
  <si>
    <t xml:space="preserve"> 2029 RETIREMENT</t>
  </si>
  <si>
    <t>CHANGE IN RATEBASE</t>
  </si>
  <si>
    <t>RATE OF RETURN</t>
  </si>
  <si>
    <t>CHANGE IN NOI</t>
  </si>
  <si>
    <t>DELTA BETWEEN ROR &amp; NOI</t>
  </si>
  <si>
    <t>CONVERSION FACTOR</t>
  </si>
  <si>
    <t>EFFECT ON REVENUE REQUIREMENT</t>
  </si>
  <si>
    <t xml:space="preserve"> 3&amp;4 2029 </t>
  </si>
  <si>
    <t>DUE TO 2029</t>
  </si>
  <si>
    <t>TOTAL ACCESSORY ELEC EQUIP</t>
  </si>
  <si>
    <t>MISC POWER PLANT EQUIP</t>
  </si>
  <si>
    <t>TOTAL BOILER PLANT EQUIP</t>
  </si>
  <si>
    <t>BOILER PLANT EQUIP</t>
  </si>
  <si>
    <t>WITH 2025 RETIREMENT DATE FOR COLSTRIP 3&amp;4</t>
  </si>
  <si>
    <t>WITH 2029 RETIREMENT DATE FOR COLSTRIP 3&amp;4</t>
  </si>
  <si>
    <t>Note 1</t>
  </si>
  <si>
    <t>Note 1: Proposed rates for Colstrip 3 &amp; 4 were supplied by Depreciation Study witness John J. Spanos based on a retirement Date of December 31, 2025 in Exhibit No. JJS-6</t>
  </si>
  <si>
    <t>Note 1: Proposed rates for Colstrip 3 &amp; 4 were supplied by Depreciation Study witness John J. Spanos based on a retirement Date of December 31, 2029 in Exhibit No. JJS-6</t>
  </si>
  <si>
    <t>Exhibit No.___(KJB-26)</t>
  </si>
  <si>
    <t>COPY OF ADJUSTMENT KJB-20.06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</si>
</sst>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0.0"/>
    <numFmt numFmtId="168" formatCode="0.000000"/>
  </numFmts>
  <fonts count="25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u/>
      <sz val="12"/>
      <name val="Times New Roman"/>
      <family val="1"/>
    </font>
    <font>
      <b/>
      <u/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168" fontId="1" fillId="0" borderId="0">
      <alignment horizontal="left" wrapText="1"/>
    </xf>
  </cellStyleXfs>
  <cellXfs count="27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166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6" fontId="4" fillId="0" borderId="0" xfId="0" applyNumberFormat="1" applyFont="1" applyFill="1"/>
    <xf numFmtId="166" fontId="1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6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39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39" fontId="0" fillId="0" borderId="0" xfId="0" applyNumberFormat="1" applyFill="1"/>
    <xf numFmtId="165" fontId="0" fillId="0" borderId="0" xfId="0" applyNumberFormat="1" applyFont="1" applyFill="1" applyBorder="1"/>
    <xf numFmtId="0" fontId="0" fillId="0" borderId="0" xfId="0" applyAlignment="1">
      <alignment horizontal="center"/>
    </xf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166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39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0" applyNumberFormat="1" applyFont="1"/>
    <xf numFmtId="43" fontId="0" fillId="0" borderId="0" xfId="0" applyNumberFormat="1" applyFont="1" applyFill="1"/>
    <xf numFmtId="43" fontId="0" fillId="0" borderId="0" xfId="0" applyNumberFormat="1"/>
    <xf numFmtId="43" fontId="0" fillId="0" borderId="3" xfId="0" applyNumberFormat="1" applyFont="1" applyBorder="1"/>
    <xf numFmtId="0" fontId="7" fillId="0" borderId="0" xfId="0" applyFont="1" applyFill="1" applyAlignment="1">
      <alignment horizontal="center"/>
    </xf>
    <xf numFmtId="43" fontId="1" fillId="0" borderId="0" xfId="0" applyNumberFormat="1" applyFont="1" applyFill="1" applyBorder="1"/>
    <xf numFmtId="43" fontId="0" fillId="0" borderId="0" xfId="0" applyNumberFormat="1" applyFont="1" applyBorder="1"/>
    <xf numFmtId="43" fontId="0" fillId="0" borderId="1" xfId="0" applyNumberFormat="1" applyFont="1" applyBorder="1"/>
    <xf numFmtId="43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2" fillId="0" borderId="0" xfId="0" applyNumberFormat="1" applyFont="1" applyFill="1"/>
    <xf numFmtId="43" fontId="0" fillId="2" borderId="0" xfId="0" applyNumberFormat="1" applyFont="1" applyFill="1" applyBorder="1"/>
    <xf numFmtId="43" fontId="0" fillId="2" borderId="1" xfId="0" applyNumberFormat="1" applyFont="1" applyFill="1" applyBorder="1"/>
    <xf numFmtId="43" fontId="0" fillId="0" borderId="0" xfId="0" applyNumberFormat="1" applyFont="1" applyFill="1" applyBorder="1"/>
    <xf numFmtId="43" fontId="1" fillId="2" borderId="0" xfId="0" applyNumberFormat="1" applyFont="1" applyFill="1" applyBorder="1"/>
    <xf numFmtId="43" fontId="3" fillId="0" borderId="0" xfId="0" applyNumberFormat="1" applyFont="1"/>
    <xf numFmtId="43" fontId="0" fillId="0" borderId="4" xfId="0" applyNumberFormat="1" applyFont="1" applyBorder="1"/>
    <xf numFmtId="43" fontId="0" fillId="2" borderId="0" xfId="0" applyNumberFormat="1" applyFont="1" applyFill="1"/>
    <xf numFmtId="43" fontId="0" fillId="0" borderId="4" xfId="0" applyNumberFormat="1" applyFont="1" applyFill="1" applyBorder="1"/>
    <xf numFmtId="43" fontId="1" fillId="2" borderId="0" xfId="0" applyNumberFormat="1" applyFont="1" applyFill="1"/>
    <xf numFmtId="43" fontId="1" fillId="2" borderId="1" xfId="0" applyNumberFormat="1" applyFont="1" applyFill="1" applyBorder="1"/>
    <xf numFmtId="43" fontId="3" fillId="0" borderId="1" xfId="0" applyNumberFormat="1" applyFont="1" applyFill="1" applyBorder="1"/>
    <xf numFmtId="43" fontId="3" fillId="0" borderId="0" xfId="0" applyNumberFormat="1" applyFont="1" applyFill="1" applyBorder="1"/>
    <xf numFmtId="43" fontId="0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5" xfId="0" applyNumberFormat="1" applyFont="1" applyBorder="1"/>
    <xf numFmtId="43" fontId="3" fillId="0" borderId="5" xfId="0" applyNumberFormat="1" applyFont="1" applyFill="1" applyBorder="1"/>
    <xf numFmtId="43" fontId="0" fillId="0" borderId="5" xfId="0" applyNumberFormat="1" applyFont="1" applyBorder="1"/>
    <xf numFmtId="0" fontId="8" fillId="0" borderId="0" xfId="0" applyFont="1" applyFill="1"/>
    <xf numFmtId="0" fontId="0" fillId="0" borderId="0" xfId="0" applyAlignment="1">
      <alignment horizontal="left"/>
    </xf>
    <xf numFmtId="43" fontId="7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43" fontId="9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Fill="1"/>
    <xf numFmtId="166" fontId="5" fillId="0" borderId="0" xfId="0" applyNumberFormat="1" applyFont="1" applyFill="1" applyAlignment="1"/>
    <xf numFmtId="0" fontId="5" fillId="0" borderId="0" xfId="0" applyFont="1" applyAlignment="1">
      <alignment horizontal="left"/>
    </xf>
    <xf numFmtId="43" fontId="1" fillId="0" borderId="0" xfId="0" applyNumberFormat="1" applyFont="1" applyBorder="1"/>
    <xf numFmtId="43" fontId="1" fillId="0" borderId="1" xfId="0" applyNumberFormat="1" applyFont="1" applyBorder="1"/>
    <xf numFmtId="43" fontId="10" fillId="0" borderId="0" xfId="0" applyNumberFormat="1" applyFont="1" applyFill="1"/>
    <xf numFmtId="43" fontId="10" fillId="0" borderId="1" xfId="0" applyNumberFormat="1" applyFont="1" applyFill="1" applyBorder="1"/>
    <xf numFmtId="43" fontId="3" fillId="0" borderId="0" xfId="0" applyNumberFormat="1" applyFont="1" applyFill="1"/>
    <xf numFmtId="2" fontId="0" fillId="0" borderId="0" xfId="0" applyNumberFormat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0" fillId="0" borderId="0" xfId="0" applyNumberFormat="1" applyFont="1" applyAlignment="1">
      <alignment horizontal="right"/>
    </xf>
    <xf numFmtId="43" fontId="0" fillId="0" borderId="0" xfId="0" applyNumberFormat="1" applyFill="1"/>
    <xf numFmtId="43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5" xfId="0" applyBorder="1"/>
    <xf numFmtId="0" fontId="5" fillId="0" borderId="0" xfId="0" applyFont="1" applyAlignment="1"/>
    <xf numFmtId="43" fontId="0" fillId="0" borderId="5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43" fontId="5" fillId="0" borderId="0" xfId="0" applyNumberFormat="1" applyFont="1" applyFill="1" applyBorder="1"/>
    <xf numFmtId="43" fontId="0" fillId="0" borderId="0" xfId="0" applyNumberFormat="1" applyFont="1" applyAlignment="1">
      <alignment horizontal="center"/>
    </xf>
    <xf numFmtId="43" fontId="5" fillId="0" borderId="3" xfId="0" applyNumberFormat="1" applyFont="1" applyFill="1" applyBorder="1"/>
    <xf numFmtId="0" fontId="0" fillId="0" borderId="0" xfId="0" applyAlignment="1">
      <alignment wrapText="1"/>
    </xf>
    <xf numFmtId="37" fontId="13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42" fontId="13" fillId="0" borderId="0" xfId="0" applyNumberFormat="1" applyFont="1" applyFill="1" applyBorder="1" applyAlignment="1"/>
    <xf numFmtId="9" fontId="13" fillId="0" borderId="0" xfId="0" applyNumberFormat="1" applyFont="1" applyFill="1" applyAlignment="1"/>
    <xf numFmtId="41" fontId="13" fillId="0" borderId="0" xfId="0" applyNumberFormat="1" applyFont="1" applyFill="1" applyAlignment="1" applyProtection="1">
      <protection locked="0"/>
    </xf>
    <xf numFmtId="9" fontId="13" fillId="0" borderId="0" xfId="0" applyNumberFormat="1" applyFont="1" applyFill="1" applyAlignment="1">
      <alignment horizontal="center"/>
    </xf>
    <xf numFmtId="0" fontId="14" fillId="0" borderId="0" xfId="0" applyFont="1" applyFill="1" applyAlignment="1"/>
    <xf numFmtId="41" fontId="13" fillId="0" borderId="0" xfId="0" applyNumberFormat="1" applyFont="1" applyFill="1" applyAlignment="1"/>
    <xf numFmtId="42" fontId="13" fillId="0" borderId="0" xfId="0" applyNumberFormat="1" applyFont="1" applyFill="1" applyBorder="1"/>
    <xf numFmtId="168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Border="1" applyAlignment="1" applyProtection="1">
      <protection locked="0"/>
    </xf>
    <xf numFmtId="168" fontId="14" fillId="0" borderId="0" xfId="0" applyNumberFormat="1" applyFont="1" applyFill="1" applyAlignment="1"/>
    <xf numFmtId="168" fontId="13" fillId="0" borderId="0" xfId="0" applyNumberFormat="1" applyFont="1" applyFill="1" applyAlignment="1"/>
    <xf numFmtId="42" fontId="13" fillId="0" borderId="0" xfId="0" applyNumberFormat="1" applyFont="1" applyFill="1" applyAlignment="1" applyProtection="1"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Continuous"/>
    </xf>
    <xf numFmtId="0" fontId="15" fillId="0" borderId="0" xfId="0" quotePrefix="1" applyFont="1" applyFill="1" applyAlignment="1">
      <alignment horizontal="centerContinuous"/>
    </xf>
    <xf numFmtId="0" fontId="15" fillId="0" borderId="0" xfId="0" applyFont="1" applyFill="1" applyAlignment="1" applyProtection="1">
      <alignment horizontal="centerContinuous"/>
      <protection locked="0"/>
    </xf>
    <xf numFmtId="18" fontId="15" fillId="0" borderId="0" xfId="0" applyNumberFormat="1" applyFont="1" applyFill="1" applyAlignment="1">
      <alignment horizontal="centerContinuous"/>
    </xf>
    <xf numFmtId="18" fontId="15" fillId="0" borderId="0" xfId="0" quotePrefix="1" applyNumberFormat="1" applyFont="1" applyFill="1" applyAlignment="1">
      <alignment horizontal="centerContinuous"/>
    </xf>
    <xf numFmtId="0" fontId="15" fillId="0" borderId="0" xfId="0" quotePrefix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6" fillId="0" borderId="0" xfId="0" applyFont="1" applyFill="1" applyAlignment="1"/>
    <xf numFmtId="0" fontId="1" fillId="0" borderId="0" xfId="0" applyFont="1" applyFill="1"/>
    <xf numFmtId="42" fontId="13" fillId="0" borderId="5" xfId="0" applyNumberFormat="1" applyFont="1" applyFill="1" applyBorder="1" applyAlignment="1"/>
    <xf numFmtId="9" fontId="13" fillId="0" borderId="0" xfId="0" applyNumberFormat="1" applyFont="1" applyFill="1" applyBorder="1"/>
    <xf numFmtId="41" fontId="13" fillId="0" borderId="0" xfId="0" applyNumberFormat="1" applyFont="1" applyFill="1" applyBorder="1" applyAlignment="1"/>
    <xf numFmtId="43" fontId="0" fillId="0" borderId="0" xfId="0" applyNumberFormat="1" applyFont="1" applyFill="1"/>
    <xf numFmtId="0" fontId="13" fillId="0" borderId="0" xfId="0" applyFont="1" applyFill="1" applyAlignment="1"/>
    <xf numFmtId="41" fontId="13" fillId="0" borderId="3" xfId="0" applyNumberFormat="1" applyFont="1" applyFill="1" applyBorder="1" applyAlignment="1" applyProtection="1">
      <protection locked="0"/>
    </xf>
    <xf numFmtId="41" fontId="13" fillId="0" borderId="0" xfId="0" applyNumberFormat="1" applyFont="1" applyFill="1" applyBorder="1" applyAlignment="1" applyProtection="1">
      <protection locked="0"/>
    </xf>
    <xf numFmtId="41" fontId="13" fillId="0" borderId="1" xfId="0" applyNumberFormat="1" applyFont="1" applyFill="1" applyBorder="1" applyAlignment="1" applyProtection="1">
      <protection locked="0"/>
    </xf>
    <xf numFmtId="0" fontId="15" fillId="0" borderId="0" xfId="0" quotePrefix="1" applyFont="1" applyFill="1" applyAlignment="1">
      <alignment horizontal="center"/>
    </xf>
    <xf numFmtId="0" fontId="13" fillId="0" borderId="0" xfId="4" applyFont="1" applyFill="1" applyAlignment="1"/>
    <xf numFmtId="37" fontId="13" fillId="0" borderId="0" xfId="4" applyNumberFormat="1" applyFont="1" applyFill="1" applyAlignment="1"/>
    <xf numFmtId="0" fontId="13" fillId="0" borderId="0" xfId="4" applyFont="1" applyFill="1" applyAlignment="1">
      <alignment horizontal="center"/>
    </xf>
    <xf numFmtId="42" fontId="13" fillId="0" borderId="5" xfId="4" applyNumberFormat="1" applyFont="1" applyFill="1" applyBorder="1" applyAlignment="1"/>
    <xf numFmtId="0" fontId="13" fillId="0" borderId="0" xfId="4" applyFont="1" applyFill="1" applyAlignment="1">
      <alignment horizontal="left"/>
    </xf>
    <xf numFmtId="41" fontId="13" fillId="0" borderId="0" xfId="4" applyNumberFormat="1" applyFont="1" applyFill="1" applyBorder="1" applyAlignment="1"/>
    <xf numFmtId="9" fontId="13" fillId="0" borderId="0" xfId="4" applyNumberFormat="1" applyFont="1" applyFill="1" applyAlignment="1"/>
    <xf numFmtId="42" fontId="13" fillId="0" borderId="0" xfId="4" applyNumberFormat="1" applyFont="1" applyFill="1" applyBorder="1" applyAlignment="1"/>
    <xf numFmtId="41" fontId="13" fillId="0" borderId="0" xfId="4" applyNumberFormat="1" applyFont="1" applyFill="1" applyAlignment="1" applyProtection="1">
      <protection locked="0"/>
    </xf>
    <xf numFmtId="9" fontId="13" fillId="0" borderId="0" xfId="4" applyNumberFormat="1" applyFont="1" applyFill="1" applyAlignment="1">
      <alignment horizontal="center"/>
    </xf>
    <xf numFmtId="0" fontId="14" fillId="0" borderId="0" xfId="4" applyFont="1" applyFill="1" applyAlignment="1"/>
    <xf numFmtId="41" fontId="13" fillId="0" borderId="0" xfId="4" applyNumberFormat="1" applyFont="1" applyFill="1" applyAlignment="1"/>
    <xf numFmtId="42" fontId="13" fillId="0" borderId="0" xfId="4" applyNumberFormat="1" applyFont="1" applyFill="1" applyBorder="1"/>
    <xf numFmtId="168" fontId="13" fillId="0" borderId="0" xfId="4" applyNumberFormat="1" applyFont="1" applyFill="1" applyAlignment="1">
      <alignment horizontal="left"/>
    </xf>
    <xf numFmtId="9" fontId="13" fillId="0" borderId="0" xfId="4" applyNumberFormat="1" applyFont="1" applyFill="1" applyBorder="1"/>
    <xf numFmtId="42" fontId="13" fillId="0" borderId="0" xfId="4" applyNumberFormat="1" applyFont="1" applyFill="1" applyBorder="1" applyAlignment="1" applyProtection="1">
      <protection locked="0"/>
    </xf>
    <xf numFmtId="41" fontId="13" fillId="0" borderId="1" xfId="4" applyNumberFormat="1" applyFont="1" applyFill="1" applyBorder="1" applyAlignment="1" applyProtection="1">
      <protection locked="0"/>
    </xf>
    <xf numFmtId="41" fontId="13" fillId="0" borderId="0" xfId="4" applyNumberFormat="1" applyFont="1" applyFill="1" applyBorder="1" applyAlignment="1" applyProtection="1">
      <protection locked="0"/>
    </xf>
    <xf numFmtId="41" fontId="13" fillId="0" borderId="9" xfId="4" applyNumberFormat="1" applyFont="1" applyFill="1" applyBorder="1" applyAlignment="1" applyProtection="1">
      <protection locked="0"/>
    </xf>
    <xf numFmtId="168" fontId="14" fillId="0" borderId="0" xfId="4" applyNumberFormat="1" applyFont="1" applyFill="1" applyAlignment="1"/>
    <xf numFmtId="168" fontId="13" fillId="0" borderId="0" xfId="4" applyNumberFormat="1" applyFont="1" applyFill="1" applyAlignment="1"/>
    <xf numFmtId="42" fontId="13" fillId="0" borderId="0" xfId="4" applyNumberFormat="1" applyFont="1" applyFill="1" applyAlignment="1" applyProtection="1">
      <protection locked="0"/>
    </xf>
    <xf numFmtId="0" fontId="15" fillId="0" borderId="1" xfId="4" applyFont="1" applyFill="1" applyBorder="1" applyAlignment="1" applyProtection="1">
      <alignment horizontal="center"/>
      <protection locked="0"/>
    </xf>
    <xf numFmtId="0" fontId="15" fillId="0" borderId="1" xfId="4" applyFont="1" applyFill="1" applyBorder="1" applyAlignment="1">
      <alignment horizontal="left"/>
    </xf>
    <xf numFmtId="0" fontId="15" fillId="0" borderId="1" xfId="4" applyFont="1" applyFill="1" applyBorder="1" applyAlignment="1">
      <alignment horizontal="center"/>
    </xf>
    <xf numFmtId="0" fontId="15" fillId="0" borderId="0" xfId="4" applyFont="1" applyFill="1" applyAlignment="1"/>
    <xf numFmtId="0" fontId="15" fillId="0" borderId="0" xfId="4" applyFont="1" applyFill="1" applyAlignment="1" applyProtection="1">
      <alignment horizontal="center"/>
      <protection locked="0"/>
    </xf>
    <xf numFmtId="0" fontId="15" fillId="0" borderId="0" xfId="4" applyFont="1" applyFill="1" applyAlignment="1">
      <alignment horizontal="centerContinuous"/>
    </xf>
    <xf numFmtId="0" fontId="15" fillId="0" borderId="0" xfId="4" quotePrefix="1" applyFont="1" applyFill="1" applyAlignment="1">
      <alignment horizontal="centerContinuous"/>
    </xf>
    <xf numFmtId="0" fontId="15" fillId="0" borderId="0" xfId="4" applyFont="1" applyFill="1" applyAlignment="1" applyProtection="1">
      <alignment horizontal="centerContinuous"/>
      <protection locked="0"/>
    </xf>
    <xf numFmtId="18" fontId="15" fillId="0" borderId="0" xfId="4" applyNumberFormat="1" applyFont="1" applyFill="1" applyAlignment="1">
      <alignment horizontal="centerContinuous"/>
    </xf>
    <xf numFmtId="18" fontId="15" fillId="0" borderId="0" xfId="4" quotePrefix="1" applyNumberFormat="1" applyFont="1" applyFill="1" applyAlignment="1">
      <alignment horizontal="centerContinuous"/>
    </xf>
    <xf numFmtId="15" fontId="15" fillId="0" borderId="0" xfId="4" applyNumberFormat="1" applyFont="1" applyFill="1" applyAlignment="1">
      <alignment horizontal="centerContinuous"/>
    </xf>
    <xf numFmtId="15" fontId="15" fillId="0" borderId="0" xfId="4" quotePrefix="1" applyNumberFormat="1" applyFont="1" applyFill="1" applyAlignment="1">
      <alignment horizontal="centerContinuous"/>
    </xf>
    <xf numFmtId="0" fontId="15" fillId="0" borderId="0" xfId="4" quotePrefix="1" applyFont="1" applyFill="1" applyBorder="1" applyAlignment="1">
      <alignment horizontal="right"/>
    </xf>
    <xf numFmtId="0" fontId="15" fillId="0" borderId="0" xfId="4" applyFont="1" applyFill="1" applyAlignment="1">
      <alignment horizontal="right"/>
    </xf>
    <xf numFmtId="41" fontId="13" fillId="0" borderId="9" xfId="0" applyNumberFormat="1" applyFont="1" applyFill="1" applyBorder="1" applyAlignment="1" applyProtection="1">
      <protection locked="0"/>
    </xf>
    <xf numFmtId="0" fontId="15" fillId="3" borderId="0" xfId="0" applyFont="1" applyFill="1" applyAlignment="1" applyProtection="1">
      <alignment horizontal="centerContinuous"/>
      <protection locked="0"/>
    </xf>
    <xf numFmtId="15" fontId="15" fillId="3" borderId="0" xfId="0" quotePrefix="1" applyNumberFormat="1" applyFont="1" applyFill="1" applyAlignment="1">
      <alignment horizontal="centerContinuous"/>
    </xf>
    <xf numFmtId="15" fontId="15" fillId="3" borderId="0" xfId="0" applyNumberFormat="1" applyFont="1" applyFill="1" applyAlignment="1">
      <alignment horizontal="centerContinuous"/>
    </xf>
    <xf numFmtId="0" fontId="15" fillId="0" borderId="0" xfId="0" quotePrefix="1" applyFont="1" applyFill="1" applyBorder="1" applyAlignment="1">
      <alignment horizontal="left"/>
    </xf>
    <xf numFmtId="0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13" fillId="0" borderId="0" xfId="0" applyFont="1" applyFill="1"/>
    <xf numFmtId="0" fontId="13" fillId="3" borderId="0" xfId="0" applyFont="1" applyFill="1"/>
    <xf numFmtId="42" fontId="13" fillId="0" borderId="0" xfId="0" applyNumberFormat="1" applyFont="1" applyFill="1"/>
    <xf numFmtId="41" fontId="13" fillId="0" borderId="0" xfId="0" applyNumberFormat="1" applyFont="1" applyFill="1"/>
    <xf numFmtId="43" fontId="13" fillId="3" borderId="0" xfId="0" applyNumberFormat="1" applyFont="1" applyFill="1"/>
    <xf numFmtId="41" fontId="13" fillId="0" borderId="9" xfId="0" applyNumberFormat="1" applyFont="1" applyFill="1" applyBorder="1"/>
    <xf numFmtId="10" fontId="13" fillId="3" borderId="0" xfId="0" applyNumberFormat="1" applyFont="1" applyFill="1"/>
    <xf numFmtId="0" fontId="13" fillId="0" borderId="1" xfId="0" applyFont="1" applyFill="1" applyBorder="1"/>
    <xf numFmtId="42" fontId="13" fillId="0" borderId="5" xfId="0" applyNumberFormat="1" applyFont="1" applyFill="1" applyBorder="1"/>
    <xf numFmtId="0" fontId="13" fillId="0" borderId="0" xfId="4" applyFont="1" applyAlignment="1">
      <alignment horizontal="center"/>
    </xf>
    <xf numFmtId="0" fontId="13" fillId="0" borderId="0" xfId="4" applyFont="1"/>
    <xf numFmtId="43" fontId="18" fillId="0" borderId="0" xfId="4" applyNumberFormat="1" applyFont="1" applyFill="1"/>
    <xf numFmtId="43" fontId="13" fillId="0" borderId="0" xfId="4" applyNumberFormat="1" applyFont="1"/>
    <xf numFmtId="43" fontId="18" fillId="0" borderId="0" xfId="4" applyNumberFormat="1" applyFont="1" applyFill="1" applyAlignment="1">
      <alignment horizontal="center"/>
    </xf>
    <xf numFmtId="0" fontId="15" fillId="0" borderId="0" xfId="4" applyFont="1" applyAlignment="1">
      <alignment horizontal="center"/>
    </xf>
    <xf numFmtId="43" fontId="13" fillId="0" borderId="0" xfId="4" applyNumberFormat="1" applyFont="1" applyAlignment="1">
      <alignment horizontal="center"/>
    </xf>
    <xf numFmtId="43" fontId="15" fillId="0" borderId="0" xfId="4" applyNumberFormat="1" applyFont="1" applyAlignment="1">
      <alignment horizontal="center"/>
    </xf>
    <xf numFmtId="43" fontId="15" fillId="0" borderId="0" xfId="4" applyNumberFormat="1" applyFont="1" applyFill="1" applyAlignment="1">
      <alignment horizontal="center"/>
    </xf>
    <xf numFmtId="0" fontId="15" fillId="0" borderId="0" xfId="4" applyFont="1" applyFill="1" applyAlignment="1">
      <alignment horizontal="center"/>
    </xf>
    <xf numFmtId="43" fontId="19" fillId="0" borderId="0" xfId="4" applyNumberFormat="1" applyFont="1" applyFill="1" applyAlignment="1">
      <alignment horizontal="center"/>
    </xf>
    <xf numFmtId="0" fontId="15" fillId="0" borderId="0" xfId="4" applyFont="1" applyFill="1" applyBorder="1" applyAlignment="1">
      <alignment horizontal="center"/>
    </xf>
    <xf numFmtId="43" fontId="19" fillId="0" borderId="0" xfId="4" applyNumberFormat="1" applyFont="1" applyFill="1" applyBorder="1" applyAlignment="1">
      <alignment horizontal="center"/>
    </xf>
    <xf numFmtId="43" fontId="15" fillId="0" borderId="0" xfId="4" applyNumberFormat="1" applyFont="1" applyFill="1" applyBorder="1" applyAlignment="1">
      <alignment horizontal="center"/>
    </xf>
    <xf numFmtId="0" fontId="20" fillId="0" borderId="0" xfId="4" applyFont="1" applyFill="1" applyBorder="1" applyAlignment="1">
      <alignment horizontal="center"/>
    </xf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0" fontId="14" fillId="0" borderId="0" xfId="4" applyFont="1" applyFill="1" applyBorder="1" applyAlignment="1"/>
    <xf numFmtId="0" fontId="14" fillId="0" borderId="1" xfId="4" applyFont="1" applyFill="1" applyBorder="1" applyAlignment="1"/>
    <xf numFmtId="0" fontId="21" fillId="0" borderId="1" xfId="4" applyFont="1" applyFill="1" applyBorder="1" applyAlignment="1"/>
    <xf numFmtId="0" fontId="13" fillId="0" borderId="1" xfId="4" applyFont="1" applyBorder="1"/>
    <xf numFmtId="0" fontId="14" fillId="0" borderId="0" xfId="4" applyFont="1" applyFill="1" applyBorder="1" applyAlignment="1">
      <alignment horizontal="center"/>
    </xf>
    <xf numFmtId="0" fontId="22" fillId="0" borderId="0" xfId="4" applyFont="1" applyFill="1" applyBorder="1" applyAlignment="1">
      <alignment horizontal="center"/>
    </xf>
    <xf numFmtId="43" fontId="14" fillId="0" borderId="0" xfId="4" applyNumberFormat="1" applyFont="1" applyFill="1" applyBorder="1" applyAlignment="1">
      <alignment horizontal="center"/>
    </xf>
    <xf numFmtId="0" fontId="13" fillId="0" borderId="0" xfId="4" applyFont="1" applyFill="1"/>
    <xf numFmtId="0" fontId="15" fillId="0" borderId="0" xfId="4" applyNumberFormat="1" applyFont="1" applyFill="1" applyAlignment="1">
      <alignment horizontal="center"/>
    </xf>
    <xf numFmtId="0" fontId="18" fillId="0" borderId="0" xfId="4" applyFont="1" applyFill="1"/>
    <xf numFmtId="43" fontId="13" fillId="0" borderId="0" xfId="4" applyNumberFormat="1" applyFont="1" applyFill="1" applyAlignment="1"/>
    <xf numFmtId="164" fontId="13" fillId="0" borderId="0" xfId="4" applyNumberFormat="1" applyFont="1" applyFill="1" applyAlignment="1"/>
    <xf numFmtId="37" fontId="13" fillId="0" borderId="0" xfId="4" applyNumberFormat="1" applyFont="1" applyFill="1"/>
    <xf numFmtId="167" fontId="13" fillId="0" borderId="0" xfId="4" applyNumberFormat="1" applyFont="1" applyFill="1"/>
    <xf numFmtId="0" fontId="15" fillId="0" borderId="7" xfId="4" applyNumberFormat="1" applyFont="1" applyFill="1" applyBorder="1" applyAlignment="1">
      <alignment horizontal="center"/>
    </xf>
    <xf numFmtId="0" fontId="18" fillId="0" borderId="0" xfId="4" applyFont="1" applyFill="1" applyAlignment="1"/>
    <xf numFmtId="43" fontId="13" fillId="0" borderId="0" xfId="4" applyNumberFormat="1" applyFont="1" applyFill="1"/>
    <xf numFmtId="2" fontId="13" fillId="0" borderId="0" xfId="4" applyNumberFormat="1" applyFont="1" applyFill="1" applyBorder="1"/>
    <xf numFmtId="0" fontId="13" fillId="0" borderId="0" xfId="4" applyFont="1" applyFill="1" applyBorder="1" applyAlignment="1"/>
    <xf numFmtId="0" fontId="18" fillId="0" borderId="0" xfId="4" applyFont="1" applyFill="1" applyBorder="1" applyAlignment="1"/>
    <xf numFmtId="43" fontId="13" fillId="0" borderId="0" xfId="4" applyNumberFormat="1" applyFont="1" applyFill="1" applyBorder="1"/>
    <xf numFmtId="37" fontId="13" fillId="0" borderId="0" xfId="4" applyNumberFormat="1" applyFont="1" applyFill="1" applyBorder="1"/>
    <xf numFmtId="0" fontId="13" fillId="3" borderId="0" xfId="4" applyNumberFormat="1" applyFont="1" applyFill="1" applyBorder="1" applyAlignment="1"/>
    <xf numFmtId="44" fontId="18" fillId="3" borderId="0" xfId="4" applyNumberFormat="1" applyFont="1" applyFill="1" applyBorder="1"/>
    <xf numFmtId="44" fontId="13" fillId="3" borderId="0" xfId="4" applyNumberFormat="1" applyFont="1" applyFill="1"/>
    <xf numFmtId="43" fontId="13" fillId="3" borderId="0" xfId="4" applyNumberFormat="1" applyFont="1" applyFill="1"/>
    <xf numFmtId="10" fontId="13" fillId="3" borderId="0" xfId="4" applyNumberFormat="1" applyFont="1" applyFill="1"/>
    <xf numFmtId="44" fontId="13" fillId="0" borderId="0" xfId="4" applyNumberFormat="1" applyFont="1" applyFill="1"/>
    <xf numFmtId="39" fontId="18" fillId="3" borderId="0" xfId="4" applyNumberFormat="1" applyFont="1" applyFill="1" applyBorder="1"/>
    <xf numFmtId="39" fontId="18" fillId="3" borderId="1" xfId="4" applyNumberFormat="1" applyFont="1" applyFill="1" applyBorder="1"/>
    <xf numFmtId="43" fontId="13" fillId="3" borderId="1" xfId="4" applyNumberFormat="1" applyFont="1" applyFill="1" applyBorder="1"/>
    <xf numFmtId="10" fontId="13" fillId="3" borderId="1" xfId="4" applyNumberFormat="1" applyFont="1" applyFill="1" applyBorder="1"/>
    <xf numFmtId="43" fontId="13" fillId="0" borderId="1" xfId="4" applyNumberFormat="1" applyFont="1" applyFill="1" applyBorder="1"/>
    <xf numFmtId="0" fontId="13" fillId="0" borderId="0" xfId="4" applyNumberFormat="1" applyFont="1" applyFill="1" applyBorder="1" applyAlignment="1"/>
    <xf numFmtId="39" fontId="18" fillId="0" borderId="0" xfId="4" applyNumberFormat="1" applyFont="1" applyFill="1" applyBorder="1"/>
    <xf numFmtId="10" fontId="13" fillId="0" borderId="0" xfId="4" applyNumberFormat="1" applyFont="1" applyFill="1"/>
    <xf numFmtId="0" fontId="23" fillId="0" borderId="0" xfId="4" applyNumberFormat="1" applyFont="1" applyFill="1" applyBorder="1" applyAlignment="1"/>
    <xf numFmtId="39" fontId="13" fillId="0" borderId="0" xfId="4" applyNumberFormat="1" applyFont="1"/>
    <xf numFmtId="2" fontId="13" fillId="0" borderId="0" xfId="4" applyNumberFormat="1" applyFont="1" applyFill="1"/>
    <xf numFmtId="39" fontId="13" fillId="0" borderId="0" xfId="4" applyNumberFormat="1" applyFont="1" applyFill="1"/>
    <xf numFmtId="39" fontId="24" fillId="0" borderId="0" xfId="4" applyNumberFormat="1" applyFont="1" applyFill="1"/>
    <xf numFmtId="10" fontId="13" fillId="0" borderId="0" xfId="4" applyNumberFormat="1" applyFont="1"/>
    <xf numFmtId="39" fontId="18" fillId="0" borderId="1" xfId="4" applyNumberFormat="1" applyFont="1" applyFill="1" applyBorder="1"/>
    <xf numFmtId="10" fontId="13" fillId="0" borderId="0" xfId="4" applyNumberFormat="1" applyFont="1" applyFill="1" applyBorder="1"/>
    <xf numFmtId="10" fontId="13" fillId="0" borderId="1" xfId="4" applyNumberFormat="1" applyFont="1" applyFill="1" applyBorder="1"/>
    <xf numFmtId="2" fontId="13" fillId="0" borderId="8" xfId="4" applyNumberFormat="1" applyFont="1" applyFill="1" applyBorder="1"/>
    <xf numFmtId="0" fontId="15" fillId="0" borderId="0" xfId="4" applyNumberFormat="1" applyFont="1" applyFill="1" applyAlignment="1">
      <alignment horizontal="left"/>
    </xf>
    <xf numFmtId="44" fontId="19" fillId="0" borderId="0" xfId="4" applyNumberFormat="1" applyFont="1" applyFill="1" applyBorder="1"/>
    <xf numFmtId="10" fontId="15" fillId="0" borderId="0" xfId="4" applyNumberFormat="1" applyFont="1" applyFill="1"/>
    <xf numFmtId="44" fontId="19" fillId="3" borderId="0" xfId="4" applyNumberFormat="1" applyFont="1" applyFill="1" applyBorder="1"/>
    <xf numFmtId="39" fontId="18" fillId="0" borderId="0" xfId="4" applyNumberFormat="1" applyFont="1" applyFill="1"/>
    <xf numFmtId="0" fontId="24" fillId="0" borderId="0" xfId="4" applyFont="1" applyAlignment="1">
      <alignment horizontal="right"/>
    </xf>
    <xf numFmtId="39" fontId="24" fillId="0" borderId="0" xfId="4" applyNumberFormat="1" applyFont="1"/>
    <xf numFmtId="0" fontId="20" fillId="0" borderId="0" xfId="4" applyFont="1"/>
    <xf numFmtId="43" fontId="15" fillId="0" borderId="1" xfId="4" applyNumberFormat="1" applyFont="1" applyFill="1" applyBorder="1" applyAlignment="1">
      <alignment horizontal="center"/>
    </xf>
    <xf numFmtId="43" fontId="19" fillId="0" borderId="1" xfId="4" applyNumberFormat="1" applyFont="1" applyFill="1" applyBorder="1" applyAlignment="1">
      <alignment horizontal="center"/>
    </xf>
    <xf numFmtId="43" fontId="13" fillId="3" borderId="0" xfId="4" applyNumberFormat="1" applyFont="1" applyFill="1" applyBorder="1"/>
    <xf numFmtId="10" fontId="13" fillId="3" borderId="0" xfId="4" applyNumberFormat="1" applyFont="1" applyFill="1" applyBorder="1"/>
    <xf numFmtId="2" fontId="13" fillId="0" borderId="4" xfId="4" applyNumberFormat="1" applyFont="1" applyFill="1" applyBorder="1"/>
    <xf numFmtId="0" fontId="13" fillId="0" borderId="0" xfId="4" applyNumberFormat="1" applyFont="1" applyFill="1" applyAlignment="1">
      <alignment horizontal="left"/>
    </xf>
    <xf numFmtId="44" fontId="24" fillId="0" borderId="0" xfId="4" applyNumberFormat="1" applyFont="1"/>
    <xf numFmtId="0" fontId="15" fillId="0" borderId="0" xfId="0" quotePrefix="1" applyFont="1" applyFill="1" applyBorder="1" applyAlignment="1">
      <alignment horizontal="center"/>
    </xf>
  </cellXfs>
  <cellStyles count="8">
    <cellStyle name="Comma 2" xfId="2"/>
    <cellStyle name="Comma 3" xfId="5"/>
    <cellStyle name="Normal" xfId="0" builtinId="0"/>
    <cellStyle name="Normal 2" xfId="1"/>
    <cellStyle name="Normal 2 8" xfId="7"/>
    <cellStyle name="Normal 3" xfId="6"/>
    <cellStyle name="Normal 5" xfId="4"/>
    <cellStyle name="Percent 2" xfId="3"/>
  </cellStyles>
  <dxfs count="0"/>
  <tableStyles count="0" defaultTableStyle="TableStyleMedium2" defaultPivotStyle="PivotStyleLight16"/>
  <colors>
    <mruColors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8"/>
  <sheetViews>
    <sheetView topLeftCell="A424" workbookViewId="0"/>
  </sheetViews>
  <sheetFormatPr defaultRowHeight="12.75"/>
  <cols>
    <col min="1" max="1" width="3.5703125" customWidth="1"/>
    <col min="2" max="2" width="9.85546875" style="26" customWidth="1"/>
    <col min="3" max="3" width="43.5703125" customWidth="1"/>
    <col min="4" max="4" width="1.7109375" customWidth="1"/>
    <col min="5" max="5" width="17.28515625" style="41" customWidth="1"/>
    <col min="6" max="6" width="17.42578125" style="41" customWidth="1"/>
    <col min="7" max="7" width="14" customWidth="1"/>
    <col min="8" max="8" width="1.7109375" customWidth="1"/>
    <col min="9" max="9" width="12.7109375" style="26" customWidth="1"/>
    <col min="11" max="11" width="16.140625" customWidth="1"/>
  </cols>
  <sheetData>
    <row r="2" spans="1:10">
      <c r="A2" s="26"/>
      <c r="B2" s="31" t="s">
        <v>129</v>
      </c>
      <c r="C2" s="31"/>
      <c r="D2" s="31"/>
      <c r="E2" s="49" t="s">
        <v>132</v>
      </c>
      <c r="F2" s="49" t="s">
        <v>164</v>
      </c>
      <c r="G2" s="31" t="s">
        <v>134</v>
      </c>
      <c r="H2" s="31"/>
      <c r="I2" s="31" t="s">
        <v>136</v>
      </c>
    </row>
    <row r="3" spans="1:10">
      <c r="A3" s="39"/>
      <c r="B3" s="40" t="s">
        <v>130</v>
      </c>
      <c r="C3" s="40" t="s">
        <v>131</v>
      </c>
      <c r="D3" s="40"/>
      <c r="E3" s="50" t="s">
        <v>133</v>
      </c>
      <c r="F3" s="50" t="s">
        <v>165</v>
      </c>
      <c r="G3" s="40" t="s">
        <v>135</v>
      </c>
      <c r="H3" s="40"/>
      <c r="I3" s="40" t="s">
        <v>135</v>
      </c>
    </row>
    <row r="4" spans="1:10" ht="8.25" customHeight="1">
      <c r="B4" s="2"/>
      <c r="C4" s="1"/>
      <c r="D4" s="1"/>
      <c r="E4" s="27"/>
      <c r="F4" s="27"/>
      <c r="G4" s="3"/>
      <c r="H4" s="3"/>
      <c r="I4" s="4"/>
    </row>
    <row r="5" spans="1:10">
      <c r="B5" s="2"/>
      <c r="C5" s="1"/>
      <c r="D5" s="1"/>
      <c r="E5" s="27"/>
      <c r="F5" s="27"/>
      <c r="G5" s="5"/>
      <c r="H5" s="2"/>
      <c r="I5" s="5"/>
    </row>
    <row r="6" spans="1:10">
      <c r="A6" s="182" t="s">
        <v>0</v>
      </c>
      <c r="B6" s="182"/>
      <c r="C6" s="182"/>
      <c r="D6" s="182"/>
      <c r="E6" s="182"/>
      <c r="F6" s="182"/>
      <c r="G6" s="182"/>
      <c r="H6" s="182"/>
      <c r="I6" s="182"/>
    </row>
    <row r="7" spans="1:10">
      <c r="B7" s="2"/>
      <c r="C7" s="7"/>
      <c r="D7" s="7"/>
      <c r="E7" s="51"/>
      <c r="F7" s="51"/>
      <c r="G7" s="5"/>
      <c r="H7" s="2"/>
      <c r="I7" s="5"/>
    </row>
    <row r="8" spans="1:10">
      <c r="B8" s="2" t="s">
        <v>137</v>
      </c>
      <c r="C8" s="1" t="s">
        <v>25</v>
      </c>
      <c r="D8" s="1"/>
      <c r="E8" s="27">
        <f>24169908.79+6691875.73+4817438.67</f>
        <v>35679223.189999998</v>
      </c>
      <c r="F8" s="27">
        <f>767991.49+212162.17+159051.27</f>
        <v>1139204.93</v>
      </c>
      <c r="G8" s="5">
        <v>3.17</v>
      </c>
      <c r="H8" s="2"/>
      <c r="I8" s="5">
        <v>5.27</v>
      </c>
    </row>
    <row r="9" spans="1:10">
      <c r="B9" s="2" t="s">
        <v>178</v>
      </c>
      <c r="C9" s="1" t="s">
        <v>155</v>
      </c>
      <c r="D9" s="1"/>
      <c r="E9" s="41">
        <f>1264710.76+27763.32</f>
        <v>1292474.08</v>
      </c>
      <c r="F9" s="41">
        <f>51963.49+1143.85</f>
        <v>53107.34</v>
      </c>
      <c r="G9" s="5">
        <v>4.12</v>
      </c>
      <c r="H9" s="2"/>
      <c r="I9" s="5">
        <v>5</v>
      </c>
    </row>
    <row r="10" spans="1:10">
      <c r="B10" s="2" t="s">
        <v>178</v>
      </c>
      <c r="C10" s="1" t="s">
        <v>156</v>
      </c>
      <c r="D10" s="1"/>
      <c r="E10" s="27">
        <f>591341.71+6407314.77</f>
        <v>6998656.4799999995</v>
      </c>
      <c r="F10" s="27">
        <f>20199.13+226681.03</f>
        <v>246880.16</v>
      </c>
      <c r="G10" s="5">
        <v>3.57</v>
      </c>
      <c r="H10" s="2"/>
      <c r="I10" s="5">
        <v>5</v>
      </c>
    </row>
    <row r="11" spans="1:10">
      <c r="B11" s="2" t="s">
        <v>178</v>
      </c>
      <c r="C11" s="1" t="s">
        <v>157</v>
      </c>
      <c r="D11" s="1"/>
      <c r="E11" s="27">
        <v>3171926.71</v>
      </c>
      <c r="F11" s="27">
        <v>149267.13</v>
      </c>
      <c r="G11" s="5">
        <v>4.71</v>
      </c>
      <c r="H11" s="2"/>
      <c r="I11" s="5">
        <v>5</v>
      </c>
    </row>
    <row r="12" spans="1:10">
      <c r="B12" s="2" t="s">
        <v>179</v>
      </c>
      <c r="C12" s="1" t="s">
        <v>158</v>
      </c>
      <c r="D12" s="1"/>
      <c r="E12" s="41">
        <f>247237.5+14142798.87</f>
        <v>14390036.369999999</v>
      </c>
      <c r="F12" s="41">
        <f>30981.73+1516897.5</f>
        <v>1547879.23</v>
      </c>
      <c r="G12" s="5">
        <v>13.1</v>
      </c>
      <c r="H12" s="2"/>
      <c r="I12" s="5">
        <v>20</v>
      </c>
    </row>
    <row r="13" spans="1:10">
      <c r="B13" s="2" t="s">
        <v>179</v>
      </c>
      <c r="C13" s="1" t="s">
        <v>159</v>
      </c>
      <c r="D13" s="1"/>
      <c r="E13" s="27">
        <v>34301041.630000003</v>
      </c>
      <c r="F13" s="27">
        <v>1595469.3</v>
      </c>
      <c r="G13" s="5">
        <v>5.26</v>
      </c>
      <c r="H13" s="2"/>
      <c r="I13" s="5">
        <v>20</v>
      </c>
    </row>
    <row r="14" spans="1:10">
      <c r="B14" s="2" t="s">
        <v>150</v>
      </c>
      <c r="C14" s="1" t="s">
        <v>94</v>
      </c>
      <c r="D14" s="1"/>
      <c r="E14" s="27">
        <v>34354.14</v>
      </c>
      <c r="F14" s="27">
        <v>3123.1</v>
      </c>
      <c r="G14" s="5">
        <v>9.09</v>
      </c>
      <c r="H14" s="2"/>
      <c r="I14" s="5">
        <v>9</v>
      </c>
      <c r="J14" t="s">
        <v>366</v>
      </c>
    </row>
    <row r="15" spans="1:10">
      <c r="B15" s="2" t="s">
        <v>180</v>
      </c>
      <c r="C15" s="1" t="s">
        <v>160</v>
      </c>
      <c r="D15" s="1"/>
      <c r="E15" s="27">
        <v>38901.93</v>
      </c>
      <c r="F15" s="27">
        <v>1519.63</v>
      </c>
      <c r="G15" s="5">
        <v>3.12</v>
      </c>
      <c r="H15" s="2"/>
      <c r="I15" s="5">
        <v>5</v>
      </c>
    </row>
    <row r="16" spans="1:10">
      <c r="B16" s="2" t="s">
        <v>181</v>
      </c>
      <c r="C16" s="1" t="s">
        <v>163</v>
      </c>
      <c r="D16" s="1"/>
      <c r="E16" s="27">
        <v>799876.74</v>
      </c>
      <c r="F16" s="27">
        <v>17862.3</v>
      </c>
      <c r="G16" s="5">
        <v>3.92</v>
      </c>
      <c r="H16" s="2"/>
      <c r="I16" s="5">
        <v>5</v>
      </c>
    </row>
    <row r="17" spans="1:10">
      <c r="B17" s="2" t="s">
        <v>181</v>
      </c>
      <c r="C17" s="1" t="s">
        <v>116</v>
      </c>
      <c r="D17" s="1"/>
      <c r="E17" s="27">
        <v>433573.46</v>
      </c>
      <c r="F17" s="27">
        <v>83215.259999999995</v>
      </c>
      <c r="G17" s="5">
        <v>20</v>
      </c>
      <c r="H17" s="2"/>
      <c r="I17" s="5">
        <v>5</v>
      </c>
    </row>
    <row r="18" spans="1:10">
      <c r="B18" s="2" t="s">
        <v>182</v>
      </c>
      <c r="C18" s="1" t="s">
        <v>118</v>
      </c>
      <c r="D18" s="1"/>
      <c r="E18" s="27">
        <v>71433.61</v>
      </c>
      <c r="F18" s="27">
        <v>-811.56</v>
      </c>
      <c r="G18" s="5">
        <v>14.28</v>
      </c>
      <c r="H18" s="2"/>
      <c r="I18" s="5">
        <v>6</v>
      </c>
      <c r="J18" t="s">
        <v>366</v>
      </c>
    </row>
    <row r="19" spans="1:10">
      <c r="B19" s="2" t="s">
        <v>183</v>
      </c>
      <c r="C19" s="1" t="s">
        <v>162</v>
      </c>
      <c r="D19" s="1"/>
      <c r="E19" s="27">
        <f>1320468.6+308764.68</f>
        <v>1629233.28</v>
      </c>
      <c r="F19" s="27">
        <f>55712.11+12735.35</f>
        <v>68447.460000000006</v>
      </c>
      <c r="G19" s="5">
        <v>4.9800000000000004</v>
      </c>
      <c r="H19" s="2"/>
      <c r="I19" s="5">
        <v>6.67</v>
      </c>
    </row>
    <row r="20" spans="1:10">
      <c r="B20" s="2" t="s">
        <v>183</v>
      </c>
      <c r="C20" s="1" t="s">
        <v>161</v>
      </c>
      <c r="D20" s="1"/>
      <c r="E20" s="27">
        <f>22887609.88+31199.84+306088.68+20037.12+1563305.65+164054.46+157042.12+10963188.72+2135669.36</f>
        <v>38228195.829999998</v>
      </c>
      <c r="F20" s="27">
        <f>1138452.85+1553.75+15243.22+997.85+75987.34+8169.91+14501.18+519357.87+103280.36</f>
        <v>1877544.3300000003</v>
      </c>
      <c r="G20" s="5">
        <v>4.3499999999999996</v>
      </c>
      <c r="H20" s="2"/>
      <c r="I20" s="5">
        <v>6.67</v>
      </c>
    </row>
    <row r="21" spans="1:10">
      <c r="B21" s="2" t="s">
        <v>184</v>
      </c>
      <c r="C21" s="1" t="s">
        <v>154</v>
      </c>
      <c r="D21" s="1"/>
      <c r="E21" s="27">
        <v>26508.51</v>
      </c>
      <c r="F21" s="27">
        <v>1222.9100000000001</v>
      </c>
      <c r="G21" s="5">
        <v>4.58</v>
      </c>
      <c r="H21" s="8"/>
      <c r="I21" s="36">
        <v>6.67</v>
      </c>
    </row>
    <row r="22" spans="1:10">
      <c r="B22" s="2" t="s">
        <v>184</v>
      </c>
      <c r="C22" s="1" t="s">
        <v>121</v>
      </c>
      <c r="D22" s="1"/>
      <c r="E22" s="28">
        <v>402665.84</v>
      </c>
      <c r="F22" s="28">
        <v>16194.62</v>
      </c>
      <c r="G22" s="5">
        <v>4</v>
      </c>
      <c r="H22" s="2"/>
      <c r="I22" s="36">
        <v>6.67</v>
      </c>
    </row>
    <row r="23" spans="1:10">
      <c r="B23" s="2"/>
      <c r="C23" s="1"/>
      <c r="D23" s="1"/>
      <c r="E23" s="27"/>
      <c r="F23" s="27"/>
      <c r="G23" s="2"/>
      <c r="H23" s="2"/>
      <c r="I23" s="5"/>
    </row>
    <row r="24" spans="1:10" ht="13.5" thickBot="1">
      <c r="B24" s="2"/>
      <c r="C24" s="45" t="s">
        <v>358</v>
      </c>
      <c r="D24" s="1"/>
      <c r="E24" s="29">
        <f>SUM(E8:E22)</f>
        <v>137498101.79999998</v>
      </c>
      <c r="F24" s="29">
        <f>SUM(F8:F23)</f>
        <v>6800126.1399999997</v>
      </c>
      <c r="G24" s="2"/>
      <c r="H24" s="2"/>
      <c r="I24" s="5"/>
    </row>
    <row r="25" spans="1:10" ht="13.5" thickTop="1">
      <c r="B25" s="2"/>
      <c r="C25" s="1"/>
      <c r="D25" s="1"/>
      <c r="E25" s="27"/>
      <c r="F25" s="27"/>
      <c r="G25" s="1"/>
      <c r="H25" s="2"/>
      <c r="I25" s="5"/>
    </row>
    <row r="26" spans="1:10">
      <c r="B26" s="2"/>
      <c r="C26" s="9"/>
      <c r="D26" s="1"/>
      <c r="E26" s="27"/>
      <c r="F26" s="27"/>
      <c r="G26" s="12"/>
      <c r="H26" s="3"/>
      <c r="I26" s="2"/>
    </row>
    <row r="27" spans="1:10">
      <c r="A27" s="183" t="s">
        <v>122</v>
      </c>
      <c r="B27" s="183"/>
      <c r="C27" s="183"/>
      <c r="D27" s="183"/>
      <c r="E27" s="183"/>
      <c r="F27" s="183"/>
      <c r="G27" s="183"/>
      <c r="H27" s="183"/>
      <c r="I27" s="183"/>
    </row>
    <row r="28" spans="1:10">
      <c r="B28" s="2"/>
      <c r="C28" s="11"/>
      <c r="D28" s="1"/>
      <c r="E28" s="27"/>
      <c r="F28" s="27"/>
      <c r="G28" s="1"/>
      <c r="H28" s="1"/>
      <c r="I28" s="2"/>
    </row>
    <row r="29" spans="1:10">
      <c r="A29" s="32" t="s">
        <v>123</v>
      </c>
      <c r="B29" s="2"/>
      <c r="C29" s="11"/>
      <c r="D29" s="1"/>
      <c r="E29" s="27"/>
      <c r="F29" s="27"/>
      <c r="G29" s="1"/>
      <c r="H29" s="1"/>
      <c r="I29" s="2"/>
    </row>
    <row r="30" spans="1:10">
      <c r="B30" s="9" t="s">
        <v>1</v>
      </c>
      <c r="C30" s="9"/>
      <c r="D30" s="1"/>
      <c r="E30" s="27"/>
      <c r="F30" s="27"/>
      <c r="G30" s="12"/>
      <c r="H30" s="3"/>
      <c r="I30" s="2"/>
    </row>
    <row r="31" spans="1:10">
      <c r="A31" s="1"/>
      <c r="B31" s="2" t="s">
        <v>185</v>
      </c>
      <c r="C31" s="9" t="s">
        <v>2</v>
      </c>
      <c r="D31" s="1"/>
      <c r="E31" s="41">
        <v>7473867.75</v>
      </c>
      <c r="F31" s="41">
        <v>225493.59</v>
      </c>
      <c r="G31" s="10">
        <v>3.03</v>
      </c>
      <c r="H31" s="1"/>
      <c r="I31" s="5">
        <v>3.91</v>
      </c>
    </row>
    <row r="32" spans="1:10">
      <c r="A32" s="1"/>
      <c r="B32" s="2" t="s">
        <v>186</v>
      </c>
      <c r="C32" s="9" t="s">
        <v>3</v>
      </c>
      <c r="D32" s="1"/>
      <c r="E32" s="41">
        <v>58163160.950000003</v>
      </c>
      <c r="F32" s="41">
        <v>1830647.86</v>
      </c>
      <c r="G32" s="10">
        <v>3.12</v>
      </c>
      <c r="H32" s="1"/>
      <c r="I32" s="5">
        <v>3.64</v>
      </c>
    </row>
    <row r="33" spans="1:9">
      <c r="A33" s="1"/>
      <c r="B33" s="2" t="s">
        <v>187</v>
      </c>
      <c r="C33" s="9" t="s">
        <v>4</v>
      </c>
      <c r="D33" s="1"/>
      <c r="E33" s="41">
        <v>23438986.75</v>
      </c>
      <c r="F33" s="41">
        <v>745263.06</v>
      </c>
      <c r="G33" s="10">
        <v>3.29</v>
      </c>
      <c r="H33" s="1"/>
      <c r="I33" s="5">
        <v>5.2</v>
      </c>
    </row>
    <row r="34" spans="1:9">
      <c r="A34" s="1"/>
      <c r="B34" s="2" t="s">
        <v>188</v>
      </c>
      <c r="C34" s="9" t="s">
        <v>5</v>
      </c>
      <c r="D34" s="1"/>
      <c r="E34" s="41">
        <v>7180435.1900000004</v>
      </c>
      <c r="F34" s="41">
        <v>194505.7</v>
      </c>
      <c r="G34" s="10">
        <v>2.71</v>
      </c>
      <c r="H34" s="1"/>
      <c r="I34" s="5">
        <v>1.97</v>
      </c>
    </row>
    <row r="35" spans="1:9">
      <c r="A35" s="1"/>
      <c r="B35" s="2" t="s">
        <v>189</v>
      </c>
      <c r="C35" s="9" t="s">
        <v>6</v>
      </c>
      <c r="D35" s="1"/>
      <c r="E35" s="48">
        <v>799295.59</v>
      </c>
      <c r="F35" s="48">
        <v>31191.65</v>
      </c>
      <c r="G35" s="10">
        <v>3.87</v>
      </c>
      <c r="H35" s="3"/>
      <c r="I35" s="5">
        <v>4.79</v>
      </c>
    </row>
    <row r="36" spans="1:9">
      <c r="B36" s="1" t="s">
        <v>7</v>
      </c>
      <c r="C36" s="9"/>
      <c r="D36" s="1"/>
      <c r="E36" s="41">
        <f>SUM(E31:E35)</f>
        <v>97055746.230000004</v>
      </c>
      <c r="F36" s="41">
        <f>SUM(F31:F35)</f>
        <v>3027101.8600000003</v>
      </c>
      <c r="G36" s="10"/>
      <c r="H36" s="3"/>
      <c r="I36" s="5"/>
    </row>
    <row r="37" spans="1:9">
      <c r="B37" s="1"/>
      <c r="C37" s="9"/>
      <c r="D37" s="1"/>
      <c r="G37" s="10"/>
      <c r="H37" s="3"/>
      <c r="I37" s="5"/>
    </row>
    <row r="38" spans="1:9">
      <c r="B38" s="1"/>
      <c r="C38" s="9"/>
      <c r="D38" s="1"/>
      <c r="G38" s="10"/>
      <c r="H38" s="3"/>
      <c r="I38" s="5"/>
    </row>
    <row r="39" spans="1:9">
      <c r="A39" s="1"/>
      <c r="B39" s="2"/>
      <c r="C39" s="9"/>
      <c r="D39" s="1"/>
      <c r="E39" s="27"/>
      <c r="F39" s="27"/>
      <c r="G39" s="10"/>
      <c r="H39" s="3"/>
      <c r="I39" s="5"/>
    </row>
    <row r="40" spans="1:9">
      <c r="B40" s="1" t="s">
        <v>8</v>
      </c>
      <c r="C40" s="9"/>
      <c r="D40" s="1"/>
      <c r="E40" s="27"/>
      <c r="F40" s="27"/>
      <c r="G40" s="10"/>
      <c r="H40" s="3"/>
      <c r="I40" s="5"/>
    </row>
    <row r="41" spans="1:9">
      <c r="A41" s="1"/>
      <c r="B41" s="2" t="s">
        <v>185</v>
      </c>
      <c r="C41" s="9" t="s">
        <v>2</v>
      </c>
      <c r="D41" s="1"/>
      <c r="E41" s="47">
        <v>31349014.09</v>
      </c>
      <c r="F41" s="47">
        <v>990611.78</v>
      </c>
      <c r="G41" s="10">
        <v>3.16</v>
      </c>
      <c r="H41" s="1"/>
      <c r="I41" s="5">
        <v>2.77</v>
      </c>
    </row>
    <row r="42" spans="1:9">
      <c r="A42" s="1"/>
      <c r="B42" s="2" t="s">
        <v>186</v>
      </c>
      <c r="C42" s="9" t="s">
        <v>3</v>
      </c>
      <c r="D42" s="1"/>
      <c r="E42" s="47">
        <v>6485834.1399999997</v>
      </c>
      <c r="F42" s="47">
        <v>239775.28</v>
      </c>
      <c r="G42" s="10">
        <v>3.18</v>
      </c>
      <c r="H42" s="1"/>
      <c r="I42" s="5">
        <v>2.66</v>
      </c>
    </row>
    <row r="43" spans="1:9">
      <c r="A43" s="1"/>
      <c r="B43" s="2" t="s">
        <v>187</v>
      </c>
      <c r="C43" s="9" t="s">
        <v>4</v>
      </c>
      <c r="D43" s="1"/>
      <c r="E43" s="47">
        <v>3844102.75</v>
      </c>
      <c r="F43" s="47">
        <v>127266.97</v>
      </c>
      <c r="G43" s="10">
        <v>3.31</v>
      </c>
      <c r="H43" s="1"/>
      <c r="I43" s="5">
        <v>2.65</v>
      </c>
    </row>
    <row r="44" spans="1:9">
      <c r="A44" s="1"/>
      <c r="B44" s="2" t="s">
        <v>188</v>
      </c>
      <c r="C44" s="9" t="s">
        <v>5</v>
      </c>
      <c r="D44" s="1"/>
      <c r="E44" s="47">
        <v>2375376.2799999998</v>
      </c>
      <c r="F44" s="47">
        <v>72918.81</v>
      </c>
      <c r="G44" s="10">
        <v>3.07</v>
      </c>
      <c r="H44" s="3"/>
      <c r="I44" s="5">
        <v>2.41</v>
      </c>
    </row>
    <row r="45" spans="1:9">
      <c r="A45" s="1"/>
      <c r="B45" s="2" t="s">
        <v>189</v>
      </c>
      <c r="C45" s="9" t="s">
        <v>6</v>
      </c>
      <c r="D45" s="1"/>
      <c r="E45" s="48">
        <v>6289463.0700000003</v>
      </c>
      <c r="F45" s="48">
        <v>242522.02</v>
      </c>
      <c r="G45" s="10">
        <v>3.82</v>
      </c>
      <c r="H45" s="3"/>
      <c r="I45" s="5">
        <v>2.82</v>
      </c>
    </row>
    <row r="46" spans="1:9">
      <c r="B46" s="1" t="s">
        <v>9</v>
      </c>
      <c r="C46" s="9"/>
      <c r="D46" s="1"/>
      <c r="E46" s="47">
        <f>SUM(E41:E45)</f>
        <v>50343790.329999998</v>
      </c>
      <c r="F46" s="47">
        <f>SUM(F41:F45)</f>
        <v>1673094.86</v>
      </c>
      <c r="G46" s="10"/>
      <c r="H46" s="3"/>
      <c r="I46" s="5"/>
    </row>
    <row r="47" spans="1:9">
      <c r="A47" s="1"/>
      <c r="B47" s="2"/>
      <c r="C47" s="9"/>
      <c r="D47" s="1"/>
      <c r="E47" s="27"/>
      <c r="F47" s="27"/>
      <c r="G47" s="10"/>
      <c r="H47" s="3"/>
      <c r="I47" s="5"/>
    </row>
    <row r="48" spans="1:9">
      <c r="B48" s="1" t="s">
        <v>10</v>
      </c>
      <c r="C48" s="9"/>
      <c r="D48" s="1"/>
      <c r="E48" s="27"/>
      <c r="F48" s="27"/>
      <c r="G48" s="10"/>
      <c r="H48" s="3"/>
      <c r="I48" s="5"/>
    </row>
    <row r="49" spans="1:9">
      <c r="A49" s="1"/>
      <c r="B49" s="2" t="s">
        <v>189</v>
      </c>
      <c r="C49" s="9" t="s">
        <v>6</v>
      </c>
      <c r="D49" s="1"/>
      <c r="E49" s="48">
        <v>251533.56</v>
      </c>
      <c r="F49" s="48">
        <v>6187.73</v>
      </c>
      <c r="G49" s="10">
        <v>2.46</v>
      </c>
      <c r="H49" s="3"/>
      <c r="I49" s="5">
        <v>2.23</v>
      </c>
    </row>
    <row r="50" spans="1:9">
      <c r="B50" s="1" t="s">
        <v>11</v>
      </c>
      <c r="C50" s="9"/>
      <c r="D50" s="1"/>
      <c r="E50" s="47">
        <f>SUM(E49)</f>
        <v>251533.56</v>
      </c>
      <c r="F50" s="47">
        <f>SUM(F49)</f>
        <v>6187.73</v>
      </c>
      <c r="G50" s="10"/>
      <c r="H50" s="3"/>
      <c r="I50" s="5"/>
    </row>
    <row r="51" spans="1:9">
      <c r="A51" s="1"/>
      <c r="B51" s="2"/>
      <c r="C51" s="9"/>
      <c r="D51" s="1"/>
      <c r="E51" s="27"/>
      <c r="F51" s="27"/>
      <c r="G51" s="10"/>
      <c r="H51" s="3"/>
      <c r="I51" s="5"/>
    </row>
    <row r="52" spans="1:9">
      <c r="B52" s="1" t="s">
        <v>12</v>
      </c>
      <c r="C52" s="9"/>
      <c r="D52" s="1"/>
      <c r="E52" s="27"/>
      <c r="F52" s="27"/>
      <c r="G52" s="10"/>
      <c r="H52" s="3"/>
      <c r="I52" s="5"/>
    </row>
    <row r="53" spans="1:9">
      <c r="A53" s="1"/>
      <c r="B53" s="2" t="s">
        <v>185</v>
      </c>
      <c r="C53" s="9" t="s">
        <v>2</v>
      </c>
      <c r="D53" s="1"/>
      <c r="E53" s="47">
        <v>5860808.9199999999</v>
      </c>
      <c r="F53" s="47">
        <v>178373.66</v>
      </c>
      <c r="G53" s="10">
        <v>3.06</v>
      </c>
      <c r="H53" s="1"/>
      <c r="I53" s="5">
        <v>2.97</v>
      </c>
    </row>
    <row r="54" spans="1:9">
      <c r="A54" s="1"/>
      <c r="B54" s="2" t="s">
        <v>186</v>
      </c>
      <c r="C54" s="9" t="s">
        <v>3</v>
      </c>
      <c r="D54" s="1"/>
      <c r="E54" s="47">
        <v>49788214.149999999</v>
      </c>
      <c r="F54" s="47">
        <v>1537040.43</v>
      </c>
      <c r="G54" s="10">
        <v>3.05</v>
      </c>
      <c r="H54" s="1"/>
      <c r="I54" s="5">
        <v>3.83</v>
      </c>
    </row>
    <row r="55" spans="1:9">
      <c r="A55" s="1"/>
      <c r="B55" s="2" t="s">
        <v>187</v>
      </c>
      <c r="C55" s="9" t="s">
        <v>4</v>
      </c>
      <c r="D55" s="1"/>
      <c r="E55" s="47">
        <v>20283195.82</v>
      </c>
      <c r="F55" s="47">
        <v>630472.38</v>
      </c>
      <c r="G55" s="10">
        <v>3.26</v>
      </c>
      <c r="H55" s="1"/>
      <c r="I55" s="5">
        <v>5.03</v>
      </c>
    </row>
    <row r="56" spans="1:9">
      <c r="A56" s="1"/>
      <c r="B56" s="2" t="s">
        <v>188</v>
      </c>
      <c r="C56" s="9" t="s">
        <v>5</v>
      </c>
      <c r="D56" s="1"/>
      <c r="E56" s="47">
        <v>5087938.93</v>
      </c>
      <c r="F56" s="47">
        <v>136364.32</v>
      </c>
      <c r="G56" s="10">
        <v>2.69</v>
      </c>
      <c r="H56" s="1"/>
      <c r="I56" s="5">
        <v>2.93</v>
      </c>
    </row>
    <row r="57" spans="1:9">
      <c r="A57" s="1"/>
      <c r="B57" s="2" t="s">
        <v>189</v>
      </c>
      <c r="C57" s="9" t="s">
        <v>6</v>
      </c>
      <c r="D57" s="1"/>
      <c r="E57" s="48">
        <v>824073.98</v>
      </c>
      <c r="F57" s="48">
        <v>29981.87</v>
      </c>
      <c r="G57" s="10">
        <v>3.61</v>
      </c>
      <c r="H57" s="3"/>
      <c r="I57" s="5">
        <v>4.93</v>
      </c>
    </row>
    <row r="58" spans="1:9">
      <c r="B58" s="1" t="s">
        <v>13</v>
      </c>
      <c r="C58" s="9"/>
      <c r="D58" s="1"/>
      <c r="E58" s="47">
        <f>SUM(E53:E57)</f>
        <v>81844231.799999997</v>
      </c>
      <c r="F58" s="47">
        <f>SUM(F53:F57)</f>
        <v>2512232.6599999997</v>
      </c>
      <c r="G58" s="10"/>
      <c r="H58" s="3"/>
      <c r="I58" s="5"/>
    </row>
    <row r="59" spans="1:9">
      <c r="A59" s="1"/>
      <c r="B59" s="2"/>
      <c r="C59" s="9"/>
      <c r="D59" s="1"/>
      <c r="E59" s="47"/>
      <c r="F59" s="47"/>
      <c r="G59" s="10"/>
      <c r="H59" s="3"/>
      <c r="I59" s="5"/>
    </row>
    <row r="60" spans="1:9">
      <c r="B60" s="1" t="s">
        <v>14</v>
      </c>
      <c r="C60" s="9"/>
      <c r="D60" s="1"/>
      <c r="E60" s="47"/>
      <c r="F60" s="47"/>
      <c r="G60" s="10"/>
      <c r="H60" s="3"/>
      <c r="I60" s="5"/>
    </row>
    <row r="61" spans="1:9">
      <c r="A61" s="1"/>
      <c r="B61" s="2" t="s">
        <v>185</v>
      </c>
      <c r="C61" s="9" t="s">
        <v>2</v>
      </c>
      <c r="D61" s="1"/>
      <c r="E61" s="47">
        <v>29058975.960000001</v>
      </c>
      <c r="F61" s="41">
        <v>711672.75</v>
      </c>
      <c r="G61" s="10">
        <v>2.4500000000000002</v>
      </c>
      <c r="H61" s="1"/>
      <c r="I61" s="5">
        <v>2.8</v>
      </c>
    </row>
    <row r="62" spans="1:9">
      <c r="A62" s="1"/>
      <c r="B62" s="2" t="s">
        <v>186</v>
      </c>
      <c r="C62" s="9" t="s">
        <v>3</v>
      </c>
      <c r="D62" s="1"/>
      <c r="E62" s="47">
        <v>123772537.90000001</v>
      </c>
      <c r="F62" s="41">
        <v>3235545.9</v>
      </c>
      <c r="G62" s="10">
        <v>2.68</v>
      </c>
      <c r="H62" s="1"/>
      <c r="I62" s="5">
        <v>2.81</v>
      </c>
    </row>
    <row r="63" spans="1:9">
      <c r="A63" s="1"/>
      <c r="B63" s="2" t="s">
        <v>187</v>
      </c>
      <c r="C63" s="9" t="s">
        <v>4</v>
      </c>
      <c r="D63" s="1"/>
      <c r="E63" s="47">
        <v>41474565.659999996</v>
      </c>
      <c r="F63" s="41">
        <v>1184354.6599999999</v>
      </c>
      <c r="G63" s="10">
        <v>2.97</v>
      </c>
      <c r="H63" s="1"/>
      <c r="I63" s="5">
        <v>3.77</v>
      </c>
    </row>
    <row r="64" spans="1:9">
      <c r="A64" s="1"/>
      <c r="B64" s="2" t="s">
        <v>188</v>
      </c>
      <c r="C64" s="9" t="s">
        <v>5</v>
      </c>
      <c r="D64" s="1"/>
      <c r="E64" s="47">
        <v>6460699.3300000001</v>
      </c>
      <c r="F64" s="41">
        <v>159703.28</v>
      </c>
      <c r="G64" s="10">
        <v>2.4700000000000002</v>
      </c>
      <c r="H64" s="3"/>
      <c r="I64" s="5">
        <v>2.5</v>
      </c>
    </row>
    <row r="65" spans="1:9">
      <c r="A65" s="1"/>
      <c r="B65" s="2" t="s">
        <v>189</v>
      </c>
      <c r="C65" s="9" t="s">
        <v>6</v>
      </c>
      <c r="D65" s="1"/>
      <c r="E65" s="48">
        <v>704856.98</v>
      </c>
      <c r="F65" s="48">
        <v>20402.419999999998</v>
      </c>
      <c r="G65" s="10">
        <v>2.86</v>
      </c>
      <c r="H65" s="3"/>
      <c r="I65" s="5">
        <v>3.69</v>
      </c>
    </row>
    <row r="66" spans="1:9">
      <c r="B66" s="1" t="s">
        <v>15</v>
      </c>
      <c r="C66" s="9"/>
      <c r="D66" s="1"/>
      <c r="E66" s="47">
        <f>SUM(E61:E65)</f>
        <v>201471635.83000001</v>
      </c>
      <c r="F66" s="47">
        <f>SUM(F61:F65)</f>
        <v>5311679.01</v>
      </c>
      <c r="G66" s="10"/>
      <c r="H66" s="3"/>
      <c r="I66" s="5"/>
    </row>
    <row r="67" spans="1:9">
      <c r="A67" s="1"/>
      <c r="B67" s="2"/>
      <c r="C67" s="9"/>
      <c r="D67" s="1"/>
      <c r="E67" s="47"/>
      <c r="F67" s="47"/>
      <c r="G67" s="10"/>
      <c r="H67" s="3"/>
      <c r="I67" s="5"/>
    </row>
    <row r="68" spans="1:9">
      <c r="B68" s="1" t="s">
        <v>16</v>
      </c>
      <c r="C68" s="9"/>
      <c r="D68" s="1"/>
      <c r="E68" s="47"/>
      <c r="F68" s="47"/>
      <c r="G68" s="10"/>
      <c r="H68" s="3"/>
      <c r="I68" s="5"/>
    </row>
    <row r="69" spans="1:9">
      <c r="A69" s="1"/>
      <c r="B69" s="2" t="s">
        <v>185</v>
      </c>
      <c r="C69" s="9" t="s">
        <v>2</v>
      </c>
      <c r="D69" s="1"/>
      <c r="E69" s="47">
        <v>70574232.379999995</v>
      </c>
      <c r="F69" s="47">
        <v>1644884.93</v>
      </c>
      <c r="G69" s="10">
        <v>2.33</v>
      </c>
      <c r="H69" s="1"/>
      <c r="I69" s="5">
        <v>2.5299999999999998</v>
      </c>
    </row>
    <row r="70" spans="1:9">
      <c r="A70" s="1"/>
      <c r="B70" s="2" t="s">
        <v>186</v>
      </c>
      <c r="C70" s="9" t="s">
        <v>3</v>
      </c>
      <c r="D70" s="1"/>
      <c r="E70" s="47">
        <v>18727316.489999998</v>
      </c>
      <c r="F70" s="47">
        <v>468708.58</v>
      </c>
      <c r="G70" s="10">
        <v>2.48</v>
      </c>
      <c r="H70" s="1"/>
      <c r="I70" s="5">
        <v>2.68</v>
      </c>
    </row>
    <row r="71" spans="1:9">
      <c r="A71" s="1"/>
      <c r="B71" s="2" t="s">
        <v>187</v>
      </c>
      <c r="C71" s="9" t="s">
        <v>4</v>
      </c>
      <c r="D71" s="1"/>
      <c r="E71" s="47">
        <v>10515.04</v>
      </c>
      <c r="F71" s="47">
        <v>305.47000000000003</v>
      </c>
      <c r="G71" s="10">
        <v>2.62</v>
      </c>
      <c r="H71" s="1"/>
      <c r="I71" s="5">
        <v>49.28</v>
      </c>
    </row>
    <row r="72" spans="1:9">
      <c r="A72" s="1"/>
      <c r="B72" s="2" t="s">
        <v>188</v>
      </c>
      <c r="C72" s="9" t="s">
        <v>5</v>
      </c>
      <c r="D72" s="1"/>
      <c r="E72" s="47">
        <v>7652069.9800000004</v>
      </c>
      <c r="F72" s="47">
        <v>176742.17</v>
      </c>
      <c r="G72" s="10">
        <v>2.31</v>
      </c>
      <c r="H72" s="3"/>
      <c r="I72" s="5">
        <v>2.3199999999999998</v>
      </c>
    </row>
    <row r="73" spans="1:9">
      <c r="A73" s="1"/>
      <c r="B73" s="2" t="s">
        <v>189</v>
      </c>
      <c r="C73" s="9" t="s">
        <v>6</v>
      </c>
      <c r="D73" s="1"/>
      <c r="E73" s="48">
        <v>4613132.33</v>
      </c>
      <c r="F73" s="48">
        <v>129178.32</v>
      </c>
      <c r="G73" s="10">
        <v>2.79</v>
      </c>
      <c r="H73" s="3"/>
      <c r="I73" s="5">
        <v>2.7</v>
      </c>
    </row>
    <row r="74" spans="1:9">
      <c r="B74" s="1" t="s">
        <v>17</v>
      </c>
      <c r="C74" s="9"/>
      <c r="D74" s="1"/>
      <c r="E74" s="47">
        <f>SUM(E69:E73)</f>
        <v>101577266.22</v>
      </c>
      <c r="F74" s="47">
        <f>SUM(F69:F73)</f>
        <v>2419819.4699999997</v>
      </c>
      <c r="G74" s="10"/>
      <c r="H74" s="3"/>
      <c r="I74" s="5"/>
    </row>
    <row r="75" spans="1:9">
      <c r="A75" s="1"/>
      <c r="B75" s="2"/>
      <c r="C75" s="9"/>
      <c r="D75" s="1"/>
      <c r="E75" s="27"/>
      <c r="F75" s="27"/>
      <c r="G75" s="10"/>
      <c r="H75" s="3"/>
      <c r="I75" s="5"/>
    </row>
    <row r="76" spans="1:9">
      <c r="A76" s="1"/>
      <c r="B76" s="2"/>
      <c r="C76" s="9"/>
      <c r="D76" s="1"/>
      <c r="E76" s="27"/>
      <c r="F76" s="27"/>
      <c r="G76" s="10"/>
      <c r="H76" s="3"/>
      <c r="I76" s="5"/>
    </row>
    <row r="77" spans="1:9">
      <c r="B77" s="1" t="s">
        <v>18</v>
      </c>
      <c r="C77" s="9"/>
      <c r="D77" s="1"/>
      <c r="E77" s="27"/>
      <c r="F77" s="27"/>
      <c r="G77" s="10"/>
      <c r="H77" s="3"/>
      <c r="I77" s="5"/>
    </row>
    <row r="78" spans="1:9">
      <c r="A78" s="1"/>
      <c r="B78" s="2" t="s">
        <v>185</v>
      </c>
      <c r="C78" s="9" t="s">
        <v>2</v>
      </c>
      <c r="D78" s="1"/>
      <c r="E78" s="47">
        <v>26600987.27</v>
      </c>
      <c r="F78" s="47">
        <v>675347.47</v>
      </c>
      <c r="G78" s="10">
        <v>2.54</v>
      </c>
      <c r="H78" s="1"/>
      <c r="I78" s="5">
        <v>2.75</v>
      </c>
    </row>
    <row r="79" spans="1:9">
      <c r="A79" s="1"/>
      <c r="B79" s="2" t="s">
        <v>186</v>
      </c>
      <c r="C79" s="9" t="s">
        <v>3</v>
      </c>
      <c r="D79" s="1"/>
      <c r="E79" s="41">
        <v>108751248.93000001</v>
      </c>
      <c r="F79" s="41">
        <v>2979910.81</v>
      </c>
      <c r="G79" s="10">
        <v>2.75</v>
      </c>
      <c r="H79" s="1"/>
      <c r="I79" s="5">
        <v>2.98</v>
      </c>
    </row>
    <row r="80" spans="1:9">
      <c r="A80" s="1"/>
      <c r="B80" s="2" t="s">
        <v>187</v>
      </c>
      <c r="C80" s="9" t="s">
        <v>4</v>
      </c>
      <c r="D80" s="1"/>
      <c r="E80" s="41">
        <v>37714990.909999996</v>
      </c>
      <c r="F80" s="41">
        <v>1113014.8999999999</v>
      </c>
      <c r="G80" s="10">
        <v>2.94</v>
      </c>
      <c r="H80" s="1"/>
      <c r="I80" s="5">
        <v>3.59</v>
      </c>
    </row>
    <row r="81" spans="1:9">
      <c r="A81" s="1"/>
      <c r="B81" s="2" t="s">
        <v>188</v>
      </c>
      <c r="C81" s="9" t="s">
        <v>5</v>
      </c>
      <c r="D81" s="1"/>
      <c r="E81" s="41">
        <v>5670535</v>
      </c>
      <c r="F81" s="41">
        <v>142891.60999999999</v>
      </c>
      <c r="G81" s="10">
        <v>2.52</v>
      </c>
      <c r="H81" s="3"/>
      <c r="I81" s="5">
        <v>2.54</v>
      </c>
    </row>
    <row r="82" spans="1:9">
      <c r="A82" s="1"/>
      <c r="B82" s="2" t="s">
        <v>189</v>
      </c>
      <c r="C82" s="9" t="s">
        <v>6</v>
      </c>
      <c r="D82" s="1"/>
      <c r="E82" s="48">
        <v>902345.6</v>
      </c>
      <c r="F82" s="48">
        <v>25412.81</v>
      </c>
      <c r="G82" s="10">
        <v>2.79</v>
      </c>
      <c r="H82" s="3"/>
      <c r="I82" s="5">
        <v>3.26</v>
      </c>
    </row>
    <row r="83" spans="1:9">
      <c r="B83" s="1" t="s">
        <v>19</v>
      </c>
      <c r="C83" s="9"/>
      <c r="D83" s="1"/>
      <c r="E83" s="47">
        <f>SUM(E78:E82)</f>
        <v>179640107.71000001</v>
      </c>
      <c r="F83" s="47">
        <f>SUM(F78:F82)</f>
        <v>4936577.5999999996</v>
      </c>
      <c r="G83" s="10"/>
      <c r="H83" s="3"/>
      <c r="I83" s="5"/>
    </row>
    <row r="84" spans="1:9">
      <c r="A84" s="1"/>
      <c r="B84" s="2"/>
      <c r="C84" s="9"/>
      <c r="D84" s="1"/>
      <c r="E84" s="27"/>
      <c r="F84" s="27"/>
      <c r="G84" s="10"/>
      <c r="H84" s="3"/>
      <c r="I84" s="5"/>
    </row>
    <row r="85" spans="1:9">
      <c r="B85" s="1" t="s">
        <v>20</v>
      </c>
      <c r="C85" s="9"/>
      <c r="D85" s="1"/>
      <c r="E85" s="27"/>
      <c r="F85" s="27"/>
      <c r="G85" s="10"/>
      <c r="H85" s="3"/>
      <c r="I85" s="5"/>
    </row>
    <row r="86" spans="1:9">
      <c r="A86" s="1"/>
      <c r="B86" s="2" t="s">
        <v>186</v>
      </c>
      <c r="C86" s="9" t="s">
        <v>21</v>
      </c>
      <c r="D86" s="1"/>
      <c r="E86" s="52">
        <v>42748413.600000001</v>
      </c>
      <c r="F86" s="52">
        <v>1154207.17</v>
      </c>
      <c r="G86" s="10">
        <v>2.7</v>
      </c>
      <c r="H86" s="3"/>
      <c r="I86" s="5">
        <v>3.27</v>
      </c>
    </row>
    <row r="87" spans="1:9">
      <c r="A87" s="1"/>
      <c r="B87" s="2" t="s">
        <v>187</v>
      </c>
      <c r="C87" s="9" t="s">
        <v>22</v>
      </c>
      <c r="D87" s="1"/>
      <c r="E87" s="52">
        <v>20449667.41</v>
      </c>
      <c r="F87" s="52">
        <v>527493.31999999995</v>
      </c>
      <c r="G87" s="10">
        <v>2.59</v>
      </c>
      <c r="H87" s="3"/>
      <c r="I87" s="5">
        <v>3.27</v>
      </c>
    </row>
    <row r="88" spans="1:9">
      <c r="A88" s="1"/>
      <c r="B88" s="2" t="s">
        <v>188</v>
      </c>
      <c r="C88" s="9" t="s">
        <v>5</v>
      </c>
      <c r="D88" s="1"/>
      <c r="E88" s="52">
        <v>1678558.68</v>
      </c>
      <c r="F88" s="52">
        <v>44146.09</v>
      </c>
      <c r="G88" s="10">
        <v>2.63</v>
      </c>
      <c r="H88" s="3"/>
      <c r="I88" s="5">
        <v>2.64</v>
      </c>
    </row>
    <row r="89" spans="1:9">
      <c r="A89" s="1"/>
      <c r="B89" s="2" t="s">
        <v>189</v>
      </c>
      <c r="C89" s="9" t="s">
        <v>6</v>
      </c>
      <c r="D89" s="1"/>
      <c r="E89" s="53">
        <v>1101157.33</v>
      </c>
      <c r="F89" s="53">
        <v>25873.53</v>
      </c>
      <c r="G89" s="10">
        <v>2.59</v>
      </c>
      <c r="H89" s="3"/>
      <c r="I89" s="5">
        <v>6.84</v>
      </c>
    </row>
    <row r="90" spans="1:9">
      <c r="B90" s="1" t="s">
        <v>23</v>
      </c>
      <c r="C90" s="9"/>
      <c r="D90" s="1"/>
      <c r="E90" s="54">
        <f>SUM(E86:E89)</f>
        <v>65977797.020000003</v>
      </c>
      <c r="F90" s="54">
        <f>SUM(F86:F89)</f>
        <v>1751720.1099999999</v>
      </c>
      <c r="G90" s="10"/>
      <c r="H90" s="3"/>
      <c r="I90" s="5"/>
    </row>
    <row r="91" spans="1:9">
      <c r="A91" s="1"/>
      <c r="B91" s="2"/>
      <c r="C91" s="9"/>
      <c r="D91" s="1"/>
      <c r="E91" s="27"/>
      <c r="F91" s="27"/>
      <c r="G91" s="10"/>
      <c r="H91" s="3"/>
      <c r="I91" s="5"/>
    </row>
    <row r="92" spans="1:9">
      <c r="B92" s="1" t="s">
        <v>24</v>
      </c>
      <c r="C92" s="9"/>
      <c r="D92" s="1"/>
      <c r="E92" s="27"/>
      <c r="F92" s="27"/>
      <c r="G92" s="10"/>
      <c r="H92" s="3"/>
      <c r="I92" s="5"/>
    </row>
    <row r="93" spans="1:9">
      <c r="A93" s="1"/>
      <c r="B93" s="2" t="s">
        <v>185</v>
      </c>
      <c r="C93" s="9" t="s">
        <v>25</v>
      </c>
      <c r="D93" s="1"/>
      <c r="E93" s="55">
        <v>6178022.75</v>
      </c>
      <c r="F93" s="55">
        <v>205728.16</v>
      </c>
      <c r="G93" s="13">
        <v>3.3330000000000002</v>
      </c>
      <c r="H93" s="3"/>
      <c r="I93" s="5">
        <v>3.74</v>
      </c>
    </row>
    <row r="94" spans="1:9">
      <c r="A94" s="1"/>
      <c r="B94" s="2" t="s">
        <v>186</v>
      </c>
      <c r="C94" s="9" t="s">
        <v>21</v>
      </c>
      <c r="D94" s="1"/>
      <c r="E94" s="52">
        <v>17970988.129999999</v>
      </c>
      <c r="F94" s="52">
        <v>598433.87</v>
      </c>
      <c r="G94" s="13">
        <v>3.3330000000000002</v>
      </c>
      <c r="H94" s="3"/>
      <c r="I94" s="5">
        <v>3.89</v>
      </c>
    </row>
    <row r="95" spans="1:9">
      <c r="A95" s="1"/>
      <c r="B95" s="2" t="s">
        <v>187</v>
      </c>
      <c r="C95" s="9" t="s">
        <v>22</v>
      </c>
      <c r="D95" s="1"/>
      <c r="E95" s="52">
        <v>15800824.039999999</v>
      </c>
      <c r="F95" s="52">
        <v>526167.43999999994</v>
      </c>
      <c r="G95" s="13">
        <v>3.3330000000000002</v>
      </c>
      <c r="H95" s="3"/>
      <c r="I95" s="5">
        <v>3.81</v>
      </c>
    </row>
    <row r="96" spans="1:9">
      <c r="A96" s="1"/>
      <c r="B96" s="2" t="s">
        <v>188</v>
      </c>
      <c r="C96" s="9" t="s">
        <v>5</v>
      </c>
      <c r="D96" s="1"/>
      <c r="E96" s="52">
        <v>962486.71</v>
      </c>
      <c r="F96" s="52">
        <v>32050.82</v>
      </c>
      <c r="G96" s="13">
        <v>3.3330000000000002</v>
      </c>
      <c r="H96" s="3"/>
      <c r="I96" s="5">
        <v>3.34</v>
      </c>
    </row>
    <row r="97" spans="1:9">
      <c r="A97" s="1"/>
      <c r="B97" s="2" t="s">
        <v>189</v>
      </c>
      <c r="C97" s="9" t="s">
        <v>6</v>
      </c>
      <c r="D97" s="1"/>
      <c r="E97" s="53">
        <v>336377.91</v>
      </c>
      <c r="F97" s="53">
        <v>11201.38</v>
      </c>
      <c r="G97" s="13">
        <v>3.3330000000000002</v>
      </c>
      <c r="H97" s="3"/>
      <c r="I97" s="5">
        <v>3.84</v>
      </c>
    </row>
    <row r="98" spans="1:9">
      <c r="B98" s="1" t="s">
        <v>26</v>
      </c>
      <c r="C98" s="9"/>
      <c r="D98" s="1"/>
      <c r="E98" s="54">
        <f>SUM(E93:E97)</f>
        <v>41248699.539999999</v>
      </c>
      <c r="F98" s="54">
        <f>SUM(F93:F97)</f>
        <v>1373581.67</v>
      </c>
      <c r="G98" s="10"/>
      <c r="H98" s="3"/>
      <c r="I98" s="5"/>
    </row>
    <row r="99" spans="1:9">
      <c r="A99" s="1"/>
      <c r="B99" s="2"/>
      <c r="C99" s="9"/>
      <c r="D99" s="1"/>
      <c r="E99" s="27"/>
      <c r="F99" s="27"/>
      <c r="G99" s="10"/>
      <c r="H99" s="3"/>
      <c r="I99" s="5"/>
    </row>
    <row r="100" spans="1:9">
      <c r="A100" s="1"/>
      <c r="B100" s="6" t="s">
        <v>172</v>
      </c>
      <c r="C100" s="9"/>
      <c r="D100" s="1"/>
      <c r="E100" s="27"/>
      <c r="F100" s="27"/>
      <c r="G100" s="10"/>
      <c r="H100" s="3"/>
      <c r="I100" s="5"/>
    </row>
    <row r="101" spans="1:9">
      <c r="A101" s="1"/>
      <c r="B101" s="2" t="s">
        <v>185</v>
      </c>
      <c r="C101" s="9" t="s">
        <v>25</v>
      </c>
      <c r="D101" s="1"/>
      <c r="E101" s="27">
        <v>1843914</v>
      </c>
      <c r="F101" s="27">
        <v>6460.26</v>
      </c>
      <c r="G101" s="10">
        <v>1.39</v>
      </c>
      <c r="H101" s="69"/>
      <c r="I101" s="5">
        <v>1.55</v>
      </c>
    </row>
    <row r="102" spans="1:9">
      <c r="A102" s="1"/>
      <c r="B102" s="2" t="s">
        <v>186</v>
      </c>
      <c r="C102" s="9" t="s">
        <v>21</v>
      </c>
      <c r="D102" s="1"/>
      <c r="E102" s="27">
        <v>86510717</v>
      </c>
      <c r="F102" s="27">
        <v>303095.64</v>
      </c>
      <c r="G102" s="10">
        <v>1.39</v>
      </c>
      <c r="H102" s="69"/>
      <c r="I102" s="5">
        <v>1.55</v>
      </c>
    </row>
    <row r="103" spans="1:9">
      <c r="A103" s="1"/>
      <c r="B103" s="2" t="s">
        <v>187</v>
      </c>
      <c r="C103" s="9" t="s">
        <v>22</v>
      </c>
      <c r="D103" s="1"/>
      <c r="E103" s="27">
        <v>88357071</v>
      </c>
      <c r="F103" s="27">
        <v>309564.45</v>
      </c>
      <c r="G103" s="10">
        <v>1.39</v>
      </c>
      <c r="H103" s="69"/>
      <c r="I103" s="5">
        <v>1.55</v>
      </c>
    </row>
    <row r="104" spans="1:9">
      <c r="A104" s="1"/>
      <c r="B104" s="2" t="s">
        <v>188</v>
      </c>
      <c r="C104" s="9" t="s">
        <v>5</v>
      </c>
      <c r="D104" s="1"/>
      <c r="E104" s="27">
        <v>7300879</v>
      </c>
      <c r="F104" s="27">
        <v>25579.08</v>
      </c>
      <c r="G104" s="10">
        <v>1.39</v>
      </c>
      <c r="H104" s="69"/>
      <c r="I104" s="5">
        <v>1.55</v>
      </c>
    </row>
    <row r="105" spans="1:9">
      <c r="A105" s="1"/>
      <c r="B105" s="2" t="s">
        <v>189</v>
      </c>
      <c r="C105" s="9" t="s">
        <v>6</v>
      </c>
      <c r="D105" s="1"/>
      <c r="E105" s="28">
        <v>6163</v>
      </c>
      <c r="F105" s="28">
        <v>21.6</v>
      </c>
      <c r="G105" s="10">
        <v>1.39</v>
      </c>
      <c r="H105" s="69"/>
      <c r="I105" s="5">
        <v>1.55</v>
      </c>
    </row>
    <row r="106" spans="1:9">
      <c r="A106" s="1"/>
      <c r="B106" s="6" t="s">
        <v>173</v>
      </c>
      <c r="C106" s="9"/>
      <c r="D106" s="1"/>
      <c r="E106" s="27">
        <f>SUM(E101:E105)</f>
        <v>184018744</v>
      </c>
      <c r="F106" s="27">
        <f>SUM(F101:F105)</f>
        <v>644721.03</v>
      </c>
      <c r="G106" s="10"/>
      <c r="H106" s="3"/>
      <c r="I106" s="5"/>
    </row>
    <row r="107" spans="1:9">
      <c r="A107" s="1"/>
      <c r="B107" s="2"/>
      <c r="C107" s="9"/>
      <c r="D107" s="1"/>
      <c r="E107" s="27"/>
      <c r="F107" s="27"/>
      <c r="G107" s="10"/>
      <c r="H107" s="3"/>
      <c r="I107" s="5"/>
    </row>
    <row r="108" spans="1:9">
      <c r="A108" s="1"/>
      <c r="B108" s="14" t="s">
        <v>27</v>
      </c>
      <c r="D108" s="1"/>
      <c r="E108" s="56">
        <f>SUM(E83,E74,E66,E58,E50,E46,E36,E90,E98,E106)</f>
        <v>1003429552.2399999</v>
      </c>
      <c r="F108" s="56">
        <f>SUM(F83,F74,F66,F58,F50,F46,F36,F90,F98,F106)</f>
        <v>23656716</v>
      </c>
      <c r="G108" s="10"/>
      <c r="H108" s="3"/>
      <c r="I108" s="5"/>
    </row>
    <row r="109" spans="1:9">
      <c r="A109" s="1"/>
      <c r="B109" s="2"/>
      <c r="C109" s="14"/>
      <c r="D109" s="1"/>
      <c r="E109" s="56"/>
      <c r="F109" s="56"/>
      <c r="G109" s="10"/>
      <c r="H109" s="3"/>
      <c r="I109" s="5"/>
    </row>
    <row r="110" spans="1:9">
      <c r="A110" s="1"/>
      <c r="B110" s="2"/>
      <c r="C110" s="14"/>
      <c r="D110" s="1"/>
      <c r="E110" s="56"/>
      <c r="F110" s="56"/>
      <c r="G110" s="10"/>
      <c r="H110" s="3"/>
      <c r="I110" s="5"/>
    </row>
    <row r="111" spans="1:9">
      <c r="A111" s="7"/>
      <c r="B111" s="2"/>
      <c r="C111" s="9"/>
      <c r="D111" s="1"/>
      <c r="E111" s="27"/>
      <c r="F111" s="27"/>
      <c r="G111" s="10"/>
      <c r="H111" s="3"/>
      <c r="I111" s="5"/>
    </row>
    <row r="112" spans="1:9">
      <c r="A112" s="7"/>
      <c r="B112" s="2"/>
      <c r="C112" s="9"/>
      <c r="D112" s="1"/>
      <c r="E112" s="27"/>
      <c r="F112" s="27"/>
      <c r="G112" s="10"/>
      <c r="H112" s="3"/>
      <c r="I112" s="5"/>
    </row>
    <row r="113" spans="1:9">
      <c r="A113" s="14" t="s">
        <v>28</v>
      </c>
      <c r="B113" s="17"/>
      <c r="C113" s="14"/>
      <c r="D113" s="1"/>
      <c r="E113" s="27"/>
      <c r="F113" s="27"/>
      <c r="G113" s="10"/>
      <c r="H113" s="3"/>
      <c r="I113" s="5"/>
    </row>
    <row r="114" spans="1:9">
      <c r="B114" s="1" t="s">
        <v>29</v>
      </c>
      <c r="C114" s="9"/>
      <c r="D114" s="1"/>
      <c r="E114" s="27"/>
      <c r="F114" s="27"/>
      <c r="G114" s="10"/>
      <c r="H114" s="3"/>
      <c r="I114" s="5"/>
    </row>
    <row r="115" spans="1:9">
      <c r="A115" s="1"/>
      <c r="B115" s="2" t="s">
        <v>190</v>
      </c>
      <c r="C115" s="9" t="s">
        <v>25</v>
      </c>
      <c r="D115" s="1"/>
      <c r="E115" s="41">
        <v>2460057.87</v>
      </c>
      <c r="F115" s="42">
        <v>97878.14</v>
      </c>
      <c r="G115" s="10">
        <v>4</v>
      </c>
      <c r="H115" s="3"/>
      <c r="I115" s="5">
        <v>7.12</v>
      </c>
    </row>
    <row r="116" spans="1:9">
      <c r="A116" s="1"/>
      <c r="B116" s="2" t="s">
        <v>191</v>
      </c>
      <c r="C116" s="9" t="s">
        <v>30</v>
      </c>
      <c r="D116" s="1"/>
      <c r="E116" s="41">
        <v>46695912.090000004</v>
      </c>
      <c r="F116" s="42">
        <v>1847260.03</v>
      </c>
      <c r="G116" s="10">
        <v>4</v>
      </c>
      <c r="H116" s="3"/>
      <c r="I116" s="5">
        <v>7.15</v>
      </c>
    </row>
    <row r="117" spans="1:9">
      <c r="A117" s="1"/>
      <c r="B117" s="2" t="s">
        <v>192</v>
      </c>
      <c r="C117" s="9" t="s">
        <v>31</v>
      </c>
      <c r="D117" s="1"/>
      <c r="E117" s="41">
        <v>2291034.35</v>
      </c>
      <c r="F117" s="42">
        <v>34869.32</v>
      </c>
      <c r="G117" s="10">
        <v>2.21</v>
      </c>
      <c r="H117" s="3"/>
      <c r="I117" s="5">
        <v>6.7</v>
      </c>
    </row>
    <row r="118" spans="1:9">
      <c r="A118" s="1"/>
      <c r="B118" s="2" t="s">
        <v>193</v>
      </c>
      <c r="C118" s="9" t="s">
        <v>5</v>
      </c>
      <c r="D118" s="1"/>
      <c r="E118" s="41">
        <v>1793243.86</v>
      </c>
      <c r="F118" s="42">
        <v>53584.78</v>
      </c>
      <c r="G118" s="10">
        <v>3.01</v>
      </c>
      <c r="H118" s="3"/>
      <c r="I118" s="5">
        <v>6.3</v>
      </c>
    </row>
    <row r="119" spans="1:9">
      <c r="A119" s="1"/>
      <c r="B119" s="2" t="s">
        <v>194</v>
      </c>
      <c r="C119" s="9" t="s">
        <v>6</v>
      </c>
      <c r="D119" s="1"/>
      <c r="E119" s="47">
        <v>260144.6</v>
      </c>
      <c r="F119" s="47">
        <v>11244.23</v>
      </c>
      <c r="G119" s="10">
        <v>3.44</v>
      </c>
      <c r="H119" s="3"/>
      <c r="I119" s="5">
        <v>7.3</v>
      </c>
    </row>
    <row r="120" spans="1:9">
      <c r="A120" s="1"/>
      <c r="B120" s="2" t="s">
        <v>195</v>
      </c>
      <c r="C120" s="9" t="s">
        <v>32</v>
      </c>
      <c r="D120" s="1"/>
      <c r="E120" s="47">
        <v>627836.69999999995</v>
      </c>
      <c r="F120" s="47">
        <v>27136.99</v>
      </c>
      <c r="G120" s="10">
        <v>3.44</v>
      </c>
      <c r="H120" s="3"/>
      <c r="I120" s="5">
        <v>17.350000000000001</v>
      </c>
    </row>
    <row r="121" spans="1:9">
      <c r="A121" s="1"/>
      <c r="B121" s="2" t="s">
        <v>196</v>
      </c>
      <c r="C121" s="9" t="s">
        <v>33</v>
      </c>
      <c r="D121" s="1"/>
      <c r="E121" s="48">
        <v>492607.43</v>
      </c>
      <c r="F121" s="48">
        <v>11822.57</v>
      </c>
      <c r="G121" s="10">
        <v>2.4</v>
      </c>
      <c r="H121" s="3"/>
      <c r="I121" s="5">
        <v>6.13</v>
      </c>
    </row>
    <row r="122" spans="1:9">
      <c r="B122" s="1" t="s">
        <v>34</v>
      </c>
      <c r="C122" s="9"/>
      <c r="D122" s="1"/>
      <c r="E122" s="47">
        <f>SUM(E115:E121)</f>
        <v>54620836.900000006</v>
      </c>
      <c r="F122" s="47">
        <f>SUM(F115:F121)</f>
        <v>2083796.06</v>
      </c>
      <c r="G122" s="10"/>
      <c r="H122" s="3"/>
      <c r="I122" s="5"/>
    </row>
    <row r="123" spans="1:9">
      <c r="A123" s="1"/>
      <c r="B123" s="2"/>
      <c r="C123" s="9"/>
      <c r="D123" s="1"/>
      <c r="E123" s="27"/>
      <c r="F123" s="27"/>
      <c r="G123" s="10"/>
      <c r="H123" s="3"/>
      <c r="I123" s="5"/>
    </row>
    <row r="124" spans="1:9">
      <c r="B124" s="1" t="s">
        <v>35</v>
      </c>
      <c r="C124" s="9"/>
      <c r="D124" s="1"/>
      <c r="E124" s="27"/>
      <c r="F124" s="27"/>
      <c r="G124" s="10"/>
      <c r="H124" s="3"/>
      <c r="I124" s="5"/>
    </row>
    <row r="125" spans="1:9">
      <c r="A125" s="1"/>
      <c r="B125" s="2" t="s">
        <v>190</v>
      </c>
      <c r="C125" s="9" t="s">
        <v>25</v>
      </c>
      <c r="D125" s="1"/>
      <c r="E125" s="47">
        <f>3280717.56+3908.5</f>
        <v>3284626.06</v>
      </c>
      <c r="F125" s="47">
        <f>392931.09+470.58</f>
        <v>393401.67000000004</v>
      </c>
      <c r="G125" s="10">
        <v>12.04</v>
      </c>
      <c r="H125" s="3"/>
      <c r="I125" s="5">
        <v>0.81</v>
      </c>
    </row>
    <row r="126" spans="1:9">
      <c r="A126" s="1"/>
      <c r="B126" s="2" t="s">
        <v>191</v>
      </c>
      <c r="C126" s="9" t="s">
        <v>30</v>
      </c>
      <c r="D126" s="1"/>
      <c r="E126" s="47">
        <v>14645854.02</v>
      </c>
      <c r="F126" s="47">
        <v>1414441.84</v>
      </c>
      <c r="G126" s="10">
        <v>10.65</v>
      </c>
      <c r="H126" s="3"/>
      <c r="I126" s="5">
        <v>0.6</v>
      </c>
    </row>
    <row r="127" spans="1:9">
      <c r="A127" s="1"/>
      <c r="B127" s="2" t="s">
        <v>192</v>
      </c>
      <c r="C127" s="9" t="s">
        <v>31</v>
      </c>
      <c r="D127" s="1"/>
      <c r="E127" s="47">
        <v>10022484.300000001</v>
      </c>
      <c r="F127" s="47">
        <v>425505.42</v>
      </c>
      <c r="G127" s="10">
        <v>4.25</v>
      </c>
      <c r="H127" s="3"/>
      <c r="I127" s="5">
        <v>2</v>
      </c>
    </row>
    <row r="128" spans="1:9">
      <c r="A128" s="1"/>
      <c r="B128" s="2" t="s">
        <v>193</v>
      </c>
      <c r="C128" s="9" t="s">
        <v>5</v>
      </c>
      <c r="D128" s="1"/>
      <c r="E128" s="47">
        <v>1883879.27</v>
      </c>
      <c r="F128" s="47">
        <v>161268.19</v>
      </c>
      <c r="G128" s="10">
        <v>8.5500000000000007</v>
      </c>
      <c r="H128" s="3"/>
      <c r="I128" s="5">
        <v>1.34</v>
      </c>
    </row>
    <row r="129" spans="1:9">
      <c r="A129" s="1"/>
      <c r="B129" s="2" t="s">
        <v>194</v>
      </c>
      <c r="C129" s="9" t="s">
        <v>6</v>
      </c>
      <c r="D129" s="1"/>
      <c r="E129" s="47">
        <v>634814.1</v>
      </c>
      <c r="F129" s="47">
        <v>54954.01</v>
      </c>
      <c r="G129" s="10">
        <v>8.68</v>
      </c>
      <c r="H129" s="3"/>
      <c r="I129" s="5">
        <v>0.18</v>
      </c>
    </row>
    <row r="130" spans="1:9">
      <c r="A130" s="1"/>
      <c r="B130" s="2" t="s">
        <v>195</v>
      </c>
      <c r="C130" s="9" t="s">
        <v>32</v>
      </c>
      <c r="D130" s="1"/>
      <c r="E130" s="41">
        <v>520794.71</v>
      </c>
      <c r="F130" s="47">
        <v>45083.68</v>
      </c>
      <c r="G130" s="10">
        <v>8.68</v>
      </c>
      <c r="H130" s="3"/>
      <c r="I130" s="5">
        <v>4.21</v>
      </c>
    </row>
    <row r="131" spans="1:9">
      <c r="A131" s="1"/>
      <c r="B131" s="2" t="s">
        <v>196</v>
      </c>
      <c r="C131" s="9" t="s">
        <v>33</v>
      </c>
      <c r="D131" s="1"/>
      <c r="E131" s="48">
        <v>74593.13</v>
      </c>
      <c r="F131" s="48">
        <v>9578.19</v>
      </c>
      <c r="G131" s="10">
        <v>12.5</v>
      </c>
      <c r="H131" s="3"/>
      <c r="I131" s="5">
        <v>0.45</v>
      </c>
    </row>
    <row r="132" spans="1:9">
      <c r="B132" s="1" t="s">
        <v>36</v>
      </c>
      <c r="C132" s="9"/>
      <c r="D132" s="1"/>
      <c r="E132" s="47">
        <f>SUM(E125:E131)</f>
        <v>31067045.59</v>
      </c>
      <c r="F132" s="47">
        <f>SUM(F125:F131)</f>
        <v>2504233</v>
      </c>
      <c r="G132" s="10"/>
      <c r="H132" s="3"/>
      <c r="I132" s="5"/>
    </row>
    <row r="133" spans="1:9">
      <c r="A133" s="1"/>
      <c r="B133" s="2"/>
      <c r="C133" s="9"/>
      <c r="D133" s="1"/>
      <c r="E133" s="27"/>
      <c r="F133" s="27"/>
      <c r="G133" s="10"/>
      <c r="H133" s="3"/>
      <c r="I133" s="5"/>
    </row>
    <row r="134" spans="1:9">
      <c r="B134" s="1" t="s">
        <v>37</v>
      </c>
      <c r="C134" s="9"/>
      <c r="D134" s="1"/>
      <c r="E134" s="27"/>
      <c r="F134" s="27"/>
      <c r="G134" s="10"/>
      <c r="H134" s="3"/>
      <c r="I134" s="5"/>
    </row>
    <row r="135" spans="1:9">
      <c r="A135" s="1"/>
      <c r="B135" s="2" t="s">
        <v>190</v>
      </c>
      <c r="C135" s="9" t="s">
        <v>25</v>
      </c>
      <c r="D135" s="1"/>
      <c r="E135" s="47">
        <v>3550855.62</v>
      </c>
      <c r="F135" s="47">
        <v>104147.36</v>
      </c>
      <c r="G135" s="10">
        <v>2.93</v>
      </c>
      <c r="H135" s="3"/>
      <c r="I135" s="5">
        <v>2.2400000000000002</v>
      </c>
    </row>
    <row r="136" spans="1:9">
      <c r="A136" s="1"/>
      <c r="B136" s="2" t="s">
        <v>191</v>
      </c>
      <c r="C136" s="9" t="s">
        <v>30</v>
      </c>
      <c r="D136" s="1"/>
      <c r="E136" s="47">
        <v>584993.96</v>
      </c>
      <c r="F136" s="47">
        <v>12050.88</v>
      </c>
      <c r="G136" s="10">
        <v>2.06</v>
      </c>
      <c r="H136" s="3"/>
      <c r="I136" s="5">
        <v>2.72</v>
      </c>
    </row>
    <row r="137" spans="1:9">
      <c r="A137" s="1"/>
      <c r="B137" s="2" t="s">
        <v>192</v>
      </c>
      <c r="C137" s="9" t="s">
        <v>31</v>
      </c>
      <c r="D137" s="1"/>
      <c r="E137" s="47">
        <v>708781.31</v>
      </c>
      <c r="F137" s="47">
        <v>9922.94</v>
      </c>
      <c r="G137" s="10">
        <v>1.4</v>
      </c>
      <c r="H137" s="3"/>
      <c r="I137" s="5">
        <v>1.61</v>
      </c>
    </row>
    <row r="138" spans="1:9">
      <c r="A138" s="1"/>
      <c r="B138" s="2" t="s">
        <v>193</v>
      </c>
      <c r="C138" s="9" t="s">
        <v>5</v>
      </c>
      <c r="D138" s="1"/>
      <c r="E138" s="47">
        <v>298571.15999999997</v>
      </c>
      <c r="F138" s="47">
        <v>4903.62</v>
      </c>
      <c r="G138" s="10">
        <v>1.65</v>
      </c>
      <c r="H138" s="3"/>
      <c r="I138" s="5">
        <v>1.69</v>
      </c>
    </row>
    <row r="139" spans="1:9">
      <c r="A139" s="1"/>
      <c r="B139" s="2" t="s">
        <v>194</v>
      </c>
      <c r="C139" s="9" t="s">
        <v>6</v>
      </c>
      <c r="D139" s="1"/>
      <c r="E139" s="47">
        <v>1793.49</v>
      </c>
      <c r="F139" s="47">
        <v>42.22</v>
      </c>
      <c r="G139" s="10">
        <v>2.41</v>
      </c>
      <c r="H139" s="3"/>
      <c r="I139" s="5">
        <v>0</v>
      </c>
    </row>
    <row r="140" spans="1:9">
      <c r="A140" s="1"/>
      <c r="B140" s="2" t="s">
        <v>195</v>
      </c>
      <c r="C140" s="9" t="s">
        <v>32</v>
      </c>
      <c r="D140" s="1"/>
      <c r="E140" s="47">
        <v>357552.84</v>
      </c>
      <c r="F140" s="47">
        <v>8416.6299999999992</v>
      </c>
      <c r="G140" s="10">
        <v>2.41</v>
      </c>
      <c r="H140" s="3"/>
      <c r="I140" s="5">
        <v>15.66</v>
      </c>
    </row>
    <row r="141" spans="1:9">
      <c r="A141" s="1"/>
      <c r="B141" s="2" t="s">
        <v>196</v>
      </c>
      <c r="C141" s="9" t="s">
        <v>33</v>
      </c>
      <c r="D141" s="1"/>
      <c r="E141" s="47">
        <v>39894.69</v>
      </c>
      <c r="F141" s="47">
        <v>442.84</v>
      </c>
      <c r="G141" s="10">
        <v>1.1100000000000001</v>
      </c>
      <c r="H141" s="3"/>
      <c r="I141" s="5">
        <v>0.6</v>
      </c>
    </row>
    <row r="142" spans="1:9">
      <c r="A142" s="1"/>
      <c r="B142" s="2" t="s">
        <v>197</v>
      </c>
      <c r="C142" s="9" t="s">
        <v>38</v>
      </c>
      <c r="D142" s="1"/>
      <c r="E142" s="48">
        <v>32898.730000000003</v>
      </c>
      <c r="F142" s="48">
        <v>1313.89</v>
      </c>
      <c r="G142" s="10">
        <v>3.55</v>
      </c>
      <c r="H142" s="3"/>
      <c r="I142" s="5">
        <v>2.4300000000000002</v>
      </c>
    </row>
    <row r="143" spans="1:9">
      <c r="B143" s="1" t="s">
        <v>39</v>
      </c>
      <c r="C143" s="9"/>
      <c r="D143" s="1"/>
      <c r="E143" s="47">
        <f>SUM(E135:E142)</f>
        <v>5575341.8000000017</v>
      </c>
      <c r="F143" s="47">
        <f>SUM(F135:F142)</f>
        <v>141240.38</v>
      </c>
      <c r="G143" s="10"/>
      <c r="H143" s="3"/>
      <c r="I143" s="5"/>
    </row>
    <row r="144" spans="1:9">
      <c r="A144" s="1"/>
      <c r="B144" s="2"/>
      <c r="C144" s="9"/>
      <c r="D144" s="1"/>
      <c r="E144" s="27"/>
      <c r="F144" s="27"/>
      <c r="G144" s="10"/>
      <c r="H144" s="3"/>
      <c r="I144" s="5"/>
    </row>
    <row r="145" spans="1:9">
      <c r="A145" s="1"/>
      <c r="B145" s="2"/>
      <c r="C145" s="9"/>
      <c r="D145" s="1"/>
      <c r="E145" s="27"/>
      <c r="F145" s="27"/>
      <c r="G145" s="10"/>
      <c r="H145" s="3"/>
      <c r="I145" s="5"/>
    </row>
    <row r="146" spans="1:9">
      <c r="A146" s="1"/>
      <c r="B146" s="2"/>
      <c r="C146" s="9"/>
      <c r="D146" s="1"/>
      <c r="E146" s="27"/>
      <c r="F146" s="27"/>
      <c r="G146" s="10"/>
      <c r="H146" s="3"/>
      <c r="I146" s="5"/>
    </row>
    <row r="147" spans="1:9" ht="12" customHeight="1">
      <c r="C147" s="9"/>
      <c r="D147" s="1"/>
      <c r="E147" s="27"/>
      <c r="F147" s="27"/>
      <c r="G147" s="10"/>
      <c r="H147" s="3"/>
      <c r="I147" s="5"/>
    </row>
    <row r="148" spans="1:9" ht="12" customHeight="1">
      <c r="C148" s="9"/>
      <c r="D148" s="1"/>
      <c r="E148" s="27"/>
      <c r="F148" s="27"/>
      <c r="G148" s="10"/>
      <c r="H148" s="3"/>
      <c r="I148" s="5"/>
    </row>
    <row r="149" spans="1:9">
      <c r="B149" s="1" t="s">
        <v>40</v>
      </c>
      <c r="C149" s="9"/>
      <c r="D149" s="1"/>
      <c r="E149" s="27"/>
      <c r="F149" s="27"/>
      <c r="G149" s="10"/>
      <c r="H149" s="3"/>
      <c r="I149" s="5"/>
    </row>
    <row r="150" spans="1:9">
      <c r="A150" s="1"/>
      <c r="B150" s="2" t="s">
        <v>190</v>
      </c>
      <c r="C150" s="9" t="s">
        <v>25</v>
      </c>
      <c r="D150" s="1"/>
      <c r="E150" s="47">
        <v>652002.48</v>
      </c>
      <c r="F150" s="47">
        <v>17302.27</v>
      </c>
      <c r="G150" s="10">
        <v>2.65</v>
      </c>
      <c r="H150" s="3"/>
      <c r="I150" s="5">
        <v>1.98</v>
      </c>
    </row>
    <row r="151" spans="1:9">
      <c r="A151" s="1"/>
      <c r="B151" s="2" t="s">
        <v>191</v>
      </c>
      <c r="C151" s="9" t="s">
        <v>30</v>
      </c>
      <c r="D151" s="1"/>
      <c r="E151" s="47">
        <v>1179902.74</v>
      </c>
      <c r="F151" s="47">
        <v>31385.41</v>
      </c>
      <c r="G151" s="10">
        <v>2.66</v>
      </c>
      <c r="H151" s="3"/>
      <c r="I151" s="5">
        <v>2.17</v>
      </c>
    </row>
    <row r="152" spans="1:9">
      <c r="A152" s="1"/>
      <c r="B152" s="2" t="s">
        <v>192</v>
      </c>
      <c r="C152" s="9" t="s">
        <v>31</v>
      </c>
      <c r="D152" s="1"/>
      <c r="E152" s="47">
        <v>5210196.53</v>
      </c>
      <c r="F152" s="47">
        <v>124523.68</v>
      </c>
      <c r="G152" s="10">
        <v>2.39</v>
      </c>
      <c r="H152" s="3"/>
      <c r="I152" s="5">
        <v>3.24</v>
      </c>
    </row>
    <row r="153" spans="1:9">
      <c r="A153" s="1"/>
      <c r="B153" s="2" t="s">
        <v>193</v>
      </c>
      <c r="C153" s="9" t="s">
        <v>5</v>
      </c>
      <c r="D153" s="1"/>
      <c r="E153" s="47">
        <v>490371.62</v>
      </c>
      <c r="F153" s="47">
        <v>14269.79</v>
      </c>
      <c r="G153" s="10">
        <v>2.91</v>
      </c>
      <c r="H153" s="3"/>
      <c r="I153" s="5">
        <v>1.66</v>
      </c>
    </row>
    <row r="154" spans="1:9">
      <c r="A154" s="1"/>
      <c r="B154" s="2" t="s">
        <v>194</v>
      </c>
      <c r="C154" s="9" t="s">
        <v>6</v>
      </c>
      <c r="D154" s="1"/>
      <c r="E154" s="47">
        <v>4773.6400000000003</v>
      </c>
      <c r="F154" s="47">
        <v>144.16</v>
      </c>
      <c r="G154" s="10">
        <v>3.02</v>
      </c>
      <c r="H154" s="3"/>
      <c r="I154" s="5">
        <v>3.48</v>
      </c>
    </row>
    <row r="155" spans="1:9">
      <c r="A155" s="1"/>
      <c r="B155" s="2" t="s">
        <v>195</v>
      </c>
      <c r="C155" s="9" t="s">
        <v>32</v>
      </c>
      <c r="D155" s="1"/>
      <c r="E155" s="47">
        <v>66781</v>
      </c>
      <c r="F155" s="47">
        <v>2016.79</v>
      </c>
      <c r="G155" s="10">
        <v>3.02</v>
      </c>
      <c r="H155" s="3"/>
      <c r="I155" s="5">
        <v>11.25</v>
      </c>
    </row>
    <row r="156" spans="1:9">
      <c r="A156" s="1"/>
      <c r="B156" s="2" t="s">
        <v>196</v>
      </c>
      <c r="C156" s="9" t="s">
        <v>33</v>
      </c>
      <c r="D156" s="1"/>
      <c r="E156" s="48">
        <v>287456.42</v>
      </c>
      <c r="F156" s="48">
        <v>5630.35</v>
      </c>
      <c r="G156" s="10">
        <v>1.96</v>
      </c>
      <c r="H156" s="3"/>
      <c r="I156" s="5">
        <v>2.59</v>
      </c>
    </row>
    <row r="157" spans="1:9">
      <c r="B157" s="1" t="s">
        <v>41</v>
      </c>
      <c r="C157" s="9"/>
      <c r="D157" s="1"/>
      <c r="E157" s="47">
        <f>SUM(E150:E156)</f>
        <v>7891484.4299999997</v>
      </c>
      <c r="F157" s="47">
        <f>SUM(F150:F156)</f>
        <v>195272.45</v>
      </c>
      <c r="G157" s="10"/>
      <c r="H157" s="3"/>
      <c r="I157" s="5"/>
    </row>
    <row r="158" spans="1:9">
      <c r="A158" s="1"/>
      <c r="B158" s="2"/>
      <c r="C158" s="9"/>
      <c r="D158" s="1"/>
      <c r="E158" s="27"/>
      <c r="F158" s="27"/>
      <c r="G158" s="10"/>
      <c r="H158" s="3"/>
      <c r="I158" s="5"/>
    </row>
    <row r="159" spans="1:9">
      <c r="B159" s="1" t="s">
        <v>42</v>
      </c>
      <c r="C159" s="9"/>
      <c r="D159" s="1"/>
      <c r="E159" s="27"/>
      <c r="F159" s="27"/>
      <c r="G159" s="10"/>
      <c r="H159" s="3"/>
      <c r="I159" s="5"/>
    </row>
    <row r="160" spans="1:9">
      <c r="A160" s="1"/>
      <c r="B160" s="2" t="s">
        <v>190</v>
      </c>
      <c r="C160" s="9" t="s">
        <v>25</v>
      </c>
      <c r="D160" s="1"/>
      <c r="E160" s="41">
        <v>6208069.8399999999</v>
      </c>
      <c r="F160" s="41">
        <v>665912.29</v>
      </c>
      <c r="G160" s="10">
        <v>13</v>
      </c>
      <c r="H160" s="3"/>
      <c r="I160" s="5">
        <v>0.54</v>
      </c>
    </row>
    <row r="161" spans="1:11">
      <c r="A161" s="1"/>
      <c r="B161" s="2" t="s">
        <v>191</v>
      </c>
      <c r="C161" s="9" t="s">
        <v>30</v>
      </c>
      <c r="D161" s="1"/>
      <c r="E161" s="41">
        <v>48037386.200000003</v>
      </c>
      <c r="F161" s="41">
        <v>4874401.6100000003</v>
      </c>
      <c r="G161" s="10">
        <v>10.14</v>
      </c>
      <c r="H161" s="3"/>
      <c r="I161" s="5">
        <v>0.36</v>
      </c>
    </row>
    <row r="162" spans="1:11">
      <c r="A162" s="1"/>
      <c r="B162" s="2" t="s">
        <v>192</v>
      </c>
      <c r="C162" s="9" t="s">
        <v>31</v>
      </c>
      <c r="D162" s="1"/>
      <c r="E162" s="41">
        <v>8669934.5399999991</v>
      </c>
      <c r="F162" s="41">
        <v>764688.22</v>
      </c>
      <c r="G162" s="10">
        <v>8.82</v>
      </c>
      <c r="H162" s="3"/>
      <c r="I162" s="5">
        <v>0</v>
      </c>
    </row>
    <row r="163" spans="1:11">
      <c r="A163" s="1"/>
      <c r="B163" s="2" t="s">
        <v>193</v>
      </c>
      <c r="C163" s="9" t="s">
        <v>5</v>
      </c>
      <c r="D163" s="1"/>
      <c r="E163" s="41">
        <v>1769313.18</v>
      </c>
      <c r="F163" s="41">
        <v>160441.72</v>
      </c>
      <c r="G163" s="10">
        <v>9.09</v>
      </c>
      <c r="H163" s="3"/>
      <c r="I163" s="5">
        <v>0.01</v>
      </c>
    </row>
    <row r="164" spans="1:11">
      <c r="A164" s="1"/>
      <c r="B164" s="2" t="s">
        <v>194</v>
      </c>
      <c r="C164" s="9" t="s">
        <v>6</v>
      </c>
      <c r="D164" s="1"/>
      <c r="E164" s="41">
        <v>493379.6</v>
      </c>
      <c r="F164" s="41">
        <v>51347.57</v>
      </c>
      <c r="G164" s="10">
        <v>10.47</v>
      </c>
      <c r="H164" s="3"/>
      <c r="I164" s="5">
        <v>2.13</v>
      </c>
    </row>
    <row r="165" spans="1:11">
      <c r="A165" s="1"/>
      <c r="B165" s="2" t="s">
        <v>195</v>
      </c>
      <c r="C165" s="9" t="s">
        <v>32</v>
      </c>
      <c r="D165" s="1"/>
      <c r="E165" s="41">
        <v>273542.90999999997</v>
      </c>
      <c r="F165" s="41">
        <v>28468.48</v>
      </c>
      <c r="G165" s="10">
        <v>10.47</v>
      </c>
      <c r="H165" s="3"/>
      <c r="I165" s="5">
        <v>1.66</v>
      </c>
    </row>
    <row r="166" spans="1:11">
      <c r="A166" s="1"/>
      <c r="B166" s="2" t="s">
        <v>196</v>
      </c>
      <c r="C166" s="9" t="s">
        <v>33</v>
      </c>
      <c r="D166" s="1"/>
      <c r="E166" s="48">
        <v>645094.99</v>
      </c>
      <c r="F166" s="48">
        <v>35609.25</v>
      </c>
      <c r="G166" s="10">
        <v>5.52</v>
      </c>
      <c r="H166" s="3"/>
      <c r="I166" s="5">
        <v>0</v>
      </c>
    </row>
    <row r="167" spans="1:11">
      <c r="B167" s="1" t="s">
        <v>43</v>
      </c>
      <c r="C167" s="9"/>
      <c r="D167" s="1"/>
      <c r="E167" s="41">
        <f>SUM(E160:E166)</f>
        <v>66096721.260000005</v>
      </c>
      <c r="F167" s="41">
        <f>SUM(F160:F166)</f>
        <v>6580869.1400000006</v>
      </c>
      <c r="G167" s="10"/>
      <c r="H167" s="3"/>
      <c r="I167" s="5"/>
    </row>
    <row r="168" spans="1:11">
      <c r="B168" s="1"/>
      <c r="C168" s="9"/>
      <c r="D168" s="1"/>
      <c r="G168" s="10"/>
      <c r="H168" s="3"/>
      <c r="I168" s="5"/>
    </row>
    <row r="169" spans="1:11" s="34" customFormat="1">
      <c r="B169" s="14" t="s">
        <v>44</v>
      </c>
      <c r="C169" s="14"/>
      <c r="D169" s="9"/>
      <c r="E169" s="56">
        <f>SUM(E167,E157,E143,E132,E122)</f>
        <v>165251429.98000002</v>
      </c>
      <c r="F169" s="56">
        <f>SUM(F167,F157,F143,F132,F122)</f>
        <v>11505411.030000001</v>
      </c>
      <c r="G169" s="33"/>
      <c r="H169" s="9"/>
      <c r="I169" s="37"/>
    </row>
    <row r="170" spans="1:11" s="34" customFormat="1">
      <c r="B170" s="14"/>
      <c r="C170" s="14"/>
      <c r="D170" s="9"/>
      <c r="E170" s="56"/>
      <c r="F170" s="56"/>
      <c r="G170" s="33"/>
      <c r="H170" s="9"/>
      <c r="I170" s="37"/>
    </row>
    <row r="171" spans="1:11">
      <c r="A171" s="1"/>
      <c r="B171" s="30"/>
      <c r="C171" s="9"/>
      <c r="D171" s="1"/>
      <c r="E171" s="27"/>
      <c r="F171" s="27"/>
      <c r="G171" s="10"/>
      <c r="H171" s="3"/>
      <c r="I171" s="5"/>
    </row>
    <row r="172" spans="1:11">
      <c r="A172" s="14" t="s">
        <v>45</v>
      </c>
      <c r="B172" s="30"/>
      <c r="C172" s="9"/>
      <c r="D172" s="1"/>
      <c r="E172" s="27"/>
      <c r="F172" s="27"/>
      <c r="G172" s="10"/>
      <c r="H172" s="3"/>
      <c r="I172" s="5"/>
    </row>
    <row r="173" spans="1:11">
      <c r="B173" s="1" t="s">
        <v>46</v>
      </c>
      <c r="C173" s="9"/>
      <c r="D173" s="1"/>
      <c r="E173" s="27"/>
      <c r="F173" s="27"/>
      <c r="G173" s="10"/>
      <c r="H173" s="3"/>
      <c r="I173" s="5"/>
    </row>
    <row r="174" spans="1:11">
      <c r="A174" s="1"/>
      <c r="B174" s="2" t="s">
        <v>139</v>
      </c>
      <c r="C174" s="9" t="s">
        <v>25</v>
      </c>
      <c r="D174" s="1"/>
      <c r="E174" s="41">
        <v>28241.57</v>
      </c>
      <c r="F174" s="41">
        <v>11.29</v>
      </c>
      <c r="G174" s="10">
        <v>0.04</v>
      </c>
      <c r="H174" s="3"/>
      <c r="I174" s="5">
        <v>0</v>
      </c>
    </row>
    <row r="175" spans="1:11">
      <c r="A175" s="1"/>
      <c r="B175" s="2" t="s">
        <v>198</v>
      </c>
      <c r="C175" s="9" t="s">
        <v>21</v>
      </c>
      <c r="D175" s="1"/>
      <c r="E175" s="41">
        <v>197234.51</v>
      </c>
      <c r="F175" s="41">
        <v>19743.169999999998</v>
      </c>
      <c r="G175" s="10">
        <v>10.01</v>
      </c>
      <c r="H175" s="3"/>
      <c r="I175" s="5">
        <v>4.32</v>
      </c>
      <c r="K175" s="43"/>
    </row>
    <row r="176" spans="1:11">
      <c r="A176" s="1"/>
      <c r="B176" s="2" t="s">
        <v>140</v>
      </c>
      <c r="C176" s="9" t="s">
        <v>22</v>
      </c>
      <c r="D176" s="1"/>
      <c r="E176" s="41">
        <v>451571.96</v>
      </c>
      <c r="F176" s="41">
        <v>180.63</v>
      </c>
      <c r="G176" s="10">
        <v>0.04</v>
      </c>
      <c r="H176" s="3"/>
      <c r="I176" s="5">
        <v>4.47</v>
      </c>
    </row>
    <row r="177" spans="1:11">
      <c r="A177" s="1"/>
      <c r="B177" s="2" t="s">
        <v>199</v>
      </c>
      <c r="C177" s="9" t="s">
        <v>5</v>
      </c>
      <c r="D177" s="1"/>
      <c r="E177" s="41">
        <v>84237.34</v>
      </c>
      <c r="F177" s="41">
        <v>1052.97</v>
      </c>
      <c r="G177" s="10">
        <v>1.25</v>
      </c>
      <c r="H177" s="3"/>
      <c r="I177" s="5">
        <v>5.07</v>
      </c>
      <c r="K177" s="43"/>
    </row>
    <row r="178" spans="1:11">
      <c r="A178" s="1"/>
      <c r="B178" s="2" t="s">
        <v>200</v>
      </c>
      <c r="C178" s="9" t="s">
        <v>32</v>
      </c>
      <c r="D178" s="1"/>
      <c r="E178" s="47">
        <v>10385.31</v>
      </c>
      <c r="F178" s="48">
        <v>626.24</v>
      </c>
      <c r="G178" s="10">
        <v>6.03</v>
      </c>
      <c r="H178" s="3"/>
      <c r="I178" s="5">
        <v>1.85</v>
      </c>
      <c r="K178" s="43"/>
    </row>
    <row r="179" spans="1:11">
      <c r="B179" s="1" t="s">
        <v>47</v>
      </c>
      <c r="C179" s="9"/>
      <c r="D179" s="1"/>
      <c r="E179" s="57">
        <f>SUM(E174:E178)</f>
        <v>771670.69000000006</v>
      </c>
      <c r="F179" s="47">
        <f>SUM(F174:F178)</f>
        <v>21614.300000000003</v>
      </c>
      <c r="G179" s="10"/>
      <c r="H179" s="3"/>
      <c r="I179" s="5"/>
    </row>
    <row r="180" spans="1:11">
      <c r="B180" s="1"/>
      <c r="C180" s="9"/>
      <c r="D180" s="1"/>
      <c r="E180" s="47"/>
      <c r="F180" s="47"/>
      <c r="G180" s="10"/>
      <c r="H180" s="3"/>
      <c r="I180" s="5"/>
    </row>
    <row r="181" spans="1:11">
      <c r="B181" s="1"/>
      <c r="C181" s="9"/>
      <c r="D181" s="1"/>
      <c r="E181" s="47"/>
      <c r="F181" s="47"/>
      <c r="G181" s="10"/>
      <c r="H181" s="3"/>
      <c r="I181" s="5"/>
    </row>
    <row r="182" spans="1:11">
      <c r="B182" s="1"/>
      <c r="C182" s="9"/>
      <c r="D182" s="1"/>
      <c r="E182" s="47"/>
      <c r="F182" s="47"/>
      <c r="G182" s="10"/>
      <c r="H182" s="3"/>
      <c r="I182" s="5"/>
    </row>
    <row r="183" spans="1:11">
      <c r="B183" s="1"/>
      <c r="C183" s="9"/>
      <c r="D183" s="1"/>
      <c r="E183" s="47"/>
      <c r="F183" s="47"/>
      <c r="G183" s="10"/>
      <c r="H183" s="3"/>
      <c r="I183" s="5"/>
    </row>
    <row r="184" spans="1:11">
      <c r="B184" s="1"/>
      <c r="C184" s="9"/>
      <c r="D184" s="1"/>
      <c r="E184" s="47"/>
      <c r="F184" s="47"/>
      <c r="G184" s="10"/>
      <c r="H184" s="3"/>
      <c r="I184" s="5"/>
    </row>
    <row r="185" spans="1:11">
      <c r="B185" s="1" t="s">
        <v>20</v>
      </c>
      <c r="C185" s="9"/>
      <c r="D185" s="1"/>
      <c r="E185" s="27"/>
      <c r="F185" s="27"/>
      <c r="G185" s="10"/>
      <c r="H185" s="3"/>
      <c r="I185" s="5"/>
    </row>
    <row r="186" spans="1:11">
      <c r="A186" s="1"/>
      <c r="B186" s="2" t="s">
        <v>139</v>
      </c>
      <c r="C186" s="9" t="s">
        <v>25</v>
      </c>
      <c r="D186" s="1"/>
      <c r="E186" s="58">
        <v>6595936.75</v>
      </c>
      <c r="F186" s="58">
        <v>178845.04</v>
      </c>
      <c r="G186" s="10">
        <v>2.7</v>
      </c>
      <c r="H186" s="3"/>
      <c r="I186" s="5">
        <v>2.97</v>
      </c>
    </row>
    <row r="187" spans="1:11">
      <c r="A187" s="1"/>
      <c r="B187" s="2" t="s">
        <v>198</v>
      </c>
      <c r="C187" s="9" t="s">
        <v>21</v>
      </c>
      <c r="D187" s="1"/>
      <c r="E187" s="58">
        <v>7998178.46</v>
      </c>
      <c r="F187" s="58">
        <v>207152.82</v>
      </c>
      <c r="G187" s="10">
        <v>2.59</v>
      </c>
      <c r="H187" s="3"/>
      <c r="I187" s="5">
        <v>2.88</v>
      </c>
    </row>
    <row r="188" spans="1:11">
      <c r="A188" s="1"/>
      <c r="B188" s="2" t="s">
        <v>140</v>
      </c>
      <c r="C188" s="9" t="s">
        <v>22</v>
      </c>
      <c r="D188" s="1"/>
      <c r="E188" s="58">
        <v>70644953.319999993</v>
      </c>
      <c r="F188" s="58">
        <v>1857788.48</v>
      </c>
      <c r="G188" s="10">
        <v>2.63</v>
      </c>
      <c r="H188" s="3"/>
      <c r="I188" s="5">
        <v>2.5499999999999998</v>
      </c>
    </row>
    <row r="189" spans="1:11">
      <c r="A189" s="1"/>
      <c r="B189" s="2" t="s">
        <v>199</v>
      </c>
      <c r="C189" s="9" t="s">
        <v>5</v>
      </c>
      <c r="D189" s="1"/>
      <c r="E189" s="58">
        <v>2021517.63</v>
      </c>
      <c r="F189" s="58">
        <v>52963.76</v>
      </c>
      <c r="G189" s="10">
        <v>2.62</v>
      </c>
      <c r="H189" s="3"/>
      <c r="I189" s="5">
        <v>6.45</v>
      </c>
    </row>
    <row r="190" spans="1:11">
      <c r="A190" s="1"/>
      <c r="B190" s="2" t="s">
        <v>201</v>
      </c>
      <c r="C190" s="9" t="s">
        <v>6</v>
      </c>
      <c r="D190" s="1"/>
      <c r="E190" s="52">
        <v>1142596.92</v>
      </c>
      <c r="F190" s="52">
        <v>31381.59</v>
      </c>
      <c r="G190" s="10">
        <v>2.59</v>
      </c>
      <c r="H190" s="3"/>
      <c r="I190" s="5">
        <v>2.91</v>
      </c>
    </row>
    <row r="191" spans="1:11">
      <c r="A191" s="1"/>
      <c r="B191" s="2" t="s">
        <v>200</v>
      </c>
      <c r="C191" s="9" t="s">
        <v>32</v>
      </c>
      <c r="D191" s="1"/>
      <c r="E191" s="52">
        <v>43664.89</v>
      </c>
      <c r="F191" s="53">
        <v>1199.26</v>
      </c>
      <c r="G191" s="10">
        <v>2.59</v>
      </c>
      <c r="H191" s="3"/>
      <c r="I191" s="5">
        <v>7.23</v>
      </c>
    </row>
    <row r="192" spans="1:11">
      <c r="B192" s="1" t="s">
        <v>23</v>
      </c>
      <c r="C192" s="9"/>
      <c r="D192" s="1"/>
      <c r="E192" s="59">
        <f>SUM(E186:E191)</f>
        <v>88446847.969999999</v>
      </c>
      <c r="F192" s="54">
        <f>SUM(F186:F191)</f>
        <v>2329330.9499999993</v>
      </c>
      <c r="G192" s="10"/>
      <c r="H192" s="3"/>
      <c r="I192" s="5"/>
    </row>
    <row r="193" spans="1:9">
      <c r="A193" s="1"/>
      <c r="B193" s="2"/>
      <c r="C193" s="9"/>
      <c r="D193" s="1"/>
      <c r="E193" s="27"/>
      <c r="F193" s="27"/>
      <c r="G193" s="10"/>
      <c r="H193" s="3"/>
      <c r="I193" s="5"/>
    </row>
    <row r="194" spans="1:9">
      <c r="B194" s="1" t="s">
        <v>48</v>
      </c>
      <c r="C194" s="9"/>
      <c r="D194" s="1"/>
      <c r="E194" s="46"/>
      <c r="F194" s="46"/>
      <c r="G194" s="10"/>
      <c r="H194" s="3"/>
      <c r="I194" s="5"/>
    </row>
    <row r="195" spans="1:9">
      <c r="A195" s="1"/>
      <c r="B195" s="2" t="s">
        <v>198</v>
      </c>
      <c r="C195" s="9" t="s">
        <v>21</v>
      </c>
      <c r="D195" s="1"/>
      <c r="E195" s="52">
        <v>1804662.8</v>
      </c>
      <c r="F195" s="52">
        <v>60095.27</v>
      </c>
      <c r="G195" s="10">
        <v>3.3330000000000002</v>
      </c>
      <c r="H195" s="3"/>
      <c r="I195" s="5">
        <v>3.52</v>
      </c>
    </row>
    <row r="196" spans="1:9">
      <c r="A196" s="1"/>
      <c r="B196" s="2" t="s">
        <v>140</v>
      </c>
      <c r="C196" s="9" t="s">
        <v>22</v>
      </c>
      <c r="D196" s="1"/>
      <c r="E196" s="52">
        <v>29246324.170000002</v>
      </c>
      <c r="F196" s="52">
        <v>973822.74</v>
      </c>
      <c r="G196" s="10">
        <v>3.3330000000000002</v>
      </c>
      <c r="H196" s="3"/>
      <c r="I196" s="5">
        <v>3.34</v>
      </c>
    </row>
    <row r="197" spans="1:9">
      <c r="A197" s="1"/>
      <c r="B197" s="2" t="s">
        <v>199</v>
      </c>
      <c r="C197" s="9" t="s">
        <v>5</v>
      </c>
      <c r="D197" s="1"/>
      <c r="E197" s="53">
        <v>296766.71999999997</v>
      </c>
      <c r="F197" s="53">
        <v>9882.34</v>
      </c>
      <c r="G197" s="10">
        <v>3.3330000000000002</v>
      </c>
      <c r="H197" s="3"/>
      <c r="I197" s="5">
        <v>3.34</v>
      </c>
    </row>
    <row r="198" spans="1:9">
      <c r="B198" s="1" t="s">
        <v>26</v>
      </c>
      <c r="C198" s="9"/>
      <c r="D198" s="1"/>
      <c r="E198" s="54">
        <f>SUM(E195:E197)</f>
        <v>31347753.690000001</v>
      </c>
      <c r="F198" s="54">
        <f>SUM(F195:F197)</f>
        <v>1043800.35</v>
      </c>
      <c r="G198" s="10"/>
      <c r="H198" s="3"/>
      <c r="I198" s="5"/>
    </row>
    <row r="199" spans="1:9">
      <c r="A199" s="1"/>
      <c r="B199" s="2"/>
      <c r="C199" s="9"/>
      <c r="D199" s="1"/>
      <c r="E199" s="27"/>
      <c r="F199" s="27"/>
      <c r="G199" s="10"/>
      <c r="H199" s="3"/>
      <c r="I199" s="5"/>
    </row>
    <row r="200" spans="1:9">
      <c r="B200" s="1" t="s">
        <v>49</v>
      </c>
      <c r="C200" s="9"/>
      <c r="D200" s="1"/>
      <c r="E200" s="27"/>
      <c r="F200" s="27"/>
      <c r="G200" s="10"/>
      <c r="H200" s="3"/>
      <c r="I200" s="5"/>
    </row>
    <row r="201" spans="1:9">
      <c r="A201" s="1"/>
      <c r="B201" s="2" t="s">
        <v>139</v>
      </c>
      <c r="C201" s="9" t="s">
        <v>25</v>
      </c>
      <c r="D201" s="1"/>
      <c r="E201" s="54">
        <v>2344478.06</v>
      </c>
      <c r="F201" s="54">
        <v>56141.11</v>
      </c>
      <c r="G201" s="10">
        <v>2.41</v>
      </c>
      <c r="H201" s="3"/>
      <c r="I201" s="5">
        <v>3.22</v>
      </c>
    </row>
    <row r="202" spans="1:9">
      <c r="A202" s="1"/>
      <c r="B202" s="2" t="s">
        <v>198</v>
      </c>
      <c r="C202" s="9" t="s">
        <v>21</v>
      </c>
      <c r="D202" s="1"/>
      <c r="E202" s="54">
        <v>3702107.48</v>
      </c>
      <c r="F202" s="54">
        <v>64046.46</v>
      </c>
      <c r="G202" s="10">
        <v>1.73</v>
      </c>
      <c r="H202" s="3"/>
      <c r="I202" s="5">
        <v>1.93</v>
      </c>
    </row>
    <row r="203" spans="1:9">
      <c r="A203" s="1"/>
      <c r="B203" s="2" t="s">
        <v>140</v>
      </c>
      <c r="C203" s="9" t="s">
        <v>22</v>
      </c>
      <c r="D203" s="1"/>
      <c r="E203" s="54">
        <v>24805307.300000001</v>
      </c>
      <c r="F203" s="54">
        <v>579030.46</v>
      </c>
      <c r="G203" s="10">
        <v>2.33</v>
      </c>
      <c r="H203" s="3"/>
      <c r="I203" s="5">
        <v>2.48</v>
      </c>
    </row>
    <row r="204" spans="1:9">
      <c r="A204" s="1"/>
      <c r="B204" s="2" t="s">
        <v>199</v>
      </c>
      <c r="C204" s="9" t="s">
        <v>5</v>
      </c>
      <c r="D204" s="1"/>
      <c r="E204" s="54">
        <v>1943694.83</v>
      </c>
      <c r="F204" s="54">
        <v>743.75</v>
      </c>
      <c r="G204" s="10">
        <v>0.04</v>
      </c>
      <c r="H204" s="3"/>
      <c r="I204" s="5">
        <v>6.75</v>
      </c>
    </row>
    <row r="205" spans="1:9">
      <c r="A205" s="1"/>
      <c r="B205" s="2" t="s">
        <v>201</v>
      </c>
      <c r="C205" s="9" t="s">
        <v>6</v>
      </c>
      <c r="D205" s="1"/>
      <c r="E205" s="54">
        <v>172525.69</v>
      </c>
      <c r="F205" s="54">
        <v>5499.04</v>
      </c>
      <c r="G205" s="10">
        <v>3.5</v>
      </c>
      <c r="H205" s="3"/>
      <c r="I205" s="5">
        <v>5.0199999999999996</v>
      </c>
    </row>
    <row r="206" spans="1:9">
      <c r="A206" s="1"/>
      <c r="B206" s="2" t="s">
        <v>200</v>
      </c>
      <c r="C206" s="9" t="s">
        <v>32</v>
      </c>
      <c r="D206" s="1"/>
      <c r="E206" s="54">
        <v>267633.83</v>
      </c>
      <c r="F206" s="64">
        <v>8530.48</v>
      </c>
      <c r="G206" s="10">
        <v>3.5</v>
      </c>
      <c r="H206" s="3"/>
      <c r="I206" s="5">
        <v>3.94</v>
      </c>
    </row>
    <row r="207" spans="1:9">
      <c r="B207" s="1" t="s">
        <v>50</v>
      </c>
      <c r="C207" s="9"/>
      <c r="D207" s="1"/>
      <c r="E207" s="59">
        <f>SUM(E201:E206)</f>
        <v>33235747.190000001</v>
      </c>
      <c r="F207" s="59">
        <f>SUM(F201:F206)</f>
        <v>713991.3</v>
      </c>
      <c r="G207" s="10"/>
      <c r="H207" s="3"/>
      <c r="I207" s="5"/>
    </row>
    <row r="208" spans="1:9">
      <c r="A208" s="1"/>
      <c r="B208" s="2"/>
      <c r="C208" s="9"/>
      <c r="D208" s="1"/>
      <c r="E208" s="27"/>
      <c r="F208" s="27"/>
      <c r="G208" s="10"/>
      <c r="H208" s="3"/>
      <c r="I208" s="5"/>
    </row>
    <row r="209" spans="1:9">
      <c r="B209" s="1" t="s">
        <v>51</v>
      </c>
      <c r="C209" s="9"/>
      <c r="D209" s="1"/>
      <c r="E209" s="27"/>
      <c r="F209" s="27"/>
      <c r="G209" s="10"/>
      <c r="H209" s="3"/>
      <c r="I209" s="5"/>
    </row>
    <row r="210" spans="1:9">
      <c r="A210" s="1"/>
      <c r="B210" s="2" t="s">
        <v>139</v>
      </c>
      <c r="C210" s="9" t="s">
        <v>25</v>
      </c>
      <c r="D210" s="1"/>
      <c r="E210" s="54">
        <v>3491408.04</v>
      </c>
      <c r="F210" s="54">
        <v>144515.95000000001</v>
      </c>
      <c r="G210" s="10">
        <v>4.1500000000000004</v>
      </c>
      <c r="H210" s="3"/>
      <c r="I210" s="5">
        <v>4.16</v>
      </c>
    </row>
    <row r="211" spans="1:9">
      <c r="A211" s="1"/>
      <c r="B211" s="2" t="s">
        <v>198</v>
      </c>
      <c r="C211" s="9" t="s">
        <v>21</v>
      </c>
      <c r="D211" s="1"/>
      <c r="E211" s="54">
        <v>3355684.73</v>
      </c>
      <c r="F211" s="54">
        <v>141945.47</v>
      </c>
      <c r="G211" s="10">
        <v>4.2300000000000004</v>
      </c>
      <c r="H211" s="3"/>
      <c r="I211" s="5">
        <v>4.75</v>
      </c>
    </row>
    <row r="212" spans="1:9">
      <c r="A212" s="1"/>
      <c r="B212" s="2" t="s">
        <v>140</v>
      </c>
      <c r="C212" s="9" t="s">
        <v>22</v>
      </c>
      <c r="D212" s="1"/>
      <c r="E212" s="42">
        <v>41422739.259999998</v>
      </c>
      <c r="F212" s="42">
        <v>845023.89</v>
      </c>
      <c r="G212" s="10">
        <v>2.04</v>
      </c>
      <c r="H212" s="3"/>
      <c r="I212" s="5">
        <v>2.06</v>
      </c>
    </row>
    <row r="213" spans="1:9">
      <c r="A213" s="1"/>
      <c r="B213" s="2" t="s">
        <v>199</v>
      </c>
      <c r="C213" s="9" t="s">
        <v>5</v>
      </c>
      <c r="D213" s="1"/>
      <c r="E213" s="54">
        <v>884929.97</v>
      </c>
      <c r="F213" s="54">
        <v>25618.41</v>
      </c>
      <c r="G213" s="10">
        <v>2.91</v>
      </c>
      <c r="H213" s="3"/>
      <c r="I213" s="5">
        <v>3.06</v>
      </c>
    </row>
    <row r="214" spans="1:9">
      <c r="A214" s="1"/>
      <c r="B214" s="2" t="s">
        <v>201</v>
      </c>
      <c r="C214" s="9" t="s">
        <v>6</v>
      </c>
      <c r="D214" s="1"/>
      <c r="E214" s="54">
        <v>241975.23</v>
      </c>
      <c r="F214" s="54">
        <v>9993.58</v>
      </c>
      <c r="G214" s="10">
        <v>4.13</v>
      </c>
      <c r="H214" s="3"/>
      <c r="I214" s="5">
        <v>3.9</v>
      </c>
    </row>
    <row r="215" spans="1:9">
      <c r="A215" s="1"/>
      <c r="B215" s="2" t="s">
        <v>200</v>
      </c>
      <c r="C215" s="9" t="s">
        <v>32</v>
      </c>
      <c r="D215" s="1"/>
      <c r="E215" s="54">
        <f>182303.93+199927.61</f>
        <v>382231.54</v>
      </c>
      <c r="F215" s="54">
        <f>6874.34+8257.01</f>
        <v>15131.35</v>
      </c>
      <c r="G215" s="10">
        <v>4.13</v>
      </c>
      <c r="H215" s="3"/>
      <c r="I215" s="5">
        <v>24.49</v>
      </c>
    </row>
    <row r="216" spans="1:9">
      <c r="A216" s="1"/>
      <c r="B216" s="2" t="s">
        <v>202</v>
      </c>
      <c r="C216" s="9" t="s">
        <v>38</v>
      </c>
      <c r="D216" s="1"/>
      <c r="E216" s="48">
        <v>221928.75</v>
      </c>
      <c r="F216" s="48">
        <v>8863.2900000000009</v>
      </c>
      <c r="G216" s="10">
        <v>3.55</v>
      </c>
      <c r="H216" s="3"/>
      <c r="I216" s="5">
        <v>3.82</v>
      </c>
    </row>
    <row r="217" spans="1:9">
      <c r="B217" s="1" t="s">
        <v>52</v>
      </c>
      <c r="C217" s="9"/>
      <c r="D217" s="1"/>
      <c r="E217" s="54">
        <f>SUM(E210:E216)</f>
        <v>50000897.519999996</v>
      </c>
      <c r="F217" s="54">
        <f>SUM(F210:F216)</f>
        <v>1191091.9400000002</v>
      </c>
      <c r="G217" s="10"/>
      <c r="H217" s="3"/>
      <c r="I217" s="5"/>
    </row>
    <row r="218" spans="1:9">
      <c r="B218" s="1"/>
      <c r="C218" s="9"/>
      <c r="D218" s="1"/>
      <c r="E218" s="54"/>
      <c r="F218" s="54"/>
      <c r="G218" s="10"/>
      <c r="H218" s="3"/>
      <c r="I218" s="5"/>
    </row>
    <row r="219" spans="1:9">
      <c r="B219" s="1"/>
      <c r="C219" s="9"/>
      <c r="D219" s="1"/>
      <c r="E219" s="54"/>
      <c r="F219" s="54"/>
      <c r="G219" s="10"/>
      <c r="H219" s="3"/>
      <c r="I219" s="5"/>
    </row>
    <row r="220" spans="1:9">
      <c r="B220" s="1"/>
      <c r="C220" s="9"/>
      <c r="D220" s="1"/>
      <c r="E220" s="54"/>
      <c r="F220" s="54"/>
      <c r="G220" s="10"/>
      <c r="H220" s="3"/>
      <c r="I220" s="5"/>
    </row>
    <row r="221" spans="1:9">
      <c r="B221" s="2" t="s">
        <v>172</v>
      </c>
      <c r="C221" s="9"/>
      <c r="D221" s="1"/>
      <c r="E221" s="54"/>
      <c r="F221" s="54"/>
      <c r="G221" s="10"/>
      <c r="H221" s="3"/>
      <c r="I221" s="5"/>
    </row>
    <row r="222" spans="1:9">
      <c r="B222" s="2" t="s">
        <v>139</v>
      </c>
      <c r="C222" s="9" t="s">
        <v>25</v>
      </c>
      <c r="D222" s="1"/>
      <c r="E222" s="54">
        <v>33993049</v>
      </c>
      <c r="F222" s="54">
        <v>119096.74</v>
      </c>
      <c r="G222" s="10">
        <v>1.39</v>
      </c>
      <c r="H222" s="69"/>
      <c r="I222" s="5">
        <v>1.55</v>
      </c>
    </row>
    <row r="223" spans="1:9">
      <c r="B223" s="2" t="s">
        <v>198</v>
      </c>
      <c r="C223" s="9" t="s">
        <v>21</v>
      </c>
      <c r="D223" s="1"/>
      <c r="E223" s="54">
        <v>1887875</v>
      </c>
      <c r="F223" s="54">
        <v>6614.28</v>
      </c>
      <c r="G223" s="10">
        <v>1.39</v>
      </c>
      <c r="H223" s="69"/>
      <c r="I223" s="5">
        <v>1.55</v>
      </c>
    </row>
    <row r="224" spans="1:9">
      <c r="B224" s="2" t="s">
        <v>140</v>
      </c>
      <c r="C224" s="9" t="s">
        <v>22</v>
      </c>
      <c r="D224" s="1"/>
      <c r="E224" s="54">
        <f>65688934.23+5008688.88</f>
        <v>70697623.109999999</v>
      </c>
      <c r="F224" s="54">
        <f>332449.35+1727267.16+8702.6</f>
        <v>2068419.1099999999</v>
      </c>
      <c r="G224" s="10">
        <v>1.39</v>
      </c>
      <c r="H224" s="69"/>
      <c r="I224" s="5">
        <v>1.55</v>
      </c>
    </row>
    <row r="225" spans="1:9">
      <c r="B225" s="2" t="s">
        <v>199</v>
      </c>
      <c r="C225" s="9" t="s">
        <v>5</v>
      </c>
      <c r="D225" s="1"/>
      <c r="E225" s="54">
        <v>9468135</v>
      </c>
      <c r="F225" s="54">
        <v>33172.199999999997</v>
      </c>
      <c r="G225" s="10">
        <v>1.39</v>
      </c>
      <c r="H225" s="69"/>
      <c r="I225" s="5">
        <v>1.55</v>
      </c>
    </row>
    <row r="226" spans="1:9">
      <c r="B226" s="2" t="s">
        <v>201</v>
      </c>
      <c r="C226" s="9" t="s">
        <v>6</v>
      </c>
      <c r="D226" s="1"/>
      <c r="E226" s="64">
        <v>2134388</v>
      </c>
      <c r="F226" s="64">
        <v>7477.96</v>
      </c>
      <c r="G226" s="10">
        <v>1.39</v>
      </c>
      <c r="H226" s="69"/>
      <c r="I226" s="5">
        <v>1.55</v>
      </c>
    </row>
    <row r="227" spans="1:9">
      <c r="B227" s="6" t="s">
        <v>173</v>
      </c>
      <c r="C227" s="9"/>
      <c r="D227" s="1"/>
      <c r="E227" s="54">
        <f>SUM(E222:E226)</f>
        <v>118181070.11</v>
      </c>
      <c r="F227" s="54">
        <f>SUM(F222:F226)</f>
        <v>2234780.29</v>
      </c>
      <c r="G227" s="10"/>
      <c r="H227" s="3"/>
      <c r="I227" s="5"/>
    </row>
    <row r="228" spans="1:9">
      <c r="A228" s="1"/>
      <c r="B228" s="2"/>
      <c r="C228" s="9"/>
      <c r="D228" s="1"/>
      <c r="E228" s="27"/>
      <c r="F228" s="27"/>
      <c r="G228" s="10"/>
      <c r="H228" s="3"/>
      <c r="I228" s="5"/>
    </row>
    <row r="229" spans="1:9">
      <c r="B229" s="1" t="s">
        <v>53</v>
      </c>
      <c r="C229" s="9"/>
      <c r="D229" s="1"/>
      <c r="E229" s="27"/>
      <c r="F229" s="27"/>
      <c r="G229" s="10"/>
      <c r="H229" s="3"/>
      <c r="I229" s="5"/>
    </row>
    <row r="230" spans="1:9">
      <c r="A230" s="1"/>
      <c r="B230" s="2" t="s">
        <v>139</v>
      </c>
      <c r="C230" s="9" t="s">
        <v>25</v>
      </c>
      <c r="D230" s="1"/>
      <c r="E230" s="58">
        <v>3818831.4</v>
      </c>
      <c r="F230" s="58">
        <v>162775</v>
      </c>
      <c r="G230" s="15">
        <v>4</v>
      </c>
      <c r="H230" s="3"/>
      <c r="I230" s="5">
        <v>4.24</v>
      </c>
    </row>
    <row r="231" spans="1:9">
      <c r="A231" s="1"/>
      <c r="B231" s="2" t="s">
        <v>140</v>
      </c>
      <c r="C231" s="9" t="s">
        <v>22</v>
      </c>
      <c r="D231" s="1"/>
      <c r="E231" s="58">
        <v>145368923.69</v>
      </c>
      <c r="F231" s="58">
        <v>6196254.0199999996</v>
      </c>
      <c r="G231" s="15">
        <v>4</v>
      </c>
      <c r="H231" s="3"/>
      <c r="I231" s="5">
        <v>4.24</v>
      </c>
    </row>
    <row r="232" spans="1:9">
      <c r="A232" s="1"/>
      <c r="B232" s="2" t="s">
        <v>199</v>
      </c>
      <c r="C232" s="9" t="s">
        <v>5</v>
      </c>
      <c r="D232" s="1"/>
      <c r="E232" s="58">
        <v>16346021.27</v>
      </c>
      <c r="F232" s="58">
        <v>696737.6</v>
      </c>
      <c r="G232" s="15">
        <v>4</v>
      </c>
      <c r="H232" s="3"/>
      <c r="I232" s="5">
        <v>4.24</v>
      </c>
    </row>
    <row r="233" spans="1:9">
      <c r="A233" s="1"/>
      <c r="B233" s="2" t="s">
        <v>201</v>
      </c>
      <c r="C233" s="9" t="s">
        <v>6</v>
      </c>
      <c r="D233" s="1"/>
      <c r="E233" s="53">
        <v>291115.38</v>
      </c>
      <c r="F233" s="53">
        <v>12262.38</v>
      </c>
      <c r="G233" s="15">
        <v>4</v>
      </c>
      <c r="H233" s="3"/>
      <c r="I233" s="5">
        <v>4.24</v>
      </c>
    </row>
    <row r="234" spans="1:9">
      <c r="B234" s="1" t="s">
        <v>54</v>
      </c>
      <c r="C234" s="9"/>
      <c r="D234" s="1"/>
      <c r="E234" s="47">
        <f>SUM(E230:E233)</f>
        <v>165824891.74000001</v>
      </c>
      <c r="F234" s="47">
        <f>SUM(F230:F233)</f>
        <v>7068028.9999999991</v>
      </c>
      <c r="G234" s="10"/>
      <c r="H234" s="3"/>
      <c r="I234" s="5"/>
    </row>
    <row r="235" spans="1:9">
      <c r="A235" s="1"/>
      <c r="B235" s="2"/>
      <c r="C235" s="9"/>
      <c r="D235" s="1"/>
      <c r="E235" s="27"/>
      <c r="F235" s="27"/>
      <c r="G235" s="10"/>
      <c r="H235" s="3"/>
      <c r="I235" s="5"/>
    </row>
    <row r="236" spans="1:9">
      <c r="B236" s="1" t="s">
        <v>55</v>
      </c>
      <c r="C236" s="9"/>
      <c r="D236" s="1"/>
      <c r="E236" s="27"/>
      <c r="F236" s="27"/>
      <c r="G236" s="10"/>
      <c r="H236" s="3"/>
      <c r="I236" s="5"/>
    </row>
    <row r="237" spans="1:9">
      <c r="A237" s="1"/>
      <c r="B237" s="2" t="s">
        <v>139</v>
      </c>
      <c r="C237" s="9" t="s">
        <v>25</v>
      </c>
      <c r="D237" s="1"/>
      <c r="E237" s="41">
        <v>185229.75</v>
      </c>
      <c r="F237" s="41">
        <v>5815.91</v>
      </c>
      <c r="G237" s="10">
        <v>3.14</v>
      </c>
      <c r="H237" s="3"/>
      <c r="I237" s="5">
        <v>7.69</v>
      </c>
    </row>
    <row r="238" spans="1:9">
      <c r="A238" s="1"/>
      <c r="B238" s="2" t="s">
        <v>198</v>
      </c>
      <c r="C238" s="9" t="s">
        <v>21</v>
      </c>
      <c r="D238" s="1"/>
      <c r="E238" s="41">
        <v>134194.70000000001</v>
      </c>
      <c r="F238" s="41">
        <v>5917.98</v>
      </c>
      <c r="G238" s="10">
        <v>4.41</v>
      </c>
      <c r="H238" s="3"/>
      <c r="I238" s="5">
        <v>5.83</v>
      </c>
    </row>
    <row r="239" spans="1:9">
      <c r="A239" s="1"/>
      <c r="B239" s="2" t="s">
        <v>140</v>
      </c>
      <c r="C239" s="9" t="s">
        <v>22</v>
      </c>
      <c r="D239" s="1"/>
      <c r="E239" s="41">
        <v>41703.33</v>
      </c>
      <c r="F239" s="41">
        <v>2214.4499999999998</v>
      </c>
      <c r="G239" s="10">
        <v>5.31</v>
      </c>
      <c r="H239" s="3"/>
      <c r="I239" s="5">
        <v>7.1</v>
      </c>
    </row>
    <row r="240" spans="1:9">
      <c r="A240" s="1"/>
      <c r="B240" s="2" t="s">
        <v>199</v>
      </c>
      <c r="C240" s="9" t="s">
        <v>5</v>
      </c>
      <c r="D240" s="1"/>
      <c r="E240" s="41">
        <f>177446.17+5695.01</f>
        <v>183141.18000000002</v>
      </c>
      <c r="F240" s="41">
        <f>8180.27+262.54</f>
        <v>8442.8100000000013</v>
      </c>
      <c r="G240" s="10">
        <v>4.6100000000000003</v>
      </c>
      <c r="H240" s="3"/>
      <c r="I240" s="5">
        <v>5.0199999999999996</v>
      </c>
    </row>
    <row r="241" spans="1:9">
      <c r="A241" s="1"/>
      <c r="B241" s="2" t="s">
        <v>201</v>
      </c>
      <c r="C241" s="9" t="s">
        <v>6</v>
      </c>
      <c r="D241" s="1"/>
      <c r="E241" s="47">
        <v>50002.44</v>
      </c>
      <c r="F241" s="47">
        <v>2595.13</v>
      </c>
      <c r="G241" s="10">
        <v>5.19</v>
      </c>
      <c r="H241" s="3"/>
      <c r="I241" s="5">
        <v>5.22</v>
      </c>
    </row>
    <row r="242" spans="1:9">
      <c r="A242" s="1"/>
      <c r="B242" s="2" t="s">
        <v>200</v>
      </c>
      <c r="C242" s="9" t="s">
        <v>32</v>
      </c>
      <c r="D242" s="1"/>
      <c r="E242" s="48">
        <f>82611.12+35292.46+84225.97</f>
        <v>202129.55</v>
      </c>
      <c r="F242" s="48">
        <f>4287.52+1831.68+4047.59</f>
        <v>10166.790000000001</v>
      </c>
      <c r="G242" s="10">
        <v>5.19</v>
      </c>
      <c r="H242" s="3"/>
      <c r="I242" s="5">
        <v>12.61</v>
      </c>
    </row>
    <row r="243" spans="1:9">
      <c r="B243" s="1" t="s">
        <v>56</v>
      </c>
      <c r="C243" s="9"/>
      <c r="D243" s="1"/>
      <c r="E243" s="41">
        <f>SUM(E237:E242)</f>
        <v>796400.95000000019</v>
      </c>
      <c r="F243" s="41">
        <f>SUM(F237:F242)</f>
        <v>35153.070000000007</v>
      </c>
      <c r="G243" s="10"/>
      <c r="H243" s="3"/>
      <c r="I243" s="5"/>
    </row>
    <row r="244" spans="1:9">
      <c r="A244" s="1"/>
      <c r="B244" s="2"/>
      <c r="C244" s="9"/>
      <c r="D244" s="1"/>
      <c r="G244" s="10"/>
      <c r="H244" s="3"/>
      <c r="I244" s="5"/>
    </row>
    <row r="245" spans="1:9">
      <c r="B245" t="s">
        <v>57</v>
      </c>
      <c r="D245" s="1"/>
      <c r="G245" s="10"/>
      <c r="H245" s="3"/>
      <c r="I245" s="5"/>
    </row>
    <row r="246" spans="1:9">
      <c r="A246" s="1"/>
      <c r="B246" s="2" t="s">
        <v>139</v>
      </c>
      <c r="C246" s="9" t="s">
        <v>25</v>
      </c>
      <c r="D246" s="1"/>
      <c r="E246" s="58">
        <v>4325730.13</v>
      </c>
      <c r="F246" s="58">
        <v>131185.54999999999</v>
      </c>
      <c r="G246" s="15">
        <v>4</v>
      </c>
      <c r="H246" s="3"/>
      <c r="I246" s="5">
        <v>4.29</v>
      </c>
    </row>
    <row r="247" spans="1:9">
      <c r="A247" s="1"/>
      <c r="B247" s="2" t="s">
        <v>140</v>
      </c>
      <c r="C247" s="9" t="s">
        <v>22</v>
      </c>
      <c r="D247" s="1"/>
      <c r="E247" s="58">
        <v>300074719.63999999</v>
      </c>
      <c r="F247" s="58">
        <v>9100304.8000000007</v>
      </c>
      <c r="G247" s="15">
        <v>4</v>
      </c>
      <c r="H247" s="3"/>
      <c r="I247" s="5">
        <v>4.2699999999999996</v>
      </c>
    </row>
    <row r="248" spans="1:9">
      <c r="A248" s="1"/>
      <c r="B248" s="2" t="s">
        <v>199</v>
      </c>
      <c r="C248" s="9" t="s">
        <v>5</v>
      </c>
      <c r="D248" s="1"/>
      <c r="E248" s="53">
        <v>33733415.219999999</v>
      </c>
      <c r="F248" s="53">
        <v>1023026.42</v>
      </c>
      <c r="G248" s="15">
        <v>4</v>
      </c>
      <c r="H248" s="3"/>
      <c r="I248" s="5">
        <v>4.29</v>
      </c>
    </row>
    <row r="249" spans="1:9">
      <c r="A249" s="1"/>
      <c r="B249" s="6" t="s">
        <v>124</v>
      </c>
      <c r="C249" s="9"/>
      <c r="D249" s="1"/>
      <c r="E249" s="41">
        <f>SUM(E246:E248)</f>
        <v>338133864.99000001</v>
      </c>
      <c r="F249" s="41">
        <f>SUM(F246:F248)</f>
        <v>10254516.770000001</v>
      </c>
      <c r="G249" s="15"/>
      <c r="H249" s="3"/>
      <c r="I249" s="5"/>
    </row>
    <row r="251" spans="1:9">
      <c r="A251" s="2"/>
      <c r="B251" s="35" t="s">
        <v>58</v>
      </c>
      <c r="C251" s="9"/>
      <c r="D251" s="1"/>
      <c r="E251" s="56">
        <f>E179+E192+E198+E207+E217+E227+E234+E243+E249</f>
        <v>826739144.85000002</v>
      </c>
      <c r="F251" s="56">
        <f>F179+F192+F198+F207+F217+F227+F234+F243+F249</f>
        <v>24892307.969999999</v>
      </c>
      <c r="G251" s="16"/>
      <c r="H251" s="3"/>
      <c r="I251" s="5"/>
    </row>
    <row r="252" spans="1:9">
      <c r="A252" s="2"/>
      <c r="B252" s="35"/>
      <c r="C252" s="9"/>
      <c r="D252" s="1"/>
      <c r="E252" s="56"/>
      <c r="F252" s="56"/>
      <c r="G252" s="16"/>
      <c r="H252" s="3"/>
      <c r="I252" s="5"/>
    </row>
    <row r="253" spans="1:9">
      <c r="A253" s="2"/>
      <c r="B253" s="35"/>
      <c r="C253" s="9"/>
      <c r="D253" s="1"/>
      <c r="E253" s="56"/>
      <c r="F253" s="56"/>
      <c r="G253" s="16"/>
      <c r="H253" s="3"/>
      <c r="I253" s="5"/>
    </row>
    <row r="254" spans="1:9">
      <c r="A254" s="2"/>
      <c r="B254" s="35"/>
      <c r="C254" s="9"/>
      <c r="D254" s="1"/>
      <c r="E254" s="56"/>
      <c r="F254" s="56"/>
      <c r="G254" s="16"/>
      <c r="H254" s="3"/>
      <c r="I254" s="5"/>
    </row>
    <row r="255" spans="1:9">
      <c r="A255" s="2"/>
      <c r="B255" s="2"/>
      <c r="C255" s="9"/>
      <c r="D255" s="1"/>
      <c r="E255" s="27"/>
      <c r="F255" s="27"/>
      <c r="G255" s="16"/>
      <c r="H255" s="3"/>
      <c r="I255" s="5"/>
    </row>
    <row r="256" spans="1:9">
      <c r="A256" s="2"/>
      <c r="B256" s="2"/>
      <c r="C256" s="9"/>
      <c r="D256" s="1"/>
      <c r="E256" s="27"/>
      <c r="F256" s="27"/>
      <c r="G256" s="16"/>
      <c r="H256" s="3"/>
      <c r="I256" s="5"/>
    </row>
    <row r="257" spans="1:9">
      <c r="A257" s="35" t="s">
        <v>59</v>
      </c>
      <c r="C257" s="9"/>
      <c r="D257" s="7"/>
      <c r="E257" s="51"/>
      <c r="F257" s="51"/>
      <c r="G257" s="16"/>
      <c r="H257" s="1"/>
      <c r="I257" s="5"/>
    </row>
    <row r="258" spans="1:9">
      <c r="A258" s="35"/>
      <c r="B258" s="1" t="s">
        <v>340</v>
      </c>
      <c r="C258" s="9"/>
      <c r="D258" s="1"/>
      <c r="E258" s="47"/>
      <c r="F258" s="72"/>
      <c r="G258" s="16"/>
      <c r="H258" s="1"/>
      <c r="I258" s="5"/>
    </row>
    <row r="259" spans="1:9">
      <c r="A259" s="35"/>
      <c r="B259" s="2" t="s">
        <v>203</v>
      </c>
      <c r="C259" s="9" t="s">
        <v>38</v>
      </c>
      <c r="D259" s="1"/>
      <c r="E259" s="47">
        <v>685926.52</v>
      </c>
      <c r="F259" s="72">
        <v>17010.98</v>
      </c>
      <c r="G259" s="10">
        <v>2.48</v>
      </c>
      <c r="H259" s="69"/>
      <c r="I259" s="10">
        <v>1.9</v>
      </c>
    </row>
    <row r="260" spans="1:9">
      <c r="A260" s="35"/>
      <c r="B260" s="2" t="s">
        <v>205</v>
      </c>
      <c r="C260" s="9" t="s">
        <v>60</v>
      </c>
      <c r="D260" s="1"/>
      <c r="E260" s="47">
        <v>1231130.94</v>
      </c>
      <c r="F260" s="72">
        <v>34964.11</v>
      </c>
      <c r="G260" s="10">
        <v>2.84</v>
      </c>
      <c r="H260" s="69"/>
      <c r="I260" s="10">
        <v>2.11</v>
      </c>
    </row>
    <row r="261" spans="1:9">
      <c r="A261" s="35"/>
      <c r="B261" s="2" t="s">
        <v>206</v>
      </c>
      <c r="C261" s="9" t="s">
        <v>61</v>
      </c>
      <c r="D261" s="1"/>
      <c r="E261" s="47">
        <v>14474342.560000001</v>
      </c>
      <c r="F261" s="72">
        <v>374885.47</v>
      </c>
      <c r="G261" s="10">
        <v>2.59</v>
      </c>
      <c r="H261" s="69"/>
      <c r="I261" s="10">
        <v>1.67</v>
      </c>
    </row>
    <row r="262" spans="1:9">
      <c r="A262" s="35"/>
      <c r="B262" s="2" t="s">
        <v>207</v>
      </c>
      <c r="C262" s="9" t="s">
        <v>62</v>
      </c>
      <c r="D262" s="1"/>
      <c r="E262" s="47">
        <v>49006.68</v>
      </c>
      <c r="F262" s="72">
        <v>774.31</v>
      </c>
      <c r="G262" s="10">
        <v>1.58</v>
      </c>
      <c r="H262" s="69"/>
      <c r="I262" s="10">
        <v>3.31</v>
      </c>
    </row>
    <row r="263" spans="1:9">
      <c r="A263" s="35"/>
      <c r="B263" s="2" t="s">
        <v>208</v>
      </c>
      <c r="C263" s="9" t="s">
        <v>63</v>
      </c>
      <c r="D263" s="1"/>
      <c r="E263" s="47">
        <v>13158152.710000001</v>
      </c>
      <c r="F263" s="72">
        <v>369744.1</v>
      </c>
      <c r="G263" s="10">
        <v>2.81</v>
      </c>
      <c r="H263" s="69"/>
      <c r="I263" s="10">
        <v>2.11</v>
      </c>
    </row>
    <row r="264" spans="1:9">
      <c r="A264" s="35"/>
      <c r="B264" s="2" t="s">
        <v>210</v>
      </c>
      <c r="C264" s="9" t="s">
        <v>65</v>
      </c>
      <c r="D264" s="1"/>
      <c r="E264" s="48">
        <v>113968.39</v>
      </c>
      <c r="F264" s="73">
        <v>2872</v>
      </c>
      <c r="G264" s="10">
        <v>2.52</v>
      </c>
      <c r="H264" s="69"/>
      <c r="I264" s="10">
        <v>1.43</v>
      </c>
    </row>
    <row r="265" spans="1:9">
      <c r="A265" s="35"/>
      <c r="B265" s="1" t="s">
        <v>9</v>
      </c>
      <c r="C265" s="9"/>
      <c r="D265" s="1"/>
      <c r="E265" s="47">
        <f>SUM(E259:E264)</f>
        <v>29712527.800000001</v>
      </c>
      <c r="F265" s="47">
        <f>SUM(F259:F264)</f>
        <v>800250.97</v>
      </c>
      <c r="G265" s="16"/>
      <c r="H265" s="1"/>
      <c r="I265" s="5"/>
    </row>
    <row r="266" spans="1:9">
      <c r="A266" s="35"/>
      <c r="C266" s="9"/>
      <c r="D266" s="7"/>
      <c r="E266" s="51"/>
      <c r="F266" s="72"/>
      <c r="G266" s="16"/>
      <c r="H266" s="1"/>
      <c r="I266" s="5"/>
    </row>
    <row r="267" spans="1:9">
      <c r="A267" s="35"/>
      <c r="B267" s="1" t="s">
        <v>341</v>
      </c>
      <c r="C267" s="9"/>
      <c r="D267" s="1"/>
      <c r="E267" s="47"/>
      <c r="F267" s="72"/>
      <c r="G267" s="16"/>
      <c r="H267" s="1"/>
      <c r="I267" s="5"/>
    </row>
    <row r="268" spans="1:9">
      <c r="A268" s="35"/>
      <c r="B268" s="2" t="s">
        <v>203</v>
      </c>
      <c r="C268" s="9" t="s">
        <v>38</v>
      </c>
      <c r="D268" s="1"/>
      <c r="E268" s="47">
        <v>1071124.0900000001</v>
      </c>
      <c r="F268" s="72">
        <v>27313.65</v>
      </c>
      <c r="G268" s="10">
        <v>2.5499999999999998</v>
      </c>
      <c r="H268" s="69"/>
      <c r="I268" s="10">
        <v>1.9</v>
      </c>
    </row>
    <row r="269" spans="1:9">
      <c r="A269" s="35"/>
      <c r="B269" s="2" t="s">
        <v>204</v>
      </c>
      <c r="C269" s="9" t="s">
        <v>25</v>
      </c>
      <c r="D269" s="1"/>
      <c r="E269" s="47">
        <v>496711.33</v>
      </c>
      <c r="F269" s="72">
        <v>12169.43</v>
      </c>
      <c r="G269" s="10">
        <v>2.4500000000000002</v>
      </c>
      <c r="H269" s="69"/>
      <c r="I269" s="10">
        <v>1.7</v>
      </c>
    </row>
    <row r="270" spans="1:9">
      <c r="A270" s="35"/>
      <c r="B270" s="2" t="s">
        <v>205</v>
      </c>
      <c r="C270" s="9" t="s">
        <v>60</v>
      </c>
      <c r="D270" s="1"/>
      <c r="E270" s="47">
        <v>18236494.25</v>
      </c>
      <c r="F270" s="72">
        <v>594545.43999999994</v>
      </c>
      <c r="G270" s="10">
        <v>3.27</v>
      </c>
      <c r="H270" s="69"/>
      <c r="I270" s="10">
        <v>2.11</v>
      </c>
    </row>
    <row r="271" spans="1:9">
      <c r="A271" s="35"/>
      <c r="B271" s="2" t="s">
        <v>206</v>
      </c>
      <c r="C271" s="9" t="s">
        <v>61</v>
      </c>
      <c r="D271" s="1"/>
      <c r="E271" s="47">
        <v>20523133.629999999</v>
      </c>
      <c r="F271" s="72">
        <v>543710.62</v>
      </c>
      <c r="G271" s="10">
        <v>2.65</v>
      </c>
      <c r="H271" s="69"/>
      <c r="I271" s="10">
        <v>1.67</v>
      </c>
    </row>
    <row r="272" spans="1:9">
      <c r="A272" s="35"/>
      <c r="B272" s="2" t="s">
        <v>207</v>
      </c>
      <c r="C272" s="9" t="s">
        <v>62</v>
      </c>
      <c r="D272" s="1"/>
      <c r="E272" s="47">
        <v>88691.66</v>
      </c>
      <c r="F272" s="72">
        <v>2385.8000000000002</v>
      </c>
      <c r="G272" s="10">
        <v>2.69</v>
      </c>
      <c r="H272" s="69"/>
      <c r="I272" s="10">
        <v>3.31</v>
      </c>
    </row>
    <row r="273" spans="1:9">
      <c r="A273" s="35"/>
      <c r="B273" s="2" t="s">
        <v>208</v>
      </c>
      <c r="C273" s="9" t="s">
        <v>63</v>
      </c>
      <c r="D273" s="1"/>
      <c r="E273" s="47">
        <v>19991225.77</v>
      </c>
      <c r="F273" s="72">
        <v>571749.06000000006</v>
      </c>
      <c r="G273" s="10">
        <v>2.86</v>
      </c>
      <c r="H273" s="69"/>
      <c r="I273" s="10">
        <v>2.11</v>
      </c>
    </row>
    <row r="274" spans="1:9">
      <c r="A274" s="35"/>
      <c r="B274" s="2" t="s">
        <v>210</v>
      </c>
      <c r="C274" s="9" t="s">
        <v>65</v>
      </c>
      <c r="D274" s="1"/>
      <c r="E274" s="48">
        <v>341015.23</v>
      </c>
      <c r="F274" s="73">
        <v>8729.99</v>
      </c>
      <c r="G274" s="10">
        <v>2.56</v>
      </c>
      <c r="H274" s="69"/>
      <c r="I274" s="10">
        <v>1.43</v>
      </c>
    </row>
    <row r="275" spans="1:9">
      <c r="A275" s="35"/>
      <c r="B275" s="1" t="s">
        <v>17</v>
      </c>
      <c r="C275" s="9"/>
      <c r="D275" s="1"/>
      <c r="E275" s="47">
        <f>SUM(E268:E274)</f>
        <v>60748395.959999986</v>
      </c>
      <c r="F275" s="47">
        <f>SUM(F268:F274)</f>
        <v>1760603.99</v>
      </c>
      <c r="G275" s="16"/>
      <c r="H275" s="1"/>
      <c r="I275" s="5"/>
    </row>
    <row r="276" spans="1:9">
      <c r="A276" s="35"/>
      <c r="C276" s="9"/>
      <c r="D276" s="7"/>
      <c r="E276" s="51"/>
      <c r="F276" s="72"/>
      <c r="G276" s="16"/>
      <c r="H276" s="1"/>
      <c r="I276" s="5"/>
    </row>
    <row r="277" spans="1:9">
      <c r="A277" s="35"/>
      <c r="B277" s="26" t="s">
        <v>49</v>
      </c>
      <c r="C277" s="9"/>
      <c r="D277" s="7"/>
      <c r="E277" s="51"/>
      <c r="F277" s="72"/>
      <c r="G277" s="16"/>
      <c r="H277" s="1"/>
      <c r="I277" s="5"/>
    </row>
    <row r="278" spans="1:9">
      <c r="A278" s="35"/>
      <c r="B278" s="26" t="s">
        <v>205</v>
      </c>
      <c r="C278" s="9" t="s">
        <v>60</v>
      </c>
      <c r="D278" s="7"/>
      <c r="E278" s="72">
        <v>5035074.58</v>
      </c>
      <c r="F278" s="72">
        <v>167667.98000000001</v>
      </c>
      <c r="G278" s="10">
        <v>3.33</v>
      </c>
      <c r="H278" s="69"/>
      <c r="I278" s="10">
        <v>2.11</v>
      </c>
    </row>
    <row r="279" spans="1:9">
      <c r="A279" s="35"/>
      <c r="B279" s="26" t="s">
        <v>209</v>
      </c>
      <c r="C279" s="9" t="s">
        <v>64</v>
      </c>
      <c r="D279" s="7"/>
      <c r="E279" s="73">
        <v>3475100.76</v>
      </c>
      <c r="F279" s="73">
        <v>115720.85</v>
      </c>
      <c r="G279" s="10">
        <v>3.33</v>
      </c>
      <c r="H279" s="69"/>
      <c r="I279" s="10">
        <v>1.92</v>
      </c>
    </row>
    <row r="280" spans="1:9">
      <c r="A280" s="35"/>
      <c r="B280" s="70" t="s">
        <v>50</v>
      </c>
      <c r="C280" s="9"/>
      <c r="D280" s="7"/>
      <c r="E280" s="72">
        <f>SUM(E278:E279)</f>
        <v>8510175.3399999999</v>
      </c>
      <c r="F280" s="72">
        <f>SUM(F278:F279)</f>
        <v>283388.83</v>
      </c>
      <c r="G280" s="16"/>
      <c r="H280" s="1"/>
      <c r="I280" s="5"/>
    </row>
    <row r="281" spans="1:9">
      <c r="A281" s="35"/>
      <c r="C281" s="9"/>
      <c r="D281" s="7"/>
      <c r="E281" s="51"/>
      <c r="F281" s="72"/>
      <c r="G281" s="16"/>
      <c r="H281" s="1"/>
      <c r="I281" s="5"/>
    </row>
    <row r="282" spans="1:9">
      <c r="A282" s="35"/>
      <c r="B282" s="70" t="s">
        <v>343</v>
      </c>
      <c r="C282" s="9"/>
      <c r="D282" s="7"/>
      <c r="E282" s="51"/>
      <c r="F282" s="72"/>
      <c r="G282" s="16"/>
      <c r="H282" s="1"/>
      <c r="I282" s="5"/>
    </row>
    <row r="283" spans="1:9">
      <c r="A283" s="35"/>
      <c r="B283" s="2" t="s">
        <v>203</v>
      </c>
      <c r="C283" s="9" t="s">
        <v>38</v>
      </c>
      <c r="D283" s="1"/>
      <c r="E283" s="80">
        <f>3257977.8+158440.68</f>
        <v>3416418.48</v>
      </c>
      <c r="F283" s="72">
        <f>61754.65+1144.75</f>
        <v>62899.4</v>
      </c>
      <c r="G283" s="10">
        <v>1.82</v>
      </c>
      <c r="H283" s="69"/>
      <c r="I283" s="10">
        <v>1.9</v>
      </c>
    </row>
    <row r="284" spans="1:9">
      <c r="A284" s="35"/>
      <c r="B284" s="2" t="s">
        <v>204</v>
      </c>
      <c r="C284" s="9" t="s">
        <v>25</v>
      </c>
      <c r="D284" s="1"/>
      <c r="E284" s="80">
        <v>552646.63</v>
      </c>
      <c r="F284" s="72">
        <v>9509.0499999999993</v>
      </c>
      <c r="G284" s="10">
        <v>1.74</v>
      </c>
      <c r="H284" s="69"/>
      <c r="I284" s="10">
        <v>1.7</v>
      </c>
    </row>
    <row r="285" spans="1:9">
      <c r="A285" s="35"/>
      <c r="B285" s="2" t="s">
        <v>205</v>
      </c>
      <c r="C285" s="9" t="s">
        <v>60</v>
      </c>
      <c r="D285" s="1"/>
      <c r="E285" s="80">
        <v>42507584.039999999</v>
      </c>
      <c r="F285" s="72">
        <f>825759.36-11637.64</f>
        <v>814121.72</v>
      </c>
      <c r="G285" s="10">
        <v>2.13</v>
      </c>
      <c r="H285" s="69"/>
      <c r="I285" s="10">
        <v>2.11</v>
      </c>
    </row>
    <row r="286" spans="1:9">
      <c r="A286" s="35"/>
      <c r="B286" s="2" t="s">
        <v>206</v>
      </c>
      <c r="C286" s="9" t="s">
        <v>61</v>
      </c>
      <c r="D286" s="1"/>
      <c r="E286" s="80">
        <f>4581202.65+4348.94+5260110.29</f>
        <v>9845661.8800000008</v>
      </c>
      <c r="F286" s="72">
        <f>89065.38+85.24+114897.54</f>
        <v>204048.16</v>
      </c>
      <c r="G286" s="10">
        <v>1.96</v>
      </c>
      <c r="H286" s="69"/>
      <c r="I286" s="10">
        <v>1.67</v>
      </c>
    </row>
    <row r="287" spans="1:9">
      <c r="A287" s="35"/>
      <c r="B287" s="2" t="s">
        <v>207</v>
      </c>
      <c r="C287" s="9" t="s">
        <v>62</v>
      </c>
      <c r="D287" s="1"/>
      <c r="E287" s="80">
        <f>24604406.32+376519.6</f>
        <v>24980925.920000002</v>
      </c>
      <c r="F287" s="72">
        <f>564383.11+9232.63+5378.37</f>
        <v>578994.11</v>
      </c>
      <c r="G287" s="10">
        <v>2.44</v>
      </c>
      <c r="H287" s="69"/>
      <c r="I287" s="10">
        <v>3.31</v>
      </c>
    </row>
    <row r="288" spans="1:9">
      <c r="A288" s="35"/>
      <c r="B288" s="2" t="s">
        <v>208</v>
      </c>
      <c r="C288" s="9" t="s">
        <v>63</v>
      </c>
      <c r="D288" s="1"/>
      <c r="E288" s="80">
        <f>33445814.6+9909.89+147812.44</f>
        <v>33603536.93</v>
      </c>
      <c r="F288" s="72">
        <f>2363.01+828633.47+242.5+3616.84</f>
        <v>834855.82</v>
      </c>
      <c r="G288" s="10">
        <v>2.61</v>
      </c>
      <c r="H288" s="69"/>
      <c r="I288" s="10">
        <v>2.11</v>
      </c>
    </row>
    <row r="289" spans="1:9">
      <c r="A289" s="35"/>
      <c r="B289" s="2" t="s">
        <v>210</v>
      </c>
      <c r="C289" s="9" t="s">
        <v>65</v>
      </c>
      <c r="D289" s="1"/>
      <c r="E289" s="81">
        <f>91072.01+926.18</f>
        <v>91998.189999999988</v>
      </c>
      <c r="F289" s="73">
        <f>975.06+9.29</f>
        <v>984.34999999999991</v>
      </c>
      <c r="G289" s="10">
        <v>1.07</v>
      </c>
      <c r="H289" s="69"/>
      <c r="I289" s="10">
        <v>1.43</v>
      </c>
    </row>
    <row r="290" spans="1:9">
      <c r="A290" s="35"/>
      <c r="B290" s="70" t="s">
        <v>344</v>
      </c>
      <c r="C290" s="9"/>
      <c r="D290" s="7"/>
      <c r="E290" s="27">
        <f>SUM(E283:E289)</f>
        <v>114998772.06999999</v>
      </c>
      <c r="F290" s="27">
        <f>SUM(F283:F289)</f>
        <v>2505412.61</v>
      </c>
      <c r="G290" s="16"/>
      <c r="H290" s="1"/>
      <c r="I290" s="5"/>
    </row>
    <row r="291" spans="1:9">
      <c r="A291" s="35"/>
      <c r="C291" s="9"/>
      <c r="D291" s="7"/>
      <c r="E291" s="71"/>
      <c r="F291" s="72"/>
      <c r="G291" s="16"/>
      <c r="H291" s="1"/>
      <c r="I291" s="5"/>
    </row>
    <row r="292" spans="1:9">
      <c r="A292" s="35"/>
      <c r="C292" s="9"/>
      <c r="D292" s="7"/>
      <c r="E292" s="71"/>
      <c r="F292" s="72"/>
      <c r="G292" s="16"/>
      <c r="H292" s="1"/>
      <c r="I292" s="5"/>
    </row>
    <row r="293" spans="1:9" s="34" customFormat="1">
      <c r="A293" s="75"/>
      <c r="B293" s="79" t="s">
        <v>345</v>
      </c>
      <c r="C293" s="9"/>
      <c r="D293" s="77"/>
      <c r="E293" s="82"/>
      <c r="F293" s="72"/>
      <c r="G293" s="16"/>
      <c r="H293" s="9"/>
      <c r="I293" s="37"/>
    </row>
    <row r="294" spans="1:9" s="34" customFormat="1">
      <c r="A294" s="75"/>
      <c r="B294" s="2" t="s">
        <v>206</v>
      </c>
      <c r="C294" s="9" t="s">
        <v>61</v>
      </c>
      <c r="D294" s="77"/>
      <c r="E294" s="82">
        <v>5744097.4199999999</v>
      </c>
      <c r="F294" s="72">
        <v>106840.21</v>
      </c>
      <c r="G294" s="10">
        <v>1.86</v>
      </c>
      <c r="H294" s="69"/>
      <c r="I294" s="10">
        <v>1.67</v>
      </c>
    </row>
    <row r="295" spans="1:9" s="34" customFormat="1">
      <c r="A295" s="75"/>
      <c r="B295" s="2" t="s">
        <v>207</v>
      </c>
      <c r="C295" s="9" t="s">
        <v>62</v>
      </c>
      <c r="D295" s="77"/>
      <c r="E295" s="82">
        <f>3398684.89+11219.23</f>
        <v>3409904.12</v>
      </c>
      <c r="F295" s="72">
        <f>87686.07+289.46</f>
        <v>87975.530000000013</v>
      </c>
      <c r="G295" s="10">
        <v>2.58</v>
      </c>
      <c r="H295" s="69"/>
      <c r="I295" s="10">
        <v>3.31</v>
      </c>
    </row>
    <row r="296" spans="1:9" s="34" customFormat="1">
      <c r="A296" s="75"/>
      <c r="B296" s="2" t="s">
        <v>208</v>
      </c>
      <c r="C296" s="9" t="s">
        <v>63</v>
      </c>
      <c r="D296" s="77"/>
      <c r="E296" s="83">
        <f>5142698.77+7460098.76</f>
        <v>12602797.529999999</v>
      </c>
      <c r="F296" s="73">
        <f>133710.17+193962.57</f>
        <v>327672.74</v>
      </c>
      <c r="G296" s="10">
        <v>2.6</v>
      </c>
      <c r="H296" s="69"/>
      <c r="I296" s="10">
        <v>2.11</v>
      </c>
    </row>
    <row r="297" spans="1:9" s="34" customFormat="1">
      <c r="A297" s="75"/>
      <c r="B297" s="79" t="s">
        <v>346</v>
      </c>
      <c r="C297" s="9"/>
      <c r="D297" s="77"/>
      <c r="E297" s="82">
        <f>SUM(E294:E296)</f>
        <v>21756799.07</v>
      </c>
      <c r="F297" s="82">
        <f>SUM(F294:F296)</f>
        <v>522488.48</v>
      </c>
      <c r="G297" s="78"/>
      <c r="H297" s="9"/>
      <c r="I297" s="37"/>
    </row>
    <row r="298" spans="1:9" s="34" customFormat="1">
      <c r="A298" s="75"/>
      <c r="B298" s="76"/>
      <c r="C298" s="9"/>
      <c r="D298" s="77"/>
      <c r="E298" s="82"/>
      <c r="F298" s="72"/>
      <c r="G298" s="78"/>
      <c r="H298" s="9"/>
      <c r="I298" s="37"/>
    </row>
    <row r="299" spans="1:9" s="34" customFormat="1">
      <c r="A299" s="75"/>
      <c r="B299" s="79" t="s">
        <v>347</v>
      </c>
      <c r="C299" s="9"/>
      <c r="D299" s="77"/>
      <c r="E299" s="82"/>
      <c r="F299" s="72"/>
      <c r="G299" s="78"/>
      <c r="H299" s="9"/>
      <c r="I299" s="37"/>
    </row>
    <row r="300" spans="1:9" s="34" customFormat="1">
      <c r="A300" s="75"/>
      <c r="B300" s="2" t="s">
        <v>204</v>
      </c>
      <c r="C300" s="9" t="s">
        <v>25</v>
      </c>
      <c r="D300" s="77"/>
      <c r="E300" s="82">
        <v>1276263.6599999999</v>
      </c>
      <c r="F300" s="72">
        <v>22845.119999999999</v>
      </c>
      <c r="G300" s="10">
        <v>1.79</v>
      </c>
      <c r="H300" s="69"/>
      <c r="I300" s="10">
        <v>1.7</v>
      </c>
    </row>
    <row r="301" spans="1:9" s="34" customFormat="1">
      <c r="A301" s="75"/>
      <c r="B301" s="2" t="s">
        <v>205</v>
      </c>
      <c r="C301" s="9" t="s">
        <v>60</v>
      </c>
      <c r="D301" s="77"/>
      <c r="E301" s="82">
        <v>32112111.41</v>
      </c>
      <c r="F301" s="72">
        <v>740331.21</v>
      </c>
      <c r="G301" s="10">
        <v>2.2999999999999998</v>
      </c>
      <c r="H301" s="69"/>
      <c r="I301" s="10">
        <v>2.11</v>
      </c>
    </row>
    <row r="302" spans="1:9" s="34" customFormat="1">
      <c r="A302" s="75"/>
      <c r="B302" s="2" t="s">
        <v>206</v>
      </c>
      <c r="C302" s="9" t="s">
        <v>61</v>
      </c>
      <c r="D302" s="77"/>
      <c r="E302" s="82">
        <v>22781416.949999999</v>
      </c>
      <c r="F302" s="72">
        <v>430568.78</v>
      </c>
      <c r="G302" s="10">
        <v>1.89</v>
      </c>
      <c r="H302" s="69"/>
      <c r="I302" s="10">
        <v>1.67</v>
      </c>
    </row>
    <row r="303" spans="1:9" s="34" customFormat="1">
      <c r="A303" s="75"/>
      <c r="B303" s="2" t="s">
        <v>207</v>
      </c>
      <c r="C303" s="9" t="s">
        <v>62</v>
      </c>
      <c r="D303" s="77"/>
      <c r="E303" s="82">
        <v>204200</v>
      </c>
      <c r="F303" s="72">
        <v>5268.36</v>
      </c>
      <c r="G303" s="10">
        <v>2.58</v>
      </c>
      <c r="H303" s="69"/>
      <c r="I303" s="10">
        <v>3.31</v>
      </c>
    </row>
    <row r="304" spans="1:9" s="34" customFormat="1">
      <c r="A304" s="75"/>
      <c r="B304" s="2" t="s">
        <v>208</v>
      </c>
      <c r="C304" s="9" t="s">
        <v>63</v>
      </c>
      <c r="D304" s="77"/>
      <c r="E304" s="82">
        <f>23498183.48+205.53</f>
        <v>23498389.010000002</v>
      </c>
      <c r="F304" s="72">
        <f>610952.77+5.34</f>
        <v>610958.11</v>
      </c>
      <c r="G304" s="10">
        <v>2.6</v>
      </c>
      <c r="H304" s="69"/>
      <c r="I304" s="10">
        <v>2.11</v>
      </c>
    </row>
    <row r="305" spans="1:9" s="34" customFormat="1">
      <c r="A305" s="75"/>
      <c r="B305" s="2" t="s">
        <v>210</v>
      </c>
      <c r="C305" s="9" t="s">
        <v>65</v>
      </c>
      <c r="D305" s="77"/>
      <c r="E305" s="83">
        <v>59215.29</v>
      </c>
      <c r="F305" s="73">
        <v>627.69000000000005</v>
      </c>
      <c r="G305" s="10">
        <v>1.06</v>
      </c>
      <c r="H305" s="69"/>
      <c r="I305" s="10">
        <v>1.43</v>
      </c>
    </row>
    <row r="306" spans="1:9" s="34" customFormat="1">
      <c r="A306" s="75"/>
      <c r="B306" s="79" t="s">
        <v>348</v>
      </c>
      <c r="C306" s="9"/>
      <c r="D306" s="77"/>
      <c r="E306" s="82">
        <f>SUM(E300:E305)</f>
        <v>79931596.320000008</v>
      </c>
      <c r="F306" s="82">
        <f>SUM(F300:F305)</f>
        <v>1810599.27</v>
      </c>
      <c r="G306" s="78"/>
      <c r="H306" s="9"/>
      <c r="I306" s="37"/>
    </row>
    <row r="307" spans="1:9" s="34" customFormat="1">
      <c r="A307" s="75"/>
      <c r="B307" s="76"/>
      <c r="C307" s="9"/>
      <c r="D307" s="77"/>
      <c r="E307" s="82"/>
      <c r="F307" s="72"/>
      <c r="G307" s="78"/>
      <c r="H307" s="9"/>
      <c r="I307" s="37"/>
    </row>
    <row r="308" spans="1:9" s="34" customFormat="1">
      <c r="A308" s="75"/>
      <c r="B308" s="79" t="s">
        <v>57</v>
      </c>
      <c r="C308" s="9"/>
      <c r="D308" s="77"/>
      <c r="E308" s="74"/>
      <c r="F308" s="72"/>
      <c r="G308" s="78"/>
      <c r="H308" s="9"/>
      <c r="I308" s="37"/>
    </row>
    <row r="309" spans="1:9" s="34" customFormat="1">
      <c r="A309" s="75"/>
      <c r="B309" s="2" t="s">
        <v>203</v>
      </c>
      <c r="C309" s="9" t="s">
        <v>38</v>
      </c>
      <c r="D309" s="77"/>
      <c r="E309" s="72">
        <v>139300</v>
      </c>
      <c r="F309" s="72">
        <v>887.34</v>
      </c>
      <c r="G309" s="10">
        <v>1.82</v>
      </c>
      <c r="H309" s="69"/>
      <c r="I309" s="10">
        <v>1.9</v>
      </c>
    </row>
    <row r="310" spans="1:9" s="34" customFormat="1">
      <c r="A310" s="75"/>
      <c r="B310" s="2" t="s">
        <v>205</v>
      </c>
      <c r="C310" s="9" t="s">
        <v>60</v>
      </c>
      <c r="D310" s="77"/>
      <c r="E310" s="72">
        <f>3597451.99+8279151.62</f>
        <v>11876603.609999999</v>
      </c>
      <c r="F310" s="72">
        <f>139936.09+137423.45</f>
        <v>277359.54000000004</v>
      </c>
      <c r="G310" s="10">
        <v>2.13</v>
      </c>
      <c r="H310" s="69"/>
      <c r="I310" s="10">
        <v>2.11</v>
      </c>
    </row>
    <row r="311" spans="1:9" s="34" customFormat="1">
      <c r="A311" s="75"/>
      <c r="B311" s="2" t="s">
        <v>207</v>
      </c>
      <c r="C311" s="9" t="s">
        <v>62</v>
      </c>
      <c r="D311" s="77"/>
      <c r="E311" s="72">
        <v>639887.05000000005</v>
      </c>
      <c r="F311" s="72">
        <v>65392.31</v>
      </c>
      <c r="G311" s="10">
        <v>2.44</v>
      </c>
      <c r="H311" s="69"/>
      <c r="I311" s="10">
        <v>3.31</v>
      </c>
    </row>
    <row r="312" spans="1:9" s="34" customFormat="1">
      <c r="A312" s="75"/>
      <c r="B312" s="2" t="s">
        <v>208</v>
      </c>
      <c r="C312" s="9" t="s">
        <v>63</v>
      </c>
      <c r="D312" s="77"/>
      <c r="E312" s="73">
        <v>274237.28999999998</v>
      </c>
      <c r="F312" s="73">
        <v>65169.45</v>
      </c>
      <c r="G312" s="10">
        <v>2.61</v>
      </c>
      <c r="H312" s="69"/>
      <c r="I312" s="10">
        <v>2.11</v>
      </c>
    </row>
    <row r="313" spans="1:9">
      <c r="A313" s="35"/>
      <c r="B313" s="70" t="s">
        <v>124</v>
      </c>
      <c r="C313" s="9"/>
      <c r="D313" s="7"/>
      <c r="E313" s="72">
        <f>SUM(E309:E312)</f>
        <v>12930027.949999999</v>
      </c>
      <c r="F313" s="72">
        <f>SUM(F309:F312)</f>
        <v>408808.64000000007</v>
      </c>
      <c r="G313" s="16"/>
      <c r="H313" s="1"/>
      <c r="I313" s="5"/>
    </row>
    <row r="314" spans="1:9">
      <c r="A314" s="35"/>
      <c r="C314" s="9"/>
      <c r="D314" s="7"/>
      <c r="E314" s="84"/>
      <c r="F314" s="51"/>
      <c r="G314" s="16"/>
      <c r="H314" s="1"/>
      <c r="I314" s="5"/>
    </row>
    <row r="315" spans="1:9">
      <c r="A315" s="2"/>
      <c r="B315" s="35" t="s">
        <v>66</v>
      </c>
      <c r="C315" s="9"/>
      <c r="D315" s="1"/>
      <c r="E315" s="56">
        <f>SUM(E313,E306,E297,E290,E280,E275,E265)</f>
        <v>328588294.50999999</v>
      </c>
      <c r="F315" s="56">
        <f>SUM(F313,F306,F297,F290,F280,F275,F265)</f>
        <v>8091552.79</v>
      </c>
      <c r="G315" s="10"/>
      <c r="H315" s="2"/>
      <c r="I315" s="5"/>
    </row>
    <row r="316" spans="1:9">
      <c r="A316" s="2"/>
      <c r="B316" s="17"/>
      <c r="C316" s="9"/>
      <c r="D316" s="1"/>
      <c r="E316" s="27"/>
      <c r="F316" s="27"/>
      <c r="G316" s="10"/>
      <c r="H316" s="2"/>
      <c r="I316" s="5"/>
    </row>
    <row r="317" spans="1:9">
      <c r="A317" s="35" t="s">
        <v>67</v>
      </c>
      <c r="C317" s="9"/>
      <c r="D317" s="7"/>
      <c r="E317" s="51"/>
      <c r="F317" s="51"/>
      <c r="G317" s="10"/>
      <c r="H317" s="2"/>
      <c r="I317" s="5"/>
    </row>
    <row r="318" spans="1:9">
      <c r="A318" s="2"/>
      <c r="B318" s="70" t="s">
        <v>20</v>
      </c>
      <c r="C318" s="9"/>
      <c r="D318" s="1"/>
      <c r="E318" s="47"/>
      <c r="G318" s="10"/>
      <c r="H318" s="2"/>
      <c r="I318" s="5"/>
    </row>
    <row r="319" spans="1:9">
      <c r="A319" s="2"/>
      <c r="B319" s="26" t="s">
        <v>212</v>
      </c>
      <c r="C319" s="9" t="s">
        <v>60</v>
      </c>
      <c r="D319" s="1"/>
      <c r="E319" s="48">
        <v>5413075.4800000004</v>
      </c>
      <c r="F319" s="48">
        <v>161850.96</v>
      </c>
      <c r="G319" s="10">
        <v>2.99</v>
      </c>
      <c r="H319" s="69"/>
      <c r="I319" s="10">
        <v>2.23</v>
      </c>
    </row>
    <row r="320" spans="1:9">
      <c r="A320" s="2"/>
      <c r="B320" s="70" t="s">
        <v>23</v>
      </c>
      <c r="C320" s="9"/>
      <c r="D320" s="1"/>
      <c r="E320" s="47">
        <f>SUM(E319)</f>
        <v>5413075.4800000004</v>
      </c>
      <c r="F320" s="47">
        <f>SUM(F319)</f>
        <v>161850.96</v>
      </c>
      <c r="G320" s="10"/>
      <c r="H320" s="2"/>
      <c r="I320" s="5"/>
    </row>
    <row r="321" spans="1:9">
      <c r="A321" s="2"/>
      <c r="B321" s="70"/>
      <c r="C321" s="9"/>
      <c r="D321" s="1"/>
      <c r="E321" s="47"/>
      <c r="G321" s="10"/>
      <c r="H321" s="2"/>
      <c r="I321" s="5"/>
    </row>
    <row r="322" spans="1:9">
      <c r="A322" s="2"/>
      <c r="B322" s="70" t="s">
        <v>172</v>
      </c>
      <c r="C322" s="9"/>
      <c r="D322" s="1"/>
      <c r="E322" s="47"/>
      <c r="G322" s="10"/>
      <c r="H322" s="2"/>
      <c r="I322" s="5"/>
    </row>
    <row r="323" spans="1:9">
      <c r="A323" s="2"/>
      <c r="B323" s="26" t="s">
        <v>212</v>
      </c>
      <c r="C323" s="9" t="s">
        <v>60</v>
      </c>
      <c r="D323" s="1"/>
      <c r="E323" s="48">
        <v>411060</v>
      </c>
      <c r="F323" s="48">
        <v>1440.18</v>
      </c>
      <c r="G323" s="10">
        <v>1.39</v>
      </c>
      <c r="H323" s="69"/>
      <c r="I323" s="10">
        <v>1.55</v>
      </c>
    </row>
    <row r="324" spans="1:9">
      <c r="A324" s="2"/>
      <c r="B324" s="70" t="s">
        <v>173</v>
      </c>
      <c r="C324" s="9"/>
      <c r="D324" s="1"/>
      <c r="E324" s="47">
        <f>SUM(E323)</f>
        <v>411060</v>
      </c>
      <c r="F324" s="47">
        <f>SUM(F323)</f>
        <v>1440.18</v>
      </c>
      <c r="G324" s="10"/>
      <c r="H324" s="2"/>
      <c r="I324" s="5"/>
    </row>
    <row r="325" spans="1:9">
      <c r="A325" s="2"/>
      <c r="B325" s="70"/>
      <c r="C325" s="9"/>
      <c r="D325" s="1"/>
      <c r="E325" s="47"/>
      <c r="F325" s="47"/>
      <c r="G325" s="10"/>
      <c r="H325" s="2"/>
      <c r="I325" s="5"/>
    </row>
    <row r="326" spans="1:9">
      <c r="A326" s="2"/>
      <c r="B326" s="70"/>
      <c r="C326" s="9"/>
      <c r="D326" s="1"/>
      <c r="E326" s="47"/>
      <c r="F326" s="47"/>
      <c r="G326" s="10"/>
      <c r="H326" s="2"/>
      <c r="I326" s="5"/>
    </row>
    <row r="327" spans="1:9">
      <c r="A327" s="2"/>
      <c r="C327" s="9"/>
      <c r="D327" s="1"/>
      <c r="E327" s="47"/>
      <c r="G327" s="10"/>
      <c r="H327" s="2"/>
      <c r="I327" s="5"/>
    </row>
    <row r="328" spans="1:9">
      <c r="A328" s="2"/>
      <c r="C328" s="9"/>
      <c r="D328" s="1"/>
      <c r="E328" s="47"/>
      <c r="G328" s="10"/>
      <c r="H328" s="2"/>
      <c r="I328" s="5"/>
    </row>
    <row r="329" spans="1:9">
      <c r="A329" s="2"/>
      <c r="B329" s="6" t="s">
        <v>53</v>
      </c>
      <c r="D329" s="1"/>
      <c r="E329" s="47"/>
      <c r="G329" s="10"/>
      <c r="H329" s="2"/>
      <c r="I329" s="5"/>
    </row>
    <row r="330" spans="1:9">
      <c r="A330" s="2"/>
      <c r="B330" s="2" t="s">
        <v>212</v>
      </c>
      <c r="C330" s="9" t="s">
        <v>60</v>
      </c>
      <c r="D330" s="1"/>
      <c r="E330" s="47">
        <v>4747738.46</v>
      </c>
      <c r="F330" s="41">
        <v>137897.85</v>
      </c>
      <c r="G330" s="10">
        <v>2.19</v>
      </c>
      <c r="H330" s="69"/>
      <c r="I330" s="10">
        <v>2.23</v>
      </c>
    </row>
    <row r="331" spans="1:9">
      <c r="A331" s="2"/>
      <c r="B331" s="2" t="s">
        <v>213</v>
      </c>
      <c r="C331" s="9" t="s">
        <v>68</v>
      </c>
      <c r="D331" s="1"/>
      <c r="E331" s="47">
        <f>348439.22+89222.27</f>
        <v>437661.49</v>
      </c>
      <c r="F331" s="41">
        <f>10408.2+2638.88</f>
        <v>13047.080000000002</v>
      </c>
      <c r="G331" s="10">
        <v>2.2999999999999998</v>
      </c>
      <c r="H331" s="69"/>
      <c r="I331" s="10">
        <v>3.55</v>
      </c>
    </row>
    <row r="332" spans="1:9">
      <c r="A332" s="2"/>
      <c r="B332" s="2" t="s">
        <v>214</v>
      </c>
      <c r="C332" s="9" t="s">
        <v>63</v>
      </c>
      <c r="D332" s="1"/>
      <c r="E332" s="41">
        <f>1382525.11+89222.27</f>
        <v>1471747.3800000001</v>
      </c>
      <c r="F332" s="41">
        <f>46591.3+2980.16</f>
        <v>49571.460000000006</v>
      </c>
      <c r="G332" s="10">
        <v>2.81</v>
      </c>
      <c r="H332" s="69"/>
      <c r="I332" s="10">
        <v>2.46</v>
      </c>
    </row>
    <row r="333" spans="1:9">
      <c r="A333" s="2"/>
      <c r="B333" s="2" t="s">
        <v>215</v>
      </c>
      <c r="C333" s="9" t="s">
        <v>69</v>
      </c>
      <c r="D333" s="1"/>
      <c r="E333" s="47">
        <v>162654.71</v>
      </c>
      <c r="F333" s="41">
        <v>4994.07</v>
      </c>
      <c r="G333" s="10">
        <v>2.4500000000000002</v>
      </c>
      <c r="H333" s="69"/>
      <c r="I333" s="10">
        <v>2.2599999999999998</v>
      </c>
    </row>
    <row r="334" spans="1:9">
      <c r="A334" s="2"/>
      <c r="B334" s="2" t="s">
        <v>216</v>
      </c>
      <c r="C334" s="9" t="s">
        <v>64</v>
      </c>
      <c r="D334" s="1"/>
      <c r="E334" s="47">
        <v>3674020.94</v>
      </c>
      <c r="F334" s="41">
        <v>146138.9</v>
      </c>
      <c r="G334" s="10">
        <v>3.66</v>
      </c>
      <c r="H334" s="69"/>
      <c r="I334" s="10">
        <v>3.53</v>
      </c>
    </row>
    <row r="335" spans="1:9">
      <c r="A335" s="2"/>
      <c r="B335" s="2" t="s">
        <v>221</v>
      </c>
      <c r="C335" s="9" t="s">
        <v>38</v>
      </c>
      <c r="D335" s="1"/>
      <c r="E335" s="48">
        <v>28500</v>
      </c>
      <c r="F335" s="48">
        <v>685.43</v>
      </c>
      <c r="G335" s="10">
        <v>1.54</v>
      </c>
      <c r="H335" s="69"/>
      <c r="I335" s="10">
        <v>2.2400000000000002</v>
      </c>
    </row>
    <row r="336" spans="1:9">
      <c r="A336" s="2"/>
      <c r="B336" s="6" t="s">
        <v>54</v>
      </c>
      <c r="C336" s="9"/>
      <c r="D336" s="1"/>
      <c r="E336" s="47">
        <f>SUM(E330:E335)</f>
        <v>10522322.98</v>
      </c>
      <c r="F336" s="47">
        <f>SUM(F330:F335)</f>
        <v>352334.79</v>
      </c>
      <c r="G336" s="10"/>
      <c r="H336" s="2"/>
      <c r="I336" s="5"/>
    </row>
    <row r="337" spans="1:11">
      <c r="A337" s="2"/>
      <c r="B337" s="6"/>
      <c r="C337" s="9"/>
      <c r="D337" s="1"/>
      <c r="E337" s="47"/>
      <c r="F337" s="47"/>
      <c r="G337" s="10"/>
      <c r="H337" s="2"/>
      <c r="I337" s="5"/>
    </row>
    <row r="338" spans="1:11">
      <c r="A338" s="2"/>
      <c r="B338" s="6" t="s">
        <v>355</v>
      </c>
      <c r="C338" s="9"/>
      <c r="D338" s="1"/>
      <c r="E338" s="47"/>
      <c r="F338" s="47"/>
      <c r="G338" s="10"/>
      <c r="H338" s="2"/>
      <c r="I338" s="5"/>
    </row>
    <row r="339" spans="1:11">
      <c r="A339" s="2"/>
      <c r="B339" s="2" t="s">
        <v>215</v>
      </c>
      <c r="C339" s="9" t="s">
        <v>69</v>
      </c>
      <c r="D339" s="1"/>
      <c r="E339" s="47">
        <v>64632.78</v>
      </c>
      <c r="F339" s="47">
        <v>807.91</v>
      </c>
      <c r="G339" s="10">
        <v>1.25</v>
      </c>
      <c r="H339" s="69"/>
      <c r="I339" s="10">
        <v>2.2599999999999998</v>
      </c>
    </row>
    <row r="340" spans="1:11">
      <c r="A340" s="2"/>
      <c r="B340" s="2" t="s">
        <v>216</v>
      </c>
      <c r="C340" s="9" t="s">
        <v>64</v>
      </c>
      <c r="D340" s="1"/>
      <c r="E340" s="48">
        <v>274073</v>
      </c>
      <c r="F340" s="48">
        <v>4357.76</v>
      </c>
      <c r="G340" s="10">
        <v>1.59</v>
      </c>
      <c r="H340" s="69"/>
      <c r="I340" s="10">
        <v>3.53</v>
      </c>
    </row>
    <row r="341" spans="1:11">
      <c r="A341" s="2"/>
      <c r="B341" s="6" t="s">
        <v>356</v>
      </c>
      <c r="C341" s="9"/>
      <c r="D341" s="1"/>
      <c r="E341" s="47">
        <f>SUM(E339:E340)</f>
        <v>338705.78</v>
      </c>
      <c r="F341" s="47">
        <f>SUM(F339:F340)</f>
        <v>5165.67</v>
      </c>
      <c r="G341" s="10"/>
      <c r="H341" s="2"/>
      <c r="I341" s="5"/>
    </row>
    <row r="342" spans="1:11">
      <c r="A342" s="2"/>
      <c r="B342" s="6"/>
      <c r="C342" s="9"/>
      <c r="D342" s="1"/>
      <c r="E342" s="47"/>
      <c r="F342" s="47"/>
      <c r="G342" s="10"/>
      <c r="H342" s="2"/>
      <c r="I342" s="5"/>
    </row>
    <row r="343" spans="1:11">
      <c r="A343" s="2"/>
      <c r="B343" s="6" t="s">
        <v>35</v>
      </c>
      <c r="C343" s="9"/>
      <c r="D343" s="1"/>
      <c r="E343" s="47"/>
      <c r="F343" s="47"/>
      <c r="G343" s="10"/>
      <c r="H343" s="2"/>
      <c r="I343" s="5"/>
    </row>
    <row r="344" spans="1:11">
      <c r="A344" s="2"/>
      <c r="B344" s="2" t="s">
        <v>212</v>
      </c>
      <c r="C344" s="9" t="s">
        <v>60</v>
      </c>
      <c r="D344" s="1"/>
      <c r="E344" s="47">
        <v>2229434.2400000002</v>
      </c>
      <c r="F344" s="47">
        <v>71569.7</v>
      </c>
      <c r="G344" s="10">
        <v>2.69</v>
      </c>
      <c r="H344" s="69"/>
      <c r="I344" s="10">
        <v>2.23</v>
      </c>
    </row>
    <row r="345" spans="1:11">
      <c r="A345" s="2"/>
      <c r="B345" s="2" t="s">
        <v>213</v>
      </c>
      <c r="C345" s="9" t="s">
        <v>68</v>
      </c>
      <c r="D345" s="1"/>
      <c r="E345" s="47">
        <v>16400.54</v>
      </c>
      <c r="F345" s="47">
        <v>393.61</v>
      </c>
      <c r="G345" s="10">
        <v>2.4</v>
      </c>
      <c r="H345" s="69"/>
      <c r="I345" s="10">
        <v>3.55</v>
      </c>
    </row>
    <row r="346" spans="1:11">
      <c r="A346" s="2"/>
      <c r="B346" s="2" t="s">
        <v>214</v>
      </c>
      <c r="C346" s="9" t="s">
        <v>63</v>
      </c>
      <c r="D346" s="1"/>
      <c r="E346" s="48">
        <v>13620.26</v>
      </c>
      <c r="F346" s="48">
        <v>468.54</v>
      </c>
      <c r="G346" s="10">
        <v>3.44</v>
      </c>
      <c r="H346" s="69"/>
      <c r="I346" s="10">
        <v>2.46</v>
      </c>
    </row>
    <row r="347" spans="1:11">
      <c r="A347" s="2"/>
      <c r="B347" s="6" t="s">
        <v>36</v>
      </c>
      <c r="C347" s="9"/>
      <c r="D347" s="1"/>
      <c r="E347" s="47">
        <f>SUM(E344:E346)</f>
        <v>2259455.04</v>
      </c>
      <c r="F347" s="47">
        <f>SUM(F344:F346)</f>
        <v>72431.849999999991</v>
      </c>
      <c r="G347" s="10"/>
      <c r="H347" s="2"/>
      <c r="I347" s="5"/>
    </row>
    <row r="348" spans="1:11">
      <c r="A348" s="2"/>
      <c r="B348" s="6"/>
      <c r="C348" s="9"/>
      <c r="D348" s="1"/>
      <c r="E348" s="47"/>
      <c r="F348" s="47"/>
      <c r="G348" s="10"/>
      <c r="H348" s="2"/>
      <c r="I348" s="5"/>
      <c r="K348" s="88"/>
    </row>
    <row r="349" spans="1:11">
      <c r="A349" s="2"/>
      <c r="B349" s="6" t="s">
        <v>349</v>
      </c>
      <c r="C349" s="9"/>
      <c r="D349" s="1"/>
      <c r="E349" s="47"/>
      <c r="F349" s="47"/>
      <c r="G349" s="10"/>
      <c r="H349" s="2"/>
      <c r="I349" s="5"/>
      <c r="K349" s="43"/>
    </row>
    <row r="350" spans="1:11">
      <c r="A350" s="2"/>
      <c r="B350" s="2" t="s">
        <v>211</v>
      </c>
      <c r="C350" s="9" t="s">
        <v>25</v>
      </c>
      <c r="D350" s="1"/>
      <c r="E350" s="47">
        <f>4626822.47+31730.47+1940176.7</f>
        <v>6598729.6399999997</v>
      </c>
      <c r="F350" s="47">
        <f>83282.33+602.88+34108.24</f>
        <v>117993.45000000001</v>
      </c>
      <c r="G350" s="85">
        <v>1.95</v>
      </c>
      <c r="H350" s="69"/>
      <c r="I350" s="10">
        <v>2.0499999999999998</v>
      </c>
      <c r="K350" s="88"/>
    </row>
    <row r="351" spans="1:11">
      <c r="A351" s="2"/>
      <c r="B351" s="2" t="s">
        <v>212</v>
      </c>
      <c r="C351" s="9" t="s">
        <v>60</v>
      </c>
      <c r="D351" s="1"/>
      <c r="E351" s="47">
        <f>239758769.7+161853158.63+1288578.44</f>
        <v>402900506.76999998</v>
      </c>
      <c r="F351" s="47">
        <f>5118475.95+3308836.66+33284.76</f>
        <v>8460597.3699999992</v>
      </c>
      <c r="G351" s="85">
        <v>2.19</v>
      </c>
      <c r="H351" s="69"/>
      <c r="I351" s="10">
        <v>2.23</v>
      </c>
      <c r="K351" s="88"/>
    </row>
    <row r="352" spans="1:11">
      <c r="A352" s="2"/>
      <c r="B352" s="2" t="s">
        <v>213</v>
      </c>
      <c r="C352" s="9" t="s">
        <v>68</v>
      </c>
      <c r="D352" s="1"/>
      <c r="E352" s="47">
        <f>212098206.24+1102362.92+114856545.85+187511.66+789182.52+1015340.29+8020.92+7143.97+151699.77</f>
        <v>330216014.14000005</v>
      </c>
      <c r="F352" s="47">
        <f>4704865.8+21596.27+2736998.2+3632.98+11443.14+10928.11+85.82+76.44+2973.32</f>
        <v>7492600.080000001</v>
      </c>
      <c r="G352" s="5">
        <v>2.2999999999999998</v>
      </c>
      <c r="H352" s="69"/>
      <c r="I352" s="10">
        <v>3.55</v>
      </c>
      <c r="K352" s="43"/>
    </row>
    <row r="353" spans="1:11">
      <c r="A353" s="2"/>
      <c r="B353" s="2" t="s">
        <v>214</v>
      </c>
      <c r="C353" s="9" t="s">
        <v>63</v>
      </c>
      <c r="D353" s="1"/>
      <c r="E353" s="47">
        <f>246155884.85+112614171.85+344756.4+1045657.25+59156.7+118183.3+4024.41</f>
        <v>360341834.75999999</v>
      </c>
      <c r="F353" s="47">
        <f>6783017+2858846.67+5757.44+23422.75+987.91+3082.69+105.04</f>
        <v>9675219.4999999981</v>
      </c>
      <c r="G353" s="85">
        <v>2.81</v>
      </c>
      <c r="H353" s="69"/>
      <c r="I353" s="10">
        <v>2.46</v>
      </c>
      <c r="K353" s="43"/>
    </row>
    <row r="354" spans="1:11">
      <c r="A354" s="2"/>
      <c r="B354" s="2" t="s">
        <v>215</v>
      </c>
      <c r="C354" s="9" t="s">
        <v>69</v>
      </c>
      <c r="D354" s="1"/>
      <c r="E354" s="47">
        <f>516689276+1191969.45+29688.36</f>
        <v>517910933.81</v>
      </c>
      <c r="F354" s="47">
        <f>12309385.84+15138.01+779.93</f>
        <v>12325303.779999999</v>
      </c>
      <c r="G354" s="85">
        <v>2.4500000000000002</v>
      </c>
      <c r="H354" s="69"/>
      <c r="I354" s="10">
        <v>2.2599999999999998</v>
      </c>
      <c r="K354" s="43"/>
    </row>
    <row r="355" spans="1:11">
      <c r="A355" s="2"/>
      <c r="B355" s="2" t="s">
        <v>216</v>
      </c>
      <c r="C355" s="9" t="s">
        <v>64</v>
      </c>
      <c r="D355" s="1"/>
      <c r="E355" s="47">
        <f>551375210.88+2927095.8-13181.48</f>
        <v>554289125.19999993</v>
      </c>
      <c r="F355" s="47">
        <f>19792938.29+39724.25-1546.9</f>
        <v>19831115.640000001</v>
      </c>
      <c r="G355" s="85">
        <v>3.66</v>
      </c>
      <c r="H355" s="69"/>
      <c r="I355" s="10">
        <v>3.53</v>
      </c>
      <c r="K355" s="43"/>
    </row>
    <row r="356" spans="1:11">
      <c r="A356" s="2"/>
      <c r="B356" s="2" t="s">
        <v>217</v>
      </c>
      <c r="C356" s="9" t="s">
        <v>70</v>
      </c>
      <c r="D356" s="1"/>
      <c r="E356" s="47">
        <v>369045599.04000002</v>
      </c>
      <c r="F356" s="47">
        <v>7775247.6299999999</v>
      </c>
      <c r="G356" s="85">
        <v>2.1800000000000002</v>
      </c>
      <c r="H356" s="69"/>
      <c r="I356" s="10">
        <v>3.26</v>
      </c>
      <c r="K356" s="43"/>
    </row>
    <row r="357" spans="1:11">
      <c r="A357" s="2"/>
      <c r="B357" s="2" t="s">
        <v>218</v>
      </c>
      <c r="C357" s="9" t="s">
        <v>71</v>
      </c>
      <c r="D357" s="1"/>
      <c r="E357" s="47">
        <v>174515891.94</v>
      </c>
      <c r="F357" s="47">
        <v>3886417.88</v>
      </c>
      <c r="G357" s="85">
        <v>2.2400000000000002</v>
      </c>
      <c r="H357" s="69"/>
      <c r="I357" s="10">
        <v>2.33</v>
      </c>
      <c r="K357" s="43"/>
    </row>
    <row r="358" spans="1:11">
      <c r="A358" s="2"/>
      <c r="B358" s="2" t="s">
        <v>219</v>
      </c>
      <c r="C358" s="9" t="s">
        <v>72</v>
      </c>
      <c r="D358" s="1"/>
      <c r="E358" s="47">
        <f>106317938.38+15529548.37</f>
        <v>121847486.75</v>
      </c>
      <c r="F358" s="47">
        <f>4329296.62+593235.52</f>
        <v>4922532.1400000006</v>
      </c>
      <c r="G358" s="85">
        <v>3.82</v>
      </c>
      <c r="H358" s="69"/>
      <c r="I358" s="10">
        <v>2.3199999999999998</v>
      </c>
      <c r="K358" s="43"/>
    </row>
    <row r="359" spans="1:11">
      <c r="A359" s="2"/>
      <c r="B359" s="2" t="s">
        <v>220</v>
      </c>
      <c r="C359" s="9" t="s">
        <v>73</v>
      </c>
      <c r="D359" s="1"/>
      <c r="E359" s="47">
        <v>54119170.18</v>
      </c>
      <c r="F359" s="47">
        <v>1578241.21</v>
      </c>
      <c r="G359" s="85">
        <v>2.84</v>
      </c>
      <c r="H359" s="69"/>
      <c r="I359" s="10">
        <v>3.34</v>
      </c>
    </row>
    <row r="360" spans="1:11">
      <c r="A360" s="2"/>
      <c r="B360" s="2" t="s">
        <v>221</v>
      </c>
      <c r="C360" s="9" t="s">
        <v>38</v>
      </c>
      <c r="D360" s="1"/>
      <c r="E360" s="48">
        <f>5059499.83+19711795.03+57541.49+69899.69+1328.59+8659.86</f>
        <v>24908724.489999998</v>
      </c>
      <c r="F360" s="48">
        <f>77916.3+362768.02+2549.09+2257.76+24.18+26.68</f>
        <v>445542.03</v>
      </c>
      <c r="G360" s="85">
        <v>1.54</v>
      </c>
      <c r="H360" s="69"/>
      <c r="I360" s="10">
        <v>2.2400000000000002</v>
      </c>
      <c r="K360" s="43"/>
    </row>
    <row r="361" spans="1:11">
      <c r="A361" s="2"/>
      <c r="B361" s="6" t="s">
        <v>350</v>
      </c>
      <c r="C361" s="9"/>
      <c r="D361" s="1"/>
      <c r="E361" s="47">
        <f>SUM(E350:E360)</f>
        <v>2916694016.7199993</v>
      </c>
      <c r="F361" s="47">
        <f>SUM(F350:F360)</f>
        <v>76510810.709999993</v>
      </c>
      <c r="G361" s="10"/>
      <c r="H361" s="2"/>
      <c r="I361" s="5"/>
    </row>
    <row r="362" spans="1:11">
      <c r="A362" s="2"/>
      <c r="B362" s="6"/>
      <c r="C362" s="9"/>
      <c r="D362" s="1"/>
      <c r="E362" s="47"/>
      <c r="F362" s="47"/>
      <c r="G362" s="10"/>
      <c r="H362" s="2"/>
      <c r="I362" s="5"/>
    </row>
    <row r="363" spans="1:11">
      <c r="A363" s="2"/>
      <c r="B363" s="6"/>
      <c r="C363" s="9"/>
      <c r="D363" s="1"/>
      <c r="E363" s="47"/>
      <c r="F363" s="47"/>
      <c r="G363" s="10"/>
      <c r="H363" s="2"/>
      <c r="I363" s="5"/>
    </row>
    <row r="364" spans="1:11">
      <c r="A364" s="2"/>
      <c r="B364" s="6"/>
      <c r="C364" s="9"/>
      <c r="D364" s="1"/>
      <c r="E364" s="47"/>
      <c r="F364" s="47"/>
      <c r="G364" s="10"/>
      <c r="H364" s="2"/>
      <c r="I364" s="5"/>
    </row>
    <row r="365" spans="1:11">
      <c r="A365" s="2"/>
      <c r="B365" s="6" t="s">
        <v>351</v>
      </c>
      <c r="C365" s="9"/>
      <c r="D365" s="1"/>
      <c r="E365" s="47"/>
      <c r="F365" s="47"/>
      <c r="G365" s="10"/>
      <c r="H365" s="2"/>
      <c r="I365" s="5"/>
    </row>
    <row r="366" spans="1:11">
      <c r="A366" s="2"/>
      <c r="B366" s="2" t="s">
        <v>212</v>
      </c>
      <c r="C366" s="9" t="s">
        <v>60</v>
      </c>
      <c r="D366" s="1"/>
      <c r="E366" s="47">
        <v>505676.26</v>
      </c>
      <c r="F366" s="47">
        <v>9911.25</v>
      </c>
      <c r="G366" s="10">
        <v>1.96</v>
      </c>
      <c r="H366" s="69"/>
      <c r="I366" s="10">
        <v>2.23</v>
      </c>
    </row>
    <row r="367" spans="1:11">
      <c r="A367" s="2"/>
      <c r="B367" s="2" t="s">
        <v>214</v>
      </c>
      <c r="C367" s="9" t="s">
        <v>63</v>
      </c>
      <c r="D367" s="1"/>
      <c r="E367" s="48">
        <v>2551.25</v>
      </c>
      <c r="F367" s="48">
        <v>18.62</v>
      </c>
      <c r="G367" s="10">
        <v>0.73</v>
      </c>
      <c r="H367" s="69"/>
      <c r="I367" s="10">
        <v>2.46</v>
      </c>
    </row>
    <row r="368" spans="1:11">
      <c r="A368" s="2"/>
      <c r="B368" s="6" t="s">
        <v>354</v>
      </c>
      <c r="C368" s="9"/>
      <c r="D368" s="1"/>
      <c r="E368" s="47">
        <f>SUM(E366:E367)</f>
        <v>508227.51</v>
      </c>
      <c r="F368" s="47">
        <f>SUM(F366:F367)</f>
        <v>9929.8700000000008</v>
      </c>
      <c r="G368" s="10"/>
      <c r="H368" s="2"/>
      <c r="I368" s="5"/>
    </row>
    <row r="369" spans="1:9">
      <c r="A369" s="2"/>
      <c r="B369" s="6"/>
      <c r="C369" s="9"/>
      <c r="D369" s="1"/>
      <c r="E369" s="47"/>
      <c r="F369" s="47"/>
      <c r="G369" s="10"/>
      <c r="H369" s="2"/>
      <c r="I369" s="5"/>
    </row>
    <row r="370" spans="1:9">
      <c r="A370" s="2"/>
      <c r="B370" s="6" t="s">
        <v>352</v>
      </c>
      <c r="C370" s="9"/>
      <c r="D370" s="1"/>
      <c r="E370" s="47"/>
      <c r="F370" s="47"/>
      <c r="G370" s="10"/>
      <c r="H370" s="2"/>
      <c r="I370" s="5"/>
    </row>
    <row r="371" spans="1:9">
      <c r="A371" s="2"/>
      <c r="B371" s="2" t="s">
        <v>212</v>
      </c>
      <c r="C371" s="9" t="s">
        <v>60</v>
      </c>
      <c r="D371" s="1"/>
      <c r="E371" s="47">
        <v>377350.44</v>
      </c>
      <c r="F371" s="47">
        <v>9962.0499999999993</v>
      </c>
      <c r="G371" s="10">
        <v>2.64</v>
      </c>
      <c r="H371" s="69"/>
      <c r="I371" s="10">
        <v>2.23</v>
      </c>
    </row>
    <row r="372" spans="1:9">
      <c r="A372" s="2"/>
      <c r="B372" s="2" t="s">
        <v>213</v>
      </c>
      <c r="C372" s="9" t="s">
        <v>68</v>
      </c>
      <c r="D372" s="1"/>
      <c r="E372" s="47">
        <f>128220.93+6612.25</f>
        <v>134833.18</v>
      </c>
      <c r="F372" s="47">
        <f>2825.51+41.76</f>
        <v>2867.2700000000004</v>
      </c>
      <c r="G372" s="10">
        <v>2.21</v>
      </c>
      <c r="H372" s="69"/>
      <c r="I372" s="10">
        <v>3.55</v>
      </c>
    </row>
    <row r="373" spans="1:9">
      <c r="A373" s="2"/>
      <c r="B373" s="2" t="s">
        <v>214</v>
      </c>
      <c r="C373" s="9" t="s">
        <v>63</v>
      </c>
      <c r="D373" s="1"/>
      <c r="E373" s="48">
        <v>60010.57</v>
      </c>
      <c r="F373" s="48">
        <v>1578.26</v>
      </c>
      <c r="G373" s="10">
        <v>2.63</v>
      </c>
      <c r="H373" s="69"/>
      <c r="I373" s="10">
        <v>2.46</v>
      </c>
    </row>
    <row r="374" spans="1:9">
      <c r="A374" s="2"/>
      <c r="B374" s="6" t="s">
        <v>353</v>
      </c>
      <c r="C374" s="9"/>
      <c r="D374" s="1"/>
      <c r="E374" s="47">
        <f>SUM(E371:E373)</f>
        <v>572194.18999999994</v>
      </c>
      <c r="F374" s="47">
        <f>SUM(F371:F373)</f>
        <v>14407.58</v>
      </c>
      <c r="G374" s="10"/>
      <c r="H374" s="2"/>
      <c r="I374" s="5"/>
    </row>
    <row r="375" spans="1:9">
      <c r="A375" s="2"/>
      <c r="B375" s="6"/>
      <c r="C375" s="9"/>
      <c r="D375" s="1"/>
      <c r="E375" s="47"/>
      <c r="F375" s="47"/>
      <c r="G375" s="10"/>
      <c r="H375" s="2"/>
      <c r="I375" s="5"/>
    </row>
    <row r="376" spans="1:9">
      <c r="A376" s="2"/>
      <c r="B376" s="6" t="s">
        <v>42</v>
      </c>
      <c r="C376" s="9"/>
      <c r="D376" s="1"/>
      <c r="E376" s="47"/>
      <c r="F376" s="47"/>
      <c r="G376" s="10"/>
      <c r="H376" s="2"/>
      <c r="I376" s="5"/>
    </row>
    <row r="377" spans="1:9">
      <c r="A377" s="2"/>
      <c r="B377" s="2" t="s">
        <v>212</v>
      </c>
      <c r="C377" s="9" t="s">
        <v>60</v>
      </c>
      <c r="D377" s="1"/>
      <c r="E377" s="48">
        <v>2268170.62</v>
      </c>
      <c r="F377" s="48">
        <v>55343.37</v>
      </c>
      <c r="G377" s="10">
        <v>2.44</v>
      </c>
      <c r="H377" s="69"/>
      <c r="I377" s="10">
        <v>2.23</v>
      </c>
    </row>
    <row r="378" spans="1:9">
      <c r="A378" s="2"/>
      <c r="B378" s="6" t="s">
        <v>43</v>
      </c>
      <c r="C378" s="9"/>
      <c r="D378" s="1"/>
      <c r="E378" s="47">
        <f>SUM(E377)</f>
        <v>2268170.62</v>
      </c>
      <c r="F378" s="47">
        <f>SUM(F377)</f>
        <v>55343.37</v>
      </c>
      <c r="G378" s="10"/>
      <c r="H378" s="2"/>
      <c r="I378" s="5"/>
    </row>
    <row r="379" spans="1:9">
      <c r="A379" s="2"/>
      <c r="B379" s="6"/>
      <c r="C379" s="9"/>
      <c r="D379" s="1"/>
      <c r="E379" s="47"/>
      <c r="F379" s="47"/>
      <c r="G379" s="10"/>
      <c r="H379" s="2"/>
      <c r="I379" s="5"/>
    </row>
    <row r="380" spans="1:9">
      <c r="A380" s="2"/>
      <c r="B380" s="6" t="s">
        <v>57</v>
      </c>
      <c r="C380" s="9"/>
      <c r="D380" s="1"/>
      <c r="E380" s="47"/>
      <c r="F380" s="47"/>
      <c r="G380" s="10"/>
      <c r="H380" s="2"/>
      <c r="I380" s="5"/>
    </row>
    <row r="381" spans="1:9">
      <c r="A381" s="2"/>
      <c r="B381" s="2" t="s">
        <v>213</v>
      </c>
      <c r="C381" s="9" t="s">
        <v>68</v>
      </c>
      <c r="D381" s="1"/>
      <c r="E381" s="47">
        <v>2071986.76</v>
      </c>
      <c r="F381" s="47">
        <v>37905.480000000003</v>
      </c>
      <c r="G381" s="10">
        <v>2.2999999999999998</v>
      </c>
      <c r="H381" s="69"/>
      <c r="I381" s="10">
        <v>3.55</v>
      </c>
    </row>
    <row r="382" spans="1:9">
      <c r="A382" s="2"/>
      <c r="B382" s="2" t="s">
        <v>214</v>
      </c>
      <c r="C382" s="9" t="s">
        <v>63</v>
      </c>
      <c r="D382" s="1"/>
      <c r="E382" s="47">
        <v>2071986.76</v>
      </c>
      <c r="F382" s="47">
        <v>45224.19</v>
      </c>
      <c r="G382" s="10">
        <v>2.81</v>
      </c>
      <c r="H382" s="69"/>
      <c r="I382" s="10">
        <v>2.46</v>
      </c>
    </row>
    <row r="383" spans="1:9">
      <c r="A383" s="2"/>
      <c r="B383" s="2" t="s">
        <v>215</v>
      </c>
      <c r="C383" s="9" t="s">
        <v>69</v>
      </c>
      <c r="D383" s="1"/>
      <c r="E383" s="47">
        <v>508906.99</v>
      </c>
      <c r="F383" s="47">
        <v>9656.43</v>
      </c>
      <c r="G383" s="10">
        <v>2.4500000000000002</v>
      </c>
      <c r="H383" s="69"/>
      <c r="I383" s="10">
        <v>2.2599999999999998</v>
      </c>
    </row>
    <row r="384" spans="1:9">
      <c r="A384" s="2"/>
      <c r="B384" s="2" t="s">
        <v>216</v>
      </c>
      <c r="C384" s="9" t="s">
        <v>64</v>
      </c>
      <c r="D384" s="1"/>
      <c r="E384" s="48">
        <v>11850311.73</v>
      </c>
      <c r="F384" s="48">
        <v>329749.34000000003</v>
      </c>
      <c r="G384" s="10">
        <v>3.66</v>
      </c>
      <c r="H384" s="69"/>
      <c r="I384" s="10">
        <v>3.53</v>
      </c>
    </row>
    <row r="385" spans="1:11">
      <c r="A385" s="2"/>
      <c r="B385" s="6" t="s">
        <v>124</v>
      </c>
      <c r="C385" s="9"/>
      <c r="D385" s="1"/>
      <c r="E385" s="47">
        <f>SUM(E381:E384)</f>
        <v>16503192.24</v>
      </c>
      <c r="F385" s="47">
        <f>SUM(F381:F384)</f>
        <v>422535.44000000006</v>
      </c>
      <c r="G385" s="10"/>
      <c r="H385" s="2"/>
      <c r="I385" s="5"/>
    </row>
    <row r="386" spans="1:11">
      <c r="A386" s="2"/>
      <c r="B386" s="2"/>
      <c r="C386" s="9"/>
      <c r="D386" s="1"/>
      <c r="E386" s="47"/>
      <c r="F386" s="47"/>
      <c r="G386" s="10"/>
      <c r="H386" s="2"/>
      <c r="I386" s="5"/>
    </row>
    <row r="387" spans="1:11">
      <c r="A387" s="1"/>
      <c r="B387" s="35" t="s">
        <v>74</v>
      </c>
      <c r="C387" s="9"/>
      <c r="D387" s="1"/>
      <c r="E387" s="56">
        <f>SUM(E361,E385,E378,E374,E368,E347,E341,E336,E324,E320)</f>
        <v>2955490420.5599995</v>
      </c>
      <c r="F387" s="56">
        <f>SUM(F361,F385,F378,F374,F368,F347,F341,F336,F324,F320)</f>
        <v>77606250.420000002</v>
      </c>
      <c r="G387" s="10"/>
      <c r="H387" s="2"/>
      <c r="I387" s="5"/>
    </row>
    <row r="388" spans="1:11">
      <c r="A388" s="1"/>
      <c r="B388" s="35"/>
      <c r="C388" s="9"/>
      <c r="D388" s="1"/>
      <c r="E388" s="56"/>
      <c r="F388" s="56"/>
      <c r="G388" s="10"/>
      <c r="H388" s="2"/>
      <c r="I388" s="5"/>
    </row>
    <row r="389" spans="1:11">
      <c r="A389" s="1"/>
      <c r="B389" s="35"/>
      <c r="C389" s="9"/>
      <c r="D389" s="1"/>
      <c r="E389" s="56"/>
      <c r="F389" s="56"/>
      <c r="G389" s="10"/>
      <c r="H389" s="2"/>
      <c r="I389" s="5"/>
    </row>
    <row r="390" spans="1:11">
      <c r="A390" s="1"/>
      <c r="B390" s="35"/>
      <c r="C390" s="9"/>
      <c r="D390" s="1"/>
      <c r="E390" s="56"/>
      <c r="F390" s="56"/>
      <c r="G390" s="10"/>
      <c r="H390" s="2"/>
      <c r="I390" s="5"/>
    </row>
    <row r="391" spans="1:11">
      <c r="A391" s="35" t="s">
        <v>75</v>
      </c>
      <c r="C391" s="9"/>
      <c r="D391" s="7"/>
      <c r="E391" s="51"/>
      <c r="F391" s="51"/>
      <c r="G391" s="10"/>
      <c r="H391" s="2"/>
      <c r="I391" s="5"/>
    </row>
    <row r="392" spans="1:11">
      <c r="A392" s="2"/>
      <c r="B392" s="2" t="s">
        <v>142</v>
      </c>
      <c r="C392" s="9" t="s">
        <v>293</v>
      </c>
      <c r="D392" s="1"/>
      <c r="E392" s="55">
        <f>28693374.47+20000+323612.33+382754.71</f>
        <v>29419741.509999998</v>
      </c>
      <c r="F392" s="55">
        <f>1014242.56+682+6501.42+7116.48</f>
        <v>1028542.4600000001</v>
      </c>
      <c r="G392" s="10">
        <v>3.41</v>
      </c>
      <c r="H392" s="2"/>
      <c r="I392" s="5">
        <v>6.6</v>
      </c>
    </row>
    <row r="393" spans="1:11">
      <c r="A393" s="2"/>
      <c r="B393" s="2" t="s">
        <v>142</v>
      </c>
      <c r="C393" s="9" t="s">
        <v>294</v>
      </c>
      <c r="D393" s="1"/>
      <c r="E393" s="55">
        <v>533785.48</v>
      </c>
      <c r="F393" s="55">
        <v>20987.07</v>
      </c>
      <c r="G393" s="10">
        <v>3.92</v>
      </c>
      <c r="H393" s="2"/>
      <c r="I393" s="5">
        <v>6.6</v>
      </c>
    </row>
    <row r="394" spans="1:11">
      <c r="A394" s="2"/>
      <c r="B394" s="2" t="s">
        <v>222</v>
      </c>
      <c r="C394" s="9" t="s">
        <v>295</v>
      </c>
      <c r="D394" s="1"/>
      <c r="E394" s="55">
        <f>6107230.97+4114688.24+48124.22+25165</f>
        <v>10295208.430000002</v>
      </c>
      <c r="F394" s="55">
        <f>220185.67+146712.8+1718.72+88.17</f>
        <v>368705.35999999993</v>
      </c>
      <c r="G394" s="10">
        <v>3.57</v>
      </c>
      <c r="H394" s="2"/>
      <c r="I394" s="5">
        <v>5</v>
      </c>
    </row>
    <row r="395" spans="1:11">
      <c r="A395" s="2"/>
      <c r="B395" s="2" t="s">
        <v>222</v>
      </c>
      <c r="C395" s="9" t="s">
        <v>296</v>
      </c>
      <c r="D395" s="1"/>
      <c r="E395" s="55">
        <v>2972500.8</v>
      </c>
      <c r="F395" s="55">
        <v>187814.45</v>
      </c>
      <c r="G395" s="10">
        <v>6.67</v>
      </c>
      <c r="H395" s="2"/>
      <c r="I395" s="5">
        <v>5</v>
      </c>
    </row>
    <row r="396" spans="1:11">
      <c r="A396" s="2"/>
      <c r="B396" s="2" t="s">
        <v>222</v>
      </c>
      <c r="C396" s="9" t="s">
        <v>297</v>
      </c>
      <c r="D396" s="1"/>
      <c r="E396" s="55">
        <v>3183.61</v>
      </c>
      <c r="F396" s="55">
        <v>78.61</v>
      </c>
      <c r="G396" s="10">
        <v>2.4700000000000002</v>
      </c>
      <c r="H396" s="2"/>
      <c r="I396" s="5">
        <v>5</v>
      </c>
      <c r="K396" s="43"/>
    </row>
    <row r="397" spans="1:11">
      <c r="A397" s="2"/>
      <c r="B397" s="2" t="s">
        <v>223</v>
      </c>
      <c r="C397" s="9" t="s">
        <v>298</v>
      </c>
      <c r="D397" s="1"/>
      <c r="E397" s="55">
        <v>538748.99</v>
      </c>
      <c r="F397" s="55">
        <v>41332.800000000003</v>
      </c>
      <c r="G397" s="10">
        <v>9.42</v>
      </c>
      <c r="H397" s="2"/>
      <c r="I397" s="5">
        <v>20</v>
      </c>
    </row>
    <row r="398" spans="1:11">
      <c r="A398" s="2"/>
      <c r="B398" s="2" t="s">
        <v>223</v>
      </c>
      <c r="C398" s="9" t="s">
        <v>299</v>
      </c>
      <c r="D398" s="1"/>
      <c r="E398" s="55">
        <v>20748991.920000002</v>
      </c>
      <c r="F398" s="55">
        <v>1376766</v>
      </c>
      <c r="G398" s="10">
        <v>10</v>
      </c>
      <c r="H398" s="2"/>
      <c r="I398" s="5">
        <v>20</v>
      </c>
    </row>
    <row r="399" spans="1:11">
      <c r="A399" s="2"/>
      <c r="B399" s="2" t="s">
        <v>223</v>
      </c>
      <c r="C399" s="9" t="s">
        <v>300</v>
      </c>
      <c r="D399" s="1"/>
      <c r="E399" s="55">
        <v>40103.78</v>
      </c>
      <c r="F399" s="55">
        <v>1432.28</v>
      </c>
      <c r="G399" s="10">
        <v>3.57</v>
      </c>
      <c r="H399" s="2"/>
      <c r="I399" s="5">
        <v>20</v>
      </c>
      <c r="K399" s="43"/>
    </row>
    <row r="400" spans="1:11">
      <c r="A400" s="2"/>
      <c r="B400" s="2"/>
      <c r="C400" s="9"/>
      <c r="D400" s="1"/>
      <c r="E400" s="55"/>
      <c r="F400" s="55"/>
      <c r="G400" s="10"/>
      <c r="H400" s="2"/>
      <c r="I400" s="5"/>
      <c r="K400" s="43"/>
    </row>
    <row r="401" spans="1:11">
      <c r="A401" s="2"/>
      <c r="B401" s="2" t="s">
        <v>224</v>
      </c>
      <c r="C401" s="9" t="s">
        <v>301</v>
      </c>
      <c r="D401" s="1"/>
      <c r="E401" s="55">
        <f>333069.85+317401.64+459127.93+0.32</f>
        <v>1109599.74</v>
      </c>
      <c r="F401" s="55">
        <v>0</v>
      </c>
      <c r="G401" s="10">
        <v>12.5</v>
      </c>
      <c r="H401" s="2"/>
      <c r="I401" s="5">
        <v>9</v>
      </c>
    </row>
    <row r="402" spans="1:11">
      <c r="A402" s="2"/>
      <c r="B402" s="2" t="s">
        <v>224</v>
      </c>
      <c r="C402" s="9" t="s">
        <v>302</v>
      </c>
      <c r="D402" s="1"/>
      <c r="E402" s="55">
        <v>26389.17</v>
      </c>
      <c r="F402" s="55">
        <v>1932.57</v>
      </c>
      <c r="G402" s="10">
        <v>2.15</v>
      </c>
      <c r="H402" s="2"/>
      <c r="I402" s="5">
        <v>9</v>
      </c>
    </row>
    <row r="403" spans="1:11">
      <c r="A403" s="2"/>
      <c r="B403" s="2" t="s">
        <v>225</v>
      </c>
      <c r="C403" s="9" t="s">
        <v>303</v>
      </c>
      <c r="D403" s="1"/>
      <c r="E403" s="55">
        <v>394456.82</v>
      </c>
      <c r="F403" s="55">
        <v>12341.31</v>
      </c>
      <c r="G403" s="10">
        <v>3.13</v>
      </c>
      <c r="H403" s="2"/>
      <c r="I403" s="5">
        <v>5</v>
      </c>
    </row>
    <row r="404" spans="1:11">
      <c r="A404" s="2"/>
      <c r="B404" s="2" t="s">
        <v>225</v>
      </c>
      <c r="C404" s="9" t="s">
        <v>304</v>
      </c>
      <c r="D404" s="1"/>
      <c r="E404" s="55">
        <v>659182.14</v>
      </c>
      <c r="F404" s="55">
        <v>21852.14</v>
      </c>
      <c r="G404" s="10">
        <v>3.33</v>
      </c>
      <c r="H404" s="2"/>
      <c r="I404" s="5">
        <v>5</v>
      </c>
    </row>
    <row r="405" spans="1:11">
      <c r="A405" s="2"/>
      <c r="B405" s="2" t="s">
        <v>226</v>
      </c>
      <c r="C405" s="9" t="s">
        <v>305</v>
      </c>
      <c r="D405" s="1"/>
      <c r="E405" s="60">
        <v>3786186.16</v>
      </c>
      <c r="F405" s="60">
        <v>148814.60999999999</v>
      </c>
      <c r="G405" s="10">
        <v>4.0199999999999996</v>
      </c>
      <c r="H405" s="2"/>
      <c r="I405" s="5">
        <v>5</v>
      </c>
      <c r="K405" s="43"/>
    </row>
    <row r="406" spans="1:11">
      <c r="A406" s="2"/>
      <c r="B406" s="2" t="s">
        <v>226</v>
      </c>
      <c r="C406" s="9" t="s">
        <v>306</v>
      </c>
      <c r="D406" s="1"/>
      <c r="E406" s="60">
        <v>1152246.21</v>
      </c>
      <c r="F406" s="60">
        <v>38153.360000000001</v>
      </c>
      <c r="G406" s="10">
        <v>3.33</v>
      </c>
      <c r="H406" s="2"/>
      <c r="I406" s="5">
        <v>5</v>
      </c>
    </row>
    <row r="407" spans="1:11">
      <c r="A407" s="2"/>
      <c r="B407" s="2" t="s">
        <v>226</v>
      </c>
      <c r="C407" s="9" t="s">
        <v>307</v>
      </c>
      <c r="D407" s="1"/>
      <c r="E407" s="60">
        <v>904028.8</v>
      </c>
      <c r="F407" s="60">
        <v>152948.92000000001</v>
      </c>
      <c r="G407" s="10">
        <v>20</v>
      </c>
      <c r="H407" s="2"/>
      <c r="I407" s="5">
        <v>5</v>
      </c>
      <c r="K407" s="43"/>
    </row>
    <row r="408" spans="1:11">
      <c r="A408" s="2"/>
      <c r="B408" s="2" t="s">
        <v>227</v>
      </c>
      <c r="C408" s="9" t="s">
        <v>308</v>
      </c>
      <c r="D408" s="1"/>
      <c r="E408" s="60">
        <v>1579116.28</v>
      </c>
      <c r="F408" s="60">
        <v>206232.59</v>
      </c>
      <c r="G408" s="10">
        <v>13.06</v>
      </c>
      <c r="H408" s="2"/>
      <c r="I408" s="5">
        <v>5</v>
      </c>
    </row>
    <row r="409" spans="1:11">
      <c r="A409" s="2"/>
      <c r="B409" s="2" t="s">
        <v>227</v>
      </c>
      <c r="C409" s="9" t="s">
        <v>309</v>
      </c>
      <c r="D409" s="1"/>
      <c r="E409" s="60">
        <v>11950146.17</v>
      </c>
      <c r="F409" s="60">
        <v>283430.23</v>
      </c>
      <c r="G409" s="10">
        <v>2.38</v>
      </c>
      <c r="H409" s="2"/>
      <c r="I409" s="5">
        <v>5</v>
      </c>
      <c r="K409" s="43"/>
    </row>
    <row r="410" spans="1:11">
      <c r="A410" s="1"/>
      <c r="B410" s="2" t="s">
        <v>228</v>
      </c>
      <c r="C410" s="9" t="s">
        <v>118</v>
      </c>
      <c r="D410" s="1"/>
      <c r="E410" s="60">
        <v>1196079.6499999999</v>
      </c>
      <c r="F410" s="60">
        <v>0</v>
      </c>
      <c r="G410" s="10">
        <v>1.25</v>
      </c>
      <c r="H410" s="2"/>
      <c r="I410" s="5">
        <v>6</v>
      </c>
      <c r="K410" s="43"/>
    </row>
    <row r="411" spans="1:11">
      <c r="A411" s="1"/>
      <c r="B411" s="2" t="s">
        <v>229</v>
      </c>
      <c r="C411" s="9" t="s">
        <v>310</v>
      </c>
      <c r="D411" s="1"/>
      <c r="E411" s="60">
        <f>20869496.48+2674.07+513040.17+2062209.45+523551.18+57413.13+216407.84+617956.38+608703.08+367365.5+9243</f>
        <v>25848060.279999997</v>
      </c>
      <c r="F411" s="60">
        <f>1003913.56+131.03+25138.98+94221.37+25654.01+2461.58+10819.41+22800.86+25746.09+15618.18+32.39</f>
        <v>1226537.46</v>
      </c>
      <c r="G411" s="10">
        <v>4.9000000000000004</v>
      </c>
      <c r="H411" s="2"/>
      <c r="I411" s="5">
        <v>6.67</v>
      </c>
    </row>
    <row r="412" spans="1:11">
      <c r="A412" s="1"/>
      <c r="B412" s="2" t="s">
        <v>229</v>
      </c>
      <c r="C412" s="9" t="s">
        <v>311</v>
      </c>
      <c r="D412" s="1"/>
      <c r="E412" s="60">
        <v>4952030.95</v>
      </c>
      <c r="F412" s="60">
        <v>225874.16</v>
      </c>
      <c r="G412" s="10">
        <v>4.76</v>
      </c>
      <c r="H412" s="2"/>
      <c r="I412" s="5">
        <v>6.67</v>
      </c>
    </row>
    <row r="413" spans="1:11">
      <c r="A413" s="1"/>
      <c r="B413" s="2" t="s">
        <v>229</v>
      </c>
      <c r="C413" s="9" t="s">
        <v>312</v>
      </c>
      <c r="D413" s="1"/>
      <c r="E413" s="60">
        <v>5777924.2300000004</v>
      </c>
      <c r="F413" s="60">
        <v>289474.01</v>
      </c>
      <c r="G413" s="10">
        <v>5.01</v>
      </c>
      <c r="H413" s="2"/>
      <c r="I413" s="5">
        <v>6.67</v>
      </c>
    </row>
    <row r="414" spans="1:11">
      <c r="A414" s="1"/>
      <c r="B414" s="2" t="s">
        <v>229</v>
      </c>
      <c r="C414" s="9" t="s">
        <v>313</v>
      </c>
      <c r="D414" s="1"/>
      <c r="E414" s="60">
        <v>102865.01</v>
      </c>
      <c r="F414" s="60">
        <v>4340.8900000000003</v>
      </c>
      <c r="G414" s="10">
        <v>4.22</v>
      </c>
      <c r="H414" s="2"/>
      <c r="I414" s="5">
        <v>6.67</v>
      </c>
    </row>
    <row r="415" spans="1:11">
      <c r="A415" s="1"/>
      <c r="B415" s="2" t="s">
        <v>229</v>
      </c>
      <c r="C415" s="9" t="s">
        <v>314</v>
      </c>
      <c r="D415" s="1"/>
      <c r="E415" s="60">
        <v>2750071.68</v>
      </c>
      <c r="F415" s="60">
        <v>88027.75</v>
      </c>
      <c r="G415" s="10">
        <v>3.29</v>
      </c>
      <c r="H415" s="2"/>
      <c r="I415" s="5">
        <v>6.67</v>
      </c>
    </row>
    <row r="416" spans="1:11">
      <c r="A416" s="1"/>
      <c r="B416" s="2" t="s">
        <v>229</v>
      </c>
      <c r="C416" s="9" t="s">
        <v>315</v>
      </c>
      <c r="D416" s="1"/>
      <c r="E416" s="60">
        <v>131693.51999999999</v>
      </c>
      <c r="F416" s="60">
        <v>4578.88</v>
      </c>
      <c r="G416" s="10">
        <v>3.33</v>
      </c>
      <c r="H416" s="2"/>
      <c r="I416" s="5">
        <v>6.67</v>
      </c>
    </row>
    <row r="417" spans="1:11">
      <c r="A417" s="1"/>
      <c r="B417" s="2" t="s">
        <v>229</v>
      </c>
      <c r="C417" s="9" t="s">
        <v>316</v>
      </c>
      <c r="D417" s="1"/>
      <c r="E417" s="60">
        <v>2087873.03</v>
      </c>
      <c r="F417" s="60">
        <v>103087.26</v>
      </c>
      <c r="G417" s="10">
        <v>4.9000000000000004</v>
      </c>
      <c r="H417" s="2"/>
      <c r="I417" s="5">
        <v>6.67</v>
      </c>
    </row>
    <row r="418" spans="1:11">
      <c r="A418" s="1"/>
      <c r="B418" s="2" t="s">
        <v>229</v>
      </c>
      <c r="C418" s="9" t="s">
        <v>317</v>
      </c>
      <c r="D418" s="1"/>
      <c r="E418" s="60">
        <v>46183.15</v>
      </c>
      <c r="F418" s="60">
        <v>1756.96</v>
      </c>
      <c r="G418" s="10">
        <v>4.3499999999999996</v>
      </c>
      <c r="H418" s="2"/>
      <c r="I418" s="5">
        <v>6.67</v>
      </c>
    </row>
    <row r="419" spans="1:11">
      <c r="A419" s="1"/>
      <c r="B419" s="2" t="s">
        <v>230</v>
      </c>
      <c r="C419" s="9" t="s">
        <v>318</v>
      </c>
      <c r="D419" s="1"/>
      <c r="E419" s="61">
        <v>432616.92</v>
      </c>
      <c r="F419" s="61">
        <v>16482.79</v>
      </c>
      <c r="G419" s="10">
        <v>4.17</v>
      </c>
      <c r="H419" s="2"/>
      <c r="I419" s="5">
        <v>6.67</v>
      </c>
      <c r="K419" s="43"/>
    </row>
    <row r="420" spans="1:11">
      <c r="A420" s="1"/>
      <c r="B420" s="2"/>
      <c r="C420" s="9"/>
      <c r="D420" s="1"/>
      <c r="E420" s="55"/>
      <c r="F420" s="55"/>
      <c r="G420" s="10"/>
      <c r="H420" s="2"/>
      <c r="I420" s="5"/>
      <c r="K420" s="43"/>
    </row>
    <row r="421" spans="1:11">
      <c r="A421" s="1"/>
      <c r="B421" s="35" t="s">
        <v>76</v>
      </c>
      <c r="C421" s="9"/>
      <c r="D421" s="1"/>
      <c r="E421" s="62">
        <f>SUM(E392:E419)</f>
        <v>129439014.43000004</v>
      </c>
      <c r="F421" s="62">
        <f>SUM(F392:F419)</f>
        <v>5851524.9199999981</v>
      </c>
      <c r="G421" s="10"/>
      <c r="H421" s="2"/>
      <c r="I421" s="5"/>
    </row>
    <row r="422" spans="1:11">
      <c r="A422" s="1"/>
      <c r="B422" s="17"/>
      <c r="C422" s="9"/>
      <c r="D422" s="1"/>
      <c r="E422" s="27"/>
      <c r="F422" s="27"/>
      <c r="G422" s="10"/>
      <c r="H422" s="2"/>
      <c r="I422" s="5"/>
    </row>
    <row r="423" spans="1:11">
      <c r="A423" s="1"/>
      <c r="C423" s="31" t="s">
        <v>359</v>
      </c>
      <c r="D423" s="1"/>
      <c r="E423" s="62">
        <f>E108+E169+E251+E315+E387+E421</f>
        <v>5408937856.5699997</v>
      </c>
      <c r="F423" s="62">
        <f>F108+F169+F251+F315+F387+F421</f>
        <v>151603763.13</v>
      </c>
      <c r="G423" s="18"/>
      <c r="H423" s="2"/>
      <c r="I423" s="5"/>
    </row>
    <row r="424" spans="1:11">
      <c r="A424" s="1"/>
      <c r="C424" s="31"/>
      <c r="D424" s="1"/>
      <c r="E424" s="63"/>
      <c r="F424" s="63"/>
      <c r="G424" s="18"/>
      <c r="H424" s="2"/>
      <c r="I424" s="5"/>
    </row>
    <row r="425" spans="1:11">
      <c r="A425" s="1"/>
      <c r="C425" s="31"/>
      <c r="D425" s="1"/>
      <c r="E425" s="63"/>
      <c r="F425" s="63"/>
      <c r="G425" s="18"/>
      <c r="H425" s="2"/>
      <c r="I425" s="5"/>
    </row>
    <row r="426" spans="1:11">
      <c r="A426" s="35" t="s">
        <v>402</v>
      </c>
      <c r="C426" s="31"/>
      <c r="D426" s="1"/>
      <c r="E426" s="63"/>
      <c r="F426" s="63"/>
      <c r="G426" s="18"/>
      <c r="H426" s="2"/>
      <c r="I426" s="5"/>
    </row>
    <row r="427" spans="1:11">
      <c r="B427" s="94" t="s">
        <v>185</v>
      </c>
      <c r="C427" s="75" t="s">
        <v>396</v>
      </c>
      <c r="D427" s="63"/>
      <c r="F427" s="95">
        <v>-114129.5</v>
      </c>
      <c r="G427" s="18"/>
      <c r="H427" s="2"/>
      <c r="I427" s="5"/>
    </row>
    <row r="428" spans="1:11">
      <c r="B428" s="94" t="s">
        <v>207</v>
      </c>
      <c r="C428" s="75" t="s">
        <v>397</v>
      </c>
      <c r="D428" s="63"/>
      <c r="F428" s="95">
        <v>-165611.5</v>
      </c>
      <c r="G428" s="18"/>
      <c r="H428" s="2"/>
      <c r="I428" s="5"/>
    </row>
    <row r="429" spans="1:11">
      <c r="B429" s="94" t="s">
        <v>213</v>
      </c>
      <c r="C429" s="75" t="s">
        <v>398</v>
      </c>
      <c r="D429" s="63"/>
      <c r="F429" s="95">
        <v>-353566</v>
      </c>
      <c r="G429" s="18"/>
      <c r="H429" s="2"/>
      <c r="I429" s="5"/>
    </row>
    <row r="430" spans="1:11">
      <c r="B430" s="94" t="s">
        <v>217</v>
      </c>
      <c r="C430" s="75" t="s">
        <v>398</v>
      </c>
      <c r="D430" s="63"/>
      <c r="F430" s="73">
        <v>-453201</v>
      </c>
      <c r="G430" s="18"/>
      <c r="H430" s="2"/>
      <c r="I430" s="5"/>
    </row>
    <row r="431" spans="1:11">
      <c r="B431" s="35" t="s">
        <v>401</v>
      </c>
      <c r="D431" s="63"/>
      <c r="F431" s="97">
        <f>SUM(F423:F430)</f>
        <v>150517255.13</v>
      </c>
      <c r="G431" s="18"/>
      <c r="H431" s="2"/>
      <c r="I431" s="5"/>
    </row>
    <row r="432" spans="1:11">
      <c r="B432" s="94"/>
      <c r="C432" s="75"/>
      <c r="D432" s="63"/>
      <c r="F432" s="95"/>
      <c r="G432" s="18"/>
      <c r="H432" s="2"/>
      <c r="I432" s="5"/>
    </row>
    <row r="433" spans="1:9">
      <c r="B433" s="94"/>
      <c r="C433" s="75"/>
      <c r="D433" s="63"/>
      <c r="F433" s="95"/>
      <c r="G433" s="18"/>
      <c r="H433" s="2"/>
      <c r="I433" s="5"/>
    </row>
    <row r="434" spans="1:9">
      <c r="B434" s="94"/>
      <c r="C434" s="75"/>
      <c r="D434" s="63"/>
      <c r="F434" s="95"/>
      <c r="G434" s="18"/>
      <c r="H434" s="2"/>
      <c r="I434" s="5"/>
    </row>
    <row r="437" spans="1:9">
      <c r="A437" s="183" t="s">
        <v>125</v>
      </c>
      <c r="B437" s="183"/>
      <c r="C437" s="183"/>
      <c r="D437" s="183"/>
      <c r="E437" s="183"/>
      <c r="F437" s="183"/>
      <c r="G437" s="183"/>
      <c r="H437" s="183"/>
      <c r="I437" s="183"/>
    </row>
    <row r="439" spans="1:9">
      <c r="A439" s="14" t="s">
        <v>77</v>
      </c>
      <c r="D439" s="19"/>
      <c r="E439" s="42"/>
      <c r="F439" s="42"/>
      <c r="G439" s="19"/>
      <c r="H439" s="3"/>
      <c r="I439" s="4"/>
    </row>
    <row r="440" spans="1:9">
      <c r="B440" s="20" t="s">
        <v>231</v>
      </c>
      <c r="C440" s="9" t="s">
        <v>2</v>
      </c>
      <c r="D440" s="19"/>
      <c r="E440" s="42">
        <f>454516.18+43406.61</f>
        <v>497922.79</v>
      </c>
      <c r="F440" s="42">
        <f>10726.58+426.24</f>
        <v>11152.82</v>
      </c>
      <c r="G440" s="22">
        <v>2.36</v>
      </c>
      <c r="H440" s="22"/>
      <c r="I440" s="5">
        <v>0.5</v>
      </c>
    </row>
    <row r="441" spans="1:9">
      <c r="B441" s="20" t="s">
        <v>232</v>
      </c>
      <c r="C441" s="9" t="s">
        <v>78</v>
      </c>
      <c r="D441" s="19"/>
      <c r="E441" s="42">
        <f>5343901.65+714878.6</f>
        <v>6058780.25</v>
      </c>
      <c r="F441" s="42">
        <f>283065.78+38343.62</f>
        <v>321409.40000000002</v>
      </c>
      <c r="G441" s="22">
        <v>5.18</v>
      </c>
      <c r="H441" s="22"/>
      <c r="I441" s="2">
        <v>0.95</v>
      </c>
    </row>
    <row r="442" spans="1:9">
      <c r="B442" s="20" t="s">
        <v>233</v>
      </c>
      <c r="C442" s="9" t="s">
        <v>79</v>
      </c>
      <c r="D442" s="19"/>
      <c r="E442" s="64">
        <v>4852.88</v>
      </c>
      <c r="F442" s="64">
        <v>430.92</v>
      </c>
      <c r="G442" s="22">
        <v>0.68</v>
      </c>
      <c r="H442" s="22"/>
      <c r="I442" s="2">
        <v>0.05</v>
      </c>
    </row>
    <row r="443" spans="1:9">
      <c r="B443" s="20"/>
      <c r="C443" s="19"/>
      <c r="D443" s="19"/>
      <c r="E443" s="54"/>
      <c r="F443" s="54"/>
      <c r="G443" s="22"/>
      <c r="H443" s="22"/>
      <c r="I443" s="2"/>
    </row>
    <row r="444" spans="1:9">
      <c r="B444" s="35" t="s">
        <v>126</v>
      </c>
      <c r="C444" s="14"/>
      <c r="D444" s="19"/>
      <c r="E444" s="42">
        <f>SUM(E440:E443)</f>
        <v>6561555.9199999999</v>
      </c>
      <c r="F444" s="42">
        <f>SUM(F440:F443)</f>
        <v>332993.14</v>
      </c>
      <c r="G444" s="22"/>
      <c r="H444" s="22"/>
      <c r="I444" s="2"/>
    </row>
    <row r="445" spans="1:9">
      <c r="B445" s="20"/>
      <c r="C445" s="19"/>
      <c r="D445" s="19"/>
      <c r="E445" s="42"/>
      <c r="F445" s="42"/>
      <c r="G445" s="22"/>
      <c r="H445" s="22"/>
      <c r="I445" s="2"/>
    </row>
    <row r="446" spans="1:9">
      <c r="A446" s="14" t="s">
        <v>80</v>
      </c>
      <c r="C446" s="19"/>
      <c r="D446" s="19"/>
      <c r="E446" s="42"/>
      <c r="F446" s="42"/>
      <c r="G446" s="22"/>
      <c r="H446" s="22"/>
      <c r="I446" s="2"/>
    </row>
    <row r="447" spans="1:9">
      <c r="B447" s="20" t="s">
        <v>234</v>
      </c>
      <c r="C447" s="9" t="s">
        <v>81</v>
      </c>
      <c r="D447" s="19"/>
      <c r="E447" s="42">
        <v>208483.4</v>
      </c>
      <c r="F447" s="42">
        <v>11027.54</v>
      </c>
      <c r="G447" s="22">
        <v>3.44</v>
      </c>
      <c r="H447" s="22"/>
      <c r="I447" s="2">
        <v>1.63</v>
      </c>
    </row>
    <row r="448" spans="1:9">
      <c r="B448" s="20" t="s">
        <v>235</v>
      </c>
      <c r="C448" s="9" t="s">
        <v>82</v>
      </c>
      <c r="D448" s="19"/>
      <c r="E448" s="42">
        <v>188992.47</v>
      </c>
      <c r="F448" s="42">
        <v>2441.0300000000002</v>
      </c>
      <c r="G448" s="22">
        <v>0.84</v>
      </c>
      <c r="H448" s="22"/>
      <c r="I448" s="2">
        <v>0.25</v>
      </c>
    </row>
    <row r="449" spans="1:11">
      <c r="B449" s="20" t="s">
        <v>236</v>
      </c>
      <c r="C449" s="9" t="s">
        <v>83</v>
      </c>
      <c r="D449" s="19"/>
      <c r="E449" s="42">
        <v>2244.87</v>
      </c>
      <c r="F449" s="42">
        <v>0.9</v>
      </c>
      <c r="G449" s="22">
        <v>0.04</v>
      </c>
      <c r="H449" s="22"/>
      <c r="I449" s="5">
        <v>0</v>
      </c>
    </row>
    <row r="450" spans="1:11">
      <c r="B450" s="20" t="s">
        <v>237</v>
      </c>
      <c r="C450" s="9" t="s">
        <v>84</v>
      </c>
      <c r="D450" s="19"/>
      <c r="E450" s="42">
        <v>137114.37</v>
      </c>
      <c r="F450" s="42">
        <v>3571.81</v>
      </c>
      <c r="G450" s="22">
        <v>3.03</v>
      </c>
      <c r="H450" s="22"/>
      <c r="I450" s="5">
        <v>1.5</v>
      </c>
      <c r="K450" s="43"/>
    </row>
    <row r="451" spans="1:11">
      <c r="B451" s="20" t="s">
        <v>238</v>
      </c>
      <c r="C451" s="19" t="s">
        <v>85</v>
      </c>
      <c r="D451" s="19"/>
      <c r="E451" s="42">
        <v>7383330.0999999996</v>
      </c>
      <c r="F451" s="42">
        <v>176110.78</v>
      </c>
      <c r="G451" s="22">
        <v>2.36</v>
      </c>
      <c r="H451" s="22"/>
      <c r="I451" s="5">
        <v>1.2</v>
      </c>
    </row>
    <row r="452" spans="1:11">
      <c r="B452" s="20" t="s">
        <v>239</v>
      </c>
      <c r="C452" s="19" t="s">
        <v>86</v>
      </c>
      <c r="D452" s="19"/>
      <c r="E452" s="42">
        <v>1432433.52</v>
      </c>
      <c r="F452" s="42">
        <v>43409.9</v>
      </c>
      <c r="G452" s="22">
        <v>3.06</v>
      </c>
      <c r="H452" s="22"/>
      <c r="I452" s="2">
        <v>2.02</v>
      </c>
    </row>
    <row r="453" spans="1:11">
      <c r="B453" s="20" t="s">
        <v>240</v>
      </c>
      <c r="C453" s="19" t="s">
        <v>87</v>
      </c>
      <c r="D453" s="19"/>
      <c r="E453" s="42">
        <v>3338791.25</v>
      </c>
      <c r="F453" s="42">
        <v>109915.12</v>
      </c>
      <c r="G453" s="22">
        <v>3.42</v>
      </c>
      <c r="H453" s="22"/>
      <c r="I453" s="5">
        <v>2.1</v>
      </c>
      <c r="K453" s="43"/>
    </row>
    <row r="454" spans="1:11">
      <c r="B454" s="20" t="s">
        <v>241</v>
      </c>
      <c r="C454" s="19" t="s">
        <v>88</v>
      </c>
      <c r="D454" s="19"/>
      <c r="E454" s="42">
        <v>1884148.22</v>
      </c>
      <c r="F454" s="42">
        <v>65329.04</v>
      </c>
      <c r="G454" s="22">
        <v>3.94</v>
      </c>
      <c r="H454" s="22"/>
      <c r="I454" s="5">
        <v>2.5</v>
      </c>
    </row>
    <row r="455" spans="1:11">
      <c r="B455" s="20" t="s">
        <v>242</v>
      </c>
      <c r="C455" s="19" t="s">
        <v>89</v>
      </c>
      <c r="D455" s="19"/>
      <c r="E455" s="42">
        <v>7724749.5300000003</v>
      </c>
      <c r="F455" s="42">
        <v>306770.90999999997</v>
      </c>
      <c r="G455" s="22">
        <v>4.01</v>
      </c>
      <c r="H455" s="22"/>
      <c r="I455" s="5">
        <v>2.56</v>
      </c>
    </row>
    <row r="456" spans="1:11">
      <c r="B456" s="20" t="s">
        <v>243</v>
      </c>
      <c r="C456" s="19" t="s">
        <v>90</v>
      </c>
      <c r="D456" s="19"/>
      <c r="E456" s="42">
        <v>466951.98</v>
      </c>
      <c r="F456" s="42">
        <v>13246.87</v>
      </c>
      <c r="G456" s="22">
        <v>3.86</v>
      </c>
      <c r="H456" s="22"/>
      <c r="I456" s="5">
        <v>3.27</v>
      </c>
    </row>
    <row r="457" spans="1:11">
      <c r="B457" s="20" t="s">
        <v>244</v>
      </c>
      <c r="C457" s="19" t="s">
        <v>91</v>
      </c>
      <c r="D457" s="19"/>
      <c r="E457" s="42">
        <v>1006540.94</v>
      </c>
      <c r="F457" s="42">
        <v>39003</v>
      </c>
      <c r="G457" s="22">
        <v>3.86</v>
      </c>
      <c r="H457" s="22"/>
      <c r="I457" s="2">
        <v>1.88</v>
      </c>
    </row>
    <row r="458" spans="1:11">
      <c r="B458" s="20" t="s">
        <v>245</v>
      </c>
      <c r="C458" s="19" t="s">
        <v>79</v>
      </c>
      <c r="D458" s="19"/>
      <c r="E458" s="64">
        <v>241648.2</v>
      </c>
      <c r="F458" s="64">
        <v>3081.33</v>
      </c>
      <c r="G458" s="22">
        <v>0.63</v>
      </c>
      <c r="H458" s="22"/>
      <c r="I458" s="2">
        <v>0.95</v>
      </c>
    </row>
    <row r="459" spans="1:11">
      <c r="B459" s="20"/>
      <c r="C459" s="19"/>
      <c r="D459" s="19"/>
      <c r="E459" s="54"/>
      <c r="F459" s="54"/>
      <c r="G459" s="22"/>
      <c r="H459" s="22"/>
      <c r="I459" s="2"/>
    </row>
    <row r="460" spans="1:11">
      <c r="B460" s="35" t="s">
        <v>127</v>
      </c>
      <c r="C460" s="19"/>
      <c r="D460" s="19"/>
      <c r="E460" s="42">
        <f>SUM(E447:E459)</f>
        <v>24015428.850000001</v>
      </c>
      <c r="F460" s="42">
        <f>SUM(F447:F459)</f>
        <v>773908.22999999986</v>
      </c>
      <c r="G460" s="22"/>
      <c r="H460" s="22"/>
      <c r="I460" s="19"/>
    </row>
    <row r="461" spans="1:11">
      <c r="B461" s="20"/>
      <c r="C461" s="14"/>
      <c r="D461" s="19"/>
      <c r="E461" s="42"/>
      <c r="F461" s="42"/>
      <c r="G461" s="22"/>
      <c r="H461" s="22"/>
      <c r="I461" s="19"/>
    </row>
    <row r="462" spans="1:11">
      <c r="A462" s="35" t="s">
        <v>92</v>
      </c>
      <c r="D462" s="19"/>
      <c r="E462" s="42"/>
      <c r="F462" s="42"/>
      <c r="G462" s="22"/>
      <c r="H462" s="22"/>
      <c r="I462" s="19"/>
    </row>
    <row r="463" spans="1:11">
      <c r="B463" s="20" t="s">
        <v>246</v>
      </c>
      <c r="C463" s="19" t="s">
        <v>25</v>
      </c>
      <c r="D463" s="19"/>
      <c r="E463" s="42">
        <v>3973838.99</v>
      </c>
      <c r="F463" s="42">
        <v>121599.48</v>
      </c>
      <c r="G463" s="22">
        <v>3.06</v>
      </c>
      <c r="H463" s="22"/>
      <c r="I463" s="20">
        <v>2.86</v>
      </c>
    </row>
    <row r="464" spans="1:11">
      <c r="B464" s="20" t="s">
        <v>247</v>
      </c>
      <c r="C464" s="19" t="s">
        <v>93</v>
      </c>
      <c r="D464" s="19"/>
      <c r="E464" s="42">
        <v>3683221.39</v>
      </c>
      <c r="F464" s="42">
        <v>82031.350000000006</v>
      </c>
      <c r="G464" s="22">
        <v>2.04</v>
      </c>
      <c r="H464" s="22"/>
      <c r="I464" s="23">
        <v>3.63</v>
      </c>
    </row>
    <row r="465" spans="1:11">
      <c r="B465" s="20" t="s">
        <v>248</v>
      </c>
      <c r="C465" s="19" t="s">
        <v>91</v>
      </c>
      <c r="D465" s="19"/>
      <c r="E465" s="42">
        <v>3978019.77</v>
      </c>
      <c r="F465" s="42">
        <v>170643.46</v>
      </c>
      <c r="G465" s="22">
        <v>4.3</v>
      </c>
      <c r="H465" s="22"/>
      <c r="I465" s="20">
        <v>3.14</v>
      </c>
    </row>
    <row r="466" spans="1:11">
      <c r="B466" s="20" t="s">
        <v>249</v>
      </c>
      <c r="C466" s="19" t="s">
        <v>94</v>
      </c>
      <c r="D466" s="19"/>
      <c r="E466" s="64">
        <v>970580.63</v>
      </c>
      <c r="F466" s="64">
        <v>65519.5</v>
      </c>
      <c r="G466" s="22">
        <v>6.94</v>
      </c>
      <c r="H466" s="22"/>
      <c r="I466" s="20">
        <v>3.21</v>
      </c>
    </row>
    <row r="467" spans="1:11">
      <c r="B467" s="20"/>
      <c r="C467" s="19"/>
      <c r="D467" s="19"/>
      <c r="E467" s="54"/>
      <c r="F467" s="54"/>
      <c r="G467" s="22"/>
      <c r="H467" s="22"/>
      <c r="I467" s="20"/>
    </row>
    <row r="468" spans="1:11">
      <c r="B468" s="35" t="s">
        <v>128</v>
      </c>
      <c r="C468" s="19"/>
      <c r="D468" s="19"/>
      <c r="E468" s="42">
        <f>SUM(E463:E467)</f>
        <v>12605660.780000001</v>
      </c>
      <c r="F468" s="42">
        <f>SUM(F463:F467)</f>
        <v>439793.79000000004</v>
      </c>
      <c r="G468" s="22"/>
      <c r="H468" s="22"/>
      <c r="I468" s="19"/>
    </row>
    <row r="469" spans="1:11">
      <c r="B469" s="35"/>
      <c r="C469" s="19"/>
      <c r="D469" s="19"/>
      <c r="E469" s="42"/>
      <c r="F469" s="42"/>
      <c r="G469" s="22"/>
      <c r="H469" s="22"/>
      <c r="I469" s="19"/>
    </row>
    <row r="470" spans="1:11">
      <c r="B470" s="35"/>
      <c r="C470" s="19"/>
      <c r="D470" s="19"/>
      <c r="E470" s="42"/>
      <c r="F470" s="42"/>
      <c r="G470" s="22"/>
      <c r="H470" s="22"/>
      <c r="I470" s="19"/>
    </row>
    <row r="471" spans="1:11">
      <c r="B471" s="35"/>
      <c r="C471" s="19"/>
      <c r="D471" s="19"/>
      <c r="E471" s="42"/>
      <c r="F471" s="42"/>
      <c r="G471" s="22"/>
      <c r="H471" s="22"/>
      <c r="I471" s="19"/>
    </row>
    <row r="472" spans="1:11">
      <c r="B472" s="20"/>
      <c r="C472" s="19"/>
      <c r="D472" s="19"/>
      <c r="E472" s="42"/>
      <c r="F472" s="42"/>
      <c r="G472" s="22"/>
      <c r="H472" s="22"/>
      <c r="I472" s="19"/>
    </row>
    <row r="473" spans="1:11">
      <c r="A473" s="14" t="s">
        <v>67</v>
      </c>
      <c r="B473" s="20"/>
      <c r="D473" s="19"/>
      <c r="E473" s="42"/>
      <c r="F473" s="42"/>
      <c r="G473" s="22"/>
      <c r="H473" s="22"/>
      <c r="I473" s="19"/>
    </row>
    <row r="474" spans="1:11">
      <c r="B474" s="20" t="s">
        <v>250</v>
      </c>
      <c r="C474" s="19" t="s">
        <v>38</v>
      </c>
      <c r="D474" s="19"/>
      <c r="E474" s="42">
        <f>83911.41+106009.36+4327607.9+3444976.13</f>
        <v>7962504.7999999998</v>
      </c>
      <c r="F474" s="42">
        <f>1292.24+1632.54+95101.52+70535.89</f>
        <v>168562.19</v>
      </c>
      <c r="G474" s="22">
        <v>1.81</v>
      </c>
      <c r="H474" s="22"/>
      <c r="I474" s="5">
        <v>2.0099999999999998</v>
      </c>
    </row>
    <row r="475" spans="1:11">
      <c r="B475" s="20" t="s">
        <v>251</v>
      </c>
      <c r="C475" s="19" t="s">
        <v>25</v>
      </c>
      <c r="D475" s="19"/>
      <c r="E475" s="42">
        <f>7625109+502353.63</f>
        <v>8127462.6299999999</v>
      </c>
      <c r="F475" s="42">
        <f>233075.3+10976.53</f>
        <v>244051.83</v>
      </c>
      <c r="G475" s="22">
        <v>3.06</v>
      </c>
      <c r="H475" s="22"/>
      <c r="I475" s="2">
        <v>2.19</v>
      </c>
    </row>
    <row r="476" spans="1:11">
      <c r="B476" s="20" t="s">
        <v>252</v>
      </c>
      <c r="C476" s="19" t="s">
        <v>95</v>
      </c>
      <c r="D476" s="19"/>
      <c r="E476" s="42">
        <v>1943690.93</v>
      </c>
      <c r="F476" s="42">
        <v>301358.94</v>
      </c>
      <c r="G476" s="22">
        <v>8.56</v>
      </c>
      <c r="H476" s="22"/>
      <c r="I476" s="5">
        <v>69.5</v>
      </c>
    </row>
    <row r="477" spans="1:11">
      <c r="B477" s="20" t="s">
        <v>253</v>
      </c>
      <c r="C477" s="19" t="s">
        <v>96</v>
      </c>
      <c r="D477" s="19"/>
      <c r="E477" s="42">
        <v>677745585.51999998</v>
      </c>
      <c r="F477" s="42">
        <v>18236479.98</v>
      </c>
      <c r="G477" s="22">
        <v>2.79</v>
      </c>
      <c r="H477" s="22"/>
      <c r="I477" s="2">
        <v>2.77</v>
      </c>
    </row>
    <row r="478" spans="1:11">
      <c r="B478" s="20" t="s">
        <v>254</v>
      </c>
      <c r="C478" s="19" t="s">
        <v>97</v>
      </c>
      <c r="D478" s="19"/>
      <c r="E478" s="42">
        <f>31181873.81+18073715.98</f>
        <v>49255589.789999999</v>
      </c>
      <c r="F478" s="42">
        <f>2332118.17+114467.07</f>
        <v>2446585.2399999998</v>
      </c>
      <c r="G478" s="22">
        <v>4.53</v>
      </c>
      <c r="H478" s="22"/>
      <c r="I478" s="2">
        <v>1.63</v>
      </c>
    </row>
    <row r="479" spans="1:11">
      <c r="B479" s="20" t="s">
        <v>255</v>
      </c>
      <c r="C479" s="19" t="s">
        <v>98</v>
      </c>
      <c r="D479" s="19"/>
      <c r="E479" s="42">
        <f>206330421.53+67585356.27+27164307.78+1263424.38+32523115.66</f>
        <v>334866625.62000006</v>
      </c>
      <c r="F479" s="42">
        <f>6221977.3+1440304.02+504647.93+41061.31+797647.98</f>
        <v>9005638.5399999991</v>
      </c>
      <c r="G479" s="22">
        <v>3.25</v>
      </c>
      <c r="H479" s="22"/>
      <c r="I479" s="2">
        <v>3.27</v>
      </c>
    </row>
    <row r="480" spans="1:11">
      <c r="B480" s="20" t="s">
        <v>256</v>
      </c>
      <c r="C480" s="19" t="s">
        <v>90</v>
      </c>
      <c r="D480" s="19"/>
      <c r="E480" s="42">
        <f>32628719.14+2211832.43+398622.54+2790279.24+20587926.44</f>
        <v>58617379.790000007</v>
      </c>
      <c r="F480" s="42">
        <f>1310616.34+70075.75+17187.22+90043.91+702091.49</f>
        <v>2190014.71</v>
      </c>
      <c r="G480" s="22">
        <v>4.26</v>
      </c>
      <c r="H480" s="22"/>
      <c r="I480" s="5">
        <v>4.17</v>
      </c>
      <c r="K480" s="43"/>
    </row>
    <row r="481" spans="1:11">
      <c r="B481" s="20" t="s">
        <v>257</v>
      </c>
      <c r="C481" s="19" t="s">
        <v>71</v>
      </c>
      <c r="D481" s="19"/>
      <c r="E481" s="42">
        <f>532205319.37+28912294.62+211944.86</f>
        <v>561329558.85000002</v>
      </c>
      <c r="F481" s="42">
        <f>(9191203.56+5672546.93+281573.51+2060.21)+2026513.19</f>
        <v>17173897.400000002</v>
      </c>
      <c r="G481" s="22">
        <v>3.11</v>
      </c>
      <c r="H481" s="22"/>
      <c r="I481" s="2">
        <v>4.58</v>
      </c>
    </row>
    <row r="482" spans="1:11">
      <c r="B482" s="20" t="s">
        <v>258</v>
      </c>
      <c r="C482" s="19" t="s">
        <v>99</v>
      </c>
      <c r="D482" s="19"/>
      <c r="E482" s="42">
        <v>10174155.49</v>
      </c>
      <c r="F482" s="42">
        <v>105806.2</v>
      </c>
      <c r="G482" s="22">
        <v>3.11</v>
      </c>
      <c r="H482" s="22"/>
      <c r="I482" s="2">
        <v>5.18</v>
      </c>
      <c r="K482" s="43"/>
    </row>
    <row r="483" spans="1:11">
      <c r="B483" s="20" t="s">
        <v>259</v>
      </c>
      <c r="C483" s="19" t="s">
        <v>72</v>
      </c>
      <c r="D483" s="19"/>
      <c r="E483" s="42">
        <v>55892448.700000003</v>
      </c>
      <c r="F483" s="42">
        <v>1740118.83</v>
      </c>
      <c r="G483" s="22">
        <v>3.22</v>
      </c>
      <c r="H483" s="22"/>
      <c r="I483" s="2">
        <v>2.73</v>
      </c>
    </row>
    <row r="484" spans="1:11">
      <c r="B484" s="20" t="s">
        <v>260</v>
      </c>
      <c r="C484" s="19" t="s">
        <v>100</v>
      </c>
      <c r="D484" s="19"/>
      <c r="E484" s="42">
        <v>127760998.3</v>
      </c>
      <c r="F484" s="42">
        <v>3620038.72</v>
      </c>
      <c r="G484" s="22">
        <v>2.25</v>
      </c>
      <c r="H484" s="22"/>
      <c r="I484" s="2">
        <v>2.23</v>
      </c>
    </row>
    <row r="485" spans="1:11">
      <c r="B485" s="20" t="s">
        <v>261</v>
      </c>
      <c r="C485" s="19" t="s">
        <v>101</v>
      </c>
      <c r="D485" s="19"/>
      <c r="E485" s="42">
        <v>12858462.48</v>
      </c>
      <c r="F485" s="42">
        <v>416803.47</v>
      </c>
      <c r="G485" s="22">
        <v>3.37</v>
      </c>
      <c r="H485" s="22"/>
      <c r="I485" s="2">
        <v>2.41</v>
      </c>
    </row>
    <row r="486" spans="1:11">
      <c r="B486" s="20" t="s">
        <v>262</v>
      </c>
      <c r="C486" s="19" t="s">
        <v>102</v>
      </c>
      <c r="D486" s="19"/>
      <c r="E486" s="42">
        <v>66390922.479999997</v>
      </c>
      <c r="F486" s="42">
        <v>577428.21</v>
      </c>
      <c r="G486" s="22">
        <v>2.2200000000000002</v>
      </c>
      <c r="H486" s="22"/>
      <c r="I486" s="2">
        <v>2.79</v>
      </c>
    </row>
    <row r="487" spans="1:11">
      <c r="B487" s="2" t="s">
        <v>263</v>
      </c>
      <c r="C487" s="19" t="s">
        <v>103</v>
      </c>
      <c r="D487" s="19"/>
      <c r="E487" s="42">
        <f>4540883.87+16365924.46+13737412.85</f>
        <v>34644221.18</v>
      </c>
      <c r="F487" s="42">
        <f>140729.68+505899.75+406662.44</f>
        <v>1053291.8699999999</v>
      </c>
      <c r="G487" s="22">
        <v>3.09</v>
      </c>
      <c r="H487" s="22"/>
      <c r="I487" s="5">
        <v>3.91</v>
      </c>
    </row>
    <row r="488" spans="1:11">
      <c r="B488" s="20" t="s">
        <v>264</v>
      </c>
      <c r="C488" s="19" t="s">
        <v>104</v>
      </c>
      <c r="D488" s="19"/>
      <c r="E488" s="42">
        <f>5453138.16+6769227.2</f>
        <v>12222365.359999999</v>
      </c>
      <c r="F488" s="42">
        <f>1093378.42+1546478.49</f>
        <v>2639856.91</v>
      </c>
      <c r="G488" s="22">
        <v>19.149999999999999</v>
      </c>
      <c r="H488" s="22"/>
      <c r="I488" s="2">
        <v>21.77</v>
      </c>
      <c r="K488" s="43"/>
    </row>
    <row r="489" spans="1:11">
      <c r="B489" s="20" t="s">
        <v>265</v>
      </c>
      <c r="C489" s="19" t="s">
        <v>105</v>
      </c>
      <c r="D489" s="19"/>
      <c r="E489" s="42">
        <f>6184102.64+15102737.65</f>
        <v>21286840.289999999</v>
      </c>
      <c r="F489" s="42">
        <f>1360790.27+2782576.36</f>
        <v>4143366.63</v>
      </c>
      <c r="G489" s="22">
        <v>19.47</v>
      </c>
      <c r="H489" s="22"/>
      <c r="I489" s="2">
        <v>19.309999999999999</v>
      </c>
    </row>
    <row r="490" spans="1:11">
      <c r="B490" s="20" t="s">
        <v>266</v>
      </c>
      <c r="C490" s="19" t="s">
        <v>106</v>
      </c>
      <c r="D490" s="19"/>
      <c r="E490" s="42">
        <v>2386768.92</v>
      </c>
      <c r="F490" s="42">
        <v>682576.2</v>
      </c>
      <c r="G490" s="22">
        <v>20</v>
      </c>
      <c r="H490" s="22"/>
      <c r="I490" s="2">
        <v>14.51</v>
      </c>
    </row>
    <row r="491" spans="1:11">
      <c r="B491" s="20" t="s">
        <v>267</v>
      </c>
      <c r="C491" s="19" t="s">
        <v>107</v>
      </c>
      <c r="D491" s="19"/>
      <c r="E491" s="42">
        <v>252166.61</v>
      </c>
      <c r="F491" s="42">
        <v>98227.69</v>
      </c>
      <c r="G491" s="22">
        <v>39.01</v>
      </c>
      <c r="H491" s="22"/>
      <c r="I491" s="86">
        <v>23.33</v>
      </c>
    </row>
    <row r="492" spans="1:11">
      <c r="B492" s="20" t="s">
        <v>268</v>
      </c>
      <c r="C492" s="19" t="s">
        <v>79</v>
      </c>
      <c r="D492" s="19"/>
      <c r="E492" s="64">
        <v>4414836.3499999996</v>
      </c>
      <c r="F492" s="64">
        <f>138711.67+127012</f>
        <v>265723.67000000004</v>
      </c>
      <c r="G492" s="22">
        <v>3.68</v>
      </c>
      <c r="H492" s="22"/>
      <c r="I492" s="20">
        <v>0</v>
      </c>
    </row>
    <row r="493" spans="1:11">
      <c r="C493" s="19"/>
      <c r="D493" s="19"/>
      <c r="E493" s="42"/>
      <c r="F493" s="42"/>
      <c r="G493" s="22"/>
      <c r="H493" s="22"/>
      <c r="I493" s="19"/>
    </row>
    <row r="494" spans="1:11">
      <c r="B494" s="35" t="s">
        <v>74</v>
      </c>
      <c r="C494" s="14"/>
      <c r="D494" s="19"/>
      <c r="E494" s="42">
        <f>SUM(E474:E493)</f>
        <v>2048132584.0899997</v>
      </c>
      <c r="F494" s="42">
        <f>SUM(F474:F493)</f>
        <v>65109827.229999997</v>
      </c>
      <c r="G494" s="22"/>
      <c r="H494" s="22"/>
      <c r="I494" s="19"/>
    </row>
    <row r="495" spans="1:11">
      <c r="B495" s="20"/>
      <c r="C495" s="19"/>
      <c r="D495" s="19"/>
      <c r="E495" s="42"/>
      <c r="F495" s="42"/>
      <c r="G495" s="22"/>
      <c r="H495" s="22"/>
      <c r="I495" s="19"/>
    </row>
    <row r="496" spans="1:11">
      <c r="A496" s="14" t="s">
        <v>75</v>
      </c>
      <c r="B496" s="20"/>
      <c r="D496" s="19"/>
      <c r="E496" s="42"/>
      <c r="F496" s="42"/>
      <c r="G496" s="22"/>
      <c r="H496" s="22"/>
      <c r="I496" s="19"/>
    </row>
    <row r="497" spans="2:11">
      <c r="B497" s="20" t="s">
        <v>269</v>
      </c>
      <c r="C497" s="19" t="s">
        <v>25</v>
      </c>
      <c r="D497" s="19"/>
      <c r="E497" s="42">
        <v>231563.72</v>
      </c>
      <c r="F497" s="42">
        <v>6599.57</v>
      </c>
      <c r="G497" s="22">
        <v>2.85</v>
      </c>
      <c r="H497" s="22"/>
      <c r="I497" s="23">
        <v>89.59</v>
      </c>
    </row>
    <row r="498" spans="2:11">
      <c r="B498" s="20" t="s">
        <v>270</v>
      </c>
      <c r="C498" s="19" t="s">
        <v>108</v>
      </c>
      <c r="D498" s="19"/>
      <c r="E498" s="42">
        <v>8099978.5199999996</v>
      </c>
      <c r="F498" s="42">
        <v>299496.46000000002</v>
      </c>
      <c r="G498" s="23">
        <v>3.7</v>
      </c>
      <c r="H498" s="23"/>
      <c r="I498" s="23">
        <v>5</v>
      </c>
    </row>
    <row r="499" spans="2:11">
      <c r="B499" s="20" t="s">
        <v>270</v>
      </c>
      <c r="C499" s="19" t="s">
        <v>109</v>
      </c>
      <c r="D499" s="19"/>
      <c r="E499" s="42">
        <v>946702.11</v>
      </c>
      <c r="F499" s="42">
        <v>34459.96</v>
      </c>
      <c r="G499" s="23">
        <v>3.64</v>
      </c>
      <c r="H499" s="23"/>
      <c r="I499" s="23">
        <v>5</v>
      </c>
    </row>
    <row r="500" spans="2:11">
      <c r="B500" s="20" t="s">
        <v>271</v>
      </c>
      <c r="C500" s="19" t="s">
        <v>110</v>
      </c>
      <c r="D500" s="19"/>
      <c r="E500" s="42">
        <f>236888.7+5742637.1</f>
        <v>5979525.7999999998</v>
      </c>
      <c r="F500" s="42">
        <f>31364.06+760325.15</f>
        <v>791689.21000000008</v>
      </c>
      <c r="G500" s="22">
        <v>13.24</v>
      </c>
      <c r="H500" s="22"/>
      <c r="I500" s="23">
        <v>20</v>
      </c>
    </row>
    <row r="501" spans="2:11">
      <c r="B501" s="20" t="s">
        <v>271</v>
      </c>
      <c r="C501" s="19" t="s">
        <v>111</v>
      </c>
      <c r="D501" s="19"/>
      <c r="E501" s="42">
        <v>11905619.470000001</v>
      </c>
      <c r="F501" s="42">
        <v>440948.88</v>
      </c>
      <c r="G501" s="22">
        <v>3.7</v>
      </c>
      <c r="H501" s="22"/>
      <c r="I501" s="23">
        <v>20</v>
      </c>
    </row>
    <row r="502" spans="2:11">
      <c r="B502" s="20" t="s">
        <v>367</v>
      </c>
      <c r="C502" s="19" t="s">
        <v>94</v>
      </c>
      <c r="D502" s="19"/>
      <c r="E502" s="42">
        <v>11368.52</v>
      </c>
      <c r="F502" s="42">
        <v>0.03</v>
      </c>
      <c r="G502" s="22">
        <v>7.14</v>
      </c>
      <c r="H502" s="22"/>
      <c r="I502" s="23">
        <v>9</v>
      </c>
      <c r="J502" t="s">
        <v>366</v>
      </c>
      <c r="K502" s="43"/>
    </row>
    <row r="503" spans="2:11">
      <c r="B503" s="20" t="s">
        <v>272</v>
      </c>
      <c r="C503" s="19" t="s">
        <v>112</v>
      </c>
      <c r="D503" s="19"/>
      <c r="E503" s="42">
        <v>245735.5</v>
      </c>
      <c r="F503" s="42">
        <v>9116.7900000000009</v>
      </c>
      <c r="G503" s="22">
        <v>3.71</v>
      </c>
      <c r="H503" s="22"/>
      <c r="I503" s="23">
        <v>5</v>
      </c>
    </row>
    <row r="504" spans="2:11">
      <c r="B504" s="20" t="s">
        <v>273</v>
      </c>
      <c r="C504" s="19" t="s">
        <v>113</v>
      </c>
      <c r="D504" s="19"/>
      <c r="E504" s="42">
        <v>990692.35</v>
      </c>
      <c r="F504" s="42">
        <v>36641.93</v>
      </c>
      <c r="G504" s="22">
        <v>3.98</v>
      </c>
      <c r="H504" s="22"/>
      <c r="I504" s="23">
        <v>5</v>
      </c>
    </row>
    <row r="505" spans="2:11">
      <c r="B505" s="20" t="s">
        <v>273</v>
      </c>
      <c r="C505" s="19" t="s">
        <v>114</v>
      </c>
      <c r="D505" s="19"/>
      <c r="E505" s="42">
        <v>4847067.3499999996</v>
      </c>
      <c r="F505" s="42">
        <v>149444.10999999999</v>
      </c>
      <c r="G505" s="22">
        <v>3.16</v>
      </c>
      <c r="H505" s="22"/>
      <c r="I505" s="23">
        <v>5</v>
      </c>
    </row>
    <row r="506" spans="2:11">
      <c r="B506" s="20" t="s">
        <v>273</v>
      </c>
      <c r="C506" s="19" t="s">
        <v>115</v>
      </c>
      <c r="D506" s="19"/>
      <c r="E506" s="42">
        <v>4833333.26</v>
      </c>
      <c r="F506" s="42">
        <v>70048.34</v>
      </c>
      <c r="G506" s="22">
        <v>4.3499999999999996</v>
      </c>
      <c r="H506" s="22"/>
      <c r="I506" s="23">
        <v>5</v>
      </c>
    </row>
    <row r="507" spans="2:11">
      <c r="B507" s="20" t="s">
        <v>273</v>
      </c>
      <c r="C507" s="19" t="s">
        <v>116</v>
      </c>
      <c r="D507" s="19"/>
      <c r="E507" s="42">
        <v>219873.03</v>
      </c>
      <c r="F507" s="42">
        <v>33613.89</v>
      </c>
      <c r="G507" s="22">
        <v>20</v>
      </c>
      <c r="H507" s="22"/>
      <c r="I507" s="23">
        <v>5</v>
      </c>
      <c r="K507" s="43"/>
    </row>
    <row r="508" spans="2:11">
      <c r="B508" s="20" t="s">
        <v>274</v>
      </c>
      <c r="C508" s="19" t="s">
        <v>117</v>
      </c>
      <c r="D508" s="19"/>
      <c r="E508" s="42">
        <v>1558079.73</v>
      </c>
      <c r="F508" s="42">
        <v>40423.839999999997</v>
      </c>
      <c r="G508" s="22">
        <v>2.71</v>
      </c>
      <c r="H508" s="22"/>
      <c r="I508" s="23">
        <v>5</v>
      </c>
    </row>
    <row r="509" spans="2:11">
      <c r="B509" s="20" t="s">
        <v>275</v>
      </c>
      <c r="C509" s="19" t="s">
        <v>118</v>
      </c>
      <c r="D509" s="19"/>
      <c r="E509" s="42">
        <v>586312.37</v>
      </c>
      <c r="F509" s="42">
        <v>72256.679999999993</v>
      </c>
      <c r="G509" s="22">
        <v>14.29</v>
      </c>
      <c r="H509" s="22"/>
      <c r="I509" s="23">
        <v>6</v>
      </c>
      <c r="J509" t="s">
        <v>366</v>
      </c>
    </row>
    <row r="510" spans="2:11">
      <c r="B510" s="20" t="s">
        <v>276</v>
      </c>
      <c r="C510" s="19" t="s">
        <v>119</v>
      </c>
      <c r="D510" s="19"/>
      <c r="E510" s="42">
        <f>6671654.96+65114.16+7341.36+98734.9</f>
        <v>6842845.3800000008</v>
      </c>
      <c r="F510" s="42">
        <f>340769.63+3281.75+341.12+4959.29</f>
        <v>349351.79</v>
      </c>
      <c r="G510" s="22">
        <v>5.04</v>
      </c>
      <c r="H510" s="22"/>
      <c r="I510" s="23">
        <v>6.67</v>
      </c>
    </row>
    <row r="511" spans="2:11">
      <c r="B511" s="20" t="s">
        <v>276</v>
      </c>
      <c r="C511" s="19" t="s">
        <v>120</v>
      </c>
      <c r="D511" s="19"/>
      <c r="E511" s="42">
        <v>346938.97</v>
      </c>
      <c r="F511" s="42">
        <v>14363.26</v>
      </c>
      <c r="G511" s="22">
        <v>4.1399999999999997</v>
      </c>
      <c r="H511" s="22"/>
      <c r="I511" s="23">
        <v>6.67</v>
      </c>
      <c r="K511" s="43"/>
    </row>
    <row r="512" spans="2:11">
      <c r="B512" s="20" t="s">
        <v>277</v>
      </c>
      <c r="C512" s="19" t="s">
        <v>121</v>
      </c>
      <c r="D512" s="19"/>
      <c r="E512" s="64">
        <v>294451.63</v>
      </c>
      <c r="F512" s="64">
        <f>3751.41+8643.93</f>
        <v>12395.34</v>
      </c>
      <c r="G512" s="22">
        <v>3.85</v>
      </c>
      <c r="H512" s="22"/>
      <c r="I512" s="23">
        <v>6.67</v>
      </c>
    </row>
    <row r="513" spans="1:9">
      <c r="B513" s="20"/>
      <c r="C513" s="19"/>
      <c r="D513" s="19"/>
      <c r="E513" s="42"/>
      <c r="F513" s="42"/>
      <c r="G513" s="21"/>
      <c r="H513" s="24"/>
      <c r="I513" s="38"/>
    </row>
    <row r="514" spans="1:9">
      <c r="B514" s="35" t="s">
        <v>76</v>
      </c>
      <c r="C514" s="14"/>
      <c r="D514" s="19"/>
      <c r="E514" s="64">
        <f>SUM(E497:E513)</f>
        <v>47940087.709999993</v>
      </c>
      <c r="F514" s="64">
        <f>SUM(F497:F513)</f>
        <v>2360850.0799999996</v>
      </c>
      <c r="G514" s="25"/>
      <c r="H514" s="24"/>
      <c r="I514" s="38"/>
    </row>
    <row r="515" spans="1:9">
      <c r="B515" s="20"/>
      <c r="C515" s="19"/>
      <c r="D515" s="19"/>
      <c r="E515" s="42"/>
      <c r="F515" s="42"/>
      <c r="G515" s="21"/>
      <c r="H515" s="24"/>
      <c r="I515" s="38"/>
    </row>
    <row r="516" spans="1:9">
      <c r="B516" s="20"/>
      <c r="C516" s="31" t="s">
        <v>360</v>
      </c>
      <c r="D516" s="19"/>
      <c r="E516" s="62">
        <f>SUM(E514,E494,E468,E460,E444)</f>
        <v>2139255317.3499997</v>
      </c>
      <c r="F516" s="62">
        <f>SUM(F514,F494,F468,F460,F444)</f>
        <v>69017372.470000014</v>
      </c>
      <c r="G516" s="25"/>
      <c r="H516" s="24"/>
      <c r="I516" s="38"/>
    </row>
    <row r="517" spans="1:9">
      <c r="B517" s="20"/>
      <c r="C517" s="31"/>
      <c r="D517" s="19"/>
      <c r="E517" s="54"/>
      <c r="F517" s="54"/>
      <c r="G517" s="25"/>
      <c r="H517" s="24"/>
      <c r="I517" s="38"/>
    </row>
    <row r="518" spans="1:9">
      <c r="A518" s="35" t="s">
        <v>402</v>
      </c>
      <c r="C518" s="31"/>
      <c r="D518" s="19"/>
      <c r="E518" s="54"/>
      <c r="F518" s="54"/>
      <c r="G518" s="25"/>
      <c r="H518" s="24"/>
      <c r="I518" s="38"/>
    </row>
    <row r="519" spans="1:9">
      <c r="B519" s="94" t="s">
        <v>333</v>
      </c>
      <c r="C519" s="75" t="s">
        <v>409</v>
      </c>
      <c r="D519" s="19"/>
      <c r="E519" s="54"/>
      <c r="F519" s="73">
        <v>-918141.63</v>
      </c>
      <c r="G519" s="25"/>
      <c r="H519" s="24"/>
      <c r="I519" s="38"/>
    </row>
    <row r="520" spans="1:9">
      <c r="B520" s="35" t="s">
        <v>403</v>
      </c>
      <c r="D520" s="19"/>
      <c r="E520" s="54"/>
      <c r="F520" s="97">
        <f>SUM(F516:F519)</f>
        <v>68099230.840000018</v>
      </c>
      <c r="G520" s="25"/>
      <c r="H520" s="24"/>
      <c r="I520" s="38"/>
    </row>
    <row r="521" spans="1:9">
      <c r="B521" s="94"/>
      <c r="C521" s="75"/>
      <c r="D521" s="19"/>
      <c r="E521" s="54"/>
      <c r="F521" s="95"/>
      <c r="G521" s="25"/>
      <c r="H521" s="24"/>
      <c r="I521" s="38"/>
    </row>
    <row r="522" spans="1:9">
      <c r="B522" s="94"/>
      <c r="C522" s="75"/>
      <c r="D522" s="19"/>
      <c r="E522" s="54"/>
      <c r="F522" s="95"/>
      <c r="G522" s="25"/>
      <c r="H522" s="24"/>
      <c r="I522" s="38"/>
    </row>
    <row r="523" spans="1:9">
      <c r="B523" s="20"/>
      <c r="C523" s="17"/>
      <c r="D523" s="19"/>
      <c r="E523" s="54"/>
      <c r="F523" s="54"/>
      <c r="G523" s="25"/>
      <c r="H523" s="24"/>
      <c r="I523" s="38"/>
    </row>
    <row r="524" spans="1:9" ht="13.5" thickBot="1">
      <c r="B524" s="184" t="s">
        <v>361</v>
      </c>
      <c r="C524" s="184"/>
      <c r="D524" s="19"/>
      <c r="E524" s="67">
        <f>SUM(E516,E423,E24)</f>
        <v>7685691275.7199993</v>
      </c>
      <c r="F524" s="67">
        <f>SUM(F520,F431,F24)</f>
        <v>225416612.11000001</v>
      </c>
      <c r="G524" s="25" t="s">
        <v>410</v>
      </c>
      <c r="H524" s="24"/>
      <c r="I524" s="38"/>
    </row>
    <row r="525" spans="1:9" ht="13.5" thickTop="1">
      <c r="B525" s="31"/>
      <c r="C525" s="31"/>
      <c r="D525" s="19"/>
      <c r="E525" s="63"/>
      <c r="F525" s="63"/>
      <c r="G525" s="25"/>
      <c r="H525" s="24"/>
      <c r="I525" s="38"/>
    </row>
    <row r="526" spans="1:9">
      <c r="C526" s="31"/>
      <c r="D526" s="19"/>
      <c r="E526" s="63"/>
      <c r="F526" s="63"/>
      <c r="G526" s="25"/>
      <c r="H526" s="24"/>
      <c r="I526" s="38"/>
    </row>
    <row r="527" spans="1:9">
      <c r="G527" s="25"/>
      <c r="H527" s="24"/>
      <c r="I527" s="38"/>
    </row>
    <row r="528" spans="1:9">
      <c r="G528" s="25"/>
      <c r="H528" s="24"/>
      <c r="I528" s="38"/>
    </row>
    <row r="529" spans="2:9">
      <c r="G529" s="25"/>
      <c r="H529" s="24"/>
      <c r="I529" s="38"/>
    </row>
    <row r="530" spans="2:9">
      <c r="G530" s="25"/>
      <c r="H530" s="24"/>
      <c r="I530" s="38"/>
    </row>
    <row r="531" spans="2:9">
      <c r="B531" s="20"/>
      <c r="C531" s="19"/>
      <c r="D531" s="19"/>
      <c r="E531" s="42"/>
      <c r="F531" s="42"/>
      <c r="G531" s="19"/>
      <c r="H531" s="19"/>
      <c r="I531" s="20"/>
    </row>
    <row r="532" spans="2:9">
      <c r="B532" s="35" t="s">
        <v>339</v>
      </c>
      <c r="C532" s="19"/>
      <c r="D532" s="19"/>
      <c r="E532" s="42"/>
      <c r="F532" s="42"/>
      <c r="G532" s="19"/>
      <c r="H532" s="19"/>
      <c r="I532" s="20"/>
    </row>
    <row r="533" spans="2:9">
      <c r="B533" s="20" t="s">
        <v>145</v>
      </c>
      <c r="C533" s="19" t="s">
        <v>146</v>
      </c>
      <c r="D533" s="19"/>
      <c r="E533" s="42">
        <v>128165.89</v>
      </c>
      <c r="F533" s="42"/>
      <c r="G533" s="19"/>
      <c r="H533" s="19"/>
      <c r="I533" s="20"/>
    </row>
    <row r="534" spans="2:9">
      <c r="B534" s="20" t="s">
        <v>147</v>
      </c>
      <c r="C534" s="19" t="s">
        <v>144</v>
      </c>
      <c r="D534" s="19"/>
      <c r="E534" s="42">
        <v>274768234.76999998</v>
      </c>
      <c r="F534" s="42"/>
      <c r="G534" s="19"/>
      <c r="H534" s="19"/>
      <c r="I534" s="20"/>
    </row>
    <row r="535" spans="2:9">
      <c r="B535" s="26" t="s">
        <v>148</v>
      </c>
      <c r="C535" t="s">
        <v>149</v>
      </c>
      <c r="E535" s="41">
        <v>1869964.73</v>
      </c>
    </row>
    <row r="536" spans="2:9">
      <c r="B536" s="26" t="s">
        <v>137</v>
      </c>
      <c r="C536" t="s">
        <v>143</v>
      </c>
      <c r="E536" s="41">
        <v>58224914.079999998</v>
      </c>
    </row>
    <row r="537" spans="2:9">
      <c r="B537" s="26" t="s">
        <v>150</v>
      </c>
      <c r="C537" t="s">
        <v>151</v>
      </c>
      <c r="E537" s="41">
        <v>2290120.5</v>
      </c>
    </row>
    <row r="538" spans="2:9">
      <c r="B538" s="26" t="s">
        <v>152</v>
      </c>
      <c r="C538" t="s">
        <v>153</v>
      </c>
      <c r="E538" s="41">
        <v>12097</v>
      </c>
      <c r="G538" s="43"/>
    </row>
    <row r="539" spans="2:9">
      <c r="C539" s="26" t="s">
        <v>368</v>
      </c>
      <c r="E539" s="44">
        <f>SUM(E533:E538)</f>
        <v>337293496.96999997</v>
      </c>
      <c r="F539" s="47"/>
      <c r="G539" s="43"/>
    </row>
    <row r="540" spans="2:9">
      <c r="G540" s="43"/>
    </row>
    <row r="541" spans="2:9">
      <c r="B541" s="26" t="s">
        <v>166</v>
      </c>
      <c r="C541" t="s">
        <v>168</v>
      </c>
      <c r="E541" s="41">
        <v>114201.76</v>
      </c>
      <c r="G541" s="43"/>
    </row>
    <row r="542" spans="2:9">
      <c r="B542" s="26" t="s">
        <v>167</v>
      </c>
      <c r="C542" t="s">
        <v>169</v>
      </c>
      <c r="E542" s="41">
        <v>14317517.109999999</v>
      </c>
      <c r="G542" s="43"/>
    </row>
    <row r="543" spans="2:9">
      <c r="B543" s="26" t="s">
        <v>138</v>
      </c>
      <c r="C543" t="s">
        <v>144</v>
      </c>
      <c r="E543" s="41">
        <v>14833195.98</v>
      </c>
    </row>
    <row r="544" spans="2:9">
      <c r="B544" s="26" t="s">
        <v>170</v>
      </c>
      <c r="C544" t="s">
        <v>171</v>
      </c>
      <c r="E544" s="41">
        <v>4441484.08</v>
      </c>
    </row>
    <row r="545" spans="2:7">
      <c r="B545" s="26" t="s">
        <v>174</v>
      </c>
      <c r="C545" t="s">
        <v>175</v>
      </c>
      <c r="E545" s="41">
        <v>1358627</v>
      </c>
    </row>
    <row r="546" spans="2:7">
      <c r="B546" s="26" t="s">
        <v>176</v>
      </c>
      <c r="C546" t="s">
        <v>177</v>
      </c>
      <c r="E546" s="41">
        <v>5008136.59</v>
      </c>
    </row>
    <row r="547" spans="2:7">
      <c r="B547" s="26" t="s">
        <v>278</v>
      </c>
      <c r="C547" t="s">
        <v>279</v>
      </c>
      <c r="E547" s="41">
        <v>11462977.630000001</v>
      </c>
      <c r="G547" s="43"/>
    </row>
    <row r="548" spans="2:7">
      <c r="B548" s="26" t="s">
        <v>139</v>
      </c>
      <c r="C548" t="s">
        <v>282</v>
      </c>
      <c r="E548" s="41">
        <v>8693.85</v>
      </c>
      <c r="G548" s="43"/>
    </row>
    <row r="549" spans="2:7">
      <c r="B549" s="26" t="s">
        <v>140</v>
      </c>
      <c r="C549" t="s">
        <v>141</v>
      </c>
      <c r="E549" s="41">
        <v>358838.65</v>
      </c>
    </row>
    <row r="550" spans="2:7">
      <c r="B550" s="26" t="s">
        <v>280</v>
      </c>
      <c r="C550" t="s">
        <v>281</v>
      </c>
      <c r="E550" s="41">
        <v>830680</v>
      </c>
    </row>
    <row r="551" spans="2:7">
      <c r="B551" s="26" t="s">
        <v>283</v>
      </c>
      <c r="C551" t="s">
        <v>284</v>
      </c>
      <c r="E551" s="41">
        <v>2762880.23</v>
      </c>
    </row>
    <row r="552" spans="2:7">
      <c r="B552" s="26" t="s">
        <v>210</v>
      </c>
      <c r="C552" t="s">
        <v>342</v>
      </c>
      <c r="E552" s="41">
        <v>1813195</v>
      </c>
    </row>
    <row r="553" spans="2:7">
      <c r="B553" s="26" t="s">
        <v>285</v>
      </c>
      <c r="C553" t="s">
        <v>286</v>
      </c>
      <c r="E553" s="41">
        <v>22831409.629999999</v>
      </c>
    </row>
    <row r="554" spans="2:7">
      <c r="B554" s="26" t="s">
        <v>287</v>
      </c>
      <c r="C554" t="s">
        <v>289</v>
      </c>
      <c r="E554" s="41">
        <v>732313.83</v>
      </c>
    </row>
    <row r="555" spans="2:7">
      <c r="B555" s="26" t="s">
        <v>288</v>
      </c>
      <c r="C555" t="s">
        <v>290</v>
      </c>
      <c r="E555" s="41">
        <v>6561754</v>
      </c>
    </row>
    <row r="556" spans="2:7">
      <c r="B556" s="26" t="s">
        <v>291</v>
      </c>
      <c r="C556" t="s">
        <v>292</v>
      </c>
      <c r="E556" s="41">
        <v>6503791.6900000004</v>
      </c>
    </row>
    <row r="557" spans="2:7">
      <c r="B557" s="26" t="s">
        <v>142</v>
      </c>
      <c r="C557" t="s">
        <v>143</v>
      </c>
      <c r="E557" s="41">
        <v>59052.57</v>
      </c>
    </row>
    <row r="558" spans="2:7">
      <c r="B558" s="26" t="s">
        <v>319</v>
      </c>
      <c r="C558" t="s">
        <v>320</v>
      </c>
      <c r="E558" s="41">
        <v>16026</v>
      </c>
    </row>
    <row r="559" spans="2:7">
      <c r="C559" s="26" t="s">
        <v>369</v>
      </c>
      <c r="E559" s="44">
        <f>SUM(E541:E558)</f>
        <v>94014775.599999979</v>
      </c>
      <c r="G559" s="43"/>
    </row>
    <row r="561" spans="2:6">
      <c r="B561" s="26" t="s">
        <v>321</v>
      </c>
      <c r="C561" t="s">
        <v>168</v>
      </c>
      <c r="E561" s="41">
        <v>158691.96</v>
      </c>
    </row>
    <row r="562" spans="2:6">
      <c r="B562" s="26" t="s">
        <v>322</v>
      </c>
      <c r="C562" t="s">
        <v>325</v>
      </c>
      <c r="E562" s="41">
        <v>58000.19</v>
      </c>
    </row>
    <row r="563" spans="2:6">
      <c r="B563" s="26" t="s">
        <v>323</v>
      </c>
      <c r="C563" t="s">
        <v>326</v>
      </c>
      <c r="E563" s="41">
        <v>13979096.119999999</v>
      </c>
    </row>
    <row r="564" spans="2:6">
      <c r="B564" s="26" t="s">
        <v>324</v>
      </c>
      <c r="C564" t="s">
        <v>327</v>
      </c>
      <c r="E564" s="41">
        <v>153210.76999999999</v>
      </c>
    </row>
    <row r="565" spans="2:6">
      <c r="B565" s="26" t="s">
        <v>328</v>
      </c>
      <c r="C565" t="s">
        <v>329</v>
      </c>
      <c r="E565" s="41">
        <v>470432.41</v>
      </c>
    </row>
    <row r="566" spans="2:6">
      <c r="B566" s="26" t="s">
        <v>330</v>
      </c>
      <c r="C566" t="s">
        <v>332</v>
      </c>
      <c r="E566" s="41">
        <v>1704569.38</v>
      </c>
    </row>
    <row r="567" spans="2:6">
      <c r="B567" s="26" t="s">
        <v>331</v>
      </c>
      <c r="C567" t="s">
        <v>286</v>
      </c>
      <c r="E567" s="41">
        <v>3388263.7</v>
      </c>
    </row>
    <row r="568" spans="2:6">
      <c r="B568" s="26" t="s">
        <v>333</v>
      </c>
      <c r="C568" t="s">
        <v>334</v>
      </c>
      <c r="E568" s="41">
        <v>18312374.109999999</v>
      </c>
      <c r="F568" s="96" t="s">
        <v>399</v>
      </c>
    </row>
    <row r="569" spans="2:6">
      <c r="B569" s="26" t="s">
        <v>257</v>
      </c>
      <c r="C569" t="s">
        <v>335</v>
      </c>
      <c r="E569" s="41">
        <v>13240146.789999999</v>
      </c>
      <c r="F569" s="96" t="s">
        <v>400</v>
      </c>
    </row>
    <row r="570" spans="2:6">
      <c r="B570" s="26" t="s">
        <v>336</v>
      </c>
      <c r="C570" t="s">
        <v>290</v>
      </c>
      <c r="E570" s="41">
        <v>6719856</v>
      </c>
    </row>
    <row r="571" spans="2:6">
      <c r="B571" s="26" t="s">
        <v>337</v>
      </c>
      <c r="C571" t="s">
        <v>338</v>
      </c>
      <c r="E571" s="41">
        <v>22728.67</v>
      </c>
    </row>
    <row r="572" spans="2:6">
      <c r="C572" s="26" t="s">
        <v>370</v>
      </c>
      <c r="E572" s="44">
        <f>SUM(E561:E571)</f>
        <v>58207370.100000001</v>
      </c>
    </row>
    <row r="573" spans="2:6">
      <c r="C573" s="26"/>
      <c r="E573" s="47"/>
    </row>
    <row r="574" spans="2:6" ht="13.5" thickBot="1">
      <c r="B574" s="181" t="s">
        <v>362</v>
      </c>
      <c r="C574" s="181"/>
      <c r="E574" s="68">
        <f>SUM(E572,E559,E539)</f>
        <v>489515642.66999996</v>
      </c>
    </row>
    <row r="575" spans="2:6" ht="13.5" thickTop="1">
      <c r="C575" s="26"/>
      <c r="E575" s="47"/>
    </row>
    <row r="576" spans="2:6">
      <c r="C576" s="26"/>
      <c r="E576" s="47"/>
    </row>
    <row r="577" spans="3:5" ht="13.5" thickBot="1">
      <c r="C577" s="65" t="s">
        <v>357</v>
      </c>
      <c r="D577" s="32"/>
      <c r="E577" s="66">
        <f>SUM(E574,E524)</f>
        <v>8175206918.3899994</v>
      </c>
    </row>
    <row r="578" spans="3:5" ht="13.5" thickTop="1"/>
  </sheetData>
  <mergeCells count="5">
    <mergeCell ref="B574:C574"/>
    <mergeCell ref="A6:I6"/>
    <mergeCell ref="A27:I27"/>
    <mergeCell ref="A437:I437"/>
    <mergeCell ref="B524:C524"/>
  </mergeCells>
  <phoneticPr fontId="11" type="noConversion"/>
  <pageMargins left="0.25" right="0.25" top="1" bottom="0.75" header="0.25" footer="0.25"/>
  <pageSetup orientation="landscape" verticalDpi="0" r:id="rId1"/>
  <headerFooter alignWithMargins="0">
    <oddHeader>&amp;CPUGET SOUND ENERGY
COMPARISON OF CURRENT DEPRECIATION RATES AND PROPOSED DEPRECIATION RATES
AS OF SEPTEMBER 30, 2007</oddHeader>
    <oddFooter>&amp;L&amp;8Prepared by: Laura Schumacher
Date prepared: 10/17/07
&amp;R&amp;8&amp;Z&amp;F</oddFooter>
  </headerFooter>
  <rowBreaks count="1" manualBreakCount="1">
    <brk id="4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workbookViewId="0">
      <selection activeCell="A42" sqref="A42"/>
    </sheetView>
  </sheetViews>
  <sheetFormatPr defaultRowHeight="12.75"/>
  <cols>
    <col min="1" max="1" width="60.28515625" customWidth="1"/>
    <col min="2" max="2" width="17.7109375" style="41" customWidth="1"/>
    <col min="3" max="3" width="1.85546875" customWidth="1"/>
    <col min="4" max="4" width="17.7109375" style="41" customWidth="1"/>
    <col min="5" max="5" width="18.140625" customWidth="1"/>
  </cols>
  <sheetData>
    <row r="2" spans="1:5" ht="30" customHeight="1" thickBot="1">
      <c r="B2" s="89" t="s">
        <v>372</v>
      </c>
      <c r="C2" s="90"/>
      <c r="D2" s="89" t="s">
        <v>371</v>
      </c>
    </row>
    <row r="4" spans="1:5">
      <c r="A4" s="65" t="s">
        <v>374</v>
      </c>
      <c r="E4" s="43"/>
    </row>
    <row r="5" spans="1:5">
      <c r="A5" s="79" t="s">
        <v>375</v>
      </c>
      <c r="B5" s="47">
        <v>6849066.0999999996</v>
      </c>
      <c r="D5" s="47">
        <v>6800126.1399999997</v>
      </c>
      <c r="E5" s="43"/>
    </row>
    <row r="6" spans="1:5">
      <c r="A6" t="s">
        <v>363</v>
      </c>
    </row>
    <row r="7" spans="1:5">
      <c r="A7" t="s">
        <v>373</v>
      </c>
      <c r="D7" s="47">
        <v>50982.25</v>
      </c>
    </row>
    <row r="8" spans="1:5">
      <c r="A8" t="s">
        <v>390</v>
      </c>
      <c r="D8" s="47">
        <v>-3123.1</v>
      </c>
    </row>
    <row r="9" spans="1:5">
      <c r="A9" t="s">
        <v>391</v>
      </c>
      <c r="D9" s="47">
        <v>811.56</v>
      </c>
    </row>
    <row r="10" spans="1:5">
      <c r="A10" s="19" t="s">
        <v>395</v>
      </c>
      <c r="D10" s="47">
        <v>269.25</v>
      </c>
    </row>
    <row r="11" spans="1:5" ht="13.5" thickBot="1">
      <c r="A11" s="92"/>
      <c r="B11" s="68">
        <f>SUM(B5:B10)</f>
        <v>6849066.0999999996</v>
      </c>
      <c r="C11" s="91"/>
      <c r="D11" s="68">
        <f>SUM(D5:D10)</f>
        <v>6849066.0999999996</v>
      </c>
    </row>
    <row r="12" spans="1:5" ht="13.5" thickTop="1">
      <c r="D12" s="47"/>
    </row>
    <row r="13" spans="1:5">
      <c r="A13" s="65" t="s">
        <v>364</v>
      </c>
      <c r="B13" s="47"/>
      <c r="E13" s="43"/>
    </row>
    <row r="14" spans="1:5">
      <c r="A14" s="79" t="s">
        <v>375</v>
      </c>
      <c r="B14" s="47">
        <v>151384996.91</v>
      </c>
      <c r="D14" s="41">
        <v>150517255.13</v>
      </c>
      <c r="E14" s="43"/>
    </row>
    <row r="15" spans="1:5">
      <c r="A15" t="s">
        <v>363</v>
      </c>
      <c r="B15" s="47"/>
    </row>
    <row r="16" spans="1:5">
      <c r="A16" t="s">
        <v>378</v>
      </c>
      <c r="D16" s="47">
        <v>23.88</v>
      </c>
    </row>
    <row r="17" spans="1:5">
      <c r="A17" t="s">
        <v>413</v>
      </c>
      <c r="D17" s="47">
        <v>-145.99</v>
      </c>
    </row>
    <row r="18" spans="1:5">
      <c r="A18" t="s">
        <v>380</v>
      </c>
      <c r="D18" s="47">
        <v>-114.29</v>
      </c>
    </row>
    <row r="19" spans="1:5" ht="25.5">
      <c r="A19" s="98" t="s">
        <v>421</v>
      </c>
      <c r="D19" s="47">
        <v>12628.97</v>
      </c>
    </row>
    <row r="20" spans="1:5">
      <c r="A20" t="s">
        <v>379</v>
      </c>
      <c r="D20" s="47">
        <v>2.4700000000000002</v>
      </c>
    </row>
    <row r="21" spans="1:5">
      <c r="A21" t="s">
        <v>376</v>
      </c>
      <c r="D21" s="47">
        <v>-44880.44</v>
      </c>
    </row>
    <row r="22" spans="1:5">
      <c r="A22" s="19" t="s">
        <v>414</v>
      </c>
      <c r="D22" s="47">
        <v>44939</v>
      </c>
    </row>
    <row r="23" spans="1:5">
      <c r="A23" s="19" t="s">
        <v>415</v>
      </c>
      <c r="D23" s="47">
        <v>18953.27</v>
      </c>
    </row>
    <row r="24" spans="1:5">
      <c r="A24" s="19" t="s">
        <v>404</v>
      </c>
      <c r="D24" s="47">
        <v>23021</v>
      </c>
      <c r="E24" s="43"/>
    </row>
    <row r="25" spans="1:5">
      <c r="A25" s="19" t="s">
        <v>405</v>
      </c>
      <c r="D25" s="47">
        <v>35354.75</v>
      </c>
      <c r="E25" s="43"/>
    </row>
    <row r="26" spans="1:5">
      <c r="A26" s="19" t="s">
        <v>406</v>
      </c>
      <c r="D26" s="47">
        <v>57060.5</v>
      </c>
      <c r="E26" s="43"/>
    </row>
    <row r="27" spans="1:5">
      <c r="A27" s="19" t="s">
        <v>407</v>
      </c>
      <c r="D27" s="47">
        <v>311164.5</v>
      </c>
      <c r="E27" s="43"/>
    </row>
    <row r="28" spans="1:5">
      <c r="A28" s="19" t="s">
        <v>416</v>
      </c>
      <c r="D28" s="47">
        <v>409734.16</v>
      </c>
      <c r="E28" s="43"/>
    </row>
    <row r="29" spans="1:5" ht="13.5" thickBot="1">
      <c r="B29" s="93">
        <f>SUM(B14:B28)</f>
        <v>151384996.91</v>
      </c>
      <c r="C29" s="93">
        <f>SUM(C14:C28)</f>
        <v>0</v>
      </c>
      <c r="D29" s="93">
        <f>SUM(D14:D28)</f>
        <v>151384996.91</v>
      </c>
    </row>
    <row r="30" spans="1:5" ht="13.5" thickTop="1">
      <c r="B30" s="87"/>
      <c r="D30" s="47"/>
    </row>
    <row r="31" spans="1:5">
      <c r="A31" s="65" t="s">
        <v>365</v>
      </c>
      <c r="B31" s="47"/>
      <c r="D31" s="47"/>
    </row>
    <row r="32" spans="1:5">
      <c r="A32" s="79" t="s">
        <v>375</v>
      </c>
      <c r="B32" s="47">
        <v>70510110.219999999</v>
      </c>
      <c r="D32" s="47">
        <v>68099230.840000004</v>
      </c>
    </row>
    <row r="33" spans="1:4">
      <c r="A33" t="s">
        <v>363</v>
      </c>
      <c r="D33" s="47"/>
    </row>
    <row r="34" spans="1:4">
      <c r="A34" t="s">
        <v>384</v>
      </c>
      <c r="D34" s="47">
        <v>-270.74</v>
      </c>
    </row>
    <row r="35" spans="1:4">
      <c r="A35" t="s">
        <v>385</v>
      </c>
      <c r="D35" s="47">
        <v>-29723.06</v>
      </c>
    </row>
    <row r="36" spans="1:4">
      <c r="A36" t="s">
        <v>386</v>
      </c>
      <c r="D36" s="47">
        <v>-132403.49</v>
      </c>
    </row>
    <row r="37" spans="1:4">
      <c r="A37" t="s">
        <v>387</v>
      </c>
      <c r="D37" s="47">
        <v>-7908.53</v>
      </c>
    </row>
    <row r="38" spans="1:4">
      <c r="A38" t="s">
        <v>388</v>
      </c>
      <c r="D38" s="47">
        <v>503793.61</v>
      </c>
    </row>
    <row r="39" spans="1:4">
      <c r="A39" t="s">
        <v>389</v>
      </c>
      <c r="D39" s="47">
        <v>380453.45</v>
      </c>
    </row>
    <row r="40" spans="1:4">
      <c r="A40" t="s">
        <v>377</v>
      </c>
      <c r="D40" s="47">
        <v>397.45</v>
      </c>
    </row>
    <row r="41" spans="1:4">
      <c r="A41" t="s">
        <v>381</v>
      </c>
      <c r="D41" s="47">
        <v>855661.81</v>
      </c>
    </row>
    <row r="42" spans="1:4">
      <c r="A42" t="s">
        <v>382</v>
      </c>
      <c r="D42" s="47">
        <v>186708.08</v>
      </c>
    </row>
    <row r="43" spans="1:4">
      <c r="A43" t="s">
        <v>383</v>
      </c>
      <c r="D43" s="47">
        <v>-12547.93</v>
      </c>
    </row>
    <row r="44" spans="1:4">
      <c r="A44" t="s">
        <v>392</v>
      </c>
      <c r="D44" s="47">
        <v>-0.03</v>
      </c>
    </row>
    <row r="45" spans="1:4">
      <c r="A45" t="s">
        <v>393</v>
      </c>
      <c r="D45" s="47">
        <v>-72256.679999999993</v>
      </c>
    </row>
    <row r="46" spans="1:4">
      <c r="A46" s="19" t="s">
        <v>394</v>
      </c>
      <c r="D46" s="47">
        <v>131658.85</v>
      </c>
    </row>
    <row r="47" spans="1:4">
      <c r="A47" s="19" t="s">
        <v>408</v>
      </c>
      <c r="D47" s="47">
        <v>614403.38</v>
      </c>
    </row>
    <row r="48" spans="1:4">
      <c r="A48" s="19" t="s">
        <v>417</v>
      </c>
      <c r="D48" s="47">
        <v>-7086.79</v>
      </c>
    </row>
    <row r="49" spans="1:4" ht="13.5" thickBot="1">
      <c r="B49" s="68">
        <f>SUM(B32:B48)</f>
        <v>70510110.219999999</v>
      </c>
      <c r="C49" s="91"/>
      <c r="D49" s="68">
        <f>SUM(D32:D48)</f>
        <v>70510110.219999984</v>
      </c>
    </row>
    <row r="50" spans="1:4" ht="13.5" thickTop="1">
      <c r="D50" s="47"/>
    </row>
    <row r="51" spans="1:4">
      <c r="D51" s="47"/>
    </row>
    <row r="52" spans="1:4">
      <c r="A52" s="32" t="s">
        <v>411</v>
      </c>
    </row>
    <row r="53" spans="1:4">
      <c r="A53" t="s">
        <v>412</v>
      </c>
    </row>
    <row r="54" spans="1:4">
      <c r="A54" t="s">
        <v>423</v>
      </c>
    </row>
    <row r="56" spans="1:4">
      <c r="A56" t="s">
        <v>418</v>
      </c>
      <c r="B56" s="41">
        <v>932231</v>
      </c>
    </row>
    <row r="57" spans="1:4">
      <c r="A57" t="s">
        <v>418</v>
      </c>
      <c r="B57" s="41">
        <v>-726</v>
      </c>
    </row>
    <row r="58" spans="1:4">
      <c r="A58" t="s">
        <v>419</v>
      </c>
      <c r="B58" s="41">
        <v>-1842</v>
      </c>
    </row>
    <row r="59" spans="1:4">
      <c r="A59" t="s">
        <v>422</v>
      </c>
      <c r="B59" s="41">
        <v>-528028</v>
      </c>
    </row>
    <row r="60" spans="1:4">
      <c r="A60" t="s">
        <v>420</v>
      </c>
      <c r="B60" s="41">
        <v>-432</v>
      </c>
    </row>
  </sheetData>
  <phoneticPr fontId="11" type="noConversion"/>
  <pageMargins left="0.5" right="0.25" top="1" bottom="1" header="0.5" footer="0.5"/>
  <pageSetup orientation="portrait" verticalDpi="0" r:id="rId1"/>
  <headerFooter alignWithMargins="0">
    <oddHeader>&amp;CDepreciation Reconciliation
Financial Statements vs. Depreciation Rate Comparison Report
as of September 30, 2007</oddHeader>
    <oddFooter>&amp;L&amp;8Prepared by: Laura Schumacher
Date prepared: 10/17/07&amp;R&amp;8&amp;Z&amp;F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Normal="100" workbookViewId="0">
      <selection sqref="A1:XFD1048576"/>
    </sheetView>
  </sheetViews>
  <sheetFormatPr defaultColWidth="9.140625" defaultRowHeight="12.75" outlineLevelRow="1"/>
  <cols>
    <col min="1" max="1" width="5" style="187" bestFit="1" customWidth="1"/>
    <col min="2" max="2" width="43.140625" style="187" customWidth="1"/>
    <col min="3" max="3" width="13.42578125" style="187" customWidth="1"/>
    <col min="4" max="4" width="13.140625" style="187" customWidth="1"/>
    <col min="5" max="5" width="14.28515625" style="187" customWidth="1"/>
    <col min="6" max="6" width="1.7109375" style="187" customWidth="1"/>
    <col min="7" max="7" width="13" style="187" customWidth="1"/>
    <col min="8" max="8" width="12.85546875" style="187" customWidth="1"/>
    <col min="9" max="9" width="1.7109375" style="187" customWidth="1"/>
    <col min="10" max="10" width="12.7109375" style="187" customWidth="1"/>
    <col min="11" max="11" width="1.5703125" style="187" customWidth="1"/>
    <col min="12" max="12" width="13.7109375" style="187" customWidth="1"/>
    <col min="13" max="13" width="13.140625" style="187" customWidth="1"/>
    <col min="14" max="14" width="1.5703125" style="187" customWidth="1"/>
    <col min="15" max="15" width="12.140625" style="187" customWidth="1"/>
    <col min="16" max="16384" width="9.140625" style="187"/>
  </cols>
  <sheetData>
    <row r="1" spans="1:15">
      <c r="A1" s="126"/>
      <c r="B1" s="132"/>
      <c r="C1" s="132"/>
      <c r="D1" s="132"/>
      <c r="E1" s="125"/>
      <c r="O1" s="178"/>
    </row>
    <row r="2" spans="1:15">
      <c r="A2" s="132"/>
      <c r="B2" s="132"/>
      <c r="C2" s="132"/>
      <c r="D2" s="132"/>
      <c r="E2" s="125"/>
    </row>
    <row r="3" spans="1:15">
      <c r="A3" s="177"/>
      <c r="B3" s="124"/>
      <c r="C3" s="124"/>
      <c r="D3" s="124"/>
      <c r="E3" s="124"/>
    </row>
    <row r="4" spans="1:15">
      <c r="A4" s="185" t="s">
        <v>461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5">
      <c r="A5" s="185" t="s">
        <v>520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5">
      <c r="A6" s="186" t="s">
        <v>468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1:15">
      <c r="A7" s="185" t="s">
        <v>469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1:15">
      <c r="A8" s="121"/>
      <c r="B8" s="120"/>
      <c r="C8" s="119"/>
      <c r="D8" s="179" t="s">
        <v>474</v>
      </c>
      <c r="E8" s="179" t="s">
        <v>475</v>
      </c>
      <c r="F8" s="188"/>
      <c r="G8" s="179" t="s">
        <v>476</v>
      </c>
      <c r="H8" s="179" t="s">
        <v>477</v>
      </c>
      <c r="I8" s="188"/>
      <c r="J8" s="179" t="s">
        <v>491</v>
      </c>
      <c r="K8" s="188"/>
      <c r="L8" s="179" t="s">
        <v>492</v>
      </c>
      <c r="M8" s="179" t="s">
        <v>504</v>
      </c>
      <c r="N8" s="188"/>
      <c r="O8" s="179" t="s">
        <v>505</v>
      </c>
    </row>
    <row r="9" spans="1:15">
      <c r="A9" s="121"/>
      <c r="B9" s="120"/>
      <c r="C9" s="119"/>
      <c r="D9" s="179"/>
      <c r="E9" s="179"/>
      <c r="F9" s="188"/>
      <c r="G9" s="179"/>
      <c r="H9" s="179"/>
      <c r="I9" s="188"/>
      <c r="J9" s="136" t="s">
        <v>503</v>
      </c>
      <c r="K9" s="188"/>
      <c r="L9" s="179"/>
      <c r="M9" s="179"/>
      <c r="N9" s="188"/>
      <c r="O9" s="136" t="s">
        <v>506</v>
      </c>
    </row>
    <row r="10" spans="1:15">
      <c r="A10" s="121"/>
      <c r="B10" s="120"/>
      <c r="C10" s="119"/>
      <c r="F10" s="188"/>
      <c r="I10" s="188"/>
      <c r="J10" s="179" t="s">
        <v>488</v>
      </c>
      <c r="K10" s="188"/>
      <c r="N10" s="188"/>
      <c r="O10" s="179" t="s">
        <v>488</v>
      </c>
    </row>
    <row r="11" spans="1:15">
      <c r="A11" s="121"/>
      <c r="B11" s="120"/>
      <c r="C11" s="119"/>
      <c r="F11" s="188"/>
      <c r="I11" s="188"/>
      <c r="J11" s="179" t="s">
        <v>489</v>
      </c>
      <c r="K11" s="188"/>
      <c r="N11" s="188"/>
      <c r="O11" s="179" t="s">
        <v>489</v>
      </c>
    </row>
    <row r="12" spans="1:15">
      <c r="A12" s="117"/>
      <c r="B12" s="117"/>
      <c r="C12" s="117"/>
      <c r="F12" s="188"/>
      <c r="I12" s="188"/>
      <c r="J12" s="179" t="s">
        <v>462</v>
      </c>
      <c r="K12" s="188"/>
      <c r="N12" s="188"/>
      <c r="O12" s="179" t="s">
        <v>462</v>
      </c>
    </row>
    <row r="13" spans="1:15">
      <c r="A13" s="180" t="s">
        <v>459</v>
      </c>
      <c r="B13" s="117"/>
      <c r="C13" s="117"/>
      <c r="D13" s="117"/>
      <c r="E13" s="117"/>
      <c r="F13" s="188"/>
      <c r="G13" s="186" t="s">
        <v>473</v>
      </c>
      <c r="H13" s="186"/>
      <c r="I13" s="188"/>
      <c r="J13" s="179">
        <v>2025</v>
      </c>
      <c r="K13" s="188"/>
      <c r="L13" s="186" t="s">
        <v>490</v>
      </c>
      <c r="M13" s="186"/>
      <c r="N13" s="188"/>
      <c r="O13" s="179">
        <v>2029</v>
      </c>
    </row>
    <row r="14" spans="1:15">
      <c r="A14" s="116" t="s">
        <v>458</v>
      </c>
      <c r="B14" s="115" t="s">
        <v>131</v>
      </c>
      <c r="C14" s="114" t="s">
        <v>457</v>
      </c>
      <c r="D14" s="114" t="s">
        <v>456</v>
      </c>
      <c r="E14" s="114" t="s">
        <v>487</v>
      </c>
      <c r="F14" s="188"/>
      <c r="G14" s="114" t="s">
        <v>456</v>
      </c>
      <c r="H14" s="114" t="s">
        <v>487</v>
      </c>
      <c r="I14" s="188"/>
      <c r="J14" s="114" t="s">
        <v>456</v>
      </c>
      <c r="K14" s="188"/>
      <c r="L14" s="114" t="s">
        <v>456</v>
      </c>
      <c r="M14" s="114" t="s">
        <v>487</v>
      </c>
      <c r="N14" s="188"/>
      <c r="O14" s="114" t="s">
        <v>456</v>
      </c>
    </row>
    <row r="15" spans="1:15">
      <c r="A15" s="132"/>
      <c r="B15" s="132"/>
      <c r="C15" s="132"/>
      <c r="D15" s="132"/>
      <c r="E15" s="132"/>
      <c r="F15" s="188"/>
      <c r="G15" s="132"/>
      <c r="H15" s="132"/>
      <c r="I15" s="188"/>
      <c r="K15" s="188"/>
      <c r="L15" s="132"/>
      <c r="M15" s="132"/>
      <c r="N15" s="188"/>
    </row>
    <row r="16" spans="1:15">
      <c r="A16" s="100">
        <v>1</v>
      </c>
      <c r="B16" s="132" t="s">
        <v>478</v>
      </c>
      <c r="C16" s="113">
        <f>'Elec Depr Stdy Orig Adj'!C14</f>
        <v>249419038.22</v>
      </c>
      <c r="D16" s="113">
        <f>'Elec Depr Stdy Orig Adj'!D14</f>
        <v>306788477.58413273</v>
      </c>
      <c r="E16" s="113">
        <f>+D16-C16</f>
        <v>57369439.364132732</v>
      </c>
      <c r="F16" s="188"/>
      <c r="G16" s="113">
        <f>'Colstrip 3&amp;4 2025'!D14</f>
        <v>320541049.83780748</v>
      </c>
      <c r="H16" s="113">
        <f>G16-C16</f>
        <v>71122011.617807478</v>
      </c>
      <c r="I16" s="188"/>
      <c r="J16" s="189">
        <f>G16-D16</f>
        <v>13752572.253674746</v>
      </c>
      <c r="K16" s="188"/>
      <c r="L16" s="113">
        <f>'Colstrip 3&amp;4 2029'!D14</f>
        <v>312305209.43922031</v>
      </c>
      <c r="M16" s="113">
        <f>L16-C16</f>
        <v>62886171.21922031</v>
      </c>
      <c r="N16" s="188"/>
      <c r="O16" s="189">
        <f>L16-D16</f>
        <v>5516731.8550875783</v>
      </c>
    </row>
    <row r="17" spans="1:15">
      <c r="A17" s="100">
        <f t="shared" ref="A17:A56" si="0">A16+1</f>
        <v>2</v>
      </c>
      <c r="B17" s="132" t="s">
        <v>455</v>
      </c>
      <c r="C17" s="134">
        <f>'Elec Depr Stdy Orig Adj'!C15</f>
        <v>15207047.519823998</v>
      </c>
      <c r="D17" s="134">
        <f>'Elec Depr Stdy Orig Adj'!D15</f>
        <v>13232378.856776908</v>
      </c>
      <c r="E17" s="134">
        <f>+D17-C17</f>
        <v>-1974668.6630470902</v>
      </c>
      <c r="F17" s="188"/>
      <c r="G17" s="134">
        <f>'Colstrip 3&amp;4 2025'!D15</f>
        <v>13232378.856776908</v>
      </c>
      <c r="H17" s="134">
        <f>G17-C17</f>
        <v>-1974668.6630470902</v>
      </c>
      <c r="I17" s="188"/>
      <c r="J17" s="190">
        <f t="shared" ref="J17:J19" si="1">G17-D17</f>
        <v>0</v>
      </c>
      <c r="K17" s="188"/>
      <c r="L17" s="134">
        <f>'Colstrip 3&amp;4 2029'!D15</f>
        <v>13232378.856776908</v>
      </c>
      <c r="M17" s="134">
        <f>L17-C17</f>
        <v>-1974668.6630470902</v>
      </c>
      <c r="N17" s="188"/>
      <c r="O17" s="190">
        <f t="shared" ref="O17:O19" si="2">L17-D17</f>
        <v>0</v>
      </c>
    </row>
    <row r="18" spans="1:15">
      <c r="A18" s="100">
        <f t="shared" si="0"/>
        <v>3</v>
      </c>
      <c r="B18" s="132" t="s">
        <v>479</v>
      </c>
      <c r="C18" s="134">
        <f>'Elec Depr Stdy Orig Adj'!C16</f>
        <v>55937.910695999999</v>
      </c>
      <c r="D18" s="134">
        <f>'Elec Depr Stdy Orig Adj'!D16</f>
        <v>55937.910695999999</v>
      </c>
      <c r="E18" s="134">
        <f>+D18-C18</f>
        <v>0</v>
      </c>
      <c r="F18" s="188"/>
      <c r="G18" s="134">
        <f>'Colstrip 3&amp;4 2025'!D16</f>
        <v>55937.910695999999</v>
      </c>
      <c r="H18" s="134">
        <f>G18-C18</f>
        <v>0</v>
      </c>
      <c r="I18" s="188"/>
      <c r="J18" s="190">
        <f t="shared" si="1"/>
        <v>0</v>
      </c>
      <c r="K18" s="188"/>
      <c r="L18" s="134">
        <f>'Colstrip 3&amp;4 2029'!D16</f>
        <v>55937.910695999999</v>
      </c>
      <c r="M18" s="134">
        <f>L18-C18</f>
        <v>0</v>
      </c>
      <c r="N18" s="188"/>
      <c r="O18" s="190">
        <f t="shared" si="2"/>
        <v>0</v>
      </c>
    </row>
    <row r="19" spans="1:15">
      <c r="A19" s="100">
        <f t="shared" si="0"/>
        <v>4</v>
      </c>
      <c r="B19" s="132" t="s">
        <v>480</v>
      </c>
      <c r="C19" s="134">
        <f>'Elec Depr Stdy Orig Adj'!C17</f>
        <v>29770695.186882004</v>
      </c>
      <c r="D19" s="134">
        <f>'Elec Depr Stdy Orig Adj'!D17</f>
        <v>29770695.186882004</v>
      </c>
      <c r="E19" s="134">
        <f>+D19-C19</f>
        <v>0</v>
      </c>
      <c r="F19" s="191"/>
      <c r="G19" s="134">
        <f>'Colstrip 3&amp;4 2025'!D17</f>
        <v>29770695.186882004</v>
      </c>
      <c r="H19" s="134">
        <f t="shared" ref="H19" si="3">G19-C19</f>
        <v>0</v>
      </c>
      <c r="I19" s="191"/>
      <c r="J19" s="190">
        <f t="shared" si="1"/>
        <v>0</v>
      </c>
      <c r="K19" s="191"/>
      <c r="L19" s="134">
        <f>'Colstrip 3&amp;4 2029'!D17</f>
        <v>29770695.186882004</v>
      </c>
      <c r="M19" s="134">
        <f t="shared" ref="M19" si="4">L19-C19</f>
        <v>0</v>
      </c>
      <c r="N19" s="191"/>
      <c r="O19" s="190">
        <f t="shared" si="2"/>
        <v>0</v>
      </c>
    </row>
    <row r="20" spans="1:15">
      <c r="A20" s="100">
        <f t="shared" si="0"/>
        <v>5</v>
      </c>
      <c r="B20" s="132" t="s">
        <v>471</v>
      </c>
      <c r="C20" s="133">
        <f>SUM(C16:C19)</f>
        <v>294452718.83740199</v>
      </c>
      <c r="D20" s="133">
        <f>SUM(D16:D19)</f>
        <v>349847489.53848767</v>
      </c>
      <c r="E20" s="133">
        <f>SUM(E16:E19)</f>
        <v>55394770.701085642</v>
      </c>
      <c r="F20" s="188"/>
      <c r="G20" s="133">
        <f>SUM(G16:G19)</f>
        <v>363600061.79216242</v>
      </c>
      <c r="H20" s="133">
        <f>SUM(H16:H19)</f>
        <v>69147342.954760388</v>
      </c>
      <c r="I20" s="188"/>
      <c r="J20" s="192">
        <f>SUM(J16:J19)</f>
        <v>13752572.253674746</v>
      </c>
      <c r="K20" s="188"/>
      <c r="L20" s="133">
        <f>SUM(L16:L19)</f>
        <v>355364221.39357525</v>
      </c>
      <c r="M20" s="133">
        <f>SUM(M16:M19)</f>
        <v>60911502.55617322</v>
      </c>
      <c r="N20" s="188"/>
      <c r="O20" s="192">
        <f>SUM(O16:O19)</f>
        <v>5516731.8550875783</v>
      </c>
    </row>
    <row r="21" spans="1:15">
      <c r="A21" s="100">
        <f t="shared" si="0"/>
        <v>6</v>
      </c>
      <c r="B21" s="132"/>
      <c r="C21" s="110"/>
      <c r="D21" s="110"/>
      <c r="E21" s="110"/>
      <c r="F21" s="188"/>
      <c r="G21" s="110"/>
      <c r="H21" s="110"/>
      <c r="I21" s="188"/>
      <c r="K21" s="188"/>
      <c r="L21" s="110"/>
      <c r="M21" s="110"/>
      <c r="N21" s="188"/>
    </row>
    <row r="22" spans="1:15" outlineLevel="1">
      <c r="A22" s="100">
        <f t="shared" si="0"/>
        <v>7</v>
      </c>
      <c r="B22" s="132" t="s">
        <v>482</v>
      </c>
      <c r="C22" s="134">
        <f>'Elec Depr Stdy Orig Adj'!C20</f>
        <v>1352124.73</v>
      </c>
      <c r="D22" s="134">
        <f>'Elec Depr Stdy Orig Adj'!D20</f>
        <v>1739313.9972498522</v>
      </c>
      <c r="E22" s="104">
        <f>+D22-C22</f>
        <v>387189.26724985219</v>
      </c>
      <c r="F22" s="188"/>
      <c r="G22" s="134">
        <f>'Colstrip 3&amp;4 2025'!D20</f>
        <v>1739313.9972498522</v>
      </c>
      <c r="H22" s="104">
        <f>G22-C22</f>
        <v>387189.26724985219</v>
      </c>
      <c r="I22" s="188"/>
      <c r="J22" s="190">
        <f>G22-D22</f>
        <v>0</v>
      </c>
      <c r="K22" s="188"/>
      <c r="L22" s="134">
        <f>'Colstrip 3&amp;4 2029'!D20</f>
        <v>1739313.9972498522</v>
      </c>
      <c r="M22" s="104">
        <f>L22-C22</f>
        <v>387189.26724985219</v>
      </c>
      <c r="N22" s="188"/>
      <c r="O22" s="190">
        <f t="shared" ref="O22:O23" si="5">L22-D22</f>
        <v>0</v>
      </c>
    </row>
    <row r="23" spans="1:15" outlineLevel="1">
      <c r="A23" s="100">
        <f t="shared" si="0"/>
        <v>8</v>
      </c>
      <c r="B23" s="132" t="s">
        <v>483</v>
      </c>
      <c r="C23" s="134">
        <f>'Elec Depr Stdy Orig Adj'!C21</f>
        <v>1476016.7034779999</v>
      </c>
      <c r="D23" s="134">
        <f>'Elec Depr Stdy Orig Adj'!D21</f>
        <v>0</v>
      </c>
      <c r="E23" s="134">
        <f>+D23-C23</f>
        <v>-1476016.7034779999</v>
      </c>
      <c r="F23" s="188"/>
      <c r="G23" s="134">
        <f>'Colstrip 3&amp;4 2025'!D21</f>
        <v>0</v>
      </c>
      <c r="H23" s="134">
        <f>G23-C23</f>
        <v>-1476016.7034779999</v>
      </c>
      <c r="I23" s="188"/>
      <c r="J23" s="190">
        <f>G23-D23</f>
        <v>0</v>
      </c>
      <c r="K23" s="188"/>
      <c r="L23" s="134">
        <f>'Colstrip 3&amp;4 2029'!D21</f>
        <v>0</v>
      </c>
      <c r="M23" s="134">
        <f>L23-C23</f>
        <v>-1476016.7034779999</v>
      </c>
      <c r="N23" s="188"/>
      <c r="O23" s="190">
        <f t="shared" si="5"/>
        <v>0</v>
      </c>
    </row>
    <row r="24" spans="1:15">
      <c r="A24" s="100">
        <f t="shared" si="0"/>
        <v>9</v>
      </c>
      <c r="B24" s="132" t="s">
        <v>481</v>
      </c>
      <c r="C24" s="133">
        <f>SUM(C22:C23)</f>
        <v>2828141.4334779996</v>
      </c>
      <c r="D24" s="133">
        <f>SUM(D22:D23)</f>
        <v>1739313.9972498522</v>
      </c>
      <c r="E24" s="133">
        <f>SUM(E22:E23)</f>
        <v>-1088827.4362281477</v>
      </c>
      <c r="F24" s="188"/>
      <c r="G24" s="133">
        <f>SUM(G22:G23)</f>
        <v>1739313.9972498522</v>
      </c>
      <c r="H24" s="133">
        <f>SUM(H22:H23)</f>
        <v>-1088827.4362281477</v>
      </c>
      <c r="I24" s="188"/>
      <c r="J24" s="192">
        <f>SUM(J22:J23)</f>
        <v>0</v>
      </c>
      <c r="K24" s="188"/>
      <c r="L24" s="133">
        <f>SUM(L22:L23)</f>
        <v>1739313.9972498522</v>
      </c>
      <c r="M24" s="133">
        <v>-1088827.4362281477</v>
      </c>
      <c r="N24" s="188"/>
      <c r="O24" s="192">
        <f>SUM(O22:O23)</f>
        <v>0</v>
      </c>
    </row>
    <row r="25" spans="1:15">
      <c r="A25" s="100">
        <f t="shared" si="0"/>
        <v>10</v>
      </c>
      <c r="B25" s="132"/>
      <c r="C25" s="110"/>
      <c r="D25" s="110"/>
      <c r="E25" s="110"/>
      <c r="F25" s="188"/>
      <c r="G25" s="110"/>
      <c r="H25" s="110"/>
      <c r="I25" s="188"/>
      <c r="K25" s="188"/>
      <c r="L25" s="110"/>
      <c r="M25" s="110"/>
      <c r="N25" s="188"/>
    </row>
    <row r="26" spans="1:15">
      <c r="A26" s="100">
        <f t="shared" si="0"/>
        <v>11</v>
      </c>
      <c r="B26" s="112" t="s">
        <v>454</v>
      </c>
      <c r="C26" s="135">
        <f>C20+C24</f>
        <v>297280860.27087998</v>
      </c>
      <c r="D26" s="135">
        <f>D20+D24</f>
        <v>351586803.53573751</v>
      </c>
      <c r="E26" s="135">
        <f>+D26-C26</f>
        <v>54305943.264857531</v>
      </c>
      <c r="F26" s="188"/>
      <c r="G26" s="135">
        <f>G20+G24</f>
        <v>365339375.78941226</v>
      </c>
      <c r="H26" s="135">
        <f>G26-C26</f>
        <v>68058515.518532276</v>
      </c>
      <c r="I26" s="188"/>
      <c r="J26" s="135">
        <f>G26-D26</f>
        <v>13752572.253674746</v>
      </c>
      <c r="K26" s="188"/>
      <c r="L26" s="135">
        <f>L20+L24</f>
        <v>357103535.39082509</v>
      </c>
      <c r="M26" s="135">
        <f>L26-C26</f>
        <v>59822675.119945109</v>
      </c>
      <c r="N26" s="188"/>
      <c r="O26" s="135">
        <f>L26-D26</f>
        <v>5516731.8550875783</v>
      </c>
    </row>
    <row r="27" spans="1:15">
      <c r="A27" s="100">
        <f t="shared" si="0"/>
        <v>12</v>
      </c>
      <c r="B27" s="132"/>
      <c r="C27" s="110"/>
      <c r="D27" s="110"/>
      <c r="E27" s="104"/>
      <c r="F27" s="188"/>
      <c r="G27" s="110"/>
      <c r="H27" s="104"/>
      <c r="I27" s="188"/>
      <c r="K27" s="188"/>
      <c r="L27" s="110"/>
      <c r="M27" s="104">
        <f>M20+M24</f>
        <v>59822675.119945072</v>
      </c>
      <c r="N27" s="188"/>
    </row>
    <row r="28" spans="1:15" outlineLevel="1">
      <c r="A28" s="100">
        <f t="shared" si="0"/>
        <v>13</v>
      </c>
      <c r="B28" s="111" t="s">
        <v>453</v>
      </c>
      <c r="C28" s="110"/>
      <c r="D28" s="110"/>
      <c r="E28" s="104"/>
      <c r="F28" s="188"/>
      <c r="G28" s="110"/>
      <c r="H28" s="104"/>
      <c r="I28" s="188"/>
      <c r="K28" s="188"/>
      <c r="L28" s="110"/>
      <c r="M28" s="104"/>
      <c r="N28" s="188"/>
    </row>
    <row r="29" spans="1:15" outlineLevel="1">
      <c r="A29" s="100">
        <f t="shared" si="0"/>
        <v>14</v>
      </c>
      <c r="B29" s="132" t="s">
        <v>484</v>
      </c>
      <c r="C29" s="134">
        <f>'Elec Depr Stdy Orig Adj'!C27</f>
        <v>1424661.0825685868</v>
      </c>
      <c r="D29" s="134">
        <f>'Elec Depr Stdy Orig Adj'!D27</f>
        <v>1820785.2132301694</v>
      </c>
      <c r="E29" s="104">
        <f>+D29-C29</f>
        <v>396124.13066158257</v>
      </c>
      <c r="F29" s="188"/>
      <c r="G29" s="134">
        <f>'Colstrip 3&amp;4 2025'!D27</f>
        <v>1820785.2132301694</v>
      </c>
      <c r="H29" s="104">
        <f>G29-C29</f>
        <v>396124.13066158257</v>
      </c>
      <c r="I29" s="188"/>
      <c r="J29" s="190">
        <f>G29-D29</f>
        <v>0</v>
      </c>
      <c r="K29" s="188"/>
      <c r="L29" s="134">
        <f>'Colstrip 3&amp;4 2029'!D27</f>
        <v>1820785.2132301694</v>
      </c>
      <c r="M29" s="104">
        <v>396124.13066158257</v>
      </c>
      <c r="N29" s="188"/>
      <c r="O29" s="190">
        <f>L29-D29</f>
        <v>0</v>
      </c>
    </row>
    <row r="30" spans="1:15" outlineLevel="1">
      <c r="A30" s="100">
        <f t="shared" si="0"/>
        <v>15</v>
      </c>
      <c r="B30" s="132" t="s">
        <v>485</v>
      </c>
      <c r="C30" s="134">
        <f>'Elec Depr Stdy Orig Adj'!C28</f>
        <v>1148003.003511413</v>
      </c>
      <c r="D30" s="134">
        <f>'Elec Depr Stdy Orig Adj'!D28</f>
        <v>0</v>
      </c>
      <c r="E30" s="134">
        <f>+D30-C30</f>
        <v>-1148003.003511413</v>
      </c>
      <c r="F30" s="188"/>
      <c r="G30" s="134">
        <f>'Colstrip 3&amp;4 2025'!D28</f>
        <v>0</v>
      </c>
      <c r="H30" s="104">
        <f>G30-C30</f>
        <v>-1148003.003511413</v>
      </c>
      <c r="I30" s="188"/>
      <c r="J30" s="190">
        <f t="shared" ref="J30" si="6">G30-D30</f>
        <v>0</v>
      </c>
      <c r="K30" s="188"/>
      <c r="L30" s="134">
        <f>'Colstrip 3&amp;4 2029'!D28</f>
        <v>0</v>
      </c>
      <c r="M30" s="134">
        <v>-1148003.003511413</v>
      </c>
      <c r="N30" s="188"/>
      <c r="O30" s="190">
        <f>L30-D30</f>
        <v>0</v>
      </c>
    </row>
    <row r="31" spans="1:15">
      <c r="A31" s="100">
        <f t="shared" si="0"/>
        <v>16</v>
      </c>
      <c r="B31" s="132" t="s">
        <v>470</v>
      </c>
      <c r="C31" s="133">
        <f>SUM(C29:C30)</f>
        <v>2572664.0860799998</v>
      </c>
      <c r="D31" s="133">
        <f>SUM(D29:D30)</f>
        <v>1820785.2132301694</v>
      </c>
      <c r="E31" s="133">
        <f>SUM(E29:E30)</f>
        <v>-751878.87284983043</v>
      </c>
      <c r="F31" s="188"/>
      <c r="G31" s="133">
        <f>SUM(G29:G30)</f>
        <v>1820785.2132301694</v>
      </c>
      <c r="H31" s="133">
        <f>SUM(H29:H30)</f>
        <v>-751878.87284983043</v>
      </c>
      <c r="I31" s="188"/>
      <c r="J31" s="192">
        <f>SUM(J29:J30)</f>
        <v>0</v>
      </c>
      <c r="K31" s="188"/>
      <c r="L31" s="133">
        <f>SUM(L29:L30)</f>
        <v>1820785.2132301694</v>
      </c>
      <c r="M31" s="133">
        <v>-751878.87284983043</v>
      </c>
      <c r="N31" s="188"/>
      <c r="O31" s="192">
        <f>SUM(O29:O30)</f>
        <v>0</v>
      </c>
    </row>
    <row r="32" spans="1:15">
      <c r="A32" s="100">
        <f t="shared" si="0"/>
        <v>17</v>
      </c>
      <c r="B32" s="132"/>
      <c r="C32" s="110"/>
      <c r="D32" s="110"/>
      <c r="E32" s="104"/>
      <c r="F32" s="188"/>
      <c r="G32" s="110"/>
      <c r="H32" s="104"/>
      <c r="I32" s="188"/>
      <c r="K32" s="188"/>
      <c r="L32" s="110"/>
      <c r="M32" s="104"/>
      <c r="N32" s="188"/>
    </row>
    <row r="33" spans="1:15">
      <c r="A33" s="100">
        <f t="shared" si="0"/>
        <v>18</v>
      </c>
      <c r="B33" s="132"/>
      <c r="C33" s="110"/>
      <c r="D33" s="110"/>
      <c r="E33" s="134"/>
      <c r="F33" s="188"/>
      <c r="G33" s="110"/>
      <c r="H33" s="134"/>
      <c r="I33" s="188"/>
      <c r="K33" s="188"/>
      <c r="L33" s="110"/>
      <c r="M33" s="134"/>
      <c r="N33" s="188"/>
    </row>
    <row r="34" spans="1:15">
      <c r="A34" s="100">
        <f t="shared" si="0"/>
        <v>19</v>
      </c>
      <c r="B34" s="132" t="s">
        <v>472</v>
      </c>
      <c r="C34" s="135">
        <f>'Elec Depr Stdy Orig Adj'!C32</f>
        <v>846819.31998199993</v>
      </c>
      <c r="D34" s="135">
        <f>'Elec Depr Stdy Orig Adj'!D32</f>
        <v>539848.88443131489</v>
      </c>
      <c r="E34" s="135">
        <f>+D34-C34</f>
        <v>-306970.43555068504</v>
      </c>
      <c r="F34" s="188"/>
      <c r="G34" s="135">
        <f>'Colstrip 3&amp;4 2025'!D32</f>
        <v>539848.88443131489</v>
      </c>
      <c r="H34" s="135">
        <f>G34-C34</f>
        <v>-306970.43555068504</v>
      </c>
      <c r="I34" s="188"/>
      <c r="J34" s="135">
        <f>G34-D34</f>
        <v>0</v>
      </c>
      <c r="K34" s="188"/>
      <c r="L34" s="135">
        <f>'Colstrip 3&amp;4 2029'!D32</f>
        <v>539848.88443131489</v>
      </c>
      <c r="M34" s="135">
        <v>-306970.43555068504</v>
      </c>
      <c r="N34" s="188"/>
      <c r="O34" s="135">
        <f>L34-D34</f>
        <v>0</v>
      </c>
    </row>
    <row r="35" spans="1:15">
      <c r="A35" s="100">
        <f t="shared" si="0"/>
        <v>20</v>
      </c>
      <c r="B35" s="132"/>
      <c r="C35" s="110"/>
      <c r="D35" s="110"/>
      <c r="E35" s="104"/>
      <c r="F35" s="188"/>
      <c r="G35" s="110"/>
      <c r="H35" s="104"/>
      <c r="I35" s="188"/>
      <c r="K35" s="188"/>
      <c r="L35" s="110"/>
      <c r="M35" s="104"/>
      <c r="N35" s="188"/>
    </row>
    <row r="36" spans="1:15">
      <c r="A36" s="100">
        <f t="shared" si="0"/>
        <v>21</v>
      </c>
      <c r="B36" s="132"/>
      <c r="C36" s="110"/>
      <c r="D36" s="110"/>
      <c r="E36" s="104"/>
      <c r="F36" s="188"/>
      <c r="G36" s="110"/>
      <c r="H36" s="104"/>
      <c r="I36" s="188"/>
      <c r="K36" s="188"/>
      <c r="L36" s="110"/>
      <c r="M36" s="104"/>
      <c r="N36" s="188"/>
    </row>
    <row r="37" spans="1:15">
      <c r="A37" s="100">
        <f t="shared" si="0"/>
        <v>22</v>
      </c>
      <c r="B37" s="109" t="s">
        <v>452</v>
      </c>
      <c r="C37" s="108"/>
      <c r="D37" s="108"/>
      <c r="E37" s="108">
        <f>E26+E31+E34</f>
        <v>53247093.956457019</v>
      </c>
      <c r="F37" s="188"/>
      <c r="G37" s="108"/>
      <c r="H37" s="108">
        <f>H26+H31+H34</f>
        <v>66999666.210131757</v>
      </c>
      <c r="I37" s="188"/>
      <c r="J37" s="189">
        <f>H37-E37</f>
        <v>13752572.253674738</v>
      </c>
      <c r="K37" s="188"/>
      <c r="L37" s="108"/>
      <c r="M37" s="108">
        <f>M26+M31+M34</f>
        <v>58763825.811544597</v>
      </c>
      <c r="N37" s="188"/>
      <c r="O37" s="189">
        <f>M37-E37</f>
        <v>5516731.8550875783</v>
      </c>
    </row>
    <row r="38" spans="1:15">
      <c r="A38" s="100">
        <f t="shared" si="0"/>
        <v>23</v>
      </c>
      <c r="B38" s="109" t="s">
        <v>465</v>
      </c>
      <c r="C38" s="108"/>
      <c r="D38" s="129">
        <v>0.35</v>
      </c>
      <c r="E38" s="130">
        <f>-E37*D38</f>
        <v>-18636482.884759955</v>
      </c>
      <c r="F38" s="188"/>
      <c r="G38" s="129">
        <v>0.35</v>
      </c>
      <c r="H38" s="130">
        <f>-G38*H37</f>
        <v>-23449883.173546113</v>
      </c>
      <c r="I38" s="188"/>
      <c r="J38" s="190">
        <f>H38-E38</f>
        <v>-4813400.288786158</v>
      </c>
      <c r="K38" s="188"/>
      <c r="L38" s="129">
        <v>0.35</v>
      </c>
      <c r="M38" s="130">
        <f>-L38*M37</f>
        <v>-20567339.034040608</v>
      </c>
      <c r="N38" s="188"/>
      <c r="O38" s="190">
        <f>-O37*L38</f>
        <v>-1930856.1492806522</v>
      </c>
    </row>
    <row r="39" spans="1:15" ht="13.5" thickBot="1">
      <c r="A39" s="100">
        <f t="shared" si="0"/>
        <v>24</v>
      </c>
      <c r="B39" s="109" t="s">
        <v>451</v>
      </c>
      <c r="C39" s="108"/>
      <c r="D39" s="108"/>
      <c r="E39" s="128">
        <f>-E37-E38</f>
        <v>-34610611.071697064</v>
      </c>
      <c r="F39" s="188"/>
      <c r="G39" s="108"/>
      <c r="H39" s="128">
        <f>-H37-H38</f>
        <v>-43549783.036585644</v>
      </c>
      <c r="I39" s="188"/>
      <c r="J39" s="128">
        <f>-J37-J38</f>
        <v>-8939171.9648885801</v>
      </c>
      <c r="K39" s="188"/>
      <c r="L39" s="108"/>
      <c r="M39" s="128">
        <f>-M37-M38</f>
        <v>-38196486.77750399</v>
      </c>
      <c r="N39" s="188"/>
      <c r="O39" s="128">
        <f>-O37-O38</f>
        <v>-3585875.7058069259</v>
      </c>
    </row>
    <row r="40" spans="1:15" ht="13.5" thickTop="1">
      <c r="A40" s="100">
        <f t="shared" si="0"/>
        <v>25</v>
      </c>
      <c r="B40" s="101"/>
      <c r="C40" s="132"/>
      <c r="D40" s="132"/>
      <c r="E40" s="107"/>
      <c r="F40" s="188"/>
      <c r="G40" s="132"/>
      <c r="H40" s="107"/>
      <c r="I40" s="188"/>
      <c r="K40" s="188"/>
      <c r="L40" s="132"/>
      <c r="M40" s="107"/>
      <c r="N40" s="188"/>
    </row>
    <row r="41" spans="1:15">
      <c r="A41" s="100">
        <f t="shared" si="0"/>
        <v>26</v>
      </c>
      <c r="B41" s="101"/>
      <c r="C41" s="103"/>
      <c r="D41" s="105"/>
      <c r="E41" s="104"/>
      <c r="F41" s="188"/>
      <c r="G41" s="105"/>
      <c r="H41" s="104"/>
      <c r="I41" s="188"/>
      <c r="K41" s="188"/>
      <c r="L41" s="105"/>
      <c r="M41" s="104"/>
      <c r="N41" s="188"/>
    </row>
    <row r="42" spans="1:15">
      <c r="A42" s="100">
        <f t="shared" si="0"/>
        <v>27</v>
      </c>
      <c r="B42" s="106" t="s">
        <v>450</v>
      </c>
      <c r="C42" s="103"/>
      <c r="D42" s="105"/>
      <c r="E42" s="104"/>
      <c r="F42" s="188"/>
      <c r="G42" s="105"/>
      <c r="H42" s="104"/>
      <c r="I42" s="188"/>
      <c r="K42" s="188"/>
      <c r="L42" s="105"/>
      <c r="M42" s="104"/>
      <c r="N42" s="188"/>
    </row>
    <row r="43" spans="1:15">
      <c r="A43" s="100">
        <f t="shared" si="0"/>
        <v>28</v>
      </c>
      <c r="B43" s="101" t="s">
        <v>486</v>
      </c>
      <c r="C43" s="103">
        <v>0.5</v>
      </c>
      <c r="D43" s="132"/>
      <c r="E43" s="102">
        <f>-E37*C43</f>
        <v>-26623546.978228509</v>
      </c>
      <c r="F43" s="188"/>
      <c r="G43" s="132"/>
      <c r="H43" s="102">
        <f>-H37*C43</f>
        <v>-33499833.105065878</v>
      </c>
      <c r="I43" s="188"/>
      <c r="J43" s="189">
        <f>H43-E43</f>
        <v>-6876286.1268373691</v>
      </c>
      <c r="K43" s="188"/>
      <c r="L43" s="132"/>
      <c r="M43" s="102">
        <f>-M37*C43</f>
        <v>-29381912.905772299</v>
      </c>
      <c r="N43" s="188"/>
      <c r="O43" s="189">
        <f>M43-E43</f>
        <v>-2758365.9275437891</v>
      </c>
    </row>
    <row r="44" spans="1:15">
      <c r="A44" s="100">
        <f t="shared" si="0"/>
        <v>29</v>
      </c>
      <c r="B44" s="101" t="s">
        <v>464</v>
      </c>
      <c r="C44" s="103"/>
      <c r="D44" s="132"/>
      <c r="E44" s="130">
        <f>'Elec Depr Stdy Orig Adj'!E42</f>
        <v>9318241.4423799794</v>
      </c>
      <c r="F44" s="188"/>
      <c r="G44" s="132"/>
      <c r="H44" s="130">
        <f>'Colstrip 3&amp;4 2025'!E42</f>
        <v>11724941.586773058</v>
      </c>
      <c r="I44" s="188"/>
      <c r="J44" s="190">
        <f>H44-E44</f>
        <v>2406700.144393079</v>
      </c>
      <c r="K44" s="188"/>
      <c r="L44" s="132"/>
      <c r="M44" s="130">
        <f>'Colstrip 3&amp;4 2029'!E42</f>
        <v>10283669.517020302</v>
      </c>
      <c r="N44" s="188"/>
      <c r="O44" s="190">
        <f>M44-E44</f>
        <v>965428.07464032248</v>
      </c>
    </row>
    <row r="45" spans="1:15" ht="13.5" thickBot="1">
      <c r="A45" s="100">
        <f>A44+1</f>
        <v>30</v>
      </c>
      <c r="B45" s="101" t="s">
        <v>449</v>
      </c>
      <c r="C45" s="132"/>
      <c r="D45" s="132"/>
      <c r="E45" s="128">
        <f>SUM(E43:E44)</f>
        <v>-17305305.535848528</v>
      </c>
      <c r="F45" s="188"/>
      <c r="G45" s="132"/>
      <c r="H45" s="128">
        <f>SUM(H43:H44)</f>
        <v>-21774891.518292822</v>
      </c>
      <c r="I45" s="188"/>
      <c r="J45" s="128">
        <f>H45-E45</f>
        <v>-4469585.9824442938</v>
      </c>
      <c r="K45" s="188"/>
      <c r="L45" s="132"/>
      <c r="M45" s="128">
        <f>SUM(M43:M44)</f>
        <v>-19098243.388751999</v>
      </c>
      <c r="N45" s="188"/>
      <c r="O45" s="128">
        <f>SUM(O43:O44)</f>
        <v>-1792937.8529034667</v>
      </c>
    </row>
    <row r="46" spans="1:15" ht="13.5" thickTop="1">
      <c r="A46" s="100">
        <f t="shared" si="0"/>
        <v>31</v>
      </c>
      <c r="B46" s="99"/>
      <c r="C46" s="99"/>
      <c r="D46" s="99"/>
      <c r="E46" s="99"/>
    </row>
    <row r="47" spans="1:15">
      <c r="A47" s="100">
        <f t="shared" si="0"/>
        <v>32</v>
      </c>
      <c r="B47" s="132"/>
      <c r="C47" s="132"/>
      <c r="D47" s="132"/>
      <c r="E47" s="132"/>
      <c r="G47" s="186" t="s">
        <v>521</v>
      </c>
      <c r="H47" s="186"/>
      <c r="I47" s="186"/>
      <c r="J47" s="186"/>
      <c r="L47" s="186" t="s">
        <v>521</v>
      </c>
      <c r="M47" s="186"/>
      <c r="N47" s="186"/>
      <c r="O47" s="186"/>
    </row>
    <row r="48" spans="1:15">
      <c r="A48" s="100">
        <f t="shared" si="0"/>
        <v>33</v>
      </c>
      <c r="G48" s="186" t="s">
        <v>522</v>
      </c>
      <c r="H48" s="186"/>
      <c r="I48" s="186"/>
      <c r="J48" s="186"/>
      <c r="L48" s="186" t="s">
        <v>523</v>
      </c>
      <c r="M48" s="186"/>
      <c r="N48" s="186"/>
      <c r="O48" s="186"/>
    </row>
    <row r="49" spans="1:13">
      <c r="A49" s="100">
        <f t="shared" si="0"/>
        <v>34</v>
      </c>
      <c r="J49" s="102"/>
    </row>
    <row r="50" spans="1:13">
      <c r="A50" s="100">
        <f t="shared" si="0"/>
        <v>35</v>
      </c>
      <c r="E50" s="125" t="s">
        <v>524</v>
      </c>
      <c r="H50" s="189">
        <f>J45</f>
        <v>-4469585.9824442938</v>
      </c>
      <c r="M50" s="189">
        <f>O43</f>
        <v>-2758365.9275437891</v>
      </c>
    </row>
    <row r="51" spans="1:13">
      <c r="A51" s="100">
        <f t="shared" si="0"/>
        <v>36</v>
      </c>
      <c r="D51" s="125" t="s">
        <v>525</v>
      </c>
      <c r="E51" s="193">
        <v>7.7399999999999997E-2</v>
      </c>
      <c r="H51" s="190">
        <f>H50*E51</f>
        <v>-345945.95504118834</v>
      </c>
      <c r="M51" s="190">
        <f>M50*E51</f>
        <v>-213497.52279188926</v>
      </c>
    </row>
    <row r="52" spans="1:13">
      <c r="A52" s="100">
        <f t="shared" si="0"/>
        <v>37</v>
      </c>
      <c r="E52" s="125" t="s">
        <v>526</v>
      </c>
      <c r="H52" s="190">
        <f>J39+(J39*0.0052325)</f>
        <v>-8985946.1821948588</v>
      </c>
      <c r="M52" s="190">
        <f>O39+(O39*0.0052325)</f>
        <v>-3604638.8004375608</v>
      </c>
    </row>
    <row r="53" spans="1:13">
      <c r="A53" s="100">
        <f t="shared" si="0"/>
        <v>38</v>
      </c>
    </row>
    <row r="54" spans="1:13">
      <c r="A54" s="100">
        <f t="shared" si="0"/>
        <v>39</v>
      </c>
      <c r="E54" s="125" t="s">
        <v>527</v>
      </c>
      <c r="H54" s="190">
        <f>H51-H52</f>
        <v>8640000.22715367</v>
      </c>
      <c r="M54" s="190">
        <f>M51-M52</f>
        <v>3391141.2776456717</v>
      </c>
    </row>
    <row r="55" spans="1:13">
      <c r="A55" s="100">
        <f t="shared" si="0"/>
        <v>40</v>
      </c>
      <c r="D55" s="125" t="s">
        <v>528</v>
      </c>
      <c r="E55" s="187">
        <v>0.61905100000000002</v>
      </c>
      <c r="H55" s="194"/>
      <c r="M55" s="194"/>
    </row>
    <row r="56" spans="1:13" ht="13.5" thickBot="1">
      <c r="A56" s="100">
        <f t="shared" si="0"/>
        <v>41</v>
      </c>
      <c r="E56" s="125" t="s">
        <v>529</v>
      </c>
      <c r="H56" s="195">
        <f>H54/E55</f>
        <v>13956847.218005737</v>
      </c>
      <c r="M56" s="195">
        <f>M54/E55</f>
        <v>5477967.530374188</v>
      </c>
    </row>
    <row r="57" spans="1:13" ht="13.5" thickTop="1"/>
  </sheetData>
  <mergeCells count="10">
    <mergeCell ref="G48:J48"/>
    <mergeCell ref="L47:O47"/>
    <mergeCell ref="L48:O48"/>
    <mergeCell ref="G13:H13"/>
    <mergeCell ref="L13:M13"/>
    <mergeCell ref="A4:O4"/>
    <mergeCell ref="A5:O5"/>
    <mergeCell ref="A6:O6"/>
    <mergeCell ref="A7:O7"/>
    <mergeCell ref="G47:J47"/>
  </mergeCells>
  <pageMargins left="0.75" right="0.75" top="1" bottom="1" header="0.5" footer="0.5"/>
  <pageSetup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85" zoomScaleNormal="85" workbookViewId="0">
      <selection activeCell="A3" sqref="A3"/>
    </sheetView>
  </sheetViews>
  <sheetFormatPr defaultColWidth="9.140625" defaultRowHeight="12.75" outlineLevelCol="1"/>
  <cols>
    <col min="1" max="1" width="7.7109375" style="196" customWidth="1"/>
    <col min="2" max="2" width="40.42578125" style="197" customWidth="1"/>
    <col min="3" max="3" width="19.7109375" style="198" customWidth="1"/>
    <col min="4" max="4" width="18" style="197" customWidth="1"/>
    <col min="5" max="5" width="25.5703125" style="199" hidden="1" customWidth="1" outlineLevel="1"/>
    <col min="6" max="6" width="12.7109375" style="199" customWidth="1" collapsed="1"/>
    <col min="7" max="7" width="13.7109375" style="197" customWidth="1"/>
    <col min="8" max="8" width="15.28515625" style="197" customWidth="1"/>
    <col min="9" max="9" width="20" style="197" customWidth="1"/>
    <col min="10" max="10" width="18.28515625" style="197" customWidth="1"/>
    <col min="11" max="11" width="1.5703125" style="197" customWidth="1"/>
    <col min="12" max="12" width="15.5703125" style="197" customWidth="1"/>
    <col min="13" max="13" width="15.28515625" style="197" customWidth="1"/>
    <col min="14" max="15" width="14" style="197" customWidth="1"/>
    <col min="16" max="16" width="15" style="197" customWidth="1"/>
    <col min="17" max="17" width="15.5703125" style="197" bestFit="1" customWidth="1"/>
    <col min="18" max="18" width="9.28515625" style="197" bestFit="1" customWidth="1"/>
    <col min="19" max="16384" width="9.140625" style="197"/>
  </cols>
  <sheetData>
    <row r="1" spans="1:18">
      <c r="M1" s="178"/>
    </row>
    <row r="3" spans="1:18">
      <c r="A3" s="177"/>
      <c r="C3" s="200"/>
      <c r="D3" s="201" t="s">
        <v>134</v>
      </c>
      <c r="E3" s="202"/>
      <c r="F3" s="203" t="s">
        <v>134</v>
      </c>
      <c r="G3" s="196"/>
      <c r="H3" s="196"/>
      <c r="I3" s="204" t="s">
        <v>136</v>
      </c>
      <c r="J3" s="205" t="s">
        <v>445</v>
      </c>
      <c r="L3" s="205" t="s">
        <v>445</v>
      </c>
      <c r="M3" s="205" t="s">
        <v>445</v>
      </c>
    </row>
    <row r="4" spans="1:18">
      <c r="A4" s="205" t="s">
        <v>517</v>
      </c>
      <c r="B4" s="205"/>
      <c r="C4" s="206" t="s">
        <v>132</v>
      </c>
      <c r="D4" s="204" t="s">
        <v>164</v>
      </c>
      <c r="E4" s="204" t="s">
        <v>134</v>
      </c>
      <c r="F4" s="204" t="s">
        <v>135</v>
      </c>
      <c r="G4" s="205" t="s">
        <v>136</v>
      </c>
      <c r="H4" s="205" t="s">
        <v>467</v>
      </c>
      <c r="I4" s="204" t="s">
        <v>164</v>
      </c>
      <c r="J4" s="205" t="s">
        <v>446</v>
      </c>
      <c r="L4" s="205" t="s">
        <v>446</v>
      </c>
      <c r="M4" s="205" t="s">
        <v>446</v>
      </c>
    </row>
    <row r="5" spans="1:18">
      <c r="A5" s="207" t="s">
        <v>458</v>
      </c>
      <c r="B5" s="207" t="s">
        <v>131</v>
      </c>
      <c r="C5" s="208" t="s">
        <v>133</v>
      </c>
      <c r="D5" s="209" t="s">
        <v>165</v>
      </c>
      <c r="E5" s="209" t="s">
        <v>135</v>
      </c>
      <c r="F5" s="209" t="s">
        <v>466</v>
      </c>
      <c r="G5" s="207" t="s">
        <v>135</v>
      </c>
      <c r="H5" s="207" t="s">
        <v>135</v>
      </c>
      <c r="I5" s="209" t="s">
        <v>447</v>
      </c>
      <c r="J5" s="209" t="s">
        <v>448</v>
      </c>
      <c r="L5" s="209" t="s">
        <v>448</v>
      </c>
      <c r="M5" s="209" t="s">
        <v>516</v>
      </c>
    </row>
    <row r="6" spans="1:18">
      <c r="A6" s="207"/>
      <c r="B6" s="207"/>
      <c r="C6" s="208"/>
      <c r="D6" s="209"/>
      <c r="E6" s="209"/>
      <c r="F6" s="209"/>
      <c r="G6" s="210" t="s">
        <v>538</v>
      </c>
      <c r="H6" s="207"/>
      <c r="I6" s="209"/>
      <c r="J6" s="209" t="s">
        <v>515</v>
      </c>
      <c r="K6" s="211"/>
      <c r="L6" s="209" t="s">
        <v>514</v>
      </c>
      <c r="M6" s="201" t="s">
        <v>463</v>
      </c>
    </row>
    <row r="7" spans="1:18">
      <c r="A7" s="207"/>
      <c r="B7" s="207"/>
      <c r="C7" s="208"/>
      <c r="D7" s="209"/>
      <c r="E7" s="209"/>
      <c r="F7" s="209"/>
      <c r="G7" s="207"/>
      <c r="H7" s="207"/>
      <c r="I7" s="212"/>
      <c r="J7" s="213" t="s">
        <v>513</v>
      </c>
      <c r="K7" s="211"/>
      <c r="L7" s="209" t="s">
        <v>502</v>
      </c>
      <c r="M7" s="213" t="s">
        <v>512</v>
      </c>
    </row>
    <row r="8" spans="1:18">
      <c r="A8" s="207"/>
      <c r="B8" s="207"/>
      <c r="C8" s="208"/>
      <c r="D8" s="209"/>
      <c r="E8" s="209"/>
      <c r="F8" s="209"/>
      <c r="G8" s="207"/>
      <c r="H8" s="207"/>
      <c r="I8" s="211"/>
      <c r="J8" s="211"/>
      <c r="K8" s="211"/>
      <c r="L8" s="211"/>
      <c r="M8" s="213" t="s">
        <v>511</v>
      </c>
    </row>
    <row r="9" spans="1:18" ht="15.75">
      <c r="A9" s="214" t="s">
        <v>122</v>
      </c>
      <c r="B9" s="214"/>
      <c r="C9" s="215"/>
      <c r="D9" s="216" t="s">
        <v>536</v>
      </c>
      <c r="E9" s="216"/>
      <c r="F9" s="216"/>
      <c r="G9" s="216"/>
      <c r="H9" s="215"/>
      <c r="I9" s="215"/>
      <c r="J9" s="215"/>
      <c r="L9" s="217"/>
      <c r="M9" s="161" t="s">
        <v>510</v>
      </c>
    </row>
    <row r="10" spans="1:18">
      <c r="A10" s="218"/>
      <c r="B10" s="218"/>
      <c r="C10" s="219"/>
      <c r="D10" s="218"/>
      <c r="E10" s="220"/>
      <c r="F10" s="220"/>
      <c r="G10" s="218"/>
      <c r="H10" s="218"/>
    </row>
    <row r="11" spans="1:18">
      <c r="A11" s="221"/>
      <c r="B11" s="222" t="s">
        <v>425</v>
      </c>
      <c r="C11" s="223"/>
      <c r="D11" s="137"/>
      <c r="E11" s="224"/>
      <c r="F11" s="224"/>
      <c r="G11" s="137"/>
      <c r="H11" s="137"/>
      <c r="I11" s="137"/>
      <c r="J11" s="137"/>
      <c r="K11" s="225"/>
      <c r="L11" s="226"/>
      <c r="M11" s="226"/>
      <c r="Q11" s="137"/>
      <c r="R11" s="227"/>
    </row>
    <row r="12" spans="1:18">
      <c r="A12" s="221"/>
      <c r="B12" s="228"/>
      <c r="C12" s="229"/>
      <c r="D12" s="137"/>
      <c r="E12" s="230"/>
      <c r="F12" s="230"/>
      <c r="G12" s="226"/>
      <c r="H12" s="226"/>
      <c r="I12" s="226"/>
      <c r="J12" s="226"/>
      <c r="K12" s="226"/>
    </row>
    <row r="13" spans="1:18">
      <c r="A13" s="231">
        <v>311</v>
      </c>
      <c r="B13" s="232" t="s">
        <v>2</v>
      </c>
      <c r="C13" s="233"/>
      <c r="D13" s="230"/>
      <c r="E13" s="234"/>
      <c r="F13" s="234"/>
      <c r="G13" s="235"/>
      <c r="H13" s="235"/>
      <c r="I13" s="235"/>
      <c r="J13" s="235"/>
      <c r="K13" s="235"/>
    </row>
    <row r="14" spans="1:18">
      <c r="A14" s="231"/>
      <c r="B14" s="236" t="s">
        <v>426</v>
      </c>
      <c r="C14" s="237">
        <v>29664979.16</v>
      </c>
      <c r="D14" s="238">
        <v>394296.39</v>
      </c>
      <c r="E14" s="239">
        <v>1.33</v>
      </c>
      <c r="F14" s="240">
        <v>1.3300000000000001E-2</v>
      </c>
      <c r="G14" s="240">
        <v>4.2545285239971156E-2</v>
      </c>
      <c r="H14" s="240">
        <f>G14/F14</f>
        <v>3.1988936270655004</v>
      </c>
      <c r="I14" s="238">
        <f>D14*H14</f>
        <v>1261312.2091459332</v>
      </c>
      <c r="J14" s="238">
        <f>I14-D14</f>
        <v>867015.81914593314</v>
      </c>
      <c r="L14" s="241">
        <v>271505.12411903415</v>
      </c>
      <c r="M14" s="241">
        <f>J14-L14</f>
        <v>595510.69502689899</v>
      </c>
    </row>
    <row r="15" spans="1:18">
      <c r="A15" s="231"/>
      <c r="B15" s="236" t="s">
        <v>427</v>
      </c>
      <c r="C15" s="242">
        <v>27862834.57</v>
      </c>
      <c r="D15" s="239">
        <v>394869.37</v>
      </c>
      <c r="E15" s="239">
        <v>1.42</v>
      </c>
      <c r="F15" s="240">
        <v>1.4199999999999999E-2</v>
      </c>
      <c r="G15" s="240">
        <v>4.5902687925982975E-2</v>
      </c>
      <c r="H15" s="240">
        <f>G15/F15</f>
        <v>3.2325836567593647</v>
      </c>
      <c r="I15" s="239">
        <f>D15*H15</f>
        <v>1276448.2720168666</v>
      </c>
      <c r="J15" s="239">
        <f>I15-D15</f>
        <v>881578.9020168666</v>
      </c>
      <c r="L15" s="230">
        <v>273459.57922370324</v>
      </c>
      <c r="M15" s="230">
        <f>J15-L15</f>
        <v>608119.32279316336</v>
      </c>
    </row>
    <row r="16" spans="1:18">
      <c r="A16" s="231"/>
      <c r="B16" s="236" t="s">
        <v>428</v>
      </c>
      <c r="C16" s="243">
        <v>70065640.599999994</v>
      </c>
      <c r="D16" s="244">
        <v>870869.89999999991</v>
      </c>
      <c r="E16" s="244">
        <v>1.31</v>
      </c>
      <c r="F16" s="245">
        <v>1.3100000000000001E-2</v>
      </c>
      <c r="G16" s="245">
        <v>3.9434449986317545E-2</v>
      </c>
      <c r="H16" s="245">
        <f>G16/F16</f>
        <v>3.0102633577341638</v>
      </c>
      <c r="I16" s="244">
        <f>D16*H16</f>
        <v>2621547.7493236153</v>
      </c>
      <c r="J16" s="244">
        <f>I16-D16</f>
        <v>1750677.8493236154</v>
      </c>
      <c r="L16" s="246">
        <v>525494.70970297093</v>
      </c>
      <c r="M16" s="246">
        <f>J16-L16</f>
        <v>1225183.1396206445</v>
      </c>
    </row>
    <row r="17" spans="1:15">
      <c r="A17" s="231"/>
      <c r="B17" s="247"/>
      <c r="C17" s="248"/>
      <c r="D17" s="221"/>
      <c r="E17" s="230"/>
      <c r="F17" s="249"/>
      <c r="G17" s="249"/>
      <c r="H17" s="249"/>
      <c r="I17" s="221"/>
      <c r="J17" s="221"/>
      <c r="L17" s="221"/>
    </row>
    <row r="18" spans="1:15">
      <c r="A18" s="231"/>
      <c r="B18" s="250" t="s">
        <v>424</v>
      </c>
      <c r="C18" s="248">
        <f>+SUBTOTAL(9,C14:C16)</f>
        <v>127593454.33</v>
      </c>
      <c r="D18" s="248">
        <f>+SUBTOTAL(9,D14:D16)</f>
        <v>1660035.66</v>
      </c>
      <c r="E18" s="249">
        <f>D18/C18</f>
        <v>1.3010351265407267E-2</v>
      </c>
      <c r="F18" s="249">
        <f>D18/C18</f>
        <v>1.3010351265407267E-2</v>
      </c>
      <c r="G18" s="249">
        <f>I18/C18</f>
        <v>4.0435524358034013E-2</v>
      </c>
      <c r="H18" s="249">
        <f>G18/F18</f>
        <v>3.1079502415547</v>
      </c>
      <c r="I18" s="248">
        <f>+SUBTOTAL(9,I14:I16)</f>
        <v>5159308.2304864153</v>
      </c>
      <c r="J18" s="248">
        <f>+SUBTOTAL(9,J14:J16)</f>
        <v>3499272.5704864152</v>
      </c>
      <c r="K18" s="199">
        <f>H18*D18-I18</f>
        <v>0</v>
      </c>
      <c r="L18" s="248">
        <f>+SUBTOTAL(9,L14:L16)</f>
        <v>1070459.4130457083</v>
      </c>
      <c r="M18" s="242">
        <f>+SUBTOTAL(9,M14:M16)</f>
        <v>2428813.1574407071</v>
      </c>
      <c r="O18" s="251"/>
    </row>
    <row r="19" spans="1:15">
      <c r="A19" s="231"/>
      <c r="B19" s="248"/>
      <c r="C19" s="248"/>
      <c r="D19" s="221"/>
      <c r="E19" s="230"/>
      <c r="F19" s="252"/>
      <c r="G19" s="252"/>
      <c r="H19" s="252"/>
      <c r="I19" s="253"/>
      <c r="J19" s="254"/>
      <c r="K19" s="255"/>
      <c r="L19" s="254"/>
      <c r="M19" s="251"/>
      <c r="O19" s="251"/>
    </row>
    <row r="20" spans="1:15">
      <c r="A20" s="231">
        <v>312</v>
      </c>
      <c r="B20" s="247" t="s">
        <v>3</v>
      </c>
      <c r="C20" s="248"/>
      <c r="D20" s="221"/>
      <c r="E20" s="230"/>
      <c r="F20" s="252"/>
      <c r="G20" s="252"/>
      <c r="H20" s="252"/>
      <c r="I20" s="221"/>
      <c r="J20" s="221"/>
      <c r="K20" s="255"/>
      <c r="L20" s="221"/>
    </row>
    <row r="21" spans="1:15">
      <c r="A21" s="231"/>
      <c r="B21" s="236" t="s">
        <v>429</v>
      </c>
      <c r="C21" s="242">
        <v>137645881.58000001</v>
      </c>
      <c r="D21" s="239">
        <v>1974272.8600000003</v>
      </c>
      <c r="E21" s="239">
        <v>1.44</v>
      </c>
      <c r="F21" s="240">
        <v>1.44E-2</v>
      </c>
      <c r="G21" s="240">
        <v>5.2398160534924153E-2</v>
      </c>
      <c r="H21" s="240">
        <f>G21/F21</f>
        <v>3.638761148258622</v>
      </c>
      <c r="I21" s="239">
        <f>D21*H21</f>
        <v>7183907.3790294351</v>
      </c>
      <c r="J21" s="239">
        <f>I21-D21</f>
        <v>5209634.5190294348</v>
      </c>
      <c r="K21" s="255"/>
      <c r="L21" s="230">
        <v>1739844.9584668069</v>
      </c>
      <c r="M21" s="230">
        <f>J21-L21</f>
        <v>3469789.5605626279</v>
      </c>
    </row>
    <row r="22" spans="1:15">
      <c r="A22" s="231"/>
      <c r="B22" s="236" t="s">
        <v>430</v>
      </c>
      <c r="C22" s="242">
        <v>126930413.23</v>
      </c>
      <c r="D22" s="239">
        <v>1998527.3800000004</v>
      </c>
      <c r="E22" s="239">
        <v>1.64</v>
      </c>
      <c r="F22" s="240">
        <v>1.6399999999999998E-2</v>
      </c>
      <c r="G22" s="240">
        <v>5.8804094385756532E-2</v>
      </c>
      <c r="H22" s="240">
        <f>G22/F22</f>
        <v>3.5856155113266182</v>
      </c>
      <c r="I22" s="239">
        <f>D22*H22</f>
        <v>7165950.773538948</v>
      </c>
      <c r="J22" s="239">
        <f>I22-D22</f>
        <v>5167423.3935389481</v>
      </c>
      <c r="K22" s="255"/>
      <c r="L22" s="230">
        <v>1674131.5028066491</v>
      </c>
      <c r="M22" s="230">
        <f>J22-L22</f>
        <v>3493291.8907322991</v>
      </c>
    </row>
    <row r="23" spans="1:15">
      <c r="A23" s="231"/>
      <c r="B23" s="236" t="s">
        <v>431</v>
      </c>
      <c r="C23" s="243">
        <v>15254041.73</v>
      </c>
      <c r="D23" s="244">
        <v>228489.08000000002</v>
      </c>
      <c r="E23" s="244">
        <v>1.49</v>
      </c>
      <c r="F23" s="245">
        <v>1.49E-2</v>
      </c>
      <c r="G23" s="245">
        <v>5.0751991747697935E-2</v>
      </c>
      <c r="H23" s="245">
        <f>G23/F23</f>
        <v>3.4061739427985191</v>
      </c>
      <c r="I23" s="244">
        <f>D23*H23</f>
        <v>778273.55051000637</v>
      </c>
      <c r="J23" s="244">
        <f>I23-D23</f>
        <v>549784.47051000642</v>
      </c>
      <c r="K23" s="255"/>
      <c r="L23" s="246">
        <v>178631.95030116051</v>
      </c>
      <c r="M23" s="246">
        <f>J23-L23</f>
        <v>371152.5202088459</v>
      </c>
    </row>
    <row r="24" spans="1:15">
      <c r="A24" s="231"/>
      <c r="B24" s="232"/>
      <c r="C24" s="248"/>
      <c r="D24" s="221"/>
      <c r="E24" s="230"/>
      <c r="F24" s="252"/>
      <c r="G24" s="252"/>
      <c r="H24" s="252"/>
      <c r="I24" s="221"/>
      <c r="J24" s="221"/>
      <c r="K24" s="255"/>
      <c r="L24" s="221"/>
    </row>
    <row r="25" spans="1:15">
      <c r="A25" s="231"/>
      <c r="B25" s="250" t="s">
        <v>432</v>
      </c>
      <c r="C25" s="248">
        <f>+SUBTOTAL(9,C21:C23)</f>
        <v>279830336.54000002</v>
      </c>
      <c r="D25" s="248">
        <f>+SUBTOTAL(9,D21:D23)</f>
        <v>4201289.32</v>
      </c>
      <c r="E25" s="249">
        <f>D25/C25</f>
        <v>1.5013702130896204E-2</v>
      </c>
      <c r="F25" s="249">
        <f>D25/C25</f>
        <v>1.5013702130896204E-2</v>
      </c>
      <c r="G25" s="249">
        <f>I25/C25</f>
        <v>5.4061800054033514E-2</v>
      </c>
      <c r="H25" s="249">
        <f>G25/F25</f>
        <v>3.6008307333326877</v>
      </c>
      <c r="I25" s="248">
        <f>+SUBTOTAL(9,I21:I23)</f>
        <v>15128131.703078389</v>
      </c>
      <c r="J25" s="248">
        <f>+SUBTOTAL(9,J21:J23)</f>
        <v>10926842.383078389</v>
      </c>
      <c r="K25" s="199">
        <f>H25*D25-I25</f>
        <v>0</v>
      </c>
      <c r="L25" s="248">
        <f>+SUBTOTAL(9,L21:L23)</f>
        <v>3592608.4115746166</v>
      </c>
      <c r="M25" s="242">
        <f>+SUBTOTAL(9,M21:M23)</f>
        <v>7334233.9715037728</v>
      </c>
    </row>
    <row r="26" spans="1:15">
      <c r="A26" s="231"/>
      <c r="B26" s="248"/>
      <c r="C26" s="248"/>
      <c r="D26" s="221"/>
      <c r="E26" s="230"/>
      <c r="F26" s="252"/>
      <c r="G26" s="252"/>
      <c r="H26" s="252"/>
      <c r="I26" s="253"/>
      <c r="J26" s="254"/>
      <c r="K26" s="255"/>
      <c r="L26" s="254"/>
      <c r="M26" s="251"/>
    </row>
    <row r="27" spans="1:15">
      <c r="A27" s="231">
        <v>314</v>
      </c>
      <c r="B27" s="247" t="s">
        <v>433</v>
      </c>
      <c r="C27" s="248"/>
      <c r="D27" s="221"/>
      <c r="E27" s="230"/>
      <c r="F27" s="252"/>
      <c r="G27" s="252"/>
      <c r="H27" s="252"/>
      <c r="I27" s="221"/>
      <c r="J27" s="221"/>
      <c r="K27" s="255"/>
      <c r="L27" s="221"/>
    </row>
    <row r="28" spans="1:15">
      <c r="A28" s="231"/>
      <c r="B28" s="236" t="s">
        <v>434</v>
      </c>
      <c r="C28" s="242">
        <v>42228337.039999999</v>
      </c>
      <c r="D28" s="239">
        <v>794063.42999999993</v>
      </c>
      <c r="E28" s="239">
        <v>1.87</v>
      </c>
      <c r="F28" s="240">
        <v>1.8700000000000001E-2</v>
      </c>
      <c r="G28" s="240">
        <v>8.6643359802074743E-2</v>
      </c>
      <c r="H28" s="240">
        <f>G28/F28</f>
        <v>4.6333347487740504</v>
      </c>
      <c r="I28" s="239">
        <f>D28*H28</f>
        <v>3679161.6829497106</v>
      </c>
      <c r="J28" s="239">
        <f>I28-D28</f>
        <v>2885098.2529497109</v>
      </c>
      <c r="K28" s="255"/>
      <c r="L28" s="230">
        <v>1136236.8592539839</v>
      </c>
      <c r="M28" s="230">
        <f>J28-L28</f>
        <v>1748861.393695727</v>
      </c>
    </row>
    <row r="29" spans="1:15">
      <c r="A29" s="231"/>
      <c r="B29" s="236" t="s">
        <v>435</v>
      </c>
      <c r="C29" s="243">
        <v>39133170.240000002</v>
      </c>
      <c r="D29" s="244">
        <v>722141.74</v>
      </c>
      <c r="E29" s="244">
        <v>1.92</v>
      </c>
      <c r="F29" s="245">
        <v>1.9199999999999998E-2</v>
      </c>
      <c r="G29" s="245">
        <v>8.3402621867417606E-2</v>
      </c>
      <c r="H29" s="245">
        <f>G29/F29</f>
        <v>4.3438865555946675</v>
      </c>
      <c r="I29" s="244">
        <f>D29*H29</f>
        <v>3136901.7956197397</v>
      </c>
      <c r="J29" s="244">
        <f>I29-D29</f>
        <v>2414760.0556197399</v>
      </c>
      <c r="K29" s="255"/>
      <c r="L29" s="246">
        <v>885747.14570394158</v>
      </c>
      <c r="M29" s="246">
        <f>J29-L29</f>
        <v>1529012.9099157983</v>
      </c>
    </row>
    <row r="30" spans="1:15">
      <c r="A30" s="231"/>
      <c r="B30" s="247"/>
      <c r="C30" s="248"/>
      <c r="D30" s="221"/>
      <c r="E30" s="230"/>
      <c r="F30" s="252"/>
      <c r="G30" s="252"/>
      <c r="H30" s="252"/>
      <c r="I30" s="221"/>
      <c r="J30" s="221"/>
      <c r="K30" s="255"/>
      <c r="L30" s="221"/>
      <c r="M30" s="221"/>
    </row>
    <row r="31" spans="1:15">
      <c r="A31" s="231"/>
      <c r="B31" s="250" t="s">
        <v>436</v>
      </c>
      <c r="C31" s="248">
        <f>+SUBTOTAL(9,C28:C29)</f>
        <v>81361507.280000001</v>
      </c>
      <c r="D31" s="248">
        <f>+SUBTOTAL(9,D28:D29)</f>
        <v>1516205.17</v>
      </c>
      <c r="E31" s="249">
        <f>D31/C31</f>
        <v>1.8635411519382066E-2</v>
      </c>
      <c r="F31" s="249">
        <f>D31/C31</f>
        <v>1.8635411519382066E-2</v>
      </c>
      <c r="G31" s="249">
        <f>I31/C31</f>
        <v>8.3775039406686985E-2</v>
      </c>
      <c r="H31" s="249">
        <f>G31/F31</f>
        <v>4.4954756872181427</v>
      </c>
      <c r="I31" s="248">
        <f>+SUBTOTAL(9,I28:I29)</f>
        <v>6816063.4785694499</v>
      </c>
      <c r="J31" s="248">
        <f>+SUBTOTAL(9,J28:J29)</f>
        <v>5299858.3085694509</v>
      </c>
      <c r="K31" s="199">
        <f>H31*D31-I31</f>
        <v>0</v>
      </c>
      <c r="L31" s="248">
        <f>+SUBTOTAL(9,L28:L29)</f>
        <v>2021984.0049579255</v>
      </c>
      <c r="M31" s="242">
        <f>+SUBTOTAL(9,M28:M29)</f>
        <v>3277874.3036115253</v>
      </c>
    </row>
    <row r="32" spans="1:15">
      <c r="A32" s="231"/>
      <c r="B32" s="248"/>
      <c r="C32" s="248"/>
      <c r="D32" s="221"/>
      <c r="E32" s="230"/>
      <c r="F32" s="252"/>
      <c r="G32" s="252"/>
      <c r="H32" s="252"/>
      <c r="I32" s="253"/>
      <c r="J32" s="254"/>
      <c r="K32" s="255"/>
      <c r="L32" s="254"/>
      <c r="M32" s="253"/>
    </row>
    <row r="33" spans="1:13">
      <c r="A33" s="231">
        <v>315</v>
      </c>
      <c r="B33" s="247" t="s">
        <v>5</v>
      </c>
      <c r="C33" s="248"/>
      <c r="D33" s="221"/>
      <c r="E33" s="230"/>
      <c r="F33" s="252"/>
      <c r="G33" s="252"/>
      <c r="H33" s="252"/>
      <c r="I33" s="221"/>
      <c r="J33" s="221"/>
      <c r="K33" s="255"/>
      <c r="L33" s="221"/>
    </row>
    <row r="34" spans="1:13">
      <c r="A34" s="231"/>
      <c r="B34" s="236" t="s">
        <v>437</v>
      </c>
      <c r="C34" s="242">
        <v>6769581.5</v>
      </c>
      <c r="D34" s="239">
        <v>84348.439999999988</v>
      </c>
      <c r="E34" s="239">
        <v>1.28</v>
      </c>
      <c r="F34" s="240">
        <v>1.2800000000000001E-2</v>
      </c>
      <c r="G34" s="240">
        <v>5.0842286188592309E-2</v>
      </c>
      <c r="H34" s="240">
        <f>G34/F34</f>
        <v>3.9720536084837739</v>
      </c>
      <c r="I34" s="239">
        <f>D34*H34</f>
        <v>335036.52547197702</v>
      </c>
      <c r="J34" s="239">
        <f>I34-D34</f>
        <v>250688.08547197701</v>
      </c>
      <c r="K34" s="255"/>
      <c r="L34" s="230">
        <v>86596.78729220778</v>
      </c>
      <c r="M34" s="230">
        <f>J34-L34</f>
        <v>164091.29817976925</v>
      </c>
    </row>
    <row r="35" spans="1:13">
      <c r="A35" s="231"/>
      <c r="B35" s="236" t="s">
        <v>438</v>
      </c>
      <c r="C35" s="242">
        <v>6474413.5999999996</v>
      </c>
      <c r="D35" s="239">
        <v>85465.65</v>
      </c>
      <c r="E35" s="239">
        <v>1.4</v>
      </c>
      <c r="F35" s="240">
        <v>1.3999999999999999E-2</v>
      </c>
      <c r="G35" s="240">
        <v>5.9817463623269299E-2</v>
      </c>
      <c r="H35" s="240">
        <f>G35/F35</f>
        <v>4.2726759730906645</v>
      </c>
      <c r="I35" s="239">
        <f>D35*H35</f>
        <v>365167.02927957615</v>
      </c>
      <c r="J35" s="239">
        <f>I35-D35</f>
        <v>279701.37927957613</v>
      </c>
      <c r="K35" s="255"/>
      <c r="L35" s="230">
        <v>101221.81316048058</v>
      </c>
      <c r="M35" s="230">
        <f>J35-L35</f>
        <v>178479.56611909554</v>
      </c>
    </row>
    <row r="36" spans="1:13">
      <c r="A36" s="137"/>
      <c r="B36" s="236" t="s">
        <v>439</v>
      </c>
      <c r="C36" s="243">
        <v>7639006.2400000002</v>
      </c>
      <c r="D36" s="244">
        <v>97796.070000000022</v>
      </c>
      <c r="E36" s="244">
        <v>1.28</v>
      </c>
      <c r="F36" s="245">
        <v>1.2800000000000001E-2</v>
      </c>
      <c r="G36" s="245">
        <v>4.4892226714557573E-2</v>
      </c>
      <c r="H36" s="245">
        <f>G36/F36</f>
        <v>3.5072052120748101</v>
      </c>
      <c r="I36" s="244">
        <f>D36*H36</f>
        <v>342990.88642443303</v>
      </c>
      <c r="J36" s="244">
        <f>I36-D36</f>
        <v>245194.81642443303</v>
      </c>
      <c r="K36" s="255"/>
      <c r="L36" s="246">
        <v>79131.305794101834</v>
      </c>
      <c r="M36" s="246">
        <f>J36-L36</f>
        <v>166063.51063033118</v>
      </c>
    </row>
    <row r="37" spans="1:13">
      <c r="A37" s="231"/>
      <c r="B37" s="247"/>
      <c r="C37" s="248"/>
      <c r="D37" s="221"/>
      <c r="E37" s="230"/>
      <c r="F37" s="249"/>
      <c r="G37" s="249"/>
      <c r="H37" s="249"/>
      <c r="I37" s="221"/>
      <c r="J37" s="221"/>
      <c r="K37" s="255"/>
      <c r="L37" s="221"/>
    </row>
    <row r="38" spans="1:13">
      <c r="A38" s="231"/>
      <c r="B38" s="250" t="s">
        <v>509</v>
      </c>
      <c r="C38" s="248">
        <f>+SUBTOTAL(9,C34:C36)</f>
        <v>20883001.34</v>
      </c>
      <c r="D38" s="248">
        <f>+SUBTOTAL(9,D34:D36)</f>
        <v>267610.15999999997</v>
      </c>
      <c r="E38" s="249">
        <f>D38/C38</f>
        <v>1.2814736523883208E-2</v>
      </c>
      <c r="F38" s="249">
        <f>D38/C38</f>
        <v>1.2814736523883208E-2</v>
      </c>
      <c r="G38" s="249">
        <f>I38/C38</f>
        <v>4.9954239057477652E-2</v>
      </c>
      <c r="H38" s="249">
        <f>G38/F38</f>
        <v>3.8981869790593384</v>
      </c>
      <c r="I38" s="248">
        <f>+SUBTOTAL(9,I34:I36)</f>
        <v>1043194.4411759861</v>
      </c>
      <c r="J38" s="248">
        <f>+SUBTOTAL(9,J34:J36)</f>
        <v>775584.28117598617</v>
      </c>
      <c r="K38" s="199">
        <f>H38*D38-I38</f>
        <v>0</v>
      </c>
      <c r="L38" s="248">
        <f>+SUBTOTAL(9,L34:L36)</f>
        <v>266949.9062467902</v>
      </c>
      <c r="M38" s="242">
        <f>+SUBTOTAL(9,M34:M36)</f>
        <v>508634.37492919597</v>
      </c>
    </row>
    <row r="39" spans="1:13">
      <c r="A39" s="231"/>
      <c r="B39" s="248"/>
      <c r="C39" s="248"/>
      <c r="D39" s="221"/>
      <c r="E39" s="230"/>
      <c r="F39" s="252"/>
      <c r="G39" s="252"/>
      <c r="H39" s="252"/>
      <c r="I39" s="253"/>
      <c r="J39" s="254"/>
      <c r="K39" s="255"/>
      <c r="L39" s="254"/>
      <c r="M39" s="251"/>
    </row>
    <row r="40" spans="1:13">
      <c r="A40" s="231">
        <v>316</v>
      </c>
      <c r="B40" s="247" t="s">
        <v>508</v>
      </c>
      <c r="C40" s="248"/>
      <c r="D40" s="221"/>
      <c r="E40" s="230"/>
      <c r="F40" s="252"/>
      <c r="G40" s="252"/>
      <c r="H40" s="252"/>
      <c r="I40" s="221"/>
      <c r="J40" s="221"/>
      <c r="K40" s="255"/>
      <c r="L40" s="221"/>
    </row>
    <row r="41" spans="1:13">
      <c r="A41" s="231"/>
      <c r="B41" s="236" t="s">
        <v>440</v>
      </c>
      <c r="C41" s="242">
        <v>1043990.99</v>
      </c>
      <c r="D41" s="239">
        <v>20272.79</v>
      </c>
      <c r="E41" s="239">
        <v>2.0099999999999998</v>
      </c>
      <c r="F41" s="240">
        <v>2.01E-2</v>
      </c>
      <c r="G41" s="240">
        <v>8.6036183128362059E-2</v>
      </c>
      <c r="H41" s="240">
        <f>G41/F41</f>
        <v>4.2804071208140329</v>
      </c>
      <c r="I41" s="239">
        <f>D41*H41</f>
        <v>86775.794674767516</v>
      </c>
      <c r="J41" s="239">
        <f>I41-D41</f>
        <v>66503.004674767522</v>
      </c>
      <c r="K41" s="255"/>
      <c r="L41" s="230">
        <v>23406.385569583828</v>
      </c>
      <c r="M41" s="230">
        <f>J41-L41</f>
        <v>43096.619105183694</v>
      </c>
    </row>
    <row r="42" spans="1:13">
      <c r="A42" s="231"/>
      <c r="B42" s="236" t="s">
        <v>441</v>
      </c>
      <c r="C42" s="242">
        <v>1165681.21</v>
      </c>
      <c r="D42" s="239">
        <v>21861.16</v>
      </c>
      <c r="E42" s="239">
        <v>1.93</v>
      </c>
      <c r="F42" s="240">
        <v>1.9300000000000001E-2</v>
      </c>
      <c r="G42" s="240">
        <v>8.6375244909369348E-2</v>
      </c>
      <c r="H42" s="240">
        <f>G42/F42</f>
        <v>4.4754012906408986</v>
      </c>
      <c r="I42" s="239">
        <f>D42*H42</f>
        <v>97837.463678907181</v>
      </c>
      <c r="J42" s="239">
        <f>I42-D42</f>
        <v>75976.303678907178</v>
      </c>
      <c r="K42" s="255"/>
      <c r="L42" s="230">
        <v>27548.284740530693</v>
      </c>
      <c r="M42" s="230">
        <f>J42-L42</f>
        <v>48428.018938376481</v>
      </c>
    </row>
    <row r="43" spans="1:13">
      <c r="A43" s="231"/>
      <c r="B43" s="236" t="s">
        <v>442</v>
      </c>
      <c r="C43" s="242">
        <v>251533.56</v>
      </c>
      <c r="D43" s="239">
        <v>3471.1200000000008</v>
      </c>
      <c r="E43" s="239">
        <v>1.38</v>
      </c>
      <c r="F43" s="240">
        <v>1.38E-2</v>
      </c>
      <c r="G43" s="240">
        <v>3.7171978164663194E-2</v>
      </c>
      <c r="H43" s="240">
        <f>G43/F43</f>
        <v>2.693621606135014</v>
      </c>
      <c r="I43" s="239">
        <f>D43*H43</f>
        <v>9349.8838294873713</v>
      </c>
      <c r="J43" s="239">
        <f>I43-D43</f>
        <v>5878.7638294873705</v>
      </c>
      <c r="K43" s="255"/>
      <c r="L43" s="230">
        <v>1503.8181873475587</v>
      </c>
      <c r="M43" s="230">
        <f>J43-L43</f>
        <v>4374.9456421398118</v>
      </c>
    </row>
    <row r="44" spans="1:13">
      <c r="A44" s="231"/>
      <c r="B44" s="236" t="s">
        <v>443</v>
      </c>
      <c r="C44" s="243">
        <v>4444375.42</v>
      </c>
      <c r="D44" s="244">
        <v>72443.280000000013</v>
      </c>
      <c r="E44" s="244">
        <v>1.63</v>
      </c>
      <c r="F44" s="245">
        <v>1.6299999999999999E-2</v>
      </c>
      <c r="G44" s="245">
        <v>5.1344222401446003E-2</v>
      </c>
      <c r="H44" s="245">
        <f>G44/F44</f>
        <v>3.1499522945672398</v>
      </c>
      <c r="I44" s="244">
        <f>D44*H44</f>
        <v>228192.87606197706</v>
      </c>
      <c r="J44" s="244">
        <f>I44-D44</f>
        <v>155749.59606197703</v>
      </c>
      <c r="K44" s="255"/>
      <c r="L44" s="246">
        <v>48632.654240226169</v>
      </c>
      <c r="M44" s="246">
        <f>J44-L44</f>
        <v>107116.94182175086</v>
      </c>
    </row>
    <row r="45" spans="1:13">
      <c r="A45" s="231"/>
      <c r="B45" s="247"/>
      <c r="C45" s="248"/>
      <c r="D45" s="221"/>
      <c r="E45" s="230"/>
      <c r="F45" s="252"/>
      <c r="G45" s="252"/>
      <c r="H45" s="252"/>
      <c r="I45" s="221"/>
      <c r="J45" s="221"/>
      <c r="K45" s="255"/>
      <c r="L45" s="221"/>
    </row>
    <row r="46" spans="1:13">
      <c r="A46" s="231"/>
      <c r="B46" s="250" t="s">
        <v>507</v>
      </c>
      <c r="C46" s="256">
        <f>+SUBTOTAL(9,C41:C44)</f>
        <v>6905581.1799999997</v>
      </c>
      <c r="D46" s="256">
        <f>+SUBTOTAL(9,D41:D44)</f>
        <v>118048.35</v>
      </c>
      <c r="E46" s="257">
        <f>D46/C46</f>
        <v>1.7094629245963049E-2</v>
      </c>
      <c r="F46" s="258">
        <f>D46/C46</f>
        <v>1.7094629245963049E-2</v>
      </c>
      <c r="G46" s="258">
        <f>I46/C46</f>
        <v>6.1132583520673224E-2</v>
      </c>
      <c r="H46" s="249">
        <f>G46/F46</f>
        <v>3.5761280716345385</v>
      </c>
      <c r="I46" s="256">
        <f>+SUBTOTAL(9,I41:I44)</f>
        <v>422156.01824513916</v>
      </c>
      <c r="J46" s="256">
        <f>+SUBTOTAL(9,J41:J44)</f>
        <v>304107.66824513912</v>
      </c>
      <c r="K46" s="199">
        <f>H46*D46-I46</f>
        <v>0</v>
      </c>
      <c r="L46" s="256">
        <f>+SUBTOTAL(9,L41:L44)</f>
        <v>101091.14273768825</v>
      </c>
      <c r="M46" s="243">
        <f>+SUBTOTAL(9,M41:M44)</f>
        <v>203016.52550745086</v>
      </c>
    </row>
    <row r="47" spans="1:13">
      <c r="A47" s="231"/>
      <c r="B47" s="256"/>
      <c r="C47" s="248"/>
      <c r="D47" s="253"/>
      <c r="E47" s="230"/>
      <c r="F47" s="252"/>
      <c r="G47" s="252"/>
      <c r="H47" s="259"/>
      <c r="I47" s="253"/>
      <c r="J47" s="254"/>
      <c r="K47" s="255"/>
      <c r="L47" s="254"/>
      <c r="M47" s="251"/>
    </row>
    <row r="48" spans="1:13">
      <c r="A48" s="252"/>
      <c r="B48" s="260" t="s">
        <v>444</v>
      </c>
      <c r="C48" s="261">
        <f>SUBTOTAL(9,C13:C46)</f>
        <v>516573880.67000014</v>
      </c>
      <c r="D48" s="261">
        <f>SUBTOTAL(9,D13:D46)</f>
        <v>7763188.660000002</v>
      </c>
      <c r="E48" s="230"/>
      <c r="F48" s="262"/>
      <c r="G48" s="249"/>
      <c r="H48" s="249"/>
      <c r="I48" s="261">
        <f>SUBTOTAL(9,I13:I46)</f>
        <v>28568853.871555381</v>
      </c>
      <c r="J48" s="261">
        <f>SUBTOTAL(9,J13:J46)</f>
        <v>20805665.21155538</v>
      </c>
      <c r="K48" s="199">
        <f>H48*D48-I48</f>
        <v>-28568853.871555381</v>
      </c>
      <c r="L48" s="261">
        <f>SUBTOTAL(9,L13:L46)</f>
        <v>7053092.8785627289</v>
      </c>
      <c r="M48" s="263">
        <f>SUBTOTAL(9,M13:M46)</f>
        <v>13752572.332992654</v>
      </c>
    </row>
    <row r="49" spans="1:13">
      <c r="A49" s="252"/>
      <c r="B49" s="260"/>
      <c r="C49" s="264"/>
      <c r="D49" s="253"/>
      <c r="E49" s="230"/>
      <c r="F49" s="252"/>
      <c r="G49" s="252"/>
      <c r="H49" s="252"/>
      <c r="I49" s="253"/>
      <c r="J49" s="253"/>
      <c r="K49" s="255"/>
    </row>
    <row r="50" spans="1:13">
      <c r="L50" s="265"/>
      <c r="M50" s="266"/>
    </row>
    <row r="51" spans="1:13">
      <c r="B51" s="267" t="s">
        <v>539</v>
      </c>
    </row>
  </sheetData>
  <printOptions horizontalCentered="1"/>
  <pageMargins left="0.45" right="0.45" top="0.75" bottom="0.75" header="0.3" footer="0.3"/>
  <pageSetup scale="6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="85" zoomScaleNormal="85" workbookViewId="0">
      <pane xSplit="2" ySplit="5" topLeftCell="C6" activePane="bottomRight" state="frozen"/>
      <selection pane="topRight"/>
      <selection pane="bottomLeft"/>
      <selection pane="bottomRight" activeCell="A3" sqref="A3"/>
    </sheetView>
  </sheetViews>
  <sheetFormatPr defaultColWidth="9.140625" defaultRowHeight="12.75" outlineLevelCol="1"/>
  <cols>
    <col min="1" max="1" width="10.140625" style="196" bestFit="1" customWidth="1"/>
    <col min="2" max="2" width="39.42578125" style="197" customWidth="1"/>
    <col min="3" max="3" width="16.28515625" style="198" customWidth="1"/>
    <col min="4" max="4" width="17.7109375" style="197" customWidth="1"/>
    <col min="5" max="5" width="25.5703125" style="199" hidden="1" customWidth="1" outlineLevel="1"/>
    <col min="6" max="6" width="16" style="199" customWidth="1" collapsed="1"/>
    <col min="7" max="7" width="14.7109375" style="197" customWidth="1"/>
    <col min="8" max="8" width="15.28515625" style="197" customWidth="1"/>
    <col min="9" max="9" width="20.5703125" style="197" customWidth="1"/>
    <col min="10" max="10" width="18.7109375" style="197" customWidth="1"/>
    <col min="11" max="11" width="1.5703125" style="197" customWidth="1"/>
    <col min="12" max="12" width="15.5703125" style="197" customWidth="1"/>
    <col min="13" max="13" width="16.5703125" style="197" customWidth="1"/>
    <col min="14" max="14" width="14.5703125" style="197" customWidth="1"/>
    <col min="15" max="16" width="14" style="197" customWidth="1"/>
    <col min="17" max="17" width="15" style="197" customWidth="1"/>
    <col min="18" max="18" width="15.5703125" style="197" bestFit="1" customWidth="1"/>
    <col min="19" max="19" width="9.28515625" style="197" bestFit="1" customWidth="1"/>
    <col min="20" max="16384" width="9.140625" style="197"/>
  </cols>
  <sheetData>
    <row r="1" spans="1:19">
      <c r="M1" s="178" t="s">
        <v>541</v>
      </c>
    </row>
    <row r="3" spans="1:19">
      <c r="A3" s="177"/>
      <c r="C3" s="200"/>
      <c r="D3" s="201" t="s">
        <v>134</v>
      </c>
      <c r="E3" s="202"/>
      <c r="F3" s="203" t="s">
        <v>134</v>
      </c>
      <c r="G3" s="196"/>
      <c r="H3" s="196"/>
      <c r="I3" s="204" t="s">
        <v>136</v>
      </c>
      <c r="J3" s="205" t="s">
        <v>445</v>
      </c>
      <c r="L3" s="205" t="s">
        <v>445</v>
      </c>
      <c r="M3" s="205" t="s">
        <v>445</v>
      </c>
    </row>
    <row r="4" spans="1:19">
      <c r="A4" s="205" t="s">
        <v>129</v>
      </c>
      <c r="B4" s="205"/>
      <c r="C4" s="206" t="s">
        <v>132</v>
      </c>
      <c r="D4" s="204" t="s">
        <v>164</v>
      </c>
      <c r="E4" s="204" t="s">
        <v>134</v>
      </c>
      <c r="F4" s="204" t="s">
        <v>135</v>
      </c>
      <c r="G4" s="205" t="s">
        <v>136</v>
      </c>
      <c r="H4" s="205" t="s">
        <v>467</v>
      </c>
      <c r="I4" s="204" t="s">
        <v>164</v>
      </c>
      <c r="J4" s="205" t="s">
        <v>446</v>
      </c>
      <c r="L4" s="205" t="s">
        <v>446</v>
      </c>
      <c r="M4" s="205" t="s">
        <v>446</v>
      </c>
    </row>
    <row r="5" spans="1:19">
      <c r="A5" s="207" t="s">
        <v>130</v>
      </c>
      <c r="B5" s="207" t="s">
        <v>131</v>
      </c>
      <c r="C5" s="208" t="s">
        <v>133</v>
      </c>
      <c r="D5" s="209" t="s">
        <v>165</v>
      </c>
      <c r="E5" s="209" t="s">
        <v>135</v>
      </c>
      <c r="F5" s="209" t="s">
        <v>466</v>
      </c>
      <c r="G5" s="207" t="s">
        <v>135</v>
      </c>
      <c r="H5" s="207" t="s">
        <v>135</v>
      </c>
      <c r="I5" s="268" t="s">
        <v>447</v>
      </c>
      <c r="J5" s="209" t="s">
        <v>448</v>
      </c>
      <c r="L5" s="209" t="s">
        <v>448</v>
      </c>
      <c r="M5" s="209" t="s">
        <v>531</v>
      </c>
    </row>
    <row r="6" spans="1:19">
      <c r="A6" s="207"/>
      <c r="B6" s="207"/>
      <c r="C6" s="208"/>
      <c r="D6" s="209"/>
      <c r="E6" s="209"/>
      <c r="F6" s="209"/>
      <c r="G6" s="210" t="s">
        <v>538</v>
      </c>
      <c r="H6" s="207"/>
      <c r="I6" s="209"/>
      <c r="J6" s="209" t="s">
        <v>515</v>
      </c>
      <c r="K6" s="211"/>
      <c r="L6" s="209" t="s">
        <v>514</v>
      </c>
      <c r="M6" s="201" t="s">
        <v>463</v>
      </c>
    </row>
    <row r="7" spans="1:19">
      <c r="A7" s="207"/>
      <c r="B7" s="207"/>
      <c r="C7" s="208"/>
      <c r="D7" s="209"/>
      <c r="E7" s="209"/>
      <c r="F7" s="209"/>
      <c r="G7" s="207"/>
      <c r="H7" s="207"/>
      <c r="I7" s="209"/>
      <c r="J7" s="213" t="s">
        <v>530</v>
      </c>
      <c r="K7" s="211"/>
      <c r="L7" s="209" t="s">
        <v>502</v>
      </c>
      <c r="M7" s="213" t="s">
        <v>512</v>
      </c>
    </row>
    <row r="8" spans="1:19">
      <c r="A8" s="207"/>
      <c r="B8" s="207"/>
      <c r="C8" s="208"/>
      <c r="D8" s="209"/>
      <c r="E8" s="209"/>
      <c r="F8" s="209"/>
      <c r="G8" s="207"/>
      <c r="H8" s="207"/>
      <c r="I8" s="209"/>
      <c r="J8" s="211"/>
      <c r="K8" s="211"/>
      <c r="L8" s="211"/>
      <c r="M8" s="213" t="s">
        <v>511</v>
      </c>
    </row>
    <row r="9" spans="1:19" ht="15.75">
      <c r="A9" s="207"/>
      <c r="B9" s="207"/>
      <c r="C9" s="269"/>
      <c r="D9" s="216" t="s">
        <v>537</v>
      </c>
      <c r="E9" s="268"/>
      <c r="F9" s="268"/>
      <c r="G9" s="161"/>
      <c r="H9" s="161"/>
      <c r="I9" s="268"/>
      <c r="J9" s="215"/>
      <c r="L9" s="217"/>
      <c r="M9" s="161" t="s">
        <v>510</v>
      </c>
    </row>
    <row r="10" spans="1:19">
      <c r="A10" s="207"/>
      <c r="B10" s="207"/>
      <c r="C10" s="208"/>
      <c r="D10" s="209"/>
      <c r="E10" s="209"/>
      <c r="F10" s="209"/>
      <c r="G10" s="207"/>
      <c r="H10" s="207"/>
    </row>
    <row r="11" spans="1:19">
      <c r="A11" s="214" t="s">
        <v>122</v>
      </c>
      <c r="B11" s="214"/>
      <c r="C11" s="214"/>
      <c r="D11" s="214"/>
      <c r="E11" s="214"/>
      <c r="F11" s="214"/>
      <c r="G11" s="214"/>
      <c r="H11" s="214"/>
      <c r="I11" s="214"/>
      <c r="J11" s="214"/>
    </row>
    <row r="12" spans="1:19">
      <c r="A12" s="218"/>
      <c r="B12" s="218"/>
      <c r="C12" s="219"/>
      <c r="D12" s="218"/>
      <c r="E12" s="220"/>
      <c r="F12" s="220"/>
      <c r="G12" s="218"/>
      <c r="H12" s="218"/>
    </row>
    <row r="13" spans="1:19">
      <c r="A13" s="221"/>
      <c r="B13" s="222" t="s">
        <v>425</v>
      </c>
      <c r="C13" s="223"/>
      <c r="D13" s="137"/>
      <c r="E13" s="224"/>
      <c r="F13" s="224"/>
      <c r="G13" s="137"/>
      <c r="H13" s="137"/>
      <c r="I13" s="137"/>
      <c r="J13" s="137"/>
      <c r="K13" s="225"/>
      <c r="L13" s="226"/>
      <c r="M13" s="226"/>
      <c r="N13" s="226"/>
      <c r="R13" s="137"/>
      <c r="S13" s="227"/>
    </row>
    <row r="14" spans="1:19">
      <c r="A14" s="221"/>
      <c r="B14" s="228"/>
      <c r="C14" s="229"/>
      <c r="D14" s="137"/>
      <c r="E14" s="230"/>
      <c r="F14" s="230"/>
      <c r="G14" s="226"/>
      <c r="H14" s="226"/>
      <c r="I14" s="226"/>
      <c r="J14" s="226"/>
      <c r="K14" s="226"/>
    </row>
    <row r="15" spans="1:19">
      <c r="A15" s="231">
        <v>311</v>
      </c>
      <c r="B15" s="232" t="s">
        <v>2</v>
      </c>
      <c r="C15" s="233"/>
      <c r="D15" s="230"/>
      <c r="E15" s="234"/>
      <c r="F15" s="234"/>
      <c r="G15" s="235"/>
      <c r="H15" s="235"/>
      <c r="I15" s="235"/>
      <c r="J15" s="235"/>
      <c r="K15" s="235"/>
    </row>
    <row r="16" spans="1:19">
      <c r="A16" s="231"/>
      <c r="B16" s="236" t="s">
        <v>426</v>
      </c>
      <c r="C16" s="242">
        <v>29664979.16</v>
      </c>
      <c r="D16" s="239">
        <v>394296.39</v>
      </c>
      <c r="E16" s="239">
        <v>1.33</v>
      </c>
      <c r="F16" s="240">
        <v>1.3300000000000001E-2</v>
      </c>
      <c r="G16" s="240">
        <v>3.0206898011520465E-2</v>
      </c>
      <c r="H16" s="240">
        <f>G16/F16</f>
        <v>2.2711953392120647</v>
      </c>
      <c r="I16" s="239">
        <f>D16*H16</f>
        <v>895524.12323614256</v>
      </c>
      <c r="J16" s="239">
        <f>I16-D16</f>
        <v>501227.73323614255</v>
      </c>
      <c r="L16" s="241">
        <v>271505.12411903415</v>
      </c>
      <c r="M16" s="241">
        <f>J16-L16</f>
        <v>229722.6091171084</v>
      </c>
    </row>
    <row r="17" spans="1:13">
      <c r="A17" s="231"/>
      <c r="B17" s="236" t="s">
        <v>427</v>
      </c>
      <c r="C17" s="242">
        <v>27862834.57</v>
      </c>
      <c r="D17" s="239">
        <v>394869.37</v>
      </c>
      <c r="E17" s="239">
        <v>1.42</v>
      </c>
      <c r="F17" s="240">
        <v>1.4199999999999999E-2</v>
      </c>
      <c r="G17" s="240">
        <v>3.3316531297913815E-2</v>
      </c>
      <c r="H17" s="240">
        <f>G17/F17</f>
        <v>2.3462345984446351</v>
      </c>
      <c r="I17" s="239">
        <f>D17*H17</f>
        <v>926456.17776003608</v>
      </c>
      <c r="J17" s="239">
        <f>I17-D17</f>
        <v>531586.80776003608</v>
      </c>
      <c r="L17" s="230">
        <v>273459.57922370324</v>
      </c>
      <c r="M17" s="230">
        <f>J17-L17</f>
        <v>258127.22853633284</v>
      </c>
    </row>
    <row r="18" spans="1:13">
      <c r="A18" s="231"/>
      <c r="B18" s="236" t="s">
        <v>428</v>
      </c>
      <c r="C18" s="243">
        <v>70065640.599999994</v>
      </c>
      <c r="D18" s="244">
        <v>870869.89999999991</v>
      </c>
      <c r="E18" s="244">
        <v>1.31</v>
      </c>
      <c r="F18" s="245">
        <v>1.3100000000000001E-2</v>
      </c>
      <c r="G18" s="245">
        <v>2.8069492880651692E-2</v>
      </c>
      <c r="H18" s="245">
        <f>G18/F18</f>
        <v>2.1427093802024193</v>
      </c>
      <c r="I18" s="244">
        <f>D18*H18</f>
        <v>1866021.1036659428</v>
      </c>
      <c r="J18" s="244">
        <f>I18-D18</f>
        <v>995151.20366594288</v>
      </c>
      <c r="L18" s="246">
        <v>525494.70970297093</v>
      </c>
      <c r="M18" s="246">
        <f>J18-L18</f>
        <v>469656.49396297196</v>
      </c>
    </row>
    <row r="19" spans="1:13">
      <c r="A19" s="231"/>
      <c r="B19" s="247"/>
      <c r="C19" s="248"/>
      <c r="D19" s="221"/>
      <c r="E19" s="230"/>
      <c r="F19" s="249"/>
      <c r="G19" s="249"/>
      <c r="H19" s="249"/>
      <c r="I19" s="221"/>
      <c r="J19" s="221"/>
    </row>
    <row r="20" spans="1:13">
      <c r="A20" s="231"/>
      <c r="B20" s="250" t="s">
        <v>424</v>
      </c>
      <c r="C20" s="248">
        <f>+SUBTOTAL(9,C16:C18)</f>
        <v>127593454.33</v>
      </c>
      <c r="D20" s="248">
        <f>+SUBTOTAL(9,D16:D18)</f>
        <v>1660035.66</v>
      </c>
      <c r="E20" s="249">
        <f>D20/C20</f>
        <v>1.3010351265407267E-2</v>
      </c>
      <c r="F20" s="249">
        <f>D20/C20</f>
        <v>1.3010351265407267E-2</v>
      </c>
      <c r="G20" s="249">
        <f>I20/C20</f>
        <v>2.8904315068731486E-2</v>
      </c>
      <c r="H20" s="249">
        <f>G20/F20</f>
        <v>2.2216398680629079</v>
      </c>
      <c r="I20" s="248">
        <f>+SUBTOTAL(9,I16:I18)</f>
        <v>3688001.4046621216</v>
      </c>
      <c r="J20" s="248">
        <f>+SUBTOTAL(9,J16:J18)</f>
        <v>2027965.7446621214</v>
      </c>
      <c r="K20" s="199">
        <f>H20*D20-I20</f>
        <v>0</v>
      </c>
      <c r="L20" s="248">
        <f>+SUBTOTAL(9,L16:L18)</f>
        <v>1070459.4130457083</v>
      </c>
      <c r="M20" s="242">
        <f>+SUBTOTAL(9,M16:M18)</f>
        <v>957506.3316164132</v>
      </c>
    </row>
    <row r="21" spans="1:13">
      <c r="A21" s="231"/>
      <c r="B21" s="248"/>
      <c r="C21" s="248"/>
      <c r="D21" s="221"/>
      <c r="E21" s="230"/>
      <c r="F21" s="252"/>
      <c r="G21" s="252"/>
      <c r="H21" s="252"/>
      <c r="I21" s="253"/>
      <c r="J21" s="254"/>
      <c r="K21" s="255"/>
      <c r="M21" s="251"/>
    </row>
    <row r="22" spans="1:13">
      <c r="A22" s="231">
        <v>312</v>
      </c>
      <c r="B22" s="247" t="s">
        <v>535</v>
      </c>
      <c r="C22" s="248"/>
      <c r="D22" s="221"/>
      <c r="E22" s="230"/>
      <c r="F22" s="252"/>
      <c r="G22" s="252"/>
      <c r="H22" s="252"/>
      <c r="I22" s="221"/>
      <c r="J22" s="221"/>
      <c r="K22" s="255"/>
    </row>
    <row r="23" spans="1:13">
      <c r="A23" s="231"/>
      <c r="B23" s="236" t="s">
        <v>429</v>
      </c>
      <c r="C23" s="242">
        <v>137645881.58000001</v>
      </c>
      <c r="D23" s="239">
        <v>1974272.8600000003</v>
      </c>
      <c r="E23" s="239">
        <v>1.44</v>
      </c>
      <c r="F23" s="240">
        <v>1.44E-2</v>
      </c>
      <c r="G23" s="240">
        <v>3.7278747036232247E-2</v>
      </c>
      <c r="H23" s="240">
        <f>G23/F23</f>
        <v>2.5888018775161283</v>
      </c>
      <c r="I23" s="239">
        <f>D23*H23</f>
        <v>5111001.2866971372</v>
      </c>
      <c r="J23" s="239">
        <f>I23-D23</f>
        <v>3136728.4266971368</v>
      </c>
      <c r="K23" s="255"/>
      <c r="L23" s="230">
        <v>1739844.9584668069</v>
      </c>
      <c r="M23" s="230">
        <f>J23-L23</f>
        <v>1396883.4682303299</v>
      </c>
    </row>
    <row r="24" spans="1:13">
      <c r="A24" s="231"/>
      <c r="B24" s="236" t="s">
        <v>430</v>
      </c>
      <c r="C24" s="242">
        <v>126930413.23</v>
      </c>
      <c r="D24" s="239">
        <v>1998527.3800000004</v>
      </c>
      <c r="E24" s="239">
        <v>1.64</v>
      </c>
      <c r="F24" s="240">
        <v>1.6399999999999998E-2</v>
      </c>
      <c r="G24" s="240">
        <v>4.1705442102419915E-2</v>
      </c>
      <c r="H24" s="240">
        <f>G24/F24</f>
        <v>2.5430147623426782</v>
      </c>
      <c r="I24" s="239">
        <f>D24*H24</f>
        <v>5082284.6302860361</v>
      </c>
      <c r="J24" s="239">
        <f>I24-D24</f>
        <v>3083757.2502860357</v>
      </c>
      <c r="K24" s="255"/>
      <c r="L24" s="230">
        <v>1674131.5028066491</v>
      </c>
      <c r="M24" s="230">
        <f>J24-L24</f>
        <v>1409625.7474793866</v>
      </c>
    </row>
    <row r="25" spans="1:13">
      <c r="A25" s="231"/>
      <c r="B25" s="236" t="s">
        <v>431</v>
      </c>
      <c r="C25" s="243">
        <v>15254041.73</v>
      </c>
      <c r="D25" s="244">
        <v>228489.08000000002</v>
      </c>
      <c r="E25" s="244">
        <v>1.49</v>
      </c>
      <c r="F25" s="245">
        <v>1.49E-2</v>
      </c>
      <c r="G25" s="245">
        <v>3.6273206130792456E-2</v>
      </c>
      <c r="H25" s="245">
        <f>G25/F25</f>
        <v>2.434443364482715</v>
      </c>
      <c r="I25" s="244">
        <f>D25*H25</f>
        <v>556243.72466276027</v>
      </c>
      <c r="J25" s="244">
        <f>I25-D25</f>
        <v>327754.64466276026</v>
      </c>
      <c r="K25" s="255"/>
      <c r="L25" s="246">
        <v>178631.95030116051</v>
      </c>
      <c r="M25" s="246">
        <f>J25-L25</f>
        <v>149122.69436159974</v>
      </c>
    </row>
    <row r="26" spans="1:13">
      <c r="A26" s="231"/>
      <c r="B26" s="232"/>
      <c r="C26" s="248"/>
      <c r="D26" s="221"/>
      <c r="E26" s="230"/>
      <c r="F26" s="252"/>
      <c r="G26" s="252"/>
      <c r="H26" s="252"/>
      <c r="I26" s="221"/>
      <c r="J26" s="221"/>
      <c r="K26" s="255"/>
    </row>
    <row r="27" spans="1:13">
      <c r="A27" s="231"/>
      <c r="B27" s="250" t="s">
        <v>534</v>
      </c>
      <c r="C27" s="248">
        <f>+SUBTOTAL(9,C23:C25)</f>
        <v>279830336.54000002</v>
      </c>
      <c r="D27" s="248">
        <f>+SUBTOTAL(9,D23:D25)</f>
        <v>4201289.32</v>
      </c>
      <c r="E27" s="249">
        <f>D27/C27</f>
        <v>1.5013702130896204E-2</v>
      </c>
      <c r="F27" s="249">
        <f>D27/C27</f>
        <v>1.5013702130896204E-2</v>
      </c>
      <c r="G27" s="249">
        <f>I27/C27</f>
        <v>3.8414454181629996E-2</v>
      </c>
      <c r="H27" s="249">
        <f>G27/F27</f>
        <v>2.5586263698796952</v>
      </c>
      <c r="I27" s="248">
        <f>+SUBTOTAL(9,I23:I25)</f>
        <v>10749529.641645933</v>
      </c>
      <c r="J27" s="248">
        <f>+SUBTOTAL(9,J23:J25)</f>
        <v>6548240.3216459323</v>
      </c>
      <c r="K27" s="199">
        <f>H27*D27-I27</f>
        <v>0</v>
      </c>
      <c r="L27" s="248">
        <f>+SUBTOTAL(9,L23:L25)</f>
        <v>3592608.4115746166</v>
      </c>
      <c r="M27" s="242">
        <f>+SUBTOTAL(9,M23:M25)</f>
        <v>2955631.9100713162</v>
      </c>
    </row>
    <row r="28" spans="1:13">
      <c r="A28" s="231"/>
      <c r="B28" s="248"/>
      <c r="C28" s="248"/>
      <c r="D28" s="221"/>
      <c r="E28" s="230"/>
      <c r="F28" s="252"/>
      <c r="G28" s="252"/>
      <c r="H28" s="252"/>
      <c r="I28" s="253"/>
      <c r="J28" s="254"/>
      <c r="K28" s="255"/>
    </row>
    <row r="29" spans="1:13">
      <c r="A29" s="231">
        <v>314</v>
      </c>
      <c r="B29" s="247" t="s">
        <v>433</v>
      </c>
      <c r="C29" s="248"/>
      <c r="D29" s="221"/>
      <c r="E29" s="230"/>
      <c r="F29" s="252"/>
      <c r="G29" s="252"/>
      <c r="H29" s="252"/>
      <c r="I29" s="221"/>
      <c r="J29" s="221"/>
      <c r="K29" s="255"/>
    </row>
    <row r="30" spans="1:13">
      <c r="A30" s="231"/>
      <c r="B30" s="236" t="s">
        <v>434</v>
      </c>
      <c r="C30" s="242">
        <v>42228337.039999999</v>
      </c>
      <c r="D30" s="270">
        <v>794063.42999999993</v>
      </c>
      <c r="E30" s="270">
        <v>1.87</v>
      </c>
      <c r="F30" s="271">
        <v>1.8700000000000001E-2</v>
      </c>
      <c r="G30" s="271">
        <v>6.2299067034253267E-2</v>
      </c>
      <c r="H30" s="271">
        <f>G30/F30</f>
        <v>3.3315009109226343</v>
      </c>
      <c r="I30" s="270">
        <f>D30*H30</f>
        <v>2645423.0403753514</v>
      </c>
      <c r="J30" s="270">
        <f>I30-D30</f>
        <v>1851359.6103753515</v>
      </c>
      <c r="K30" s="255"/>
      <c r="L30" s="230">
        <v>1136236.8592539839</v>
      </c>
      <c r="M30" s="230">
        <f>J30-L30</f>
        <v>715122.75112136756</v>
      </c>
    </row>
    <row r="31" spans="1:13">
      <c r="A31" s="231"/>
      <c r="B31" s="236" t="s">
        <v>435</v>
      </c>
      <c r="C31" s="243">
        <v>39133170.240000002</v>
      </c>
      <c r="D31" s="244">
        <v>722141.74</v>
      </c>
      <c r="E31" s="244">
        <v>1.92</v>
      </c>
      <c r="F31" s="245">
        <v>1.9199999999999998E-2</v>
      </c>
      <c r="G31" s="245">
        <v>5.8910458464302533E-2</v>
      </c>
      <c r="H31" s="245">
        <f>G31/F31</f>
        <v>3.0682530450157572</v>
      </c>
      <c r="I31" s="244">
        <f>D31*H31</f>
        <v>2215713.592687977</v>
      </c>
      <c r="J31" s="244">
        <f>I31-D31</f>
        <v>1493571.852687977</v>
      </c>
      <c r="K31" s="255"/>
      <c r="L31" s="246">
        <v>885747.14570394158</v>
      </c>
      <c r="M31" s="246">
        <f>J31-L31</f>
        <v>607824.70698403544</v>
      </c>
    </row>
    <row r="32" spans="1:13">
      <c r="A32" s="231"/>
      <c r="B32" s="247"/>
      <c r="C32" s="248"/>
      <c r="D32" s="221"/>
      <c r="E32" s="230"/>
      <c r="F32" s="252"/>
      <c r="G32" s="252"/>
      <c r="H32" s="252"/>
      <c r="I32" s="221"/>
      <c r="J32" s="221"/>
      <c r="K32" s="255"/>
    </row>
    <row r="33" spans="1:13">
      <c r="A33" s="231"/>
      <c r="B33" s="250" t="s">
        <v>436</v>
      </c>
      <c r="C33" s="248">
        <f>+SUBTOTAL(9,C30:C31)</f>
        <v>81361507.280000001</v>
      </c>
      <c r="D33" s="248">
        <f>+SUBTOTAL(9,D30:D31)</f>
        <v>1516205.17</v>
      </c>
      <c r="E33" s="249">
        <f>D33/C33</f>
        <v>1.8635411519382066E-2</v>
      </c>
      <c r="F33" s="249">
        <f>D33/C33</f>
        <v>1.8635411519382066E-2</v>
      </c>
      <c r="G33" s="249">
        <f>I33/C33</f>
        <v>5.9747376807242063E-2</v>
      </c>
      <c r="H33" s="249">
        <f>G33/F33</f>
        <v>3.2061206024401887</v>
      </c>
      <c r="I33" s="248">
        <f>+SUBTOTAL(9,I30:I31)</f>
        <v>4861136.6330633285</v>
      </c>
      <c r="J33" s="248">
        <f>+SUBTOTAL(9,J30:J31)</f>
        <v>3344931.4630633285</v>
      </c>
      <c r="K33" s="199">
        <f>H33*D33-I33</f>
        <v>0</v>
      </c>
      <c r="L33" s="248">
        <f>+SUBTOTAL(9,L30:L31)</f>
        <v>2021984.0049579255</v>
      </c>
      <c r="M33" s="242">
        <f>+SUBTOTAL(9,M30:M31)</f>
        <v>1322947.458105403</v>
      </c>
    </row>
    <row r="34" spans="1:13">
      <c r="A34" s="231"/>
      <c r="B34" s="248"/>
      <c r="C34" s="248"/>
      <c r="D34" s="221"/>
      <c r="E34" s="230"/>
      <c r="F34" s="252"/>
      <c r="G34" s="252"/>
      <c r="H34" s="252"/>
      <c r="I34" s="253"/>
      <c r="J34" s="254"/>
      <c r="K34" s="255"/>
    </row>
    <row r="35" spans="1:13">
      <c r="A35" s="231">
        <v>315</v>
      </c>
      <c r="B35" s="247" t="s">
        <v>5</v>
      </c>
      <c r="C35" s="248"/>
      <c r="D35" s="221"/>
      <c r="E35" s="230"/>
      <c r="F35" s="252"/>
      <c r="G35" s="252"/>
      <c r="H35" s="252"/>
      <c r="I35" s="221"/>
      <c r="J35" s="221"/>
      <c r="K35" s="255"/>
    </row>
    <row r="36" spans="1:13">
      <c r="A36" s="231"/>
      <c r="B36" s="236" t="s">
        <v>437</v>
      </c>
      <c r="C36" s="242">
        <v>6769581.5</v>
      </c>
      <c r="D36" s="239">
        <v>84348.439999999988</v>
      </c>
      <c r="E36" s="239">
        <v>1.28</v>
      </c>
      <c r="F36" s="240">
        <v>1.2800000000000001E-2</v>
      </c>
      <c r="G36" s="240">
        <v>3.5718308436053246E-2</v>
      </c>
      <c r="H36" s="240">
        <f>G36/F36</f>
        <v>2.7904928465666599</v>
      </c>
      <c r="I36" s="239">
        <f>D36*H36</f>
        <v>235373.71843905709</v>
      </c>
      <c r="J36" s="239">
        <f>I36-D36</f>
        <v>151025.27843905712</v>
      </c>
      <c r="K36" s="255"/>
      <c r="L36" s="230">
        <v>86596.78729220778</v>
      </c>
      <c r="M36" s="230">
        <f>J36-L36</f>
        <v>64428.491146849337</v>
      </c>
    </row>
    <row r="37" spans="1:13">
      <c r="A37" s="231"/>
      <c r="B37" s="236" t="s">
        <v>438</v>
      </c>
      <c r="C37" s="242">
        <v>6474413.5999999996</v>
      </c>
      <c r="D37" s="239">
        <v>85465.65</v>
      </c>
      <c r="E37" s="239">
        <v>1.4</v>
      </c>
      <c r="F37" s="240">
        <v>1.3999999999999999E-2</v>
      </c>
      <c r="G37" s="240">
        <v>4.1816914507902307E-2</v>
      </c>
      <c r="H37" s="240">
        <f>G37/F37</f>
        <v>2.9869224648501653</v>
      </c>
      <c r="I37" s="239">
        <f>D37*H37</f>
        <v>255279.26995802153</v>
      </c>
      <c r="J37" s="239">
        <f>I37-D37</f>
        <v>169813.61995802153</v>
      </c>
      <c r="K37" s="255"/>
      <c r="L37" s="230">
        <v>101221.81316048058</v>
      </c>
      <c r="M37" s="230">
        <f>J37-L37</f>
        <v>68591.80679754095</v>
      </c>
    </row>
    <row r="38" spans="1:13">
      <c r="A38" s="137"/>
      <c r="B38" s="236" t="s">
        <v>439</v>
      </c>
      <c r="C38" s="243">
        <v>7639006.2400000002</v>
      </c>
      <c r="D38" s="244">
        <v>97796.070000000022</v>
      </c>
      <c r="E38" s="244">
        <v>1.28</v>
      </c>
      <c r="F38" s="245">
        <v>1.2800000000000001E-2</v>
      </c>
      <c r="G38" s="245">
        <v>3.1636052178430997E-2</v>
      </c>
      <c r="H38" s="245">
        <f>G38/F38</f>
        <v>2.4715665764399217</v>
      </c>
      <c r="I38" s="244">
        <f>D38*H38</f>
        <v>241709.49791917898</v>
      </c>
      <c r="J38" s="244">
        <f>I38-D38</f>
        <v>143913.42791917897</v>
      </c>
      <c r="K38" s="255"/>
      <c r="L38" s="246">
        <v>79131.305794101834</v>
      </c>
      <c r="M38" s="246">
        <f>J38-L38</f>
        <v>64782.122125077134</v>
      </c>
    </row>
    <row r="39" spans="1:13">
      <c r="A39" s="231"/>
      <c r="B39" s="247"/>
      <c r="C39" s="248"/>
      <c r="D39" s="221"/>
      <c r="E39" s="230"/>
      <c r="F39" s="249"/>
      <c r="G39" s="249"/>
      <c r="H39" s="249"/>
      <c r="I39" s="221"/>
      <c r="J39" s="221"/>
      <c r="K39" s="255"/>
    </row>
    <row r="40" spans="1:13">
      <c r="A40" s="231"/>
      <c r="B40" s="250" t="s">
        <v>532</v>
      </c>
      <c r="C40" s="248">
        <f>+SUBTOTAL(9,C36:C38)</f>
        <v>20883001.34</v>
      </c>
      <c r="D40" s="248">
        <f>+SUBTOTAL(9,D36:D38)</f>
        <v>267610.15999999997</v>
      </c>
      <c r="E40" s="249">
        <f>D40/C40</f>
        <v>1.2814736523883208E-2</v>
      </c>
      <c r="F40" s="249">
        <f>D40/C40</f>
        <v>1.2814736523883208E-2</v>
      </c>
      <c r="G40" s="249">
        <f>I40/C40</f>
        <v>3.5069790706447258E-2</v>
      </c>
      <c r="H40" s="249">
        <f>G40/F40</f>
        <v>2.7366766878965199</v>
      </c>
      <c r="I40" s="248">
        <f>+SUBTOTAL(9,I36:I38)</f>
        <v>732362.48631625762</v>
      </c>
      <c r="J40" s="248">
        <f>+SUBTOTAL(9,J36:J38)</f>
        <v>464752.32631625759</v>
      </c>
      <c r="K40" s="199">
        <f>H40*D40-I40</f>
        <v>0</v>
      </c>
      <c r="L40" s="248">
        <f>+SUBTOTAL(9,L36:L38)</f>
        <v>266949.9062467902</v>
      </c>
      <c r="M40" s="242">
        <f>+SUBTOTAL(9,M36:M38)</f>
        <v>197802.42006946739</v>
      </c>
    </row>
    <row r="41" spans="1:13">
      <c r="A41" s="231"/>
      <c r="B41" s="248"/>
      <c r="C41" s="248"/>
      <c r="D41" s="221"/>
      <c r="E41" s="230"/>
      <c r="F41" s="252"/>
      <c r="G41" s="252"/>
      <c r="H41" s="252"/>
      <c r="I41" s="253"/>
      <c r="J41" s="254"/>
      <c r="K41" s="255"/>
    </row>
    <row r="42" spans="1:13">
      <c r="A42" s="231">
        <v>316</v>
      </c>
      <c r="B42" s="247" t="s">
        <v>533</v>
      </c>
      <c r="C42" s="248"/>
      <c r="D42" s="221"/>
      <c r="E42" s="230"/>
      <c r="F42" s="252"/>
      <c r="G42" s="252"/>
      <c r="H42" s="252"/>
      <c r="I42" s="221"/>
      <c r="J42" s="221"/>
      <c r="K42" s="255"/>
    </row>
    <row r="43" spans="1:13">
      <c r="A43" s="231"/>
      <c r="B43" s="236" t="s">
        <v>440</v>
      </c>
      <c r="C43" s="242">
        <v>1043990.99</v>
      </c>
      <c r="D43" s="239">
        <v>20272.79</v>
      </c>
      <c r="E43" s="239">
        <v>2.0099999999999998</v>
      </c>
      <c r="F43" s="240">
        <v>2.01E-2</v>
      </c>
      <c r="G43" s="240">
        <v>6.0943054690539046E-2</v>
      </c>
      <c r="H43" s="240">
        <f>G43/F43</f>
        <v>3.0319927706735843</v>
      </c>
      <c r="I43" s="239">
        <f>D43*H43</f>
        <v>61466.952721383735</v>
      </c>
      <c r="J43" s="239">
        <f>I43-D43</f>
        <v>41194.162721383735</v>
      </c>
      <c r="K43" s="255"/>
      <c r="L43" s="230">
        <v>23406.385569583828</v>
      </c>
      <c r="M43" s="230">
        <f>J43-L43</f>
        <v>17787.777151799906</v>
      </c>
    </row>
    <row r="44" spans="1:13">
      <c r="A44" s="231"/>
      <c r="B44" s="236" t="s">
        <v>441</v>
      </c>
      <c r="C44" s="242">
        <v>1165681.21</v>
      </c>
      <c r="D44" s="239">
        <v>21861.16</v>
      </c>
      <c r="E44" s="239">
        <v>1.93</v>
      </c>
      <c r="F44" s="240">
        <v>1.9300000000000001E-2</v>
      </c>
      <c r="G44" s="240">
        <v>6.0417032886718659E-2</v>
      </c>
      <c r="H44" s="240">
        <v>3.1304162117470806</v>
      </c>
      <c r="I44" s="239">
        <v>68434.529671596814</v>
      </c>
      <c r="J44" s="239">
        <v>46573.369671596811</v>
      </c>
      <c r="K44" s="255"/>
      <c r="L44" s="230">
        <v>27548.284740530693</v>
      </c>
      <c r="M44" s="230">
        <f>J44-L44</f>
        <v>19025.084931066118</v>
      </c>
    </row>
    <row r="45" spans="1:13">
      <c r="A45" s="231"/>
      <c r="B45" s="236" t="s">
        <v>442</v>
      </c>
      <c r="C45" s="242">
        <v>251533.56</v>
      </c>
      <c r="D45" s="239">
        <v>3471.1200000000008</v>
      </c>
      <c r="E45" s="239">
        <v>1.38</v>
      </c>
      <c r="F45" s="240">
        <v>1.38E-2</v>
      </c>
      <c r="G45" s="240">
        <v>2.7320410047867966E-2</v>
      </c>
      <c r="H45" s="240">
        <f>G45/F45</f>
        <v>1.979739858541157</v>
      </c>
      <c r="I45" s="239">
        <f>D45*H45</f>
        <v>6871.9146177793828</v>
      </c>
      <c r="J45" s="239">
        <f>I45-D45</f>
        <v>3400.794617779382</v>
      </c>
      <c r="K45" s="255"/>
      <c r="L45" s="230">
        <v>1503.8181873475587</v>
      </c>
      <c r="M45" s="230">
        <f>J45-L45</f>
        <v>1896.9764304318232</v>
      </c>
    </row>
    <row r="46" spans="1:13">
      <c r="A46" s="231"/>
      <c r="B46" s="236" t="s">
        <v>443</v>
      </c>
      <c r="C46" s="243">
        <v>4444375.42</v>
      </c>
      <c r="D46" s="244">
        <v>72443.280000000013</v>
      </c>
      <c r="E46" s="244">
        <v>1.63</v>
      </c>
      <c r="F46" s="245">
        <v>1.6299999999999999E-2</v>
      </c>
      <c r="G46" s="245">
        <v>3.7172827312594581E-2</v>
      </c>
      <c r="H46" s="245">
        <f>G46/F46</f>
        <v>2.2805415529199133</v>
      </c>
      <c r="I46" s="244">
        <f>D46*H46</f>
        <v>165209.91026981213</v>
      </c>
      <c r="J46" s="244">
        <f>I46-D46</f>
        <v>92766.630269812114</v>
      </c>
      <c r="K46" s="255"/>
      <c r="L46" s="246">
        <v>48632.654240226169</v>
      </c>
      <c r="M46" s="246">
        <f>J46-L46</f>
        <v>44133.976029585945</v>
      </c>
    </row>
    <row r="47" spans="1:13">
      <c r="A47" s="231"/>
      <c r="B47" s="247"/>
      <c r="C47" s="248"/>
      <c r="D47" s="221"/>
      <c r="E47" s="230"/>
      <c r="F47" s="252"/>
      <c r="G47" s="252"/>
      <c r="H47" s="252"/>
      <c r="I47" s="221"/>
      <c r="J47" s="221"/>
      <c r="K47" s="255"/>
    </row>
    <row r="48" spans="1:13">
      <c r="A48" s="231"/>
      <c r="B48" s="250" t="s">
        <v>507</v>
      </c>
      <c r="C48" s="256">
        <f>+SUBTOTAL(9,C43:C46)</f>
        <v>6905581.1799999997</v>
      </c>
      <c r="D48" s="256">
        <f>+SUBTOTAL(9,D43:D46)</f>
        <v>118048.35</v>
      </c>
      <c r="E48" s="257">
        <f>D48/C48</f>
        <v>1.7094629245963049E-2</v>
      </c>
      <c r="F48" s="249">
        <f>D48/C48</f>
        <v>1.7094629245963049E-2</v>
      </c>
      <c r="G48" s="249">
        <f>I48/C48</f>
        <v>4.3730324705352611E-2</v>
      </c>
      <c r="H48" s="249">
        <f>G48/F48</f>
        <v>2.5581323862686092</v>
      </c>
      <c r="I48" s="256">
        <f>+SUBTOTAL(9,I43:I46)</f>
        <v>301983.30728057201</v>
      </c>
      <c r="J48" s="256">
        <f>+SUBTOTAL(9,J43:J46)</f>
        <v>183934.95728057204</v>
      </c>
      <c r="K48" s="199">
        <f>H48*D48-I48</f>
        <v>0</v>
      </c>
      <c r="L48" s="256">
        <f>+SUBTOTAL(9,L43:L46)</f>
        <v>101091.14273768825</v>
      </c>
      <c r="M48" s="243">
        <f>+SUBTOTAL(9,M43:M46)</f>
        <v>82843.814542883789</v>
      </c>
    </row>
    <row r="49" spans="1:13">
      <c r="A49" s="231"/>
      <c r="B49" s="256"/>
      <c r="C49" s="248"/>
      <c r="D49" s="253"/>
      <c r="E49" s="230"/>
      <c r="F49" s="252"/>
      <c r="G49" s="252"/>
      <c r="H49" s="272"/>
      <c r="I49" s="253"/>
      <c r="J49" s="254"/>
      <c r="K49" s="255"/>
    </row>
    <row r="50" spans="1:13">
      <c r="A50" s="252"/>
      <c r="B50" s="260" t="s">
        <v>444</v>
      </c>
      <c r="C50" s="261">
        <f>SUBTOTAL(9,C15:C48)</f>
        <v>516573880.67000014</v>
      </c>
      <c r="D50" s="261">
        <f>SUBTOTAL(9,D15:D48)</f>
        <v>7763188.660000002</v>
      </c>
      <c r="E50" s="230"/>
      <c r="F50" s="262">
        <f>D50/C50</f>
        <v>1.5028225294571783E-2</v>
      </c>
      <c r="G50" s="249">
        <f>I50/C50</f>
        <v>3.9361288353557768E-2</v>
      </c>
      <c r="H50" s="249">
        <f>G50/F50</f>
        <v>2.6191574575192935</v>
      </c>
      <c r="I50" s="261">
        <f>SUBTOTAL(9,I15:I48)</f>
        <v>20333013.472968217</v>
      </c>
      <c r="J50" s="261">
        <f>SUBTOTAL(9,J15:J48)</f>
        <v>12569824.812968213</v>
      </c>
      <c r="K50" s="199">
        <f>H50*D50-I50</f>
        <v>0</v>
      </c>
      <c r="L50" s="261">
        <f>SUBTOTAL(9,L15:L48)</f>
        <v>7053092.8785627289</v>
      </c>
      <c r="M50" s="263">
        <f>SUBTOTAL(9,M15:M48)</f>
        <v>5516731.9344054842</v>
      </c>
    </row>
    <row r="51" spans="1:13">
      <c r="A51" s="252"/>
      <c r="B51" s="260"/>
      <c r="C51" s="264"/>
      <c r="D51" s="253"/>
      <c r="E51" s="230"/>
      <c r="F51" s="252"/>
      <c r="G51" s="252"/>
      <c r="H51" s="252"/>
      <c r="I51" s="253"/>
      <c r="J51" s="253"/>
      <c r="K51" s="255"/>
    </row>
    <row r="52" spans="1:13">
      <c r="A52" s="252"/>
      <c r="B52" s="273"/>
      <c r="C52" s="264"/>
      <c r="D52" s="264"/>
      <c r="E52" s="230"/>
      <c r="F52" s="252"/>
      <c r="G52" s="252"/>
      <c r="H52" s="252"/>
      <c r="I52" s="221"/>
      <c r="J52" s="221"/>
      <c r="K52" s="255"/>
      <c r="L52" s="265"/>
      <c r="M52" s="274"/>
    </row>
    <row r="53" spans="1:13">
      <c r="B53" s="267" t="s">
        <v>540</v>
      </c>
    </row>
  </sheetData>
  <printOptions horizontalCentered="1"/>
  <pageMargins left="0.45" right="0.45" top="0.75" bottom="0.75" header="0.3" footer="0.3"/>
  <pageSetup scale="64" fitToWidth="0" fitToHeight="0" orientation="landscape" r:id="rId1"/>
  <headerFoot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Normal="100" workbookViewId="0">
      <selection activeCell="D16" sqref="D16"/>
    </sheetView>
  </sheetViews>
  <sheetFormatPr defaultColWidth="9.140625" defaultRowHeight="12.75" outlineLevelRow="1"/>
  <cols>
    <col min="1" max="1" width="5" style="221" bestFit="1" customWidth="1"/>
    <col min="2" max="2" width="63.140625" style="221" customWidth="1"/>
    <col min="3" max="3" width="13.7109375" style="221" customWidth="1"/>
    <col min="4" max="4" width="15.140625" style="221" customWidth="1"/>
    <col min="5" max="5" width="15.28515625" style="221" customWidth="1"/>
    <col min="6" max="13" width="4.140625" style="221" customWidth="1"/>
    <col min="14" max="16384" width="9.140625" style="221"/>
  </cols>
  <sheetData>
    <row r="1" spans="1:5">
      <c r="E1" s="178"/>
    </row>
    <row r="3" spans="1:5">
      <c r="A3" s="275" t="s">
        <v>542</v>
      </c>
      <c r="B3" s="275"/>
      <c r="C3" s="275"/>
      <c r="D3" s="275"/>
      <c r="E3" s="275"/>
    </row>
    <row r="4" spans="1:5">
      <c r="A4" s="137"/>
      <c r="B4" s="137"/>
      <c r="C4" s="137"/>
      <c r="D4" s="137"/>
      <c r="E4" s="172"/>
    </row>
    <row r="5" spans="1:5">
      <c r="A5" s="171"/>
      <c r="B5" s="171"/>
      <c r="C5" s="171"/>
      <c r="D5" s="171"/>
      <c r="E5" s="171"/>
    </row>
    <row r="6" spans="1:5">
      <c r="A6" s="166" t="s">
        <v>461</v>
      </c>
      <c r="B6" s="165"/>
      <c r="C6" s="164"/>
      <c r="D6" s="164"/>
      <c r="E6" s="164"/>
    </row>
    <row r="7" spans="1:5">
      <c r="A7" s="166" t="s">
        <v>460</v>
      </c>
      <c r="B7" s="170"/>
      <c r="C7" s="169"/>
      <c r="D7" s="169"/>
      <c r="E7" s="169"/>
    </row>
    <row r="8" spans="1:5">
      <c r="A8" s="164" t="s">
        <v>468</v>
      </c>
      <c r="B8" s="168"/>
      <c r="C8" s="167"/>
      <c r="D8" s="167"/>
      <c r="E8" s="167"/>
    </row>
    <row r="9" spans="1:5">
      <c r="A9" s="166" t="s">
        <v>469</v>
      </c>
      <c r="B9" s="165"/>
      <c r="C9" s="164"/>
      <c r="D9" s="164"/>
      <c r="E9" s="164"/>
    </row>
    <row r="10" spans="1:5">
      <c r="A10" s="162"/>
      <c r="B10" s="162"/>
      <c r="C10" s="162"/>
      <c r="D10" s="162"/>
      <c r="E10" s="162"/>
    </row>
    <row r="11" spans="1:5">
      <c r="A11" s="163" t="s">
        <v>459</v>
      </c>
      <c r="B11" s="162"/>
      <c r="C11" s="162"/>
      <c r="D11" s="162"/>
      <c r="E11" s="162"/>
    </row>
    <row r="12" spans="1:5">
      <c r="A12" s="161" t="s">
        <v>458</v>
      </c>
      <c r="B12" s="160" t="s">
        <v>131</v>
      </c>
      <c r="C12" s="159" t="s">
        <v>457</v>
      </c>
      <c r="D12" s="159" t="s">
        <v>456</v>
      </c>
      <c r="E12" s="159" t="s">
        <v>502</v>
      </c>
    </row>
    <row r="13" spans="1:5">
      <c r="A13" s="137"/>
      <c r="B13" s="137"/>
      <c r="C13" s="137"/>
      <c r="D13" s="137"/>
      <c r="E13" s="137"/>
    </row>
    <row r="14" spans="1:5">
      <c r="A14" s="139">
        <v>1</v>
      </c>
      <c r="B14" s="137" t="s">
        <v>501</v>
      </c>
      <c r="C14" s="158">
        <v>249419038.22</v>
      </c>
      <c r="D14" s="158">
        <v>306788477.58413273</v>
      </c>
      <c r="E14" s="158">
        <f>+D14-C14</f>
        <v>57369439.364132732</v>
      </c>
    </row>
    <row r="15" spans="1:5">
      <c r="A15" s="139">
        <f t="shared" ref="A15:A43" si="0">A14+1</f>
        <v>2</v>
      </c>
      <c r="B15" s="137" t="s">
        <v>455</v>
      </c>
      <c r="C15" s="154">
        <v>15207047.519823998</v>
      </c>
      <c r="D15" s="154">
        <v>13232378.856776908</v>
      </c>
      <c r="E15" s="154">
        <f>+D15-C15</f>
        <v>-1974668.6630470902</v>
      </c>
    </row>
    <row r="16" spans="1:5">
      <c r="A16" s="139">
        <f t="shared" si="0"/>
        <v>3</v>
      </c>
      <c r="B16" s="137" t="s">
        <v>500</v>
      </c>
      <c r="C16" s="154">
        <v>55937.910695999999</v>
      </c>
      <c r="D16" s="154">
        <f>C16</f>
        <v>55937.910695999999</v>
      </c>
      <c r="E16" s="154">
        <f>+D16-C16</f>
        <v>0</v>
      </c>
    </row>
    <row r="17" spans="1:13">
      <c r="A17" s="139">
        <f t="shared" si="0"/>
        <v>4</v>
      </c>
      <c r="B17" s="137" t="s">
        <v>499</v>
      </c>
      <c r="C17" s="154">
        <v>29770695.186882004</v>
      </c>
      <c r="D17" s="154">
        <v>29770695.186882004</v>
      </c>
      <c r="E17" s="154">
        <f>+D17-C17</f>
        <v>0</v>
      </c>
      <c r="F17" s="230"/>
      <c r="G17" s="230"/>
      <c r="H17" s="230"/>
      <c r="I17" s="230"/>
      <c r="J17" s="230"/>
      <c r="K17" s="230"/>
      <c r="L17" s="230"/>
      <c r="M17" s="230"/>
    </row>
    <row r="18" spans="1:13">
      <c r="A18" s="139">
        <f t="shared" si="0"/>
        <v>5</v>
      </c>
      <c r="B18" s="137" t="s">
        <v>471</v>
      </c>
      <c r="C18" s="155">
        <f>SUM(C14:C17)</f>
        <v>294452718.83740199</v>
      </c>
      <c r="D18" s="155">
        <f>SUM(D14:D17)</f>
        <v>349847489.53848767</v>
      </c>
      <c r="E18" s="155">
        <f>SUM(E14:E17)</f>
        <v>55394770.701085642</v>
      </c>
    </row>
    <row r="19" spans="1:13">
      <c r="A19" s="139">
        <f t="shared" si="0"/>
        <v>6</v>
      </c>
      <c r="B19" s="137"/>
      <c r="C19" s="152"/>
      <c r="D19" s="152"/>
      <c r="E19" s="152"/>
    </row>
    <row r="20" spans="1:13" outlineLevel="1">
      <c r="A20" s="139">
        <f t="shared" si="0"/>
        <v>7</v>
      </c>
      <c r="B20" s="137" t="s">
        <v>498</v>
      </c>
      <c r="C20" s="154">
        <v>1352124.73</v>
      </c>
      <c r="D20" s="154">
        <v>1739313.9972498522</v>
      </c>
      <c r="E20" s="145">
        <f>+D20-C20</f>
        <v>387189.26724985219</v>
      </c>
    </row>
    <row r="21" spans="1:13" outlineLevel="1">
      <c r="A21" s="139">
        <f t="shared" si="0"/>
        <v>8</v>
      </c>
      <c r="B21" s="137" t="s">
        <v>497</v>
      </c>
      <c r="C21" s="154">
        <v>1476016.7034779999</v>
      </c>
      <c r="D21" s="154">
        <v>0</v>
      </c>
      <c r="E21" s="154">
        <f>+D21-C21</f>
        <v>-1476016.7034779999</v>
      </c>
    </row>
    <row r="22" spans="1:13">
      <c r="A22" s="139">
        <f t="shared" si="0"/>
        <v>9</v>
      </c>
      <c r="B22" s="137" t="s">
        <v>496</v>
      </c>
      <c r="C22" s="155">
        <f>SUM(C20:C21)</f>
        <v>2828141.4334779996</v>
      </c>
      <c r="D22" s="155">
        <f>SUM(D20:D21)</f>
        <v>1739313.9972498522</v>
      </c>
      <c r="E22" s="155">
        <f>SUM(E20:E21)</f>
        <v>-1088827.4362281477</v>
      </c>
    </row>
    <row r="23" spans="1:13">
      <c r="A23" s="139">
        <f t="shared" si="0"/>
        <v>10</v>
      </c>
      <c r="B23" s="137"/>
      <c r="C23" s="152"/>
      <c r="D23" s="152"/>
      <c r="E23" s="152"/>
    </row>
    <row r="24" spans="1:13">
      <c r="A24" s="139">
        <f t="shared" si="0"/>
        <v>11</v>
      </c>
      <c r="B24" s="157" t="s">
        <v>454</v>
      </c>
      <c r="C24" s="153">
        <f>C18+C22</f>
        <v>297280860.27087998</v>
      </c>
      <c r="D24" s="153">
        <f>D18+D22</f>
        <v>351586803.53573751</v>
      </c>
      <c r="E24" s="153">
        <f>+D24-C24</f>
        <v>54305943.264857531</v>
      </c>
    </row>
    <row r="25" spans="1:13">
      <c r="A25" s="139">
        <f t="shared" si="0"/>
        <v>12</v>
      </c>
      <c r="B25" s="137"/>
      <c r="C25" s="152"/>
      <c r="D25" s="152"/>
      <c r="E25" s="145"/>
    </row>
    <row r="26" spans="1:13" outlineLevel="1">
      <c r="A26" s="139">
        <f t="shared" si="0"/>
        <v>13</v>
      </c>
      <c r="B26" s="156" t="s">
        <v>453</v>
      </c>
      <c r="C26" s="152"/>
      <c r="D26" s="152"/>
      <c r="E26" s="145"/>
    </row>
    <row r="27" spans="1:13" outlineLevel="1">
      <c r="A27" s="139">
        <f t="shared" si="0"/>
        <v>14</v>
      </c>
      <c r="B27" s="137" t="s">
        <v>495</v>
      </c>
      <c r="C27" s="154">
        <v>1424661.0825685868</v>
      </c>
      <c r="D27" s="154">
        <v>1820785.2132301694</v>
      </c>
      <c r="E27" s="145">
        <f>+D27-C27</f>
        <v>396124.13066158257</v>
      </c>
    </row>
    <row r="28" spans="1:13" outlineLevel="1">
      <c r="A28" s="139">
        <f t="shared" si="0"/>
        <v>15</v>
      </c>
      <c r="B28" s="137" t="s">
        <v>494</v>
      </c>
      <c r="C28" s="154">
        <v>1148003.003511413</v>
      </c>
      <c r="D28" s="154">
        <v>0</v>
      </c>
      <c r="E28" s="154">
        <f>+D28-C28</f>
        <v>-1148003.003511413</v>
      </c>
    </row>
    <row r="29" spans="1:13">
      <c r="A29" s="139">
        <f t="shared" si="0"/>
        <v>16</v>
      </c>
      <c r="B29" s="137" t="s">
        <v>470</v>
      </c>
      <c r="C29" s="155">
        <f>SUM(C27:C28)</f>
        <v>2572664.0860799998</v>
      </c>
      <c r="D29" s="155">
        <f>SUM(D27:D28)</f>
        <v>1820785.2132301694</v>
      </c>
      <c r="E29" s="155">
        <f>SUM(E27:E28)</f>
        <v>-751878.87284983043</v>
      </c>
    </row>
    <row r="30" spans="1:13">
      <c r="A30" s="139">
        <f t="shared" si="0"/>
        <v>17</v>
      </c>
      <c r="B30" s="137"/>
      <c r="C30" s="152"/>
      <c r="D30" s="152"/>
      <c r="E30" s="145"/>
    </row>
    <row r="31" spans="1:13">
      <c r="A31" s="139">
        <f t="shared" si="0"/>
        <v>18</v>
      </c>
      <c r="B31" s="137"/>
      <c r="C31" s="152"/>
      <c r="D31" s="152"/>
      <c r="E31" s="154"/>
    </row>
    <row r="32" spans="1:13">
      <c r="A32" s="139">
        <f t="shared" si="0"/>
        <v>19</v>
      </c>
      <c r="B32" s="137" t="s">
        <v>472</v>
      </c>
      <c r="C32" s="153">
        <v>846819.31998199993</v>
      </c>
      <c r="D32" s="153">
        <v>539848.88443131489</v>
      </c>
      <c r="E32" s="153">
        <f>+D32-C32</f>
        <v>-306970.43555068504</v>
      </c>
    </row>
    <row r="33" spans="1:5">
      <c r="A33" s="139">
        <f t="shared" si="0"/>
        <v>20</v>
      </c>
      <c r="B33" s="137"/>
      <c r="C33" s="152"/>
      <c r="D33" s="152"/>
      <c r="E33" s="145"/>
    </row>
    <row r="34" spans="1:5">
      <c r="A34" s="139">
        <f t="shared" si="0"/>
        <v>21</v>
      </c>
      <c r="B34" s="137"/>
      <c r="C34" s="152"/>
      <c r="D34" s="152"/>
      <c r="E34" s="145"/>
    </row>
    <row r="35" spans="1:5">
      <c r="A35" s="139">
        <f t="shared" si="0"/>
        <v>22</v>
      </c>
      <c r="B35" s="150" t="s">
        <v>452</v>
      </c>
      <c r="C35" s="149"/>
      <c r="D35" s="149"/>
      <c r="E35" s="149">
        <f>E24+E29+E32</f>
        <v>53247093.956457019</v>
      </c>
    </row>
    <row r="36" spans="1:5">
      <c r="A36" s="139">
        <f t="shared" si="0"/>
        <v>23</v>
      </c>
      <c r="B36" s="150" t="s">
        <v>465</v>
      </c>
      <c r="C36" s="149"/>
      <c r="D36" s="151">
        <v>0.35</v>
      </c>
      <c r="E36" s="142">
        <f>-E35*D36</f>
        <v>-18636482.884759955</v>
      </c>
    </row>
    <row r="37" spans="1:5" ht="13.5" thickBot="1">
      <c r="A37" s="139">
        <f t="shared" si="0"/>
        <v>24</v>
      </c>
      <c r="B37" s="150" t="s">
        <v>451</v>
      </c>
      <c r="C37" s="149"/>
      <c r="D37" s="149"/>
      <c r="E37" s="140">
        <f>-E35-E36</f>
        <v>-34610611.071697064</v>
      </c>
    </row>
    <row r="38" spans="1:5" ht="13.5" thickTop="1">
      <c r="A38" s="139">
        <f t="shared" si="0"/>
        <v>25</v>
      </c>
      <c r="B38" s="141"/>
      <c r="C38" s="137"/>
      <c r="D38" s="137"/>
      <c r="E38" s="148"/>
    </row>
    <row r="39" spans="1:5">
      <c r="A39" s="139">
        <f t="shared" si="0"/>
        <v>26</v>
      </c>
      <c r="B39" s="141"/>
      <c r="C39" s="143"/>
      <c r="D39" s="146"/>
      <c r="E39" s="145"/>
    </row>
    <row r="40" spans="1:5">
      <c r="A40" s="139">
        <f t="shared" si="0"/>
        <v>27</v>
      </c>
      <c r="B40" s="147" t="s">
        <v>450</v>
      </c>
      <c r="C40" s="143"/>
      <c r="D40" s="146"/>
      <c r="E40" s="145"/>
    </row>
    <row r="41" spans="1:5">
      <c r="A41" s="139">
        <f t="shared" si="0"/>
        <v>28</v>
      </c>
      <c r="B41" s="141" t="s">
        <v>493</v>
      </c>
      <c r="C41" s="143">
        <v>0.5</v>
      </c>
      <c r="D41" s="137"/>
      <c r="E41" s="144">
        <f>-E35*C41</f>
        <v>-26623546.978228509</v>
      </c>
    </row>
    <row r="42" spans="1:5">
      <c r="A42" s="139">
        <f t="shared" si="0"/>
        <v>29</v>
      </c>
      <c r="B42" s="141" t="s">
        <v>464</v>
      </c>
      <c r="C42" s="143"/>
      <c r="D42" s="137"/>
      <c r="E42" s="142">
        <v>9318241.4423799794</v>
      </c>
    </row>
    <row r="43" spans="1:5" ht="13.5" thickBot="1">
      <c r="A43" s="139">
        <f t="shared" si="0"/>
        <v>30</v>
      </c>
      <c r="B43" s="141" t="s">
        <v>449</v>
      </c>
      <c r="C43" s="137"/>
      <c r="D43" s="137"/>
      <c r="E43" s="140">
        <f>SUM(E41:E42)</f>
        <v>-17305305.535848528</v>
      </c>
    </row>
    <row r="44" spans="1:5" ht="13.5" thickTop="1">
      <c r="A44" s="139"/>
      <c r="B44" s="138"/>
      <c r="C44" s="138"/>
      <c r="D44" s="138"/>
      <c r="E44" s="138"/>
    </row>
    <row r="45" spans="1:5">
      <c r="A45" s="137"/>
      <c r="B45" s="137"/>
      <c r="C45" s="137"/>
      <c r="D45" s="137"/>
      <c r="E45" s="137"/>
    </row>
  </sheetData>
  <mergeCells count="1">
    <mergeCell ref="A3:E3"/>
  </mergeCells>
  <pageMargins left="0.75" right="0.75" top="1" bottom="1" header="0.5" footer="0.5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Normal="100" workbookViewId="0">
      <selection activeCell="E5" sqref="A1:E5"/>
    </sheetView>
  </sheetViews>
  <sheetFormatPr defaultColWidth="9.140625" defaultRowHeight="12.75" outlineLevelRow="1"/>
  <cols>
    <col min="1" max="1" width="5" style="127" bestFit="1" customWidth="1"/>
    <col min="2" max="2" width="63.140625" style="127" customWidth="1"/>
    <col min="3" max="3" width="13.7109375" style="127" customWidth="1"/>
    <col min="4" max="4" width="15.140625" style="127" customWidth="1"/>
    <col min="5" max="5" width="15.28515625" style="127" customWidth="1"/>
    <col min="6" max="13" width="4.140625" style="127" customWidth="1"/>
    <col min="14" max="16384" width="9.140625" style="127"/>
  </cols>
  <sheetData>
    <row r="1" spans="1:5">
      <c r="E1" s="178"/>
    </row>
    <row r="3" spans="1:5">
      <c r="A3" s="177"/>
      <c r="B3" s="132"/>
      <c r="C3" s="132"/>
      <c r="D3" s="132"/>
      <c r="E3" s="125"/>
    </row>
    <row r="4" spans="1:5">
      <c r="A4" s="132"/>
      <c r="B4" s="132"/>
      <c r="C4" s="132"/>
      <c r="D4" s="132"/>
      <c r="E4" s="125"/>
    </row>
    <row r="5" spans="1:5">
      <c r="A5" s="124"/>
      <c r="B5" s="124"/>
      <c r="C5" s="124"/>
      <c r="D5" s="124"/>
      <c r="E5" s="132"/>
    </row>
    <row r="6" spans="1:5">
      <c r="A6" s="121" t="s">
        <v>461</v>
      </c>
      <c r="B6" s="120"/>
      <c r="C6" s="119"/>
      <c r="D6" s="119"/>
      <c r="E6" s="119"/>
    </row>
    <row r="7" spans="1:5">
      <c r="A7" s="174" t="s">
        <v>518</v>
      </c>
      <c r="B7" s="175"/>
      <c r="C7" s="176"/>
      <c r="D7" s="176"/>
      <c r="E7" s="176"/>
    </row>
    <row r="8" spans="1:5">
      <c r="A8" s="119" t="s">
        <v>468</v>
      </c>
      <c r="B8" s="123"/>
      <c r="C8" s="122"/>
      <c r="D8" s="122"/>
      <c r="E8" s="122"/>
    </row>
    <row r="9" spans="1:5">
      <c r="A9" s="121" t="s">
        <v>469</v>
      </c>
      <c r="B9" s="120"/>
      <c r="C9" s="119"/>
      <c r="D9" s="119"/>
      <c r="E9" s="119"/>
    </row>
    <row r="10" spans="1:5">
      <c r="A10" s="117"/>
      <c r="B10" s="117"/>
      <c r="C10" s="117"/>
      <c r="D10" s="117"/>
      <c r="E10" s="117"/>
    </row>
    <row r="11" spans="1:5">
      <c r="A11" s="118" t="s">
        <v>459</v>
      </c>
      <c r="B11" s="117"/>
      <c r="C11" s="117"/>
      <c r="D11" s="117"/>
      <c r="E11" s="117"/>
    </row>
    <row r="12" spans="1:5">
      <c r="A12" s="116" t="s">
        <v>458</v>
      </c>
      <c r="B12" s="115" t="s">
        <v>131</v>
      </c>
      <c r="C12" s="114" t="s">
        <v>457</v>
      </c>
      <c r="D12" s="114" t="s">
        <v>456</v>
      </c>
      <c r="E12" s="114" t="s">
        <v>502</v>
      </c>
    </row>
    <row r="13" spans="1:5">
      <c r="A13" s="132"/>
      <c r="B13" s="132"/>
      <c r="C13" s="132"/>
      <c r="D13" s="132"/>
      <c r="E13" s="132"/>
    </row>
    <row r="14" spans="1:5">
      <c r="A14" s="100">
        <v>1</v>
      </c>
      <c r="B14" s="132" t="s">
        <v>501</v>
      </c>
      <c r="C14" s="113">
        <v>249419038.22</v>
      </c>
      <c r="D14" s="113">
        <v>320541049.83780748</v>
      </c>
      <c r="E14" s="113">
        <f>+D14-C14</f>
        <v>71122011.617807478</v>
      </c>
    </row>
    <row r="15" spans="1:5">
      <c r="A15" s="100">
        <f t="shared" ref="A15:A43" si="0">A14+1</f>
        <v>2</v>
      </c>
      <c r="B15" s="132" t="s">
        <v>455</v>
      </c>
      <c r="C15" s="134">
        <v>15207047.519823998</v>
      </c>
      <c r="D15" s="134">
        <v>13232378.856776908</v>
      </c>
      <c r="E15" s="134">
        <f>+D15-C15</f>
        <v>-1974668.6630470902</v>
      </c>
    </row>
    <row r="16" spans="1:5">
      <c r="A16" s="100">
        <f t="shared" si="0"/>
        <v>3</v>
      </c>
      <c r="B16" s="132" t="s">
        <v>500</v>
      </c>
      <c r="C16" s="134">
        <v>55937.910695999999</v>
      </c>
      <c r="D16" s="134">
        <f>C16</f>
        <v>55937.910695999999</v>
      </c>
      <c r="E16" s="134">
        <f>+D16-C16</f>
        <v>0</v>
      </c>
    </row>
    <row r="17" spans="1:13">
      <c r="A17" s="100">
        <f t="shared" si="0"/>
        <v>4</v>
      </c>
      <c r="B17" s="132" t="s">
        <v>499</v>
      </c>
      <c r="C17" s="134">
        <v>29770695.186882004</v>
      </c>
      <c r="D17" s="134">
        <v>29770695.186882004</v>
      </c>
      <c r="E17" s="134">
        <f>+D17-C17</f>
        <v>0</v>
      </c>
      <c r="F17" s="131"/>
      <c r="G17" s="131"/>
      <c r="H17" s="131"/>
      <c r="I17" s="131"/>
      <c r="J17" s="131"/>
      <c r="K17" s="131"/>
      <c r="L17" s="131"/>
      <c r="M17" s="131"/>
    </row>
    <row r="18" spans="1:13">
      <c r="A18" s="100">
        <f t="shared" si="0"/>
        <v>5</v>
      </c>
      <c r="B18" s="132" t="s">
        <v>471</v>
      </c>
      <c r="C18" s="173">
        <f>SUM(C14:C17)</f>
        <v>294452718.83740199</v>
      </c>
      <c r="D18" s="173">
        <f>SUM(D14:D17)</f>
        <v>363600061.79216242</v>
      </c>
      <c r="E18" s="173">
        <f>SUM(E14:E17)</f>
        <v>69147342.954760388</v>
      </c>
    </row>
    <row r="19" spans="1:13">
      <c r="A19" s="100">
        <f t="shared" si="0"/>
        <v>6</v>
      </c>
      <c r="B19" s="132"/>
      <c r="C19" s="110"/>
      <c r="D19" s="110"/>
      <c r="E19" s="110"/>
    </row>
    <row r="20" spans="1:13" outlineLevel="1">
      <c r="A20" s="100">
        <f t="shared" si="0"/>
        <v>7</v>
      </c>
      <c r="B20" s="132" t="s">
        <v>498</v>
      </c>
      <c r="C20" s="134">
        <v>1352124.73</v>
      </c>
      <c r="D20" s="134">
        <v>1739313.9972498522</v>
      </c>
      <c r="E20" s="104">
        <f>+D20-C20</f>
        <v>387189.26724985219</v>
      </c>
    </row>
    <row r="21" spans="1:13" outlineLevel="1">
      <c r="A21" s="100">
        <f t="shared" si="0"/>
        <v>8</v>
      </c>
      <c r="B21" s="132" t="s">
        <v>497</v>
      </c>
      <c r="C21" s="134">
        <v>1476016.7034779999</v>
      </c>
      <c r="D21" s="134">
        <v>0</v>
      </c>
      <c r="E21" s="134">
        <f>+D21-C21</f>
        <v>-1476016.7034779999</v>
      </c>
    </row>
    <row r="22" spans="1:13">
      <c r="A22" s="100">
        <f t="shared" si="0"/>
        <v>9</v>
      </c>
      <c r="B22" s="132" t="s">
        <v>496</v>
      </c>
      <c r="C22" s="173">
        <f>SUM(C20:C21)</f>
        <v>2828141.4334779996</v>
      </c>
      <c r="D22" s="173">
        <f>SUM(D20:D21)</f>
        <v>1739313.9972498522</v>
      </c>
      <c r="E22" s="173">
        <f>SUM(E20:E21)</f>
        <v>-1088827.4362281477</v>
      </c>
    </row>
    <row r="23" spans="1:13">
      <c r="A23" s="100">
        <f t="shared" si="0"/>
        <v>10</v>
      </c>
      <c r="B23" s="132"/>
      <c r="C23" s="110"/>
      <c r="D23" s="110"/>
      <c r="E23" s="110"/>
    </row>
    <row r="24" spans="1:13">
      <c r="A24" s="100">
        <f t="shared" si="0"/>
        <v>11</v>
      </c>
      <c r="B24" s="112" t="s">
        <v>454</v>
      </c>
      <c r="C24" s="135">
        <f>C18+C22</f>
        <v>297280860.27087998</v>
      </c>
      <c r="D24" s="135">
        <f>D18+D22</f>
        <v>365339375.78941226</v>
      </c>
      <c r="E24" s="135">
        <f>+D24-C24</f>
        <v>68058515.518532276</v>
      </c>
    </row>
    <row r="25" spans="1:13">
      <c r="A25" s="100">
        <f t="shared" si="0"/>
        <v>12</v>
      </c>
      <c r="B25" s="132"/>
      <c r="C25" s="110"/>
      <c r="D25" s="110"/>
      <c r="E25" s="104"/>
    </row>
    <row r="26" spans="1:13" outlineLevel="1">
      <c r="A26" s="100">
        <f t="shared" si="0"/>
        <v>13</v>
      </c>
      <c r="B26" s="111" t="s">
        <v>453</v>
      </c>
      <c r="C26" s="110"/>
      <c r="D26" s="110"/>
      <c r="E26" s="104"/>
    </row>
    <row r="27" spans="1:13" outlineLevel="1">
      <c r="A27" s="100">
        <f t="shared" si="0"/>
        <v>14</v>
      </c>
      <c r="B27" s="132" t="s">
        <v>495</v>
      </c>
      <c r="C27" s="134">
        <v>1424661.0825685868</v>
      </c>
      <c r="D27" s="134">
        <v>1820785.2132301694</v>
      </c>
      <c r="E27" s="104">
        <f>+D27-C27</f>
        <v>396124.13066158257</v>
      </c>
    </row>
    <row r="28" spans="1:13" outlineLevel="1">
      <c r="A28" s="100">
        <f t="shared" si="0"/>
        <v>15</v>
      </c>
      <c r="B28" s="132" t="s">
        <v>494</v>
      </c>
      <c r="C28" s="134">
        <v>1148003.003511413</v>
      </c>
      <c r="D28" s="134">
        <v>0</v>
      </c>
      <c r="E28" s="134">
        <f>+D28-C28</f>
        <v>-1148003.003511413</v>
      </c>
    </row>
    <row r="29" spans="1:13">
      <c r="A29" s="100">
        <f t="shared" si="0"/>
        <v>16</v>
      </c>
      <c r="B29" s="132" t="s">
        <v>470</v>
      </c>
      <c r="C29" s="173">
        <f>SUM(C27:C28)</f>
        <v>2572664.0860799998</v>
      </c>
      <c r="D29" s="173">
        <f>SUM(D27:D28)</f>
        <v>1820785.2132301694</v>
      </c>
      <c r="E29" s="173">
        <f>SUM(E27:E28)</f>
        <v>-751878.87284983043</v>
      </c>
    </row>
    <row r="30" spans="1:13">
      <c r="A30" s="100">
        <f t="shared" si="0"/>
        <v>17</v>
      </c>
      <c r="B30" s="132"/>
      <c r="C30" s="110"/>
      <c r="D30" s="110"/>
      <c r="E30" s="104"/>
    </row>
    <row r="31" spans="1:13">
      <c r="A31" s="100">
        <f t="shared" si="0"/>
        <v>18</v>
      </c>
      <c r="B31" s="132"/>
      <c r="C31" s="110"/>
      <c r="D31" s="110"/>
      <c r="E31" s="134"/>
    </row>
    <row r="32" spans="1:13">
      <c r="A32" s="100">
        <f t="shared" si="0"/>
        <v>19</v>
      </c>
      <c r="B32" s="132" t="s">
        <v>472</v>
      </c>
      <c r="C32" s="135">
        <v>846819.31998199993</v>
      </c>
      <c r="D32" s="135">
        <v>539848.88443131489</v>
      </c>
      <c r="E32" s="135">
        <f>+D32-C32</f>
        <v>-306970.43555068504</v>
      </c>
    </row>
    <row r="33" spans="1:5">
      <c r="A33" s="100">
        <f t="shared" si="0"/>
        <v>20</v>
      </c>
      <c r="B33" s="132"/>
      <c r="C33" s="110"/>
      <c r="D33" s="110"/>
      <c r="E33" s="104"/>
    </row>
    <row r="34" spans="1:5">
      <c r="A34" s="100">
        <f t="shared" si="0"/>
        <v>21</v>
      </c>
      <c r="B34" s="132"/>
      <c r="C34" s="110"/>
      <c r="D34" s="110"/>
      <c r="E34" s="104"/>
    </row>
    <row r="35" spans="1:5">
      <c r="A35" s="100">
        <f t="shared" si="0"/>
        <v>22</v>
      </c>
      <c r="B35" s="109" t="s">
        <v>452</v>
      </c>
      <c r="C35" s="108"/>
      <c r="D35" s="108"/>
      <c r="E35" s="108">
        <f>E24+E29+E32</f>
        <v>66999666.210131757</v>
      </c>
    </row>
    <row r="36" spans="1:5">
      <c r="A36" s="100">
        <f t="shared" si="0"/>
        <v>23</v>
      </c>
      <c r="B36" s="109" t="s">
        <v>465</v>
      </c>
      <c r="C36" s="108"/>
      <c r="D36" s="129">
        <v>0.35</v>
      </c>
      <c r="E36" s="130">
        <f>-E35*D36</f>
        <v>-23449883.173546113</v>
      </c>
    </row>
    <row r="37" spans="1:5" ht="13.5" thickBot="1">
      <c r="A37" s="100">
        <f t="shared" si="0"/>
        <v>24</v>
      </c>
      <c r="B37" s="109" t="s">
        <v>451</v>
      </c>
      <c r="C37" s="108"/>
      <c r="D37" s="108"/>
      <c r="E37" s="128">
        <f>-E35-E36</f>
        <v>-43549783.036585644</v>
      </c>
    </row>
    <row r="38" spans="1:5" ht="13.5" thickTop="1">
      <c r="A38" s="100">
        <f t="shared" si="0"/>
        <v>25</v>
      </c>
      <c r="B38" s="101"/>
      <c r="C38" s="132"/>
      <c r="D38" s="132"/>
      <c r="E38" s="107"/>
    </row>
    <row r="39" spans="1:5">
      <c r="A39" s="100">
        <f t="shared" si="0"/>
        <v>26</v>
      </c>
      <c r="B39" s="101"/>
      <c r="C39" s="103"/>
      <c r="D39" s="105"/>
      <c r="E39" s="104"/>
    </row>
    <row r="40" spans="1:5">
      <c r="A40" s="100">
        <f t="shared" si="0"/>
        <v>27</v>
      </c>
      <c r="B40" s="106" t="s">
        <v>450</v>
      </c>
      <c r="C40" s="103"/>
      <c r="D40" s="105"/>
      <c r="E40" s="104"/>
    </row>
    <row r="41" spans="1:5">
      <c r="A41" s="100">
        <f t="shared" si="0"/>
        <v>28</v>
      </c>
      <c r="B41" s="101" t="s">
        <v>493</v>
      </c>
      <c r="C41" s="103">
        <v>0.5</v>
      </c>
      <c r="D41" s="132"/>
      <c r="E41" s="102">
        <f>-E35*C41</f>
        <v>-33499833.105065878</v>
      </c>
    </row>
    <row r="42" spans="1:5">
      <c r="A42" s="100">
        <f t="shared" si="0"/>
        <v>29</v>
      </c>
      <c r="B42" s="101" t="s">
        <v>464</v>
      </c>
      <c r="C42" s="103"/>
      <c r="D42" s="132"/>
      <c r="E42" s="130">
        <v>11724941.586773058</v>
      </c>
    </row>
    <row r="43" spans="1:5" ht="13.5" thickBot="1">
      <c r="A43" s="100">
        <f t="shared" si="0"/>
        <v>30</v>
      </c>
      <c r="B43" s="101" t="s">
        <v>449</v>
      </c>
      <c r="C43" s="132"/>
      <c r="D43" s="132"/>
      <c r="E43" s="128">
        <f>SUM(E41:E42)</f>
        <v>-21774891.518292822</v>
      </c>
    </row>
    <row r="44" spans="1:5" ht="13.5" thickTop="1">
      <c r="A44" s="100"/>
      <c r="B44" s="99"/>
      <c r="C44" s="99"/>
      <c r="D44" s="99"/>
      <c r="E44" s="99"/>
    </row>
    <row r="45" spans="1:5">
      <c r="A45" s="132"/>
      <c r="B45" s="132"/>
      <c r="C45" s="132"/>
      <c r="D45" s="132"/>
      <c r="E45" s="132"/>
    </row>
  </sheetData>
  <pageMargins left="0.75" right="0.75" top="1" bottom="1" header="0.5" footer="0.5"/>
  <pageSetup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Normal="100" workbookViewId="0"/>
  </sheetViews>
  <sheetFormatPr defaultColWidth="9.140625" defaultRowHeight="12.75" outlineLevelRow="1"/>
  <cols>
    <col min="1" max="1" width="5" style="127" bestFit="1" customWidth="1"/>
    <col min="2" max="2" width="63.140625" style="127" customWidth="1"/>
    <col min="3" max="3" width="13.7109375" style="127" customWidth="1"/>
    <col min="4" max="4" width="15.140625" style="127" customWidth="1"/>
    <col min="5" max="5" width="15.28515625" style="127" customWidth="1"/>
    <col min="6" max="13" width="4.140625" style="127" customWidth="1"/>
    <col min="14" max="16384" width="9.140625" style="127"/>
  </cols>
  <sheetData>
    <row r="1" spans="1:5">
      <c r="E1" s="178"/>
    </row>
    <row r="3" spans="1:5">
      <c r="A3" s="177"/>
      <c r="B3" s="132"/>
      <c r="C3" s="132"/>
      <c r="D3" s="132"/>
      <c r="E3" s="125"/>
    </row>
    <row r="4" spans="1:5">
      <c r="A4" s="132"/>
      <c r="B4" s="132"/>
      <c r="C4" s="132"/>
      <c r="D4" s="132"/>
      <c r="E4" s="125"/>
    </row>
    <row r="5" spans="1:5">
      <c r="A5" s="124"/>
      <c r="B5" s="124"/>
      <c r="C5" s="124"/>
      <c r="D5" s="124"/>
      <c r="E5" s="132"/>
    </row>
    <row r="6" spans="1:5">
      <c r="A6" s="121" t="s">
        <v>461</v>
      </c>
      <c r="B6" s="120"/>
      <c r="C6" s="119"/>
      <c r="D6" s="119"/>
      <c r="E6" s="119"/>
    </row>
    <row r="7" spans="1:5">
      <c r="A7" s="174" t="s">
        <v>519</v>
      </c>
      <c r="B7" s="175"/>
      <c r="C7" s="176"/>
      <c r="D7" s="176"/>
      <c r="E7" s="176"/>
    </row>
    <row r="8" spans="1:5">
      <c r="A8" s="119" t="s">
        <v>468</v>
      </c>
      <c r="B8" s="123"/>
      <c r="C8" s="122"/>
      <c r="D8" s="122"/>
      <c r="E8" s="122"/>
    </row>
    <row r="9" spans="1:5">
      <c r="A9" s="121" t="s">
        <v>469</v>
      </c>
      <c r="B9" s="120"/>
      <c r="C9" s="119"/>
      <c r="D9" s="119"/>
      <c r="E9" s="119"/>
    </row>
    <row r="10" spans="1:5">
      <c r="A10" s="117"/>
      <c r="B10" s="117"/>
      <c r="C10" s="117"/>
      <c r="D10" s="117"/>
      <c r="E10" s="117"/>
    </row>
    <row r="11" spans="1:5">
      <c r="A11" s="118" t="s">
        <v>459</v>
      </c>
      <c r="B11" s="117"/>
      <c r="C11" s="117"/>
      <c r="D11" s="117"/>
      <c r="E11" s="117"/>
    </row>
    <row r="12" spans="1:5">
      <c r="A12" s="116" t="s">
        <v>458</v>
      </c>
      <c r="B12" s="115" t="s">
        <v>131</v>
      </c>
      <c r="C12" s="114" t="s">
        <v>457</v>
      </c>
      <c r="D12" s="114" t="s">
        <v>456</v>
      </c>
      <c r="E12" s="114" t="s">
        <v>502</v>
      </c>
    </row>
    <row r="13" spans="1:5">
      <c r="A13" s="132"/>
      <c r="B13" s="132"/>
      <c r="C13" s="132"/>
      <c r="D13" s="132"/>
      <c r="E13" s="132"/>
    </row>
    <row r="14" spans="1:5">
      <c r="A14" s="100">
        <v>1</v>
      </c>
      <c r="B14" s="132" t="s">
        <v>501</v>
      </c>
      <c r="C14" s="113">
        <v>249419038.22</v>
      </c>
      <c r="D14" s="113">
        <v>312305209.43922031</v>
      </c>
      <c r="E14" s="113">
        <f>+D14-C14</f>
        <v>62886171.21922031</v>
      </c>
    </row>
    <row r="15" spans="1:5">
      <c r="A15" s="100">
        <f t="shared" ref="A15:A43" si="0">A14+1</f>
        <v>2</v>
      </c>
      <c r="B15" s="132" t="s">
        <v>455</v>
      </c>
      <c r="C15" s="134">
        <v>15207047.519823998</v>
      </c>
      <c r="D15" s="134">
        <v>13232378.856776908</v>
      </c>
      <c r="E15" s="134">
        <f>+D15-C15</f>
        <v>-1974668.6630470902</v>
      </c>
    </row>
    <row r="16" spans="1:5">
      <c r="A16" s="100">
        <f t="shared" si="0"/>
        <v>3</v>
      </c>
      <c r="B16" s="132" t="s">
        <v>500</v>
      </c>
      <c r="C16" s="134">
        <v>55937.910695999999</v>
      </c>
      <c r="D16" s="134">
        <f>C16</f>
        <v>55937.910695999999</v>
      </c>
      <c r="E16" s="134">
        <f>+D16-C16</f>
        <v>0</v>
      </c>
    </row>
    <row r="17" spans="1:13">
      <c r="A17" s="100">
        <f t="shared" si="0"/>
        <v>4</v>
      </c>
      <c r="B17" s="132" t="s">
        <v>499</v>
      </c>
      <c r="C17" s="134">
        <v>29770695.186882004</v>
      </c>
      <c r="D17" s="134">
        <v>29770695.186882004</v>
      </c>
      <c r="E17" s="134">
        <f>+D17-C17</f>
        <v>0</v>
      </c>
      <c r="F17" s="131"/>
      <c r="G17" s="131"/>
      <c r="H17" s="131"/>
      <c r="I17" s="131"/>
      <c r="J17" s="131"/>
      <c r="K17" s="131"/>
      <c r="L17" s="131"/>
      <c r="M17" s="131"/>
    </row>
    <row r="18" spans="1:13">
      <c r="A18" s="100">
        <f t="shared" si="0"/>
        <v>5</v>
      </c>
      <c r="B18" s="132" t="s">
        <v>471</v>
      </c>
      <c r="C18" s="173">
        <f>SUM(C14:C17)</f>
        <v>294452718.83740199</v>
      </c>
      <c r="D18" s="173">
        <f>SUM(D14:D17)</f>
        <v>355364221.39357525</v>
      </c>
      <c r="E18" s="173">
        <f>SUM(E14:E17)</f>
        <v>60911502.55617322</v>
      </c>
    </row>
    <row r="19" spans="1:13">
      <c r="A19" s="100">
        <f t="shared" si="0"/>
        <v>6</v>
      </c>
      <c r="B19" s="132"/>
      <c r="C19" s="110"/>
      <c r="D19" s="110"/>
      <c r="E19" s="110"/>
    </row>
    <row r="20" spans="1:13" outlineLevel="1">
      <c r="A20" s="100">
        <f t="shared" si="0"/>
        <v>7</v>
      </c>
      <c r="B20" s="132" t="s">
        <v>498</v>
      </c>
      <c r="C20" s="134">
        <v>1352124.73</v>
      </c>
      <c r="D20" s="134">
        <v>1739313.9972498522</v>
      </c>
      <c r="E20" s="104">
        <f>+D20-C20</f>
        <v>387189.26724985219</v>
      </c>
    </row>
    <row r="21" spans="1:13" outlineLevel="1">
      <c r="A21" s="100">
        <f t="shared" si="0"/>
        <v>8</v>
      </c>
      <c r="B21" s="132" t="s">
        <v>497</v>
      </c>
      <c r="C21" s="134">
        <v>1476016.7034779999</v>
      </c>
      <c r="D21" s="134">
        <v>0</v>
      </c>
      <c r="E21" s="134">
        <f>+D21-C21</f>
        <v>-1476016.7034779999</v>
      </c>
    </row>
    <row r="22" spans="1:13">
      <c r="A22" s="100">
        <f t="shared" si="0"/>
        <v>9</v>
      </c>
      <c r="B22" s="132" t="s">
        <v>496</v>
      </c>
      <c r="C22" s="173">
        <f>SUM(C20:C21)</f>
        <v>2828141.4334779996</v>
      </c>
      <c r="D22" s="173">
        <f>SUM(D20:D21)</f>
        <v>1739313.9972498522</v>
      </c>
      <c r="E22" s="173">
        <f>SUM(E20:E21)</f>
        <v>-1088827.4362281477</v>
      </c>
    </row>
    <row r="23" spans="1:13">
      <c r="A23" s="100">
        <f t="shared" si="0"/>
        <v>10</v>
      </c>
      <c r="B23" s="132"/>
      <c r="C23" s="110"/>
      <c r="D23" s="110"/>
      <c r="E23" s="110"/>
    </row>
    <row r="24" spans="1:13">
      <c r="A24" s="100">
        <f t="shared" si="0"/>
        <v>11</v>
      </c>
      <c r="B24" s="112" t="s">
        <v>454</v>
      </c>
      <c r="C24" s="135">
        <f>C18+C22</f>
        <v>297280860.27087998</v>
      </c>
      <c r="D24" s="135">
        <f>D18+D22</f>
        <v>357103535.39082509</v>
      </c>
      <c r="E24" s="135">
        <f>+D24-C24</f>
        <v>59822675.119945109</v>
      </c>
    </row>
    <row r="25" spans="1:13">
      <c r="A25" s="100">
        <f t="shared" si="0"/>
        <v>12</v>
      </c>
      <c r="B25" s="132"/>
      <c r="C25" s="110"/>
      <c r="D25" s="110"/>
      <c r="E25" s="104"/>
    </row>
    <row r="26" spans="1:13" outlineLevel="1">
      <c r="A26" s="100">
        <f t="shared" si="0"/>
        <v>13</v>
      </c>
      <c r="B26" s="111" t="s">
        <v>453</v>
      </c>
      <c r="C26" s="110"/>
      <c r="D26" s="110"/>
      <c r="E26" s="104"/>
    </row>
    <row r="27" spans="1:13" outlineLevel="1">
      <c r="A27" s="100">
        <f t="shared" si="0"/>
        <v>14</v>
      </c>
      <c r="B27" s="132" t="s">
        <v>495</v>
      </c>
      <c r="C27" s="134">
        <v>1424661.0825685868</v>
      </c>
      <c r="D27" s="134">
        <v>1820785.2132301694</v>
      </c>
      <c r="E27" s="104">
        <f>+D27-C27</f>
        <v>396124.13066158257</v>
      </c>
    </row>
    <row r="28" spans="1:13" outlineLevel="1">
      <c r="A28" s="100">
        <f t="shared" si="0"/>
        <v>15</v>
      </c>
      <c r="B28" s="132" t="s">
        <v>494</v>
      </c>
      <c r="C28" s="134">
        <v>1148003.003511413</v>
      </c>
      <c r="D28" s="134">
        <v>0</v>
      </c>
      <c r="E28" s="134">
        <f>+D28-C28</f>
        <v>-1148003.003511413</v>
      </c>
    </row>
    <row r="29" spans="1:13">
      <c r="A29" s="100">
        <f t="shared" si="0"/>
        <v>16</v>
      </c>
      <c r="B29" s="132" t="s">
        <v>470</v>
      </c>
      <c r="C29" s="173">
        <f>SUM(C27:C28)</f>
        <v>2572664.0860799998</v>
      </c>
      <c r="D29" s="173">
        <f>SUM(D27:D28)</f>
        <v>1820785.2132301694</v>
      </c>
      <c r="E29" s="173">
        <f>SUM(E27:E28)</f>
        <v>-751878.87284983043</v>
      </c>
    </row>
    <row r="30" spans="1:13">
      <c r="A30" s="100">
        <f t="shared" si="0"/>
        <v>17</v>
      </c>
      <c r="B30" s="132"/>
      <c r="C30" s="110"/>
      <c r="D30" s="110"/>
      <c r="E30" s="104"/>
    </row>
    <row r="31" spans="1:13">
      <c r="A31" s="100">
        <f t="shared" si="0"/>
        <v>18</v>
      </c>
      <c r="B31" s="132"/>
      <c r="C31" s="110"/>
      <c r="D31" s="110"/>
      <c r="E31" s="134"/>
    </row>
    <row r="32" spans="1:13">
      <c r="A32" s="100">
        <f t="shared" si="0"/>
        <v>19</v>
      </c>
      <c r="B32" s="132" t="s">
        <v>472</v>
      </c>
      <c r="C32" s="135">
        <v>846819.31998199993</v>
      </c>
      <c r="D32" s="135">
        <v>539848.88443131489</v>
      </c>
      <c r="E32" s="135">
        <f>+D32-C32</f>
        <v>-306970.43555068504</v>
      </c>
    </row>
    <row r="33" spans="1:5">
      <c r="A33" s="100">
        <f t="shared" si="0"/>
        <v>20</v>
      </c>
      <c r="B33" s="132"/>
      <c r="C33" s="110"/>
      <c r="D33" s="110"/>
      <c r="E33" s="104"/>
    </row>
    <row r="34" spans="1:5">
      <c r="A34" s="100">
        <f t="shared" si="0"/>
        <v>21</v>
      </c>
      <c r="B34" s="132"/>
      <c r="C34" s="110"/>
      <c r="D34" s="110"/>
      <c r="E34" s="104"/>
    </row>
    <row r="35" spans="1:5">
      <c r="A35" s="100">
        <f t="shared" si="0"/>
        <v>22</v>
      </c>
      <c r="B35" s="109" t="s">
        <v>452</v>
      </c>
      <c r="C35" s="108"/>
      <c r="D35" s="108"/>
      <c r="E35" s="108">
        <f>E24+E29+E32</f>
        <v>58763825.811544597</v>
      </c>
    </row>
    <row r="36" spans="1:5">
      <c r="A36" s="100">
        <f t="shared" si="0"/>
        <v>23</v>
      </c>
      <c r="B36" s="109" t="s">
        <v>465</v>
      </c>
      <c r="C36" s="108"/>
      <c r="D36" s="129">
        <v>0.35</v>
      </c>
      <c r="E36" s="130">
        <f>-E35*D36</f>
        <v>-20567339.034040608</v>
      </c>
    </row>
    <row r="37" spans="1:5" ht="13.5" thickBot="1">
      <c r="A37" s="100">
        <f t="shared" si="0"/>
        <v>24</v>
      </c>
      <c r="B37" s="109" t="s">
        <v>451</v>
      </c>
      <c r="C37" s="108"/>
      <c r="D37" s="108"/>
      <c r="E37" s="128">
        <f>-E35-E36</f>
        <v>-38196486.77750399</v>
      </c>
    </row>
    <row r="38" spans="1:5" ht="13.5" thickTop="1">
      <c r="A38" s="100">
        <f t="shared" si="0"/>
        <v>25</v>
      </c>
      <c r="B38" s="101"/>
      <c r="C38" s="132"/>
      <c r="D38" s="132"/>
      <c r="E38" s="107"/>
    </row>
    <row r="39" spans="1:5">
      <c r="A39" s="100">
        <f t="shared" si="0"/>
        <v>26</v>
      </c>
      <c r="B39" s="101"/>
      <c r="C39" s="103"/>
      <c r="D39" s="105"/>
      <c r="E39" s="104"/>
    </row>
    <row r="40" spans="1:5">
      <c r="A40" s="100">
        <f t="shared" si="0"/>
        <v>27</v>
      </c>
      <c r="B40" s="106" t="s">
        <v>450</v>
      </c>
      <c r="C40" s="103"/>
      <c r="D40" s="105"/>
      <c r="E40" s="104"/>
    </row>
    <row r="41" spans="1:5">
      <c r="A41" s="100">
        <f t="shared" si="0"/>
        <v>28</v>
      </c>
      <c r="B41" s="101" t="s">
        <v>493</v>
      </c>
      <c r="C41" s="103">
        <v>0.5</v>
      </c>
      <c r="D41" s="132"/>
      <c r="E41" s="102">
        <f>-E35*C41</f>
        <v>-29381912.905772299</v>
      </c>
    </row>
    <row r="42" spans="1:5">
      <c r="A42" s="100">
        <f t="shared" si="0"/>
        <v>29</v>
      </c>
      <c r="B42" s="101" t="s">
        <v>464</v>
      </c>
      <c r="C42" s="103"/>
      <c r="D42" s="132"/>
      <c r="E42" s="130">
        <v>10283669.517020302</v>
      </c>
    </row>
    <row r="43" spans="1:5" ht="13.5" thickBot="1">
      <c r="A43" s="100">
        <f t="shared" si="0"/>
        <v>30</v>
      </c>
      <c r="B43" s="101" t="s">
        <v>449</v>
      </c>
      <c r="C43" s="132"/>
      <c r="D43" s="132"/>
      <c r="E43" s="128">
        <f>SUM(E41:E42)</f>
        <v>-19098243.388751999</v>
      </c>
    </row>
    <row r="44" spans="1:5" ht="13.5" thickTop="1">
      <c r="A44" s="100"/>
      <c r="B44" s="99"/>
      <c r="C44" s="99"/>
      <c r="D44" s="99"/>
      <c r="E44" s="99"/>
    </row>
    <row r="45" spans="1:5">
      <c r="A45" s="132"/>
      <c r="B45" s="132"/>
      <c r="C45" s="132"/>
      <c r="D45" s="132"/>
      <c r="E45" s="132"/>
    </row>
  </sheetData>
  <pageMargins left="0.75" right="0.75" top="1" bottom="1" header="0.5" footer="0.5"/>
  <pageSetup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8C9802A-48BA-470E-8C67-696B701ADC60}"/>
</file>

<file path=customXml/itemProps2.xml><?xml version="1.0" encoding="utf-8"?>
<ds:datastoreItem xmlns:ds="http://schemas.openxmlformats.org/officeDocument/2006/customXml" ds:itemID="{1AA037B4-AD0C-4A46-8E44-082FC6C9F405}"/>
</file>

<file path=customXml/itemProps3.xml><?xml version="1.0" encoding="utf-8"?>
<ds:datastoreItem xmlns:ds="http://schemas.openxmlformats.org/officeDocument/2006/customXml" ds:itemID="{3E4A74CF-96B1-479A-828E-DEEE47ACFC09}"/>
</file>

<file path=customXml/itemProps4.xml><?xml version="1.0" encoding="utf-8"?>
<ds:datastoreItem xmlns:ds="http://schemas.openxmlformats.org/officeDocument/2006/customXml" ds:itemID="{8AA95C7E-663E-4063-9BC8-07D181440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Comp Depr Rates Sept 07</vt:lpstr>
      <vt:lpstr>Depreciation Recon</vt:lpstr>
      <vt:lpstr>Lead E</vt:lpstr>
      <vt:lpstr>2025 Retirement 3&amp;4</vt:lpstr>
      <vt:lpstr>2029 Retirement 3&amp;4</vt:lpstr>
      <vt:lpstr>Elec Depr Stdy Orig Adj</vt:lpstr>
      <vt:lpstr>Colstrip 3&amp;4 2025</vt:lpstr>
      <vt:lpstr>Colstrip 3&amp;4 2029</vt:lpstr>
      <vt:lpstr>'2025 Retirement 3&amp;4'!Print_Area</vt:lpstr>
      <vt:lpstr>'2029 Retirement 3&amp;4'!Print_Area</vt:lpstr>
      <vt:lpstr>'Lead E'!Print_Area</vt:lpstr>
      <vt:lpstr>'2025 Retirement 3&amp;4'!Print_Titles</vt:lpstr>
      <vt:lpstr>'2029 Retirement 3&amp;4'!Print_Titles</vt:lpstr>
      <vt:lpstr>'Comp Depr Rates Sept 07'!Print_Titles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laschu</dc:creator>
  <cp:lastModifiedBy>No Name</cp:lastModifiedBy>
  <cp:lastPrinted>2017-08-08T23:40:30Z</cp:lastPrinted>
  <dcterms:created xsi:type="dcterms:W3CDTF">2007-01-18T20:59:32Z</dcterms:created>
  <dcterms:modified xsi:type="dcterms:W3CDTF">2017-08-08T23:41:00Z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