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0490" windowHeight="10920" activeTab="1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8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35" i="76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65" i="1"/>
  <c r="AJ47" i="1"/>
  <c r="AJ36" i="1"/>
  <c r="AJ30" i="1"/>
  <c r="AJ24" i="1"/>
  <c r="AJ17" i="1"/>
  <c r="X10" i="1" l="1"/>
  <c r="X11" i="76" s="1"/>
  <c r="AJ81" i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O60" i="69" l="1"/>
  <c r="J12" i="56"/>
  <c r="J17" i="56" s="1"/>
  <c r="I44" i="54" s="1"/>
  <c r="I48" i="54" s="1"/>
  <c r="F27" i="55"/>
  <c r="O55" i="69"/>
  <c r="O56" i="69" s="1"/>
  <c r="F31" i="55"/>
  <c r="I15" i="54" l="1"/>
  <c r="J15" i="54" s="1"/>
  <c r="J18" i="54" s="1"/>
  <c r="J15" i="56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<sst xmlns="http://schemas.openxmlformats.org/spreadsheetml/2006/main" count="930" uniqueCount="548">
  <si>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</si>
  <si>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</si>
  <si>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</si>
  <si>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</si>
  <si>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</si>
  <si>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</si>
  <si>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</si>
  <si>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</si>
  <si>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</si>
  <si>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</si>
  <si>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</si>
  <si>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</si>
  <si>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</si>
  <si>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</si>
  <si>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</si>
  <si>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</si>
  <si>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</si>
  <si>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</si>
  <si>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</si>
  <si>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</si>
  <si>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</si>
  <si>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</si>
  <si>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</si>
  <si>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</si>
  <si>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</si>
  <si>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</si>
  <si>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</si>
  <si>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</si>
  <si>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</si>
  <si>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</si>
  <si>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</si>
  <si>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</si>
  <si>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</si>
  <si>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</si>
  <si>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</si>
  <si>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</si>
  <si>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</si>
  <si>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</si>
  <si>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</si>
  <si>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</si>
  <si>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</si>
  <si>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</si>
  <si>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</si>
  <si>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</si>
  <si>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</si>
  <si>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</si>
  <si>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</si>
  <si>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</si>
  <si>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</si>
  <si>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</si>
  <si>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</si>
  <si>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</si>
  <si>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</si>
  <si>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</si>
  <si>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</si>
  <si>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</si>
  <si>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</si>
  <si>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</si>
  <si>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</si>
  <si>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</si>
  <si>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</si>
  <si>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</si>
  <si>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</si>
  <si>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</si>
  <si>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</si>
  <si>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</si>
  <si>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</si>
  <si>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</si>
  <si>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</si>
  <si>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</si>
  <si>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</si>
  <si>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</si>
  <si>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</si>
  <si>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</si>
  <si>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</si>
  <si>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</si>
  <si>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</si>
  <si>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</si>
  <si>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</si>
  <si>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</si>
  <si>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</si>
  <si>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</si>
  <si>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</si>
  <si>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</si>
  <si>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</si>
  <si>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</si>
  <si>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</si>
  <si>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</si>
  <si>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</si>
  <si>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</si>
  <si>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</si>
  <si>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</si>
  <si>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</si>
  <si>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</si>
  <si>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</si>
  <si>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</si>
  <si>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</si>
  <si>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</si>
  <si>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</si>
  <si>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</si>
  <si>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</si>
  <si>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</si>
  <si>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</si>
  <si>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</si>
  <si>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</si>
  <si>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</si>
  <si>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</si>
  <si>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</si>
  <si>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</si>
  <si>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</si>
  <si>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</si>
  <si>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</si>
  <si>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</si>
  <si>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</si>
  <si>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</si>
  <si>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</si>
  <si>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</si>
  <si>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</si>
  <si>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</si>
  <si>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</si>
  <si>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</si>
  <si>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</si>
  <si>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</si>
  <si>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</si>
  <si>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</si>
  <si>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</si>
  <si>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</si>
  <si>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</si>
  <si>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</si>
  <si>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</si>
  <si>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</si>
  <si>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</si>
  <si>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</si>
  <si>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</si>
  <si>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</si>
  <si>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</si>
  <si>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</si>
  <si>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</si>
  <si>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</si>
  <si>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</si>
  <si>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</si>
  <si>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</si>
  <si>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</si>
  <si>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</si>
  <si>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</si>
  <si>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</si>
  <si>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</si>
  <si>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</si>
  <si>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</si>
  <si>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</si>
  <si>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</si>
  <si>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</si>
  <si>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</si>
  <si>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</si>
  <si>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</si>
  <si>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</si>
  <si>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</si>
  <si>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</si>
  <si>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</si>
  <si>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</si>
  <si>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</si>
  <si>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</si>
  <si>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</si>
  <si>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</si>
  <si>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</si>
  <si>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</si>
  <si>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</si>
  <si>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</si>
  <si>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</si>
  <si>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</si>
  <si>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</si>
  <si>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</si>
  <si>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</si>
  <si>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</si>
  <si>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</si>
  <si>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</si>
  <si>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</si>
  <si>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</si>
  <si>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</si>
  <si>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</si>
  <si>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</si>
  <si>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</si>
  <si>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</si>
  <si>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</si>
  <si>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</si>
  <si>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</si>
  <si>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</si>
  <si>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</si>
  <si>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</si>
  <si>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</si>
  <si>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</si>
  <si>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</si>
  <si>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</si>
  <si>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</si>
  <si>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</si>
  <si>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</si>
  <si>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</si>
  <si>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</si>
  <si>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</si>
  <si>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</si>
  <si>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</si>
  <si>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</si>
  <si>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</si>
  <si>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</si>
  <si>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</si>
  <si>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</si>
  <si>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</si>
  <si>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</si>
  <si>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</si>
  <si>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</si>
  <si>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</si>
  <si>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</si>
  <si>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</si>
  <si>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</si>
  <si>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</si>
  <si>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</si>
  <si>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</si>
  <si>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</si>
  <si>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</si>
  <si>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</si>
  <si>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</si>
  <si>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</si>
  <si>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</si>
  <si>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</si>
  <si>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</si>
  <si>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</si>
  <si>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</si>
  <si>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</si>
  <si>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</si>
  <si>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</si>
  <si>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</si>
  <si>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</si>
  <si>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</si>
  <si>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</si>
  <si>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</si>
  <si>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</si>
  <si>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</si>
  <si>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</si>
  <si>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</si>
  <si>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</si>
  <si>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</si>
  <si>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</si>
  <si>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</si>
  <si>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</si>
  <si>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</si>
  <si>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</si>
  <si>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</si>
  <si>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</si>
  <si>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</si>
  <si>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</si>
  <si>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</si>
  <si>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</si>
  <si>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</si>
  <si>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</si>
  <si>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</si>
  <si>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</si>
  <si>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</si>
  <si>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</si>
  <si>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</si>
  <si>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</si>
  <si>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</si>
  <si>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</si>
  <si>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</si>
  <si>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</si>
  <si>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</si>
  <si>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</si>
  <si>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</si>
  <si>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</si>
  <si>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</si>
  <si>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</si>
  <si>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</si>
  <si>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</si>
  <si>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</si>
  <si>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</si>
  <si>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</si>
  <si>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</si>
  <si>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</si>
  <si>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</si>
  <si>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</si>
  <si>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</si>
  <si>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</si>
  <si>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</si>
  <si>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</si>
  <si>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</si>
  <si>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</si>
  <si>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</si>
  <si>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</si>
  <si>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</si>
  <si>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</si>
  <si>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</si>
  <si>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</si>
  <si>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</si>
  <si>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</si>
  <si>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</si>
  <si>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</si>
  <si>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</si>
  <si>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</si>
  <si>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</si>
  <si>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</si>
  <si>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</si>
  <si>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</si>
  <si>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</si>
  <si>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</si>
  <si>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</si>
  <si>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</si>
  <si>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</si>
  <si>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</si>
  <si>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</si>
  <si>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</si>
  <si>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</si>
  <si>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</si>
  <si>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</si>
  <si>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</si>
  <si>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</si>
  <si>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</si>
  <si>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</si>
  <si>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</si>
  <si>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</si>
  <si>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</si>
  <si>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</si>
  <si>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</si>
  <si>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</si>
  <si>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</si>
  <si>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</si>
  <si>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</si>
  <si>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</si>
  <si>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</si>
  <si>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</si>
  <si>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</si>
  <si>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</si>
  <si>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</si>
  <si>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</si>
  <si>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</si>
  <si>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</si>
  <si>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</si>
  <si>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</si>
  <si>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</si>
  <si>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</si>
  <si>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</si>
  <si>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</si>
  <si>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</si>
  <si>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</si>
  <si>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</si>
  <si>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</si>
  <si>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</si>
  <si>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</si>
  <si>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</si>
  <si>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</si>
  <si>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</si>
  <si>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</si>
  <si>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</si>
  <si>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</si>
  <si>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</si>
  <si>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</si>
  <si>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</si>
  <si>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</si>
  <si>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</si>
  <si>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</si>
  <si>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</si>
  <si>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</si>
  <si>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</si>
  <si>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</si>
  <si>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</si>
  <si>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</si>
  <si>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</si>
  <si>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</si>
  <si>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</si>
  <si>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</si>
  <si>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</si>
  <si>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</si>
  <si>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</si>
  <si>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</si>
  <si>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</si>
  <si>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</si>
  <si>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</si>
  <si>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</si>
  <si>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</si>
  <si>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</si>
  <si>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</si>
  <si>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</si>
  <si>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</si>
  <si>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</si>
  <si>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</si>
  <si>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</si>
  <si>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</si>
  <si>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</si>
  <si>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</si>
  <si>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</si>
  <si>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</si>
  <si>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</si>
  <si>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</si>
  <si>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</si>
  <si>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</si>
  <si>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</si>
  <si>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</si>
  <si>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</si>
  <si>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</si>
  <si>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</si>
  <si>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</si>
  <si>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</si>
  <si>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</si>
  <si>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</si>
  <si>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</si>
  <si>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</si>
  <si>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</si>
  <si>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</si>
  <si>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</si>
  <si>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</si>
  <si>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</si>
  <si>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</si>
  <si>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</si>
  <si>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</si>
  <si>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</si>
  <si>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</si>
  <si>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</si>
  <si>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</si>
  <si>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</si>
  <si>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</si>
  <si>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</si>
  <si>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</si>
  <si>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</si>
  <si>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</si>
  <si>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</si>
  <si>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</si>
  <si>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</si>
  <si>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</si>
  <si>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</si>
  <si>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</si>
  <si>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</si>
  <si>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</si>
  <si>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</si>
  <si>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</si>
  <si>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</si>
  <si>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</si>
  <si>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</si>
  <si>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</si>
  <si>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</si>
  <si>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</si>
  <si>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</si>
  <si>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</si>
  <si>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</si>
  <si>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</si>
  <si>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</si>
  <si>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</si>
  <si>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</si>
  <si>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</si>
  <si>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</si>
  <si>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</si>
  <si>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</si>
  <si>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</si>
  <si>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</si>
  <si>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</si>
  <si>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</si>
  <si>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</si>
  <si>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</si>
  <si>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</si>
  <si>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</si>
  <si>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</si>
  <si>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</si>
  <si>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</si>
  <si>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</si>
  <si>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</si>
  <si>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</si>
  <si>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</si>
  <si>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</si>
  <si>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</si>
  <si>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</si>
  <si>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</si>
  <si>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</si>
  <si>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</si>
  <si>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</si>
  <si>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</si>
  <si>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</si>
  <si>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</si>
  <si>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</si>
  <si>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</si>
  <si>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</si>
  <si>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</si>
  <si>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</si>
  <si>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</si>
  <si>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</si>
  <si>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</si>
  <si>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</si>
  <si>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</si>
  <si>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</si>
  <si>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</si>
  <si>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</si>
  <si>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</si>
  <si>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</si>
  <si>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</si>
  <si>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</si>
  <si>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</si>
  <si>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</si>
  <si>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</si>
  <si>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</si>
  <si>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</si>
  <si>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Base Rate Change</t>
  </si>
  <si>
    <t>(000's of</t>
  </si>
  <si>
    <t>Dollars)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</si>
  <si>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</si>
  <si>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</si>
  <si>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</si>
  <si>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</si>
  <si>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</si>
  <si>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</si>
  <si>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</si>
  <si>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</si>
  <si>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</si>
  <si>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</si>
  <si>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</si>
  <si>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</si>
  <si>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</si>
  <si>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</si>
  <si>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</si>
  <si>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</si>
  <si>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</si>
  <si>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</si>
  <si>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</si>
  <si>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</si>
  <si>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</si>
  <si>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</si>
  <si>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</si>
  <si>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</si>
  <si>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</si>
  <si>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</si>
  <si>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</si>
  <si>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</si>
  <si>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</si>
  <si>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</si>
  <si>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</si>
  <si>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</si>
  <si>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</si>
  <si>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</si>
  <si>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</si>
  <si>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</si>
  <si>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</si>
  <si>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</si>
  <si>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</si>
  <si>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</si>
  <si>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</si>
  <si>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</si>
  <si>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</si>
  <si>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</si>
  <si>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</si>
  <si>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</si>
  <si>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CALCULATION OF RECOMMENDED GENERAL REVENUE REQUIREMENT</t>
  </si>
  <si>
    <t>RECOMMENDED COST OF CAPITAL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</si>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</sst>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28" fillId="0" borderId="3" xfId="7" applyNumberFormat="1" applyFont="1" applyBorder="1"/>
    <xf numFmtId="0" fontId="46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57" t="s">
        <v>539</v>
      </c>
      <c r="G6" s="758"/>
      <c r="H6" s="758"/>
      <c r="I6" s="758"/>
      <c r="J6" s="759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542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540</v>
      </c>
      <c r="I8" s="42" t="s">
        <v>144</v>
      </c>
      <c r="J8" s="495" t="s">
        <v>541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443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3762</v>
      </c>
      <c r="J15" s="70">
        <f>H15+I15</f>
        <v>92514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3762</v>
      </c>
      <c r="J18" s="304">
        <f t="shared" si="0"/>
        <v>97802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30</v>
      </c>
      <c r="H23" s="304">
        <f>'ADJ DETAIL INPUT'!AN22</f>
        <v>985</v>
      </c>
      <c r="I23" s="304"/>
      <c r="J23" s="304">
        <f>H23+I23</f>
        <v>985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-90347</v>
      </c>
      <c r="H25" s="304">
        <f t="shared" si="1"/>
        <v>985</v>
      </c>
      <c r="I25" s="304">
        <f t="shared" si="1"/>
        <v>0</v>
      </c>
      <c r="J25" s="304">
        <f t="shared" si="1"/>
        <v>985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-65</v>
      </c>
      <c r="H30" s="306">
        <f>'ADJ DETAIL INPUT'!AN29</f>
        <v>237</v>
      </c>
      <c r="I30" s="306"/>
      <c r="J30" s="306">
        <f>H30+I30</f>
        <v>237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-266</v>
      </c>
      <c r="H31" s="304">
        <f>SUM(H28:H30)</f>
        <v>2195</v>
      </c>
      <c r="I31" s="304">
        <f>SUM(I28:I30)</f>
        <v>0</v>
      </c>
      <c r="J31" s="304">
        <f>SUM(J28:J30)</f>
        <v>2195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335</v>
      </c>
      <c r="H34" s="304">
        <f>'ADJ DETAIL INPUT'!AN33</f>
        <v>12651</v>
      </c>
      <c r="I34" s="304"/>
      <c r="J34" s="304">
        <f>H34+I34</f>
        <v>12651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-177</v>
      </c>
      <c r="H35" s="304">
        <f>'ADJ DETAIL INPUT'!AN34</f>
        <v>11465</v>
      </c>
      <c r="I35" s="304"/>
      <c r="J35" s="304">
        <f>H35+I35</f>
        <v>11465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-6701</v>
      </c>
      <c r="H36" s="306">
        <f>'ADJ DETAIL INPUT'!AN35</f>
        <v>7427</v>
      </c>
      <c r="I36" s="306">
        <f>CF!J19</f>
        <v>144</v>
      </c>
      <c r="J36" s="306">
        <f>H36+I36</f>
        <v>7571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-6543</v>
      </c>
      <c r="H37" s="304">
        <f t="shared" si="2"/>
        <v>31543</v>
      </c>
      <c r="I37" s="304">
        <f t="shared" si="2"/>
        <v>144</v>
      </c>
      <c r="J37" s="304">
        <f t="shared" si="2"/>
        <v>31687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-273</v>
      </c>
      <c r="H39" s="304">
        <f>'ADJ DETAIL INPUT'!AN38</f>
        <v>6961</v>
      </c>
      <c r="I39" s="304">
        <f>CF!J15</f>
        <v>14</v>
      </c>
      <c r="J39" s="304">
        <f>H39+I39</f>
        <v>6975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-6844</v>
      </c>
      <c r="H40" s="304">
        <f>'ADJ DETAIL INPUT'!AN39</f>
        <v>1249</v>
      </c>
      <c r="I40" s="304"/>
      <c r="J40" s="304">
        <f>H40+I40</f>
        <v>1249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-751</v>
      </c>
      <c r="H44" s="304">
        <f>'ADJ DETAIL INPUT'!AN43</f>
        <v>14294</v>
      </c>
      <c r="I44" s="304">
        <f>CF!J17</f>
        <v>8</v>
      </c>
      <c r="J44" s="304">
        <f>H44+I44</f>
        <v>14302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418</v>
      </c>
      <c r="H45" s="304">
        <f>'ADJ DETAIL INPUT'!AN44</f>
        <v>8910</v>
      </c>
      <c r="I45" s="304"/>
      <c r="J45" s="304">
        <f>H45+I45</f>
        <v>8910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3331</v>
      </c>
      <c r="H48" s="309">
        <f t="shared" si="3"/>
        <v>25309</v>
      </c>
      <c r="I48" s="309">
        <f t="shared" si="3"/>
        <v>8</v>
      </c>
      <c r="J48" s="309">
        <f t="shared" si="3"/>
        <v>25317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-100942</v>
      </c>
      <c r="H49" s="306">
        <f>H48+H37+H31+H25+H39+H40+H41</f>
        <v>68242</v>
      </c>
      <c r="I49" s="306">
        <f>I48+I37+I31+I25+I39+I40+I41</f>
        <v>166</v>
      </c>
      <c r="J49" s="306">
        <f>J48+J37+J31+J25+J39+J40+J41</f>
        <v>68408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-1412</v>
      </c>
      <c r="H51" s="304">
        <f>H18-H49</f>
        <v>25798</v>
      </c>
      <c r="I51" s="304">
        <f>I18-I49</f>
        <v>3596</v>
      </c>
      <c r="J51" s="304">
        <f>J18-J49</f>
        <v>29394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-164.73000000000002</v>
      </c>
      <c r="H54" s="304">
        <f>'ADJ DETAIL INPUT'!AN53</f>
        <v>2392.27</v>
      </c>
      <c r="I54" s="304">
        <f>CF!J25</f>
        <v>755</v>
      </c>
      <c r="J54" s="304">
        <f>H54+I54</f>
        <v>3147.27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-143.74924200000001</v>
      </c>
      <c r="H55" s="304">
        <f>'ADJ DETAIL INPUT'!AN54</f>
        <v>-143.74924200000001</v>
      </c>
      <c r="I55" s="304">
        <f>CF!J26</f>
        <v>0</v>
      </c>
      <c r="J55" s="304">
        <f>H55+I55</f>
        <v>-143.74924200000001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-1442.5207580000001</v>
      </c>
      <c r="H59" s="311">
        <f>H51-SUM(H54:H57)</f>
        <v>23171.479242000001</v>
      </c>
      <c r="I59" s="311">
        <f>I51-SUM(I54:I57)</f>
        <v>2841</v>
      </c>
      <c r="J59" s="311">
        <f>J51-SUM(J54:J57)</f>
        <v>26012.479242000001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17368</v>
      </c>
      <c r="H64" s="304">
        <f>'ADJ DETAIL INPUT'!AN63</f>
        <v>480004</v>
      </c>
      <c r="I64" s="304"/>
      <c r="J64" s="304">
        <f>H64+I64</f>
        <v>480004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12935</v>
      </c>
      <c r="H65" s="306">
        <f>'ADJ DETAIL INPUT'!AN64</f>
        <v>126988</v>
      </c>
      <c r="I65" s="306"/>
      <c r="J65" s="306">
        <f>H65+I65</f>
        <v>126988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30903</v>
      </c>
      <c r="H66" s="312">
        <f t="shared" si="4"/>
        <v>636034</v>
      </c>
      <c r="I66" s="312">
        <f t="shared" si="4"/>
        <v>0</v>
      </c>
      <c r="J66" s="312">
        <f t="shared" si="4"/>
        <v>636034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-2775</v>
      </c>
      <c r="H70" s="304">
        <f>'ADJ DETAIL INPUT'!AN69</f>
        <v>-148177</v>
      </c>
      <c r="I70" s="304"/>
      <c r="J70" s="304">
        <f t="shared" si="6"/>
        <v>-148177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-2338</v>
      </c>
      <c r="H71" s="304">
        <f>'ADJ DETAIL INPUT'!AN70</f>
        <v>-34692</v>
      </c>
      <c r="I71" s="306"/>
      <c r="J71" s="306">
        <f t="shared" si="6"/>
        <v>-34692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-5544</v>
      </c>
      <c r="H72" s="309">
        <f t="shared" si="7"/>
        <v>-194351</v>
      </c>
      <c r="I72" s="309">
        <f t="shared" si="7"/>
        <v>0</v>
      </c>
      <c r="J72" s="309">
        <f t="shared" si="7"/>
        <v>-194351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25359</v>
      </c>
      <c r="H73" s="312">
        <f t="shared" si="8"/>
        <v>441683</v>
      </c>
      <c r="I73" s="312">
        <f t="shared" si="8"/>
        <v>0</v>
      </c>
      <c r="J73" s="312">
        <f t="shared" si="8"/>
        <v>441683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-373</v>
      </c>
      <c r="H74" s="306">
        <f>'ADJ DETAIL INPUT'!AN73</f>
        <v>-89281</v>
      </c>
      <c r="I74" s="306"/>
      <c r="J74" s="306">
        <f>H74+I74</f>
        <v>-89281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24986</v>
      </c>
      <c r="H75" s="304">
        <f>H73+H74</f>
        <v>352402</v>
      </c>
      <c r="I75" s="304">
        <f t="shared" si="9"/>
        <v>0</v>
      </c>
      <c r="J75" s="304">
        <f t="shared" si="9"/>
        <v>352402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494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24986</v>
      </c>
      <c r="H81" s="99">
        <f>H79+H77+H76+H75+H78</f>
        <v>373732</v>
      </c>
      <c r="I81" s="99">
        <f>I79+I77+I76+I75</f>
        <v>0</v>
      </c>
      <c r="J81" s="99">
        <f>J79+J77+J76+J75+J78</f>
        <v>373732</v>
      </c>
      <c r="AE81" s="361"/>
      <c r="AF81" s="362"/>
    </row>
    <row r="82" spans="1:36" ht="13.5" thickTop="1">
      <c r="A82" s="2">
        <v>48</v>
      </c>
      <c r="B82" s="1" t="s">
        <v>458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6.2E-2</v>
      </c>
      <c r="I82" s="7"/>
      <c r="J82" s="408">
        <f>ROUND(J59/J81,4)</f>
        <v>6.9599999999999995E-2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tabSelected="1" view="pageLayout" topLeftCell="F2" zoomScaleNormal="100" workbookViewId="0">
      <selection activeCell="F6" sqref="F6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0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60" t="s">
        <v>112</v>
      </c>
      <c r="B1" s="760"/>
      <c r="C1" s="760"/>
      <c r="D1" s="760"/>
      <c r="E1" s="760"/>
      <c r="F1" s="760"/>
      <c r="G1" s="523"/>
      <c r="H1" s="523"/>
      <c r="I1" s="523"/>
      <c r="J1" s="761" t="s">
        <v>112</v>
      </c>
      <c r="K1" s="762"/>
      <c r="L1" s="762"/>
      <c r="M1" s="762"/>
      <c r="N1" s="763"/>
      <c r="O1" s="527"/>
      <c r="P1" s="523"/>
      <c r="Q1" s="525"/>
    </row>
    <row r="2" spans="1:35">
      <c r="A2" s="760" t="s">
        <v>545</v>
      </c>
      <c r="B2" s="760"/>
      <c r="C2" s="760"/>
      <c r="D2" s="760"/>
      <c r="E2" s="760"/>
      <c r="F2" s="760"/>
      <c r="G2" s="523"/>
      <c r="H2" s="523"/>
      <c r="I2" s="523"/>
      <c r="J2" s="764" t="s">
        <v>546</v>
      </c>
      <c r="K2" s="765"/>
      <c r="L2" s="765"/>
      <c r="M2" s="765"/>
      <c r="N2" s="766"/>
      <c r="O2" s="528"/>
      <c r="P2" s="527"/>
      <c r="Q2" s="525"/>
    </row>
    <row r="3" spans="1:35">
      <c r="A3" s="760" t="s">
        <v>444</v>
      </c>
      <c r="B3" s="760"/>
      <c r="C3" s="760"/>
      <c r="D3" s="760"/>
      <c r="E3" s="760"/>
      <c r="F3" s="760"/>
      <c r="G3" s="528"/>
      <c r="H3" s="528"/>
      <c r="I3" s="528"/>
      <c r="J3" s="764" t="s">
        <v>444</v>
      </c>
      <c r="K3" s="765"/>
      <c r="L3" s="765"/>
      <c r="M3" s="765"/>
      <c r="N3" s="766"/>
      <c r="O3" s="528"/>
      <c r="P3" s="523"/>
      <c r="Q3" s="525"/>
    </row>
    <row r="4" spans="1:35">
      <c r="A4" s="777" t="str">
        <f>'PROP0SED RATES'!A3</f>
        <v>TWELVE MONTHS ENDED DECEMBER 31, 2018</v>
      </c>
      <c r="B4" s="777"/>
      <c r="C4" s="777"/>
      <c r="D4" s="777"/>
      <c r="E4" s="777"/>
      <c r="F4" s="777"/>
      <c r="G4" s="529"/>
      <c r="H4" s="529"/>
      <c r="I4" s="529"/>
      <c r="J4" s="770"/>
      <c r="K4" s="771"/>
      <c r="L4" s="771"/>
      <c r="M4" s="771"/>
      <c r="N4" s="772"/>
      <c r="O4" s="534"/>
      <c r="P4" s="634"/>
    </row>
    <row r="5" spans="1:35" ht="16.5" thickBot="1">
      <c r="A5" s="527"/>
      <c r="B5" s="527"/>
      <c r="C5" s="527"/>
      <c r="D5" s="527"/>
      <c r="E5" s="527"/>
      <c r="F5" s="530" t="s">
        <v>547</v>
      </c>
      <c r="G5" s="530"/>
      <c r="H5" s="530"/>
      <c r="I5" s="530"/>
      <c r="J5" s="556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496</v>
      </c>
      <c r="G6" s="530"/>
      <c r="H6" s="530"/>
      <c r="I6" s="530"/>
      <c r="J6" s="497" t="s">
        <v>500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3" t="s">
        <v>131</v>
      </c>
      <c r="B8" s="528"/>
      <c r="C8" s="773" t="s">
        <v>71</v>
      </c>
      <c r="D8" s="774"/>
      <c r="E8" s="534"/>
      <c r="F8" s="530" t="s">
        <v>497</v>
      </c>
      <c r="G8" s="535"/>
      <c r="H8" s="535"/>
      <c r="I8" s="535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6" t="s">
        <v>16</v>
      </c>
      <c r="B9" s="528"/>
      <c r="C9" s="775"/>
      <c r="D9" s="776"/>
      <c r="E9" s="534"/>
      <c r="F9" s="680" t="s">
        <v>498</v>
      </c>
      <c r="G9" s="535"/>
      <c r="H9" s="535"/>
      <c r="I9" s="535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7"/>
      <c r="G10" s="143"/>
      <c r="H10" s="143"/>
      <c r="I10" s="143"/>
      <c r="J10" s="559"/>
      <c r="K10" s="560"/>
      <c r="L10" s="560"/>
      <c r="M10" s="562"/>
      <c r="N10" s="568"/>
      <c r="P10" s="768" t="s">
        <v>517</v>
      </c>
    </row>
    <row r="11" spans="1:35">
      <c r="A11" s="538">
        <v>1</v>
      </c>
      <c r="C11" s="525" t="s">
        <v>148</v>
      </c>
      <c r="F11" s="539">
        <f>'ADJ DETAIL INPUT'!AN81</f>
        <v>373732</v>
      </c>
      <c r="G11" s="539"/>
      <c r="H11" s="539"/>
      <c r="I11" s="539"/>
      <c r="J11" s="559"/>
      <c r="K11" s="564" t="s">
        <v>13</v>
      </c>
      <c r="L11" s="569">
        <v>0.53</v>
      </c>
      <c r="M11" s="212">
        <v>5.1470000000000002E-2</v>
      </c>
      <c r="N11" s="570">
        <f>ROUND(L11*M11,4)</f>
        <v>2.7300000000000001E-2</v>
      </c>
      <c r="P11" s="769"/>
      <c r="Q11" s="531"/>
    </row>
    <row r="12" spans="1:35" ht="16.5" thickBot="1">
      <c r="A12" s="538"/>
      <c r="F12" s="540"/>
      <c r="G12" s="540"/>
      <c r="H12" s="540"/>
      <c r="I12" s="540"/>
      <c r="J12" s="559"/>
      <c r="K12" s="564"/>
      <c r="L12" s="569"/>
      <c r="M12" s="571"/>
      <c r="N12" s="570"/>
      <c r="P12" s="733">
        <f>N11+N12</f>
        <v>2.7300000000000001E-2</v>
      </c>
    </row>
    <row r="13" spans="1:35">
      <c r="A13" s="538">
        <v>2</v>
      </c>
      <c r="C13" s="525" t="s">
        <v>137</v>
      </c>
      <c r="F13" s="541">
        <f>N15</f>
        <v>6.9599999999999995E-2</v>
      </c>
      <c r="G13" s="542"/>
      <c r="H13" s="542"/>
      <c r="I13" s="542"/>
      <c r="J13" s="559"/>
      <c r="K13" s="564" t="s">
        <v>499</v>
      </c>
      <c r="L13" s="569">
        <v>0.47</v>
      </c>
      <c r="M13" s="571">
        <v>0.09</v>
      </c>
      <c r="N13" s="570">
        <f>ROUND(L13*M13,4)</f>
        <v>4.2299999999999997E-2</v>
      </c>
    </row>
    <row r="14" spans="1:35">
      <c r="A14" s="538"/>
      <c r="F14" s="543"/>
      <c r="G14" s="543"/>
      <c r="H14" s="543"/>
      <c r="I14" s="543"/>
      <c r="J14" s="559"/>
      <c r="K14" s="564"/>
      <c r="L14" s="571"/>
      <c r="M14" s="572"/>
      <c r="N14" s="570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26012</v>
      </c>
      <c r="G15" s="540"/>
      <c r="H15" s="540"/>
      <c r="I15" s="540"/>
      <c r="J15" s="559"/>
      <c r="K15" s="564" t="s">
        <v>25</v>
      </c>
      <c r="L15" s="573">
        <f>SUM(L11:L13)</f>
        <v>1</v>
      </c>
      <c r="M15" s="572"/>
      <c r="N15" s="574">
        <f>SUM(N11:N13)</f>
        <v>6.9599999999999995E-2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5"/>
      <c r="K16" s="576"/>
      <c r="L16" s="577"/>
      <c r="M16" s="578"/>
      <c r="N16" s="579"/>
      <c r="O16" s="567"/>
      <c r="P16" s="214"/>
    </row>
    <row r="17" spans="1:17">
      <c r="A17" s="538">
        <v>4</v>
      </c>
      <c r="C17" s="525" t="s">
        <v>139</v>
      </c>
      <c r="F17" s="544">
        <f>'ADJ DETAIL INPUT'!AN58</f>
        <v>23171.479242000001</v>
      </c>
      <c r="G17" s="545"/>
      <c r="H17" s="545"/>
      <c r="I17" s="545"/>
      <c r="J17" s="546"/>
      <c r="O17" s="567"/>
      <c r="P17" s="214"/>
    </row>
    <row r="18" spans="1:17">
      <c r="A18" s="538"/>
      <c r="L18" s="524"/>
      <c r="M18" s="524"/>
      <c r="O18" s="567"/>
      <c r="P18" s="214"/>
    </row>
    <row r="19" spans="1:17">
      <c r="A19" s="538">
        <v>5</v>
      </c>
      <c r="C19" s="525" t="s">
        <v>140</v>
      </c>
      <c r="F19" s="540">
        <f>F15-F17</f>
        <v>2840.5207579999988</v>
      </c>
      <c r="G19" s="540"/>
      <c r="H19" s="540"/>
      <c r="I19" s="540"/>
      <c r="O19" s="567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1"/>
      <c r="N21" s="537"/>
      <c r="O21" s="537"/>
      <c r="P21" s="214"/>
      <c r="Q21" s="531"/>
    </row>
    <row r="22" spans="1:17" ht="16.5" thickBot="1">
      <c r="A22" s="538"/>
      <c r="J22" s="213"/>
      <c r="K22" s="582"/>
      <c r="L22" s="213"/>
      <c r="M22" s="583"/>
      <c r="N22" s="213"/>
      <c r="O22" s="213"/>
      <c r="P22" s="214"/>
      <c r="Q22" s="531"/>
    </row>
    <row r="23" spans="1:17" ht="16.5" thickBot="1">
      <c r="A23" s="538">
        <v>7</v>
      </c>
      <c r="C23" s="525" t="s">
        <v>537</v>
      </c>
      <c r="E23" s="548"/>
      <c r="F23" s="549">
        <f>ROUND(F19/F21,0)</f>
        <v>3762</v>
      </c>
      <c r="G23" s="145"/>
      <c r="H23" s="550"/>
      <c r="I23" s="550"/>
      <c r="J23" s="213"/>
      <c r="K23" s="213"/>
      <c r="L23" s="584"/>
      <c r="M23" s="583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3"/>
      <c r="N24" s="213"/>
      <c r="O24" s="585"/>
      <c r="P24" s="214"/>
      <c r="Q24" s="531"/>
    </row>
    <row r="25" spans="1:17">
      <c r="A25" s="538">
        <v>8</v>
      </c>
      <c r="C25" s="525" t="s">
        <v>467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6"/>
      <c r="N25" s="145"/>
      <c r="O25" s="586"/>
      <c r="P25" s="214"/>
      <c r="Q25" s="531"/>
    </row>
    <row r="26" spans="1:17">
      <c r="J26" s="213"/>
      <c r="K26" s="145"/>
      <c r="L26" s="145"/>
      <c r="M26" s="586"/>
      <c r="N26" s="145"/>
      <c r="O26" s="586"/>
      <c r="P26" s="215"/>
      <c r="Q26" s="531"/>
    </row>
    <row r="27" spans="1:17" ht="16.5" thickBot="1">
      <c r="A27" s="538">
        <v>9</v>
      </c>
      <c r="C27" s="525" t="s">
        <v>470</v>
      </c>
      <c r="F27" s="551">
        <f>ROUND(F23/F25,4)</f>
        <v>4.0099999999999997E-2</v>
      </c>
      <c r="G27" s="552"/>
      <c r="H27" s="552"/>
      <c r="I27" s="552"/>
      <c r="J27" s="587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7"/>
      <c r="K28" s="567"/>
      <c r="L28" s="144"/>
      <c r="M28" s="588"/>
      <c r="N28" s="144"/>
      <c r="O28" s="588"/>
      <c r="P28" s="214"/>
      <c r="Q28" s="531"/>
    </row>
    <row r="29" spans="1:17">
      <c r="A29" s="538">
        <v>10</v>
      </c>
      <c r="C29" s="525" t="s">
        <v>468</v>
      </c>
      <c r="F29" s="554">
        <v>127800</v>
      </c>
      <c r="G29" s="554"/>
      <c r="I29" s="554"/>
      <c r="J29" s="554"/>
      <c r="K29" s="213"/>
      <c r="L29" s="589"/>
      <c r="M29" s="144"/>
      <c r="N29" s="589"/>
      <c r="O29" s="144"/>
      <c r="P29" s="214"/>
      <c r="Q29" s="531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1"/>
    </row>
    <row r="31" spans="1:17" ht="15.75" customHeight="1">
      <c r="A31" s="538">
        <v>11</v>
      </c>
      <c r="C31" s="525" t="s">
        <v>469</v>
      </c>
      <c r="F31" s="745">
        <f>ROUND(F23/F29,4)</f>
        <v>2.9399999999999999E-2</v>
      </c>
      <c r="G31" s="552"/>
      <c r="H31" s="552"/>
      <c r="I31" s="552"/>
      <c r="J31" s="567"/>
      <c r="K31" s="567"/>
      <c r="L31" s="590"/>
      <c r="M31" s="586"/>
      <c r="N31" s="590"/>
      <c r="O31" s="586"/>
      <c r="P31" s="214"/>
      <c r="Q31" s="531"/>
    </row>
    <row r="32" spans="1:17" ht="15.75" customHeight="1">
      <c r="A32" s="746"/>
      <c r="B32" s="537"/>
      <c r="C32" s="537"/>
      <c r="D32" s="537"/>
      <c r="E32" s="537"/>
      <c r="F32" s="552"/>
      <c r="G32" s="552"/>
      <c r="H32" s="552"/>
      <c r="I32" s="552"/>
      <c r="J32" s="567"/>
      <c r="K32" s="213"/>
      <c r="L32" s="537"/>
      <c r="M32" s="581"/>
      <c r="N32" s="537"/>
      <c r="O32" s="537"/>
      <c r="P32" s="214"/>
      <c r="Q32" s="531"/>
    </row>
    <row r="33" spans="1:17">
      <c r="A33" s="537"/>
      <c r="B33" s="537"/>
      <c r="C33" s="537"/>
      <c r="D33" s="537"/>
      <c r="E33" s="537"/>
      <c r="F33" s="537"/>
      <c r="G33" s="537"/>
      <c r="H33" s="537"/>
      <c r="J33" s="567"/>
      <c r="K33" s="213"/>
      <c r="L33" s="212"/>
      <c r="M33" s="581"/>
      <c r="N33" s="212"/>
      <c r="O33" s="213"/>
      <c r="P33" s="214"/>
      <c r="Q33" s="531"/>
    </row>
    <row r="34" spans="1:17" ht="15.75" customHeight="1">
      <c r="A34" s="436"/>
      <c r="B34" s="436"/>
      <c r="C34" s="778"/>
      <c r="D34" s="778"/>
      <c r="E34" s="778"/>
      <c r="F34" s="778"/>
      <c r="G34" s="778"/>
      <c r="H34" s="778"/>
      <c r="I34" s="143"/>
      <c r="J34" s="213"/>
      <c r="K34" s="213"/>
      <c r="L34" s="213"/>
      <c r="M34" s="583"/>
      <c r="N34" s="213"/>
      <c r="O34" s="213"/>
      <c r="P34" s="214"/>
      <c r="Q34" s="531"/>
    </row>
    <row r="35" spans="1:17">
      <c r="A35" s="747"/>
      <c r="B35" s="436"/>
      <c r="C35" s="748"/>
      <c r="D35" s="436"/>
      <c r="E35" s="436"/>
      <c r="F35" s="726"/>
      <c r="G35" s="725"/>
      <c r="H35" s="726"/>
      <c r="I35" s="143"/>
      <c r="J35" s="213"/>
      <c r="K35" s="213"/>
      <c r="L35" s="213"/>
      <c r="M35" s="583"/>
      <c r="N35" s="591"/>
      <c r="O35" s="213"/>
    </row>
    <row r="36" spans="1:17">
      <c r="A36" s="747"/>
      <c r="B36" s="436"/>
      <c r="C36" s="748"/>
      <c r="D36" s="436"/>
      <c r="E36" s="436"/>
      <c r="F36" s="727"/>
      <c r="G36" s="727"/>
      <c r="H36" s="727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36"/>
      <c r="B37" s="436"/>
      <c r="C37" s="749"/>
      <c r="D37" s="436"/>
      <c r="E37" s="436"/>
      <c r="F37" s="728"/>
      <c r="G37" s="728"/>
      <c r="H37" s="728"/>
      <c r="I37" s="143"/>
      <c r="J37" s="213"/>
      <c r="K37" s="213"/>
      <c r="L37" s="213"/>
      <c r="M37" s="583"/>
      <c r="N37" s="592"/>
      <c r="O37" s="213"/>
    </row>
    <row r="38" spans="1:17">
      <c r="A38" s="436"/>
      <c r="B38" s="436"/>
      <c r="C38" s="520"/>
      <c r="D38" s="436"/>
      <c r="E38" s="436"/>
      <c r="F38" s="750"/>
      <c r="G38" s="750"/>
      <c r="H38" s="750"/>
      <c r="I38" s="143"/>
      <c r="J38" s="213"/>
      <c r="K38" s="213"/>
      <c r="L38" s="213"/>
      <c r="M38" s="583"/>
      <c r="N38" s="213"/>
      <c r="O38" s="213"/>
    </row>
    <row r="39" spans="1:17">
      <c r="A39" s="747"/>
      <c r="B39" s="436"/>
      <c r="C39" s="751"/>
      <c r="D39" s="436"/>
      <c r="E39" s="436"/>
      <c r="F39" s="727"/>
      <c r="G39" s="752"/>
      <c r="H39" s="753"/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747"/>
      <c r="B40" s="436"/>
      <c r="C40" s="520"/>
      <c r="D40" s="436"/>
      <c r="E40" s="436"/>
      <c r="F40" s="729"/>
      <c r="G40" s="729"/>
      <c r="H40" s="73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36"/>
      <c r="B41" s="436"/>
      <c r="C41" s="436"/>
      <c r="D41" s="436"/>
      <c r="E41" s="436"/>
      <c r="F41" s="436"/>
      <c r="G41" s="436"/>
      <c r="H41" s="754"/>
      <c r="I41" s="143"/>
      <c r="J41" s="213"/>
      <c r="K41" s="593"/>
      <c r="L41" s="213"/>
      <c r="M41" s="583"/>
      <c r="N41" s="594"/>
      <c r="O41" s="213"/>
    </row>
    <row r="42" spans="1:17">
      <c r="A42" s="436"/>
      <c r="B42" s="520"/>
      <c r="C42" s="755"/>
      <c r="D42" s="436"/>
      <c r="E42" s="436"/>
      <c r="F42" s="744"/>
      <c r="G42" s="731"/>
      <c r="H42" s="731"/>
      <c r="I42" s="143"/>
      <c r="J42" s="213"/>
      <c r="K42" s="593"/>
      <c r="L42" s="213"/>
      <c r="M42" s="583"/>
      <c r="N42" s="213"/>
      <c r="O42" s="213"/>
    </row>
    <row r="43" spans="1:17">
      <c r="A43" s="436"/>
      <c r="B43" s="436"/>
      <c r="C43" s="767"/>
      <c r="D43" s="767"/>
      <c r="E43" s="436"/>
      <c r="F43" s="756"/>
      <c r="G43" s="732"/>
      <c r="H43" s="732"/>
      <c r="I43" s="143"/>
      <c r="J43" s="213"/>
      <c r="K43" s="213"/>
      <c r="L43" s="213"/>
      <c r="M43" s="583"/>
      <c r="N43" s="213"/>
      <c r="O43" s="213"/>
    </row>
    <row r="44" spans="1:17">
      <c r="A44" s="436"/>
      <c r="B44" s="436"/>
      <c r="C44" s="436"/>
      <c r="D44" s="436"/>
      <c r="E44" s="436"/>
      <c r="F44" s="436"/>
      <c r="G44" s="436"/>
      <c r="H44" s="436"/>
      <c r="I44" s="143"/>
      <c r="J44" s="213"/>
      <c r="K44" s="593"/>
      <c r="L44" s="213"/>
      <c r="M44" s="583"/>
      <c r="N44" s="595"/>
      <c r="O44" s="213"/>
    </row>
    <row r="45" spans="1:17">
      <c r="A45" s="213"/>
      <c r="B45" s="213"/>
      <c r="C45" s="213"/>
      <c r="D45" s="213"/>
      <c r="E45" s="213"/>
      <c r="F45" s="213"/>
      <c r="G45" s="213"/>
      <c r="H45" s="213"/>
      <c r="I45" s="143"/>
      <c r="J45" s="213"/>
      <c r="K45" s="213"/>
      <c r="L45" s="213"/>
      <c r="M45" s="583"/>
      <c r="N45" s="213"/>
      <c r="O45" s="213"/>
    </row>
    <row r="46" spans="1:17">
      <c r="A46" s="213"/>
      <c r="B46" s="213"/>
      <c r="C46" s="213"/>
      <c r="D46" s="213"/>
      <c r="E46" s="213"/>
      <c r="F46" s="213"/>
      <c r="G46" s="213"/>
      <c r="H46" s="213"/>
      <c r="I46" s="143"/>
      <c r="J46" s="213"/>
      <c r="K46" s="213"/>
      <c r="L46" s="213"/>
      <c r="M46" s="583"/>
      <c r="N46" s="213"/>
      <c r="O46" s="213"/>
    </row>
    <row r="47" spans="1:17">
      <c r="A47" s="213"/>
      <c r="B47" s="213"/>
      <c r="C47" s="213"/>
      <c r="D47" s="213"/>
      <c r="E47" s="213"/>
      <c r="F47" s="213"/>
      <c r="G47" s="213"/>
      <c r="H47" s="213"/>
      <c r="I47" s="143"/>
      <c r="J47" s="213"/>
      <c r="K47" s="213"/>
      <c r="L47" s="213"/>
      <c r="M47" s="583"/>
      <c r="N47" s="213"/>
      <c r="O47" s="213"/>
    </row>
    <row r="48" spans="1:17">
      <c r="A48" s="213"/>
      <c r="B48" s="213"/>
      <c r="C48" s="213"/>
      <c r="D48" s="213"/>
      <c r="E48" s="213"/>
      <c r="F48" s="213"/>
      <c r="G48" s="213"/>
      <c r="H48" s="213"/>
      <c r="I48" s="143"/>
      <c r="J48" s="213"/>
      <c r="K48" s="213"/>
      <c r="L48" s="213"/>
      <c r="M48" s="583"/>
      <c r="N48" s="213"/>
      <c r="O48" s="213"/>
    </row>
    <row r="49" spans="1:28">
      <c r="A49" s="213"/>
      <c r="B49" s="213"/>
      <c r="C49" s="213"/>
      <c r="D49" s="213"/>
      <c r="E49" s="213"/>
      <c r="F49" s="213"/>
      <c r="G49" s="213"/>
      <c r="H49" s="213"/>
      <c r="I49" s="143"/>
      <c r="J49" s="213"/>
      <c r="K49" s="213"/>
      <c r="L49" s="213"/>
      <c r="M49" s="583"/>
      <c r="N49" s="213"/>
      <c r="O49" s="213"/>
    </row>
    <row r="50" spans="1:28">
      <c r="A50" s="213"/>
      <c r="B50" s="213"/>
      <c r="C50" s="213"/>
      <c r="D50" s="213"/>
      <c r="E50" s="213"/>
      <c r="F50" s="213"/>
      <c r="G50" s="213"/>
      <c r="H50" s="213"/>
      <c r="I50" s="143"/>
      <c r="J50" s="213"/>
      <c r="K50" s="213"/>
      <c r="L50" s="213"/>
      <c r="M50" s="583"/>
      <c r="N50" s="213"/>
      <c r="O50" s="213"/>
    </row>
    <row r="51" spans="1:28">
      <c r="A51" s="537"/>
      <c r="B51" s="537"/>
      <c r="C51" s="537"/>
      <c r="D51" s="537"/>
      <c r="E51" s="537"/>
      <c r="F51" s="537"/>
      <c r="G51" s="537"/>
      <c r="H51" s="537"/>
      <c r="J51" s="213"/>
      <c r="K51" s="213"/>
      <c r="L51" s="213"/>
      <c r="M51" s="583"/>
      <c r="N51" s="213"/>
      <c r="O51" s="213"/>
    </row>
    <row r="52" spans="1:28">
      <c r="A52" s="537"/>
      <c r="B52" s="537"/>
      <c r="C52" s="537"/>
      <c r="D52" s="537"/>
      <c r="E52" s="537"/>
      <c r="F52" s="537"/>
      <c r="G52" s="537"/>
      <c r="H52" s="537"/>
      <c r="J52" s="213"/>
      <c r="K52" s="213"/>
      <c r="L52" s="213"/>
      <c r="M52" s="583"/>
      <c r="N52" s="213"/>
      <c r="O52" s="213"/>
      <c r="AB52" s="526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30" orientation="portrait" r:id="rId1"/>
  <headerFooter scaleWithDoc="0" alignWithMargins="0">
    <oddHeader xml:space="preserve">&amp;RExhibit ACC-5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444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'RR SUMMARY'!F23</f>
        <v>3762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60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60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5"/>
      <c r="J15" s="109">
        <f>ROUND($J$12*E15,0)</f>
        <v>14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60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8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60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5"/>
      <c r="J19" s="109">
        <f>ROUND($J$12*E19,0)</f>
        <v>144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60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166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3596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60"/>
      <c r="M24" s="49"/>
      <c r="N24" s="49"/>
      <c r="O24" s="49"/>
      <c r="P24" s="49"/>
    </row>
    <row r="25" spans="1:16">
      <c r="A25" s="37">
        <v>8</v>
      </c>
      <c r="C25" s="597" t="s">
        <v>493</v>
      </c>
      <c r="D25" s="601"/>
      <c r="E25" s="597">
        <f>E23*0.21</f>
        <v>0.20072745</v>
      </c>
      <c r="J25" s="112">
        <f>ROUND(J23*0.21,0)</f>
        <v>755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60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2841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3762.3258881393372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0.32588813933716665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view="pageLayout" zoomScaleNormal="100" zoomScaleSheetLayoutView="100" workbookViewId="0">
      <selection activeCell="E84" sqref="E84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2"/>
      <c r="AH2" s="463"/>
      <c r="AK2" s="463"/>
      <c r="AL2" s="463"/>
      <c r="AM2" s="613"/>
    </row>
    <row r="3" spans="1:40" ht="15" customHeight="1">
      <c r="A3" s="376" t="s">
        <v>444</v>
      </c>
      <c r="F3" s="641" t="s">
        <v>461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3"/>
      <c r="T3" s="463"/>
      <c r="U3" s="463"/>
      <c r="V3" s="463"/>
      <c r="W3" s="657"/>
      <c r="X3" s="355"/>
      <c r="Y3" s="414"/>
      <c r="Z3" s="414"/>
      <c r="AA3" s="696" t="s">
        <v>462</v>
      </c>
      <c r="AD3" s="463"/>
      <c r="AE3" s="377"/>
      <c r="AG3" s="702"/>
      <c r="AH3" s="377"/>
      <c r="AJ3" s="737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485</v>
      </c>
      <c r="F4" s="375"/>
      <c r="G4" s="375"/>
      <c r="H4" s="649"/>
      <c r="I4" s="649"/>
      <c r="J4" s="414"/>
      <c r="K4" s="650"/>
      <c r="L4" s="650"/>
      <c r="M4" s="414"/>
      <c r="N4" s="377" t="s">
        <v>443</v>
      </c>
      <c r="O4" s="414"/>
      <c r="P4" s="414"/>
      <c r="Q4" s="414"/>
      <c r="R4" s="667"/>
      <c r="S4" s="463"/>
      <c r="T4" s="463"/>
      <c r="U4" s="463"/>
      <c r="V4" s="377" t="s">
        <v>443</v>
      </c>
      <c r="W4" s="657"/>
      <c r="X4" s="668"/>
      <c r="Y4" s="414"/>
      <c r="Z4" s="426"/>
      <c r="AA4" s="463"/>
      <c r="AC4" s="377" t="s">
        <v>443</v>
      </c>
      <c r="AD4" s="377" t="s">
        <v>443</v>
      </c>
      <c r="AE4" s="377" t="s">
        <v>443</v>
      </c>
      <c r="AF4" s="377" t="s">
        <v>443</v>
      </c>
      <c r="AG4" s="377" t="s">
        <v>443</v>
      </c>
      <c r="AH4" s="377" t="s">
        <v>443</v>
      </c>
      <c r="AJ4" s="738" t="s">
        <v>443</v>
      </c>
      <c r="AK4" s="688" t="s">
        <v>443</v>
      </c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492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687"/>
      <c r="V5" s="673"/>
      <c r="W5" s="657"/>
      <c r="X5" s="668"/>
      <c r="Y5" s="378"/>
      <c r="Z5" s="674"/>
      <c r="AA5" s="687"/>
      <c r="AB5" s="687"/>
      <c r="AC5" s="687"/>
      <c r="AD5" s="687"/>
      <c r="AE5" s="667"/>
      <c r="AF5" s="687"/>
      <c r="AG5" s="703"/>
      <c r="AH5" s="650"/>
      <c r="AI5" s="687"/>
      <c r="AJ5" s="738"/>
      <c r="AK5" s="699"/>
      <c r="AL5" s="650"/>
      <c r="AM5" s="614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1"/>
      <c r="W6" s="658"/>
      <c r="X6" s="669"/>
      <c r="Y6" s="377"/>
      <c r="Z6" s="381"/>
      <c r="AA6" s="377"/>
      <c r="AB6" s="377"/>
      <c r="AC6" s="688"/>
      <c r="AD6" s="688"/>
      <c r="AE6" s="688"/>
      <c r="AF6" s="377"/>
      <c r="AG6" s="704"/>
      <c r="AH6" s="666"/>
      <c r="AI6" s="377"/>
      <c r="AJ6" s="739"/>
      <c r="AK6" s="377"/>
      <c r="AL6" s="723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476</v>
      </c>
      <c r="H7" s="642" t="s">
        <v>435</v>
      </c>
      <c r="I7" s="652" t="s">
        <v>501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446</v>
      </c>
      <c r="T7" s="659" t="s">
        <v>448</v>
      </c>
      <c r="U7" s="659" t="s">
        <v>481</v>
      </c>
      <c r="V7" s="642" t="s">
        <v>162</v>
      </c>
      <c r="W7" s="659" t="s">
        <v>5</v>
      </c>
      <c r="X7" s="371" t="s">
        <v>505</v>
      </c>
      <c r="Y7" s="371" t="s">
        <v>440</v>
      </c>
      <c r="Z7" s="675"/>
      <c r="AA7" s="690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5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3" t="s">
        <v>9</v>
      </c>
      <c r="G8" s="643" t="s">
        <v>477</v>
      </c>
      <c r="H8" s="643" t="s">
        <v>132</v>
      </c>
      <c r="I8" s="653" t="s">
        <v>502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480</v>
      </c>
      <c r="O8" s="643" t="s">
        <v>430</v>
      </c>
      <c r="P8" s="643" t="s">
        <v>14</v>
      </c>
      <c r="Q8" s="643" t="s">
        <v>130</v>
      </c>
      <c r="R8" s="643" t="s">
        <v>478</v>
      </c>
      <c r="S8" s="643" t="s">
        <v>447</v>
      </c>
      <c r="T8" s="660" t="s">
        <v>449</v>
      </c>
      <c r="U8" s="660" t="s">
        <v>482</v>
      </c>
      <c r="V8" s="682" t="s">
        <v>475</v>
      </c>
      <c r="W8" s="660" t="s">
        <v>13</v>
      </c>
      <c r="X8" s="670" t="s">
        <v>487</v>
      </c>
      <c r="Y8" s="442" t="s">
        <v>211</v>
      </c>
      <c r="Z8" s="675"/>
      <c r="AA8" s="691" t="s">
        <v>445</v>
      </c>
      <c r="AB8" s="643" t="s">
        <v>486</v>
      </c>
      <c r="AC8" s="682" t="s">
        <v>125</v>
      </c>
      <c r="AD8" s="682" t="s">
        <v>125</v>
      </c>
      <c r="AE8" s="682" t="s">
        <v>484</v>
      </c>
      <c r="AF8" s="643" t="s">
        <v>510</v>
      </c>
      <c r="AG8" s="706" t="s">
        <v>483</v>
      </c>
      <c r="AH8" s="643" t="s">
        <v>11</v>
      </c>
      <c r="AI8" s="643" t="s">
        <v>44</v>
      </c>
      <c r="AJ8" s="653" t="s">
        <v>544</v>
      </c>
      <c r="AK8" s="643" t="s">
        <v>427</v>
      </c>
      <c r="AL8" s="682" t="s">
        <v>509</v>
      </c>
      <c r="AM8" s="616" t="s">
        <v>511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504</v>
      </c>
      <c r="Q9" s="644" t="s">
        <v>21</v>
      </c>
      <c r="R9" s="644" t="s">
        <v>479</v>
      </c>
      <c r="S9" s="644" t="s">
        <v>114</v>
      </c>
      <c r="T9" s="661" t="s">
        <v>450</v>
      </c>
      <c r="U9" s="661" t="s">
        <v>507</v>
      </c>
      <c r="V9" s="683" t="s">
        <v>12</v>
      </c>
      <c r="W9" s="661" t="s">
        <v>24</v>
      </c>
      <c r="X9" s="671" t="s">
        <v>488</v>
      </c>
      <c r="Y9" s="603"/>
      <c r="Z9" s="676"/>
      <c r="AA9" s="692" t="s">
        <v>442</v>
      </c>
      <c r="AB9" s="644" t="s">
        <v>454</v>
      </c>
      <c r="AC9" s="683" t="s">
        <v>126</v>
      </c>
      <c r="AD9" s="683" t="s">
        <v>127</v>
      </c>
      <c r="AE9" s="683" t="s">
        <v>161</v>
      </c>
      <c r="AF9" s="644" t="s">
        <v>12</v>
      </c>
      <c r="AG9" s="707" t="s">
        <v>12</v>
      </c>
      <c r="AH9" s="644" t="s">
        <v>22</v>
      </c>
      <c r="AI9" s="644" t="s">
        <v>12</v>
      </c>
      <c r="AJ9" s="654" t="s">
        <v>463</v>
      </c>
      <c r="AK9" s="644" t="s">
        <v>428</v>
      </c>
      <c r="AL9" s="644" t="s">
        <v>454</v>
      </c>
      <c r="AM9" s="617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8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503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466</v>
      </c>
      <c r="T11" s="379" t="s">
        <v>451</v>
      </c>
      <c r="U11" s="379" t="s">
        <v>194</v>
      </c>
      <c r="V11" s="377" t="s">
        <v>195</v>
      </c>
      <c r="W11" s="377" t="s">
        <v>196</v>
      </c>
      <c r="X11" s="672" t="s">
        <v>506</v>
      </c>
      <c r="Y11" s="377" t="s">
        <v>425</v>
      </c>
      <c r="Z11" s="381"/>
      <c r="AA11" s="377" t="s">
        <v>453</v>
      </c>
      <c r="AB11" s="377" t="s">
        <v>473</v>
      </c>
      <c r="AC11" s="377" t="s">
        <v>197</v>
      </c>
      <c r="AD11" s="377" t="s">
        <v>198</v>
      </c>
      <c r="AE11" s="377" t="s">
        <v>199</v>
      </c>
      <c r="AF11" s="377" t="s">
        <v>515</v>
      </c>
      <c r="AG11" s="709" t="s">
        <v>512</v>
      </c>
      <c r="AH11" s="377" t="s">
        <v>434</v>
      </c>
      <c r="AI11" s="377" t="s">
        <v>513</v>
      </c>
      <c r="AJ11" s="381" t="s">
        <v>508</v>
      </c>
      <c r="AK11" s="377" t="s">
        <v>464</v>
      </c>
      <c r="AL11" s="377" t="s">
        <v>514</v>
      </c>
      <c r="AM11" s="613" t="s">
        <v>516</v>
      </c>
      <c r="AN11" s="474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4"/>
      <c r="AC12" s="649"/>
      <c r="AD12" s="649"/>
      <c r="AE12" s="649"/>
      <c r="AJ12" s="399"/>
      <c r="AN12" s="475"/>
    </row>
    <row r="13" spans="1:40">
      <c r="B13" s="1" t="s">
        <v>32</v>
      </c>
      <c r="V13" s="649"/>
      <c r="Z13" s="484"/>
      <c r="AC13" s="649"/>
      <c r="AD13" s="649"/>
      <c r="AE13" s="649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645">
        <v>-58118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0">
        <v>0</v>
      </c>
      <c r="AH14" s="645">
        <v>0</v>
      </c>
      <c r="AI14" s="645">
        <v>0</v>
      </c>
      <c r="AJ14" s="740">
        <v>0</v>
      </c>
      <c r="AK14" s="645">
        <v>0</v>
      </c>
      <c r="AL14" s="645">
        <v>0</v>
      </c>
      <c r="AM14" s="619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1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2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1"/>
      <c r="AH18" s="646"/>
      <c r="AI18" s="646"/>
      <c r="AJ18" s="648"/>
      <c r="AK18" s="646"/>
      <c r="AL18" s="646"/>
      <c r="AM18" s="620"/>
      <c r="AN18" s="477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1"/>
      <c r="AH19" s="646"/>
      <c r="AI19" s="646"/>
      <c r="AJ19" s="648"/>
      <c r="AK19" s="646"/>
      <c r="AL19" s="646"/>
      <c r="AM19" s="620"/>
      <c r="AN19" s="477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1"/>
      <c r="AH20" s="646"/>
      <c r="AI20" s="646"/>
      <c r="AJ20" s="648"/>
      <c r="AK20" s="646"/>
      <c r="AL20" s="646"/>
      <c r="AM20" s="620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1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10</v>
      </c>
      <c r="AF22" s="646">
        <v>0</v>
      </c>
      <c r="AG22" s="711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7">
        <f>SUM(Y22:AM22)</f>
        <v>985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2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10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7">
        <f t="shared" ref="AN24" si="31">SUM(AN21:AN23)</f>
        <v>985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7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1"/>
      <c r="AH26" s="646"/>
      <c r="AI26" s="646"/>
      <c r="AJ26" s="648"/>
      <c r="AK26" s="646"/>
      <c r="AL26" s="646"/>
      <c r="AM26" s="620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1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1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2">
        <v>0</v>
      </c>
      <c r="AH29" s="647">
        <v>13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3">
        <f>SUM(Y29:AM29)</f>
        <v>237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13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7">
        <f t="shared" ref="AN30" si="40">SUM(AN27:AN29)</f>
        <v>2195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7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1"/>
      <c r="AH32" s="646"/>
      <c r="AI32" s="646"/>
      <c r="AJ32" s="648"/>
      <c r="AK32" s="646"/>
      <c r="AL32" s="646"/>
      <c r="AM32" s="620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211</v>
      </c>
      <c r="AD33" s="646"/>
      <c r="AE33" s="646">
        <v>132</v>
      </c>
      <c r="AF33" s="646">
        <v>0</v>
      </c>
      <c r="AG33" s="711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7">
        <f>SUM(Y33:AM33)</f>
        <v>12651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1">
        <v>0</v>
      </c>
      <c r="AH34" s="646">
        <v>0</v>
      </c>
      <c r="AI34" s="646">
        <v>-731</v>
      </c>
      <c r="AJ34" s="648">
        <v>0</v>
      </c>
      <c r="AK34" s="646">
        <v>0</v>
      </c>
      <c r="AL34" s="646">
        <v>0</v>
      </c>
      <c r="AM34" s="620">
        <v>0</v>
      </c>
      <c r="AN34" s="477">
        <f>SUM(Y34:AM34)</f>
        <v>11465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ROUND((S$14+S$15)*CF!$E$19,0)</f>
        <v>240</v>
      </c>
      <c r="T35" s="647">
        <f>ROUND((T$14+T$15)*CF!$E$19,0)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ROUND((AA$14+AA$15)*CF!$E$19,0)</f>
        <v>-2230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2">
        <v>0</v>
      </c>
      <c r="AH35" s="647">
        <v>199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3">
        <f>SUM(Y35:AM35)</f>
        <v>7427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211</v>
      </c>
      <c r="AD36" s="354">
        <f>SUM(AD33:AD35)</f>
        <v>0</v>
      </c>
      <c r="AE36" s="354">
        <f t="shared" ref="AE36:AF36" si="47">SUM(AE33:AE35)</f>
        <v>132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199</v>
      </c>
      <c r="AI36" s="354">
        <f t="shared" ref="AI36" si="49">SUM(AI33:AI35)</f>
        <v>-731</v>
      </c>
      <c r="AJ36" s="664">
        <f>SUM(AJ33:AJ35)</f>
        <v>0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7">
        <f t="shared" ref="AN36" si="52">SUM(AN33:AN35)</f>
        <v>31543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ROUND((S$14+S$15)*CF!$E$15,0)</f>
        <v>24</v>
      </c>
      <c r="T38" s="646">
        <f>ROUND((T$14+T$15)*CF!$E$15,0)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ROUND((AA$14+AA$15)*CF!$E$15,0)</f>
        <v>-220</v>
      </c>
      <c r="AB38" s="648">
        <v>0</v>
      </c>
      <c r="AC38" s="354">
        <v>112</v>
      </c>
      <c r="AD38" s="354">
        <v>0</v>
      </c>
      <c r="AE38" s="354">
        <v>71</v>
      </c>
      <c r="AF38" s="648">
        <v>0</v>
      </c>
      <c r="AG38" s="711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7">
        <f>SUM(Y38:AM38)</f>
        <v>6961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6</v>
      </c>
      <c r="AF39" s="646">
        <v>0</v>
      </c>
      <c r="AG39" s="711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7">
        <f>SUM(Y39:AM39)</f>
        <v>1249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1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1"/>
      <c r="AH41" s="646"/>
      <c r="AI41" s="646"/>
      <c r="AJ41" s="648"/>
      <c r="AK41" s="646"/>
      <c r="AL41" s="646"/>
      <c r="AM41" s="620"/>
      <c r="AN41" s="477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1"/>
      <c r="AH42" s="646"/>
      <c r="AI42" s="646"/>
      <c r="AJ42" s="648"/>
      <c r="AK42" s="646"/>
      <c r="AL42" s="646"/>
      <c r="AM42" s="620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3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ROUND((S$14+S$15)*CF!$E$17,0)</f>
        <v>13</v>
      </c>
      <c r="T43" s="646">
        <f>ROUND((T$14+T$15)*CF!$E$17,0)</f>
        <v>10</v>
      </c>
      <c r="U43" s="646">
        <v>-371</v>
      </c>
      <c r="V43" s="646">
        <v>-703</v>
      </c>
      <c r="W43" s="646">
        <v>0</v>
      </c>
      <c r="X43" s="646">
        <v>0</v>
      </c>
      <c r="Y43" s="401">
        <f>SUM(E43:X43)</f>
        <v>13930</v>
      </c>
      <c r="Z43" s="406"/>
      <c r="AA43" s="646">
        <f>ROUND((AA$14+AA$15)*CF!$E$17,0)</f>
        <v>-116</v>
      </c>
      <c r="AB43" s="646">
        <v>0</v>
      </c>
      <c r="AC43" s="646">
        <v>152</v>
      </c>
      <c r="AD43" s="689">
        <v>27</v>
      </c>
      <c r="AE43" s="646">
        <v>103</v>
      </c>
      <c r="AF43" s="646">
        <v>-43</v>
      </c>
      <c r="AG43" s="713">
        <v>241</v>
      </c>
      <c r="AH43" s="646">
        <v>0</v>
      </c>
      <c r="AI43" s="646">
        <v>0</v>
      </c>
      <c r="AJ43" s="648">
        <v>0</v>
      </c>
      <c r="AK43" s="646">
        <v>0</v>
      </c>
      <c r="AL43" s="689">
        <v>0</v>
      </c>
      <c r="AM43" s="620">
        <v>0</v>
      </c>
      <c r="AN43" s="477">
        <f>SUM(Y43:AM43)</f>
        <v>14294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1">
        <v>0</v>
      </c>
      <c r="AH44" s="646">
        <v>0</v>
      </c>
      <c r="AI44" s="646">
        <f>-309-234</f>
        <v>-543</v>
      </c>
      <c r="AJ44" s="648">
        <v>0</v>
      </c>
      <c r="AK44" s="646">
        <v>0</v>
      </c>
      <c r="AL44" s="646">
        <v>0</v>
      </c>
      <c r="AM44" s="620">
        <v>0</v>
      </c>
      <c r="AN44" s="477">
        <f>SUM(Y44:AM44)</f>
        <v>8910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1"/>
      <c r="AH45" s="646"/>
      <c r="AI45" s="646"/>
      <c r="AJ45" s="648"/>
      <c r="AK45" s="646"/>
      <c r="AL45" s="646">
        <v>836</v>
      </c>
      <c r="AM45" s="620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2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3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-703</v>
      </c>
      <c r="W47" s="307">
        <f>SUM(W43:W46)</f>
        <v>0</v>
      </c>
      <c r="X47" s="307">
        <f>SUM(X43:X46)</f>
        <v>961</v>
      </c>
      <c r="Y47" s="402">
        <f t="shared" ref="Y47" si="57">SUM(Y43:Y46)</f>
        <v>22907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152</v>
      </c>
      <c r="AD47" s="307">
        <f>SUM(AD43:AD46)</f>
        <v>27</v>
      </c>
      <c r="AE47" s="307">
        <v>104</v>
      </c>
      <c r="AF47" s="307">
        <f t="shared" ref="AF47" si="59">SUM(AF43:AF46)</f>
        <v>-43</v>
      </c>
      <c r="AG47" s="714">
        <f>SUM(AG43:AG46)</f>
        <v>241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0</v>
      </c>
      <c r="AK47" s="307">
        <f>SUM(AK43:AK46)</f>
        <v>0</v>
      </c>
      <c r="AL47" s="307">
        <f t="shared" ref="AL47" si="61">SUM(AL43:AL46)</f>
        <v>836</v>
      </c>
      <c r="AM47" s="624">
        <f t="shared" ref="AM47" si="62">SUM(AM43:AM46)</f>
        <v>0</v>
      </c>
      <c r="AN47" s="473">
        <f t="shared" ref="AN47" si="63">SUM(AN43:AN46)</f>
        <v>25309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3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-703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119972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502</v>
      </c>
      <c r="AD48" s="307">
        <f t="shared" si="64"/>
        <v>27</v>
      </c>
      <c r="AE48" s="307">
        <f t="shared" si="64"/>
        <v>323</v>
      </c>
      <c r="AF48" s="307">
        <f t="shared" si="64"/>
        <v>-43</v>
      </c>
      <c r="AG48" s="714">
        <f>AG20+AG24+AG30+AG36+AG38+AG39+AG40+AG47</f>
        <v>241</v>
      </c>
      <c r="AH48" s="307">
        <f t="shared" ref="AH48" si="68">AH20+AH24+AH30+AH36+AH38+AH39+AH40+AH47</f>
        <v>212</v>
      </c>
      <c r="AI48" s="307">
        <f>AI20+AI24+AI30+AI36+AI38+AI39+AI40+AI47</f>
        <v>-1518</v>
      </c>
      <c r="AJ48" s="307">
        <f>AJ20+AJ24+AJ30+AJ36+AJ38+AJ39+AJ40+AJ47</f>
        <v>0</v>
      </c>
      <c r="AK48" s="307">
        <f>AK20+AK24+AK30+AK36+AK38+AK39+AK40+AK47</f>
        <v>0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3">
        <f t="shared" ref="AN48" si="70">AN20+AN24+AN30+AN36+AN38+AN39+AN40+AN47</f>
        <v>68242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-3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703</v>
      </c>
      <c r="W50" s="354">
        <f>W17-W48</f>
        <v>0</v>
      </c>
      <c r="X50" s="354">
        <f>X17-X48</f>
        <v>-1571</v>
      </c>
      <c r="Y50" s="401">
        <f>SUM(E50:X50)</f>
        <v>27642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-502</v>
      </c>
      <c r="AD50" s="354">
        <f t="shared" ref="AD50:AF50" si="75">AD17-AD48</f>
        <v>-27</v>
      </c>
      <c r="AE50" s="354">
        <f t="shared" si="75"/>
        <v>-323</v>
      </c>
      <c r="AF50" s="354">
        <f t="shared" si="75"/>
        <v>43</v>
      </c>
      <c r="AG50" s="223">
        <f>AG17-AG48</f>
        <v>-241</v>
      </c>
      <c r="AH50" s="354">
        <f t="shared" ref="AH50" si="76">AH17-AH48</f>
        <v>-212</v>
      </c>
      <c r="AI50" s="354">
        <f>AI17-AI48</f>
        <v>1518</v>
      </c>
      <c r="AJ50" s="664">
        <f>AJ17-AJ48</f>
        <v>0</v>
      </c>
      <c r="AK50" s="354">
        <f>AK17-AK48</f>
        <v>0</v>
      </c>
      <c r="AL50" s="354">
        <f t="shared" ref="AL50" si="77">AL17-AL48</f>
        <v>-867</v>
      </c>
      <c r="AM50" s="622">
        <f t="shared" ref="AM50" si="78">AM17-AM48</f>
        <v>0</v>
      </c>
      <c r="AN50" s="477">
        <f t="shared" ref="AN50" si="79">AN17-AN48</f>
        <v>25798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7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1"/>
      <c r="AH52" s="646"/>
      <c r="AI52" s="646"/>
      <c r="AJ52" s="648"/>
      <c r="AK52" s="646"/>
      <c r="AL52" s="646"/>
      <c r="AM52" s="620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-0.63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103.74</v>
      </c>
      <c r="V53" s="646">
        <f t="shared" si="81"/>
        <v>147.63</v>
      </c>
      <c r="W53" s="646">
        <f>'DEBT CALC'!E57</f>
        <v>132</v>
      </c>
      <c r="X53" s="646">
        <f>X50*0.21</f>
        <v>-329.90999999999997</v>
      </c>
      <c r="Y53" s="401">
        <f>SUM(E53:X53)</f>
        <v>2779.7200000000003</v>
      </c>
      <c r="Z53" s="406"/>
      <c r="AA53" s="646">
        <f t="shared" ref="AA53:AM53" si="82">AA50*0.21</f>
        <v>107.31</v>
      </c>
      <c r="AB53" s="646">
        <f t="shared" si="82"/>
        <v>-366.45</v>
      </c>
      <c r="AC53" s="646">
        <f t="shared" si="82"/>
        <v>-105.42</v>
      </c>
      <c r="AD53" s="646">
        <f t="shared" si="82"/>
        <v>-5.67</v>
      </c>
      <c r="AE53" s="646">
        <f t="shared" si="82"/>
        <v>-67.83</v>
      </c>
      <c r="AF53" s="646">
        <f t="shared" ref="AF53" si="83">AF50*0.21</f>
        <v>9.0299999999999994</v>
      </c>
      <c r="AG53" s="711">
        <f t="shared" si="82"/>
        <v>-50.61</v>
      </c>
      <c r="AH53" s="646">
        <f t="shared" si="82"/>
        <v>-44.519999999999996</v>
      </c>
      <c r="AI53" s="646">
        <f t="shared" si="82"/>
        <v>318.77999999999997</v>
      </c>
      <c r="AJ53" s="646">
        <f t="shared" si="82"/>
        <v>0</v>
      </c>
      <c r="AK53" s="646">
        <f t="shared" si="82"/>
        <v>0</v>
      </c>
      <c r="AL53" s="646">
        <f t="shared" si="82"/>
        <v>-182.07</v>
      </c>
      <c r="AM53" s="620">
        <f t="shared" si="82"/>
        <v>0</v>
      </c>
      <c r="AN53" s="477">
        <f>SUM(Y53:AM53)</f>
        <v>2392.27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(F81*'RR SUMMARY'!$P$12)*-0.21</f>
        <v>7.149051</v>
      </c>
      <c r="G54" s="646">
        <f>(G81*'RR SUMMARY'!$P$12)*-0.21</f>
        <v>4.0131E-2</v>
      </c>
      <c r="H54" s="646">
        <f>(H81*'RR SUMMARY'!$P$12)*-0.21</f>
        <v>0</v>
      </c>
      <c r="I54" s="646">
        <f>(I81*'RR SUMMARY'!$P$12)*-0.21</f>
        <v>34.615853999999999</v>
      </c>
      <c r="J54" s="646">
        <f>(J81*'RR SUMMARY'!$P$12)*-0.21</f>
        <v>0</v>
      </c>
      <c r="K54" s="646">
        <f>(K81*'RR SUMMARY'!$P$12)*-0.21</f>
        <v>0</v>
      </c>
      <c r="L54" s="646">
        <f>(L81*'RR SUMMARY'!$P$12)*-0.21</f>
        <v>0</v>
      </c>
      <c r="M54" s="646">
        <f>(M81*'RR SUMMARY'!$P$12)*-0.21</f>
        <v>0</v>
      </c>
      <c r="N54" s="646">
        <f>(N81*'RR SUMMARY'!$P$12)*-0.21</f>
        <v>0</v>
      </c>
      <c r="O54" s="646"/>
      <c r="P54" s="646">
        <f>(P81*'RR SUMMARY'!$P$12)*-0.21</f>
        <v>0</v>
      </c>
      <c r="Q54" s="646">
        <f>(Q81*'RR SUMMARY'!$P$12)*-0.21</f>
        <v>0</v>
      </c>
      <c r="R54" s="646">
        <f>(R81*'RR SUMMARY'!$P$12)*-0.21</f>
        <v>0</v>
      </c>
      <c r="S54" s="646">
        <f>(S81*'RR SUMMARY'!$P$12)*-0.21</f>
        <v>0</v>
      </c>
      <c r="T54" s="646">
        <f>(T81*'RR SUMMARY'!$P$12)*-0.21</f>
        <v>0</v>
      </c>
      <c r="U54" s="646">
        <f>(U81*'RR SUMMARY'!$P$12)*-0.21</f>
        <v>0</v>
      </c>
      <c r="V54" s="646">
        <f>(V81*'RR SUMMARY'!$P$12)*-0.21</f>
        <v>0</v>
      </c>
      <c r="W54" s="646"/>
      <c r="X54" s="646">
        <f>(X81*'RR SUMMARY'!$P$12)*-0.21</f>
        <v>-185.00964300000001</v>
      </c>
      <c r="Y54" s="401">
        <f>SUM(E54:X54)</f>
        <v>-143.20460700000001</v>
      </c>
      <c r="Z54" s="406"/>
      <c r="AA54" s="646">
        <f>(AA81*'RR SUMMARY'!$P$12)*-0.21</f>
        <v>0</v>
      </c>
      <c r="AB54" s="646">
        <f>(AB81*'RR SUMMARY'!$P$12)*-0.21</f>
        <v>-0.54463499999999998</v>
      </c>
      <c r="AC54" s="646">
        <f>(AC81*'RR SUMMARY'!$P$12)*-0.21</f>
        <v>0</v>
      </c>
      <c r="AD54" s="646">
        <f>(AD81*'RR SUMMARY'!$P$12)*-0.21</f>
        <v>0</v>
      </c>
      <c r="AE54" s="646">
        <f>(AE81*'RR SUMMARY'!$P$12)*-0.21</f>
        <v>0</v>
      </c>
      <c r="AF54" s="646">
        <f>(AF81*'RR SUMMARY'!$P$12)*-0.21</f>
        <v>0</v>
      </c>
      <c r="AG54" s="711">
        <f>(AG81*'RR SUMMARY'!$P$12)*-0.21</f>
        <v>0</v>
      </c>
      <c r="AH54" s="646">
        <f>(AH81*'RR SUMMARY'!$P$12)*-0.21</f>
        <v>0</v>
      </c>
      <c r="AI54" s="646">
        <f>(AI81*'RR SUMMARY'!$P$12)*-0.21</f>
        <v>0</v>
      </c>
      <c r="AJ54" s="646">
        <v>0</v>
      </c>
      <c r="AK54" s="646">
        <f>(AK81*'RR SUMMARY'!$P$12)*-0.21</f>
        <v>0</v>
      </c>
      <c r="AL54" s="646">
        <f>(AL81*'RR SUMMARY'!$P$12)*-0.21</f>
        <v>0</v>
      </c>
      <c r="AM54" s="620">
        <f>(AM81*'RR SUMMARY'!$P$12)*-0.21</f>
        <v>0</v>
      </c>
      <c r="AN54" s="477">
        <f>SUM(Y54:AM54)</f>
        <v>-143.74924200000001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1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2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-7.149051</v>
      </c>
      <c r="G58" s="448">
        <f>G50-SUM(G53:G56)</f>
        <v>-7.940131</v>
      </c>
      <c r="H58" s="448">
        <f t="shared" si="84"/>
        <v>0</v>
      </c>
      <c r="I58" s="448">
        <f t="shared" ref="I58" si="85">I50-SUM(I53:I56)</f>
        <v>-34.615853999999999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-2.37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2">
        <f>V50-SUM(V53:V56)</f>
        <v>555.37</v>
      </c>
      <c r="W58" s="662">
        <f t="shared" ref="W58" si="88">W50-SUM(W53:W56)</f>
        <v>-132</v>
      </c>
      <c r="X58" s="662">
        <f>X50-SUM(X53:X56)</f>
        <v>-1056.080357</v>
      </c>
      <c r="Y58" s="404">
        <f>Y50-SUM(Y53:Y56)+Y57</f>
        <v>24627.484606999999</v>
      </c>
      <c r="Z58" s="677"/>
      <c r="AA58" s="662">
        <f t="shared" ref="AA58" si="89">AA50-SUM(AA53:AA56)</f>
        <v>403.69</v>
      </c>
      <c r="AB58" s="662">
        <f t="shared" ref="AB58" si="90">AB50-SUM(AB53:AB56)</f>
        <v>-1378.005365</v>
      </c>
      <c r="AC58" s="662">
        <f t="shared" ref="AC58" si="91">AC50-SUM(AC53:AC56)</f>
        <v>-396.58</v>
      </c>
      <c r="AD58" s="662">
        <f t="shared" ref="AD58:AF58" si="92">AD50-SUM(AD53:AD56)</f>
        <v>-21.33</v>
      </c>
      <c r="AE58" s="662">
        <f t="shared" si="92"/>
        <v>-255.17000000000002</v>
      </c>
      <c r="AF58" s="662">
        <f t="shared" si="92"/>
        <v>33.97</v>
      </c>
      <c r="AG58" s="715">
        <f t="shared" ref="AG58:AL58" si="93">AG50-SUM(AG53:AG56)</f>
        <v>-190.39</v>
      </c>
      <c r="AH58" s="662">
        <f t="shared" si="93"/>
        <v>-167.48000000000002</v>
      </c>
      <c r="AI58" s="662">
        <f t="shared" si="93"/>
        <v>1199.22</v>
      </c>
      <c r="AJ58" s="662">
        <f t="shared" si="93"/>
        <v>0</v>
      </c>
      <c r="AK58" s="662">
        <f t="shared" si="93"/>
        <v>0</v>
      </c>
      <c r="AL58" s="662">
        <f t="shared" si="93"/>
        <v>-684.93000000000006</v>
      </c>
      <c r="AM58" s="625">
        <f t="shared" ref="AM58" si="94">AM50-SUM(AM53:AM56)</f>
        <v>0</v>
      </c>
      <c r="AN58" s="478">
        <f>AN50-SUM(AN53:AN56)+AN57</f>
        <v>23171.479242000001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7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4"/>
      <c r="W61" s="646"/>
      <c r="X61" s="646"/>
      <c r="Y61" s="401"/>
      <c r="Z61" s="406"/>
      <c r="AA61" s="646"/>
      <c r="AB61" s="646"/>
      <c r="AC61" s="684"/>
      <c r="AD61" s="684"/>
      <c r="AE61" s="684"/>
      <c r="AF61" s="646"/>
      <c r="AG61" s="711"/>
      <c r="AH61" s="646"/>
      <c r="AI61" s="646"/>
      <c r="AJ61" s="648"/>
      <c r="AK61" s="646"/>
      <c r="AL61" s="646"/>
      <c r="AM61" s="620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5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5">
        <v>0</v>
      </c>
      <c r="AD62" s="685">
        <v>0</v>
      </c>
      <c r="AE62" s="685">
        <v>0</v>
      </c>
      <c r="AF62" s="645">
        <v>0</v>
      </c>
      <c r="AG62" s="710">
        <v>0</v>
      </c>
      <c r="AH62" s="645">
        <v>0</v>
      </c>
      <c r="AI62" s="645">
        <v>0</v>
      </c>
      <c r="AJ62" s="740">
        <v>0</v>
      </c>
      <c r="AK62" s="645">
        <v>0</v>
      </c>
      <c r="AL62" s="645">
        <v>0</v>
      </c>
      <c r="AM62" s="619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4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4">
        <v>0</v>
      </c>
      <c r="AD63" s="684">
        <v>0</v>
      </c>
      <c r="AE63" s="684">
        <v>0</v>
      </c>
      <c r="AF63" s="646">
        <v>0</v>
      </c>
      <c r="AG63" s="711"/>
      <c r="AH63" s="646">
        <v>0</v>
      </c>
      <c r="AI63" s="646">
        <v>0</v>
      </c>
      <c r="AJ63" s="648">
        <v>0</v>
      </c>
      <c r="AK63" s="646">
        <v>0</v>
      </c>
      <c r="AL63" s="646"/>
      <c r="AM63" s="620">
        <v>0</v>
      </c>
      <c r="AN63" s="477">
        <f>SUM(Y63:AM63)</f>
        <v>480004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6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6">
        <v>0</v>
      </c>
      <c r="AD64" s="686">
        <v>0</v>
      </c>
      <c r="AE64" s="686">
        <v>0</v>
      </c>
      <c r="AF64" s="647">
        <v>0</v>
      </c>
      <c r="AG64" s="712"/>
      <c r="AH64" s="647">
        <v>0</v>
      </c>
      <c r="AI64" s="647">
        <v>0</v>
      </c>
      <c r="AJ64" s="647">
        <v>0</v>
      </c>
      <c r="AK64" s="647">
        <v>0</v>
      </c>
      <c r="AL64" s="647"/>
      <c r="AM64" s="621">
        <v>0</v>
      </c>
      <c r="AN64" s="473">
        <f>SUM(Y64:AM64)</f>
        <v>126988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0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7">
        <f t="shared" ref="AN65" si="106">SUM(AN62:AN64)</f>
        <v>636034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7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1"/>
      <c r="AH67" s="646"/>
      <c r="AI67" s="646"/>
      <c r="AJ67" s="648"/>
      <c r="AK67" s="646"/>
      <c r="AL67" s="646"/>
      <c r="AM67" s="620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1">
        <v>0</v>
      </c>
      <c r="AH68" s="646">
        <v>0</v>
      </c>
      <c r="AI68" s="646">
        <v>0</v>
      </c>
      <c r="AJ68" s="741">
        <v>0</v>
      </c>
      <c r="AK68" s="646">
        <v>0</v>
      </c>
      <c r="AL68" s="646">
        <v>0</v>
      </c>
      <c r="AM68" s="620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1"/>
      <c r="AH69" s="646">
        <v>0</v>
      </c>
      <c r="AI69" s="646">
        <v>0</v>
      </c>
      <c r="AJ69" s="648">
        <v>0</v>
      </c>
      <c r="AK69" s="646">
        <v>0</v>
      </c>
      <c r="AL69" s="646"/>
      <c r="AM69" s="620">
        <v>0</v>
      </c>
      <c r="AN69" s="477">
        <f>SUM(Y69:AM69)</f>
        <v>-148177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1"/>
      <c r="AH70" s="646">
        <v>0</v>
      </c>
      <c r="AI70" s="646">
        <v>0</v>
      </c>
      <c r="AJ70" s="647">
        <v>0</v>
      </c>
      <c r="AK70" s="646">
        <v>0</v>
      </c>
      <c r="AL70" s="646"/>
      <c r="AM70" s="620">
        <v>0</v>
      </c>
      <c r="AN70" s="477">
        <f>SUM(Y70:AM70)</f>
        <v>-34692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6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v>0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9">
        <f t="shared" ref="AN71" si="118">SUM(AN68:AN70)</f>
        <v>-194351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0</v>
      </c>
      <c r="AF72" s="664">
        <f t="shared" si="119"/>
        <v>0</v>
      </c>
      <c r="AG72" s="717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v>0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7">
        <f t="shared" si="119"/>
        <v>441683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2"/>
      <c r="AH73" s="647">
        <v>0</v>
      </c>
      <c r="AI73" s="647"/>
      <c r="AJ73" s="647">
        <v>0</v>
      </c>
      <c r="AK73" s="647"/>
      <c r="AL73" s="647"/>
      <c r="AM73" s="621"/>
      <c r="AN73" s="473">
        <f>SUM(Y73:AM73)</f>
        <v>-89281</v>
      </c>
      <c r="AO73" s="735"/>
      <c r="AP73" s="735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0</v>
      </c>
      <c r="AF74" s="664">
        <f t="shared" si="126"/>
        <v>0</v>
      </c>
      <c r="AG74" s="717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v>0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7">
        <f t="shared" ref="AN74" si="133">AN72+AN73</f>
        <v>352402</v>
      </c>
      <c r="AO74" s="736"/>
      <c r="AP74" s="736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1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8">
        <v>0</v>
      </c>
      <c r="AH76" s="648">
        <v>0</v>
      </c>
      <c r="AI76" s="648"/>
      <c r="AJ76" s="648"/>
      <c r="AK76" s="648"/>
      <c r="AL76" s="648">
        <v>0</v>
      </c>
      <c r="AM76" s="623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8"/>
      <c r="AH77" s="648"/>
      <c r="AI77" s="648"/>
      <c r="AJ77" s="648"/>
      <c r="AK77" s="648"/>
      <c r="AL77" s="648"/>
      <c r="AM77" s="623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2">
        <v>0</v>
      </c>
      <c r="AH78" s="647">
        <v>0</v>
      </c>
      <c r="AI78" s="647"/>
      <c r="AJ78" s="647"/>
      <c r="AK78" s="647"/>
      <c r="AL78" s="647">
        <v>0</v>
      </c>
      <c r="AM78" s="621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0</v>
      </c>
      <c r="AF81" s="665">
        <f t="shared" si="134"/>
        <v>0</v>
      </c>
      <c r="AG81" s="719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0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8">
        <f t="shared" ref="AN81" si="141">AN74+AN75+AN76+AN78+AN77</f>
        <v>373732</v>
      </c>
    </row>
    <row r="82" spans="1:41" ht="12.75" thickTop="1">
      <c r="A82" s="158">
        <v>48</v>
      </c>
      <c r="B82" s="1" t="s">
        <v>452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42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-460.06478457671608</v>
      </c>
      <c r="F83" s="69">
        <f t="shared" ref="F83:AN83" si="142">F89</f>
        <v>-105.46980604355875</v>
      </c>
      <c r="G83" s="69">
        <f t="shared" si="142"/>
        <v>9.869889209368603</v>
      </c>
      <c r="H83" s="69">
        <f t="shared" si="142"/>
        <v>0</v>
      </c>
      <c r="I83" s="69">
        <f t="shared" ref="I83" si="143">I89</f>
        <v>-510.68699991259643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3.1385823142873037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49">
        <f>V89</f>
        <v>-735.47445564799148</v>
      </c>
      <c r="W83" s="649">
        <f>W89</f>
        <v>174.80711623878653</v>
      </c>
      <c r="X83" s="649">
        <f>X89</f>
        <v>4373.0144917747957</v>
      </c>
      <c r="Y83" s="69">
        <f t="shared" si="142"/>
        <v>1824.417631416545</v>
      </c>
      <c r="Z83" s="69"/>
      <c r="AA83" s="649">
        <f>AA89</f>
        <v>-534.60518753360407</v>
      </c>
      <c r="AB83" s="649">
        <f>AB89</f>
        <v>1833.6437020439191</v>
      </c>
      <c r="AC83" s="649">
        <f t="shared" ref="AC83" si="146">AC89</f>
        <v>525.18944059074215</v>
      </c>
      <c r="AD83" s="649">
        <f t="shared" si="142"/>
        <v>28.247240828585731</v>
      </c>
      <c r="AE83" s="649">
        <f t="shared" si="142"/>
        <v>337.9206958382664</v>
      </c>
      <c r="AF83" s="649">
        <f t="shared" si="142"/>
        <v>-44.986346504784684</v>
      </c>
      <c r="AG83" s="173">
        <f>AG89</f>
        <v>252.1327792477467</v>
      </c>
      <c r="AH83" s="649">
        <f t="shared" ref="AH83" si="147">AH89</f>
        <v>221.79315020963614</v>
      </c>
      <c r="AI83" s="649">
        <f>AI89</f>
        <v>-1588.1226510293757</v>
      </c>
      <c r="AJ83" s="649">
        <f>AJ89</f>
        <v>0</v>
      </c>
      <c r="AK83" s="649">
        <f>AK89</f>
        <v>0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3761.3564476015626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79"/>
      <c r="W84" s="779"/>
      <c r="X84" s="779"/>
      <c r="Y84" s="779"/>
      <c r="Z84" s="779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34" t="s">
        <v>543</v>
      </c>
      <c r="AJ85" s="354">
        <v>1800</v>
      </c>
      <c r="AK85" s="354"/>
      <c r="AL85" s="664"/>
      <c r="AM85" s="622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6.9599999999999995E-2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4"/>
      <c r="AO86" s="486"/>
    </row>
    <row r="87" spans="1:41" s="410" customFormat="1" ht="17.25" customHeight="1">
      <c r="A87" s="342"/>
      <c r="D87" s="411" t="s">
        <v>490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-347.40320000000065</v>
      </c>
      <c r="F88" s="228">
        <f t="shared" si="150"/>
        <v>-79.642148999999989</v>
      </c>
      <c r="G88" s="228">
        <f t="shared" si="150"/>
        <v>7.4529310000000004</v>
      </c>
      <c r="H88" s="228">
        <f t="shared" si="150"/>
        <v>0</v>
      </c>
      <c r="I88" s="228">
        <f t="shared" si="150"/>
        <v>-385.62894599999998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2.37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-555.37</v>
      </c>
      <c r="W88" s="228">
        <f t="shared" si="150"/>
        <v>132</v>
      </c>
      <c r="X88" s="228">
        <f t="shared" si="150"/>
        <v>3302.1419569999998</v>
      </c>
      <c r="Y88" s="228">
        <f t="shared" si="150"/>
        <v>1377.6505929999985</v>
      </c>
      <c r="Z88" s="228"/>
      <c r="AA88" s="228">
        <f t="shared" si="150"/>
        <v>-403.69</v>
      </c>
      <c r="AB88" s="228">
        <f t="shared" si="150"/>
        <v>1384.6173650000001</v>
      </c>
      <c r="AC88" s="228">
        <f t="shared" si="150"/>
        <v>396.58</v>
      </c>
      <c r="AD88" s="228">
        <f t="shared" si="150"/>
        <v>21.33</v>
      </c>
      <c r="AE88" s="228">
        <f t="shared" si="150"/>
        <v>255.17000000000002</v>
      </c>
      <c r="AF88" s="228">
        <f t="shared" ref="AF88" si="151">AF81*$E$86-AF58</f>
        <v>-33.97</v>
      </c>
      <c r="AG88" s="226">
        <f t="shared" si="150"/>
        <v>190.39</v>
      </c>
      <c r="AH88" s="228">
        <f t="shared" si="150"/>
        <v>167.48000000000002</v>
      </c>
      <c r="AI88" s="228">
        <f t="shared" si="150"/>
        <v>-1199.22</v>
      </c>
      <c r="AJ88" s="228">
        <f t="shared" si="150"/>
        <v>0</v>
      </c>
      <c r="AK88" s="228">
        <f t="shared" si="150"/>
        <v>0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2840.2679579999967</v>
      </c>
    </row>
    <row r="89" spans="1:41" s="410" customFormat="1">
      <c r="A89" s="342"/>
      <c r="D89" s="411" t="s">
        <v>491</v>
      </c>
      <c r="E89" s="228">
        <f>E88/$E$87</f>
        <v>-460.06478457671608</v>
      </c>
      <c r="F89" s="228">
        <f>F88/$E$87</f>
        <v>-105.46980604355875</v>
      </c>
      <c r="G89" s="228">
        <f>G88/$E$87</f>
        <v>9.869889209368603</v>
      </c>
      <c r="H89" s="228">
        <f>H88/$E$87</f>
        <v>0</v>
      </c>
      <c r="I89" s="228">
        <f>I88/$E$87</f>
        <v>-510.68699991259643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3.1385823142873037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-735.47445564799148</v>
      </c>
      <c r="W89" s="228">
        <f>W88/$E$87</f>
        <v>174.80711623878653</v>
      </c>
      <c r="X89" s="228">
        <f>X88/$E$87</f>
        <v>4373.0144917747957</v>
      </c>
      <c r="Y89" s="228">
        <f t="shared" ref="Y89" si="155">Y88/$E$87</f>
        <v>1824.417631416545</v>
      </c>
      <c r="Z89" s="228"/>
      <c r="AA89" s="228">
        <f>AA88/$E$87</f>
        <v>-534.60518753360407</v>
      </c>
      <c r="AB89" s="228">
        <f>AB88/$E$87</f>
        <v>1833.6437020439191</v>
      </c>
      <c r="AC89" s="228">
        <f t="shared" ref="AC89" si="156">AC88/$E$87</f>
        <v>525.18944059074215</v>
      </c>
      <c r="AD89" s="228">
        <f t="shared" ref="AD89:AF89" si="157">AD88/$E$87</f>
        <v>28.247240828585731</v>
      </c>
      <c r="AE89" s="228">
        <f t="shared" si="157"/>
        <v>337.9206958382664</v>
      </c>
      <c r="AF89" s="228">
        <f t="shared" si="157"/>
        <v>-44.986346504784684</v>
      </c>
      <c r="AG89" s="226">
        <f>AG88/$E$87</f>
        <v>252.1327792477467</v>
      </c>
      <c r="AH89" s="228">
        <f t="shared" ref="AH89" si="158">AH88/$E$87</f>
        <v>221.79315020963614</v>
      </c>
      <c r="AI89" s="228">
        <f>AI88/$E$87</f>
        <v>-1588.1226510293757</v>
      </c>
      <c r="AJ89" s="228">
        <f>AJ88/$E$87</f>
        <v>0</v>
      </c>
      <c r="AK89" s="228">
        <f>AK88/$E$87</f>
        <v>0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3761.3564476015626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29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29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0"/>
      <c r="AH92" s="481"/>
      <c r="AI92" s="481"/>
      <c r="AJ92" s="743"/>
      <c r="AK92" s="481"/>
      <c r="AL92" s="481"/>
      <c r="AM92" s="630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0"/>
      <c r="AH93" s="481"/>
      <c r="AI93" s="481"/>
      <c r="AJ93" s="481"/>
      <c r="AK93" s="481"/>
      <c r="AL93" s="481"/>
      <c r="AM93" s="630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1"/>
      <c r="AH94" s="399"/>
      <c r="AI94" s="399"/>
      <c r="AJ94" s="399"/>
      <c r="AK94" s="399"/>
      <c r="AL94" s="399"/>
      <c r="AM94" s="631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1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1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1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1"/>
      <c r="AH98" s="399"/>
      <c r="AI98" s="399"/>
      <c r="AJ98" s="399"/>
      <c r="AK98" s="399"/>
      <c r="AL98" s="399"/>
      <c r="AM98" s="631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&amp;RExhibit ACC-6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1" t="str">
        <f>'ADJ DETAIL INPUT'!A2</f>
        <v>AVISTA UTILITIES</v>
      </c>
      <c r="B1" s="781"/>
      <c r="C1" s="781"/>
      <c r="D1" s="781"/>
      <c r="E1" s="781"/>
      <c r="F1" s="781"/>
      <c r="G1" s="606"/>
      <c r="I1" s="139"/>
      <c r="J1" s="50"/>
    </row>
    <row r="2" spans="1:13">
      <c r="A2" s="782" t="s">
        <v>69</v>
      </c>
      <c r="B2" s="782"/>
      <c r="C2" s="782"/>
      <c r="D2" s="782"/>
      <c r="E2" s="782"/>
      <c r="F2" s="782"/>
      <c r="I2" s="139"/>
      <c r="J2" s="49"/>
    </row>
    <row r="3" spans="1:13" s="49" customFormat="1">
      <c r="A3" s="780" t="s">
        <v>147</v>
      </c>
      <c r="B3" s="780"/>
      <c r="C3" s="780"/>
      <c r="D3" s="780"/>
      <c r="E3" s="780"/>
      <c r="F3" s="780"/>
      <c r="G3" s="608"/>
      <c r="H3" s="510"/>
      <c r="I3" s="51"/>
      <c r="J3" s="52"/>
    </row>
    <row r="4" spans="1:13" s="49" customFormat="1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608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4" t="s">
        <v>465</v>
      </c>
      <c r="B7" s="373"/>
      <c r="C7" s="373"/>
      <c r="D7" s="373"/>
      <c r="E7" s="373"/>
      <c r="F7" s="373"/>
      <c r="G7" s="608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7" t="s">
        <v>128</v>
      </c>
      <c r="I8" s="507" t="s">
        <v>538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-7.149051</v>
      </c>
      <c r="E9" s="160">
        <f>'ADJ DETAIL INPUT'!F$81</f>
        <v>-1247</v>
      </c>
      <c r="H9" s="607" t="s">
        <v>128</v>
      </c>
      <c r="I9" s="693" t="s">
        <v>538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-7.940131</v>
      </c>
      <c r="E10" s="160">
        <f>'ADJ DETAIL INPUT'!G$81</f>
        <v>-7</v>
      </c>
      <c r="H10" s="607" t="s">
        <v>471</v>
      </c>
      <c r="I10" s="697" t="s">
        <v>538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7" t="s">
        <v>128</v>
      </c>
      <c r="I11" s="693" t="s">
        <v>538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-34.615853999999999</v>
      </c>
      <c r="E12" s="462">
        <f>'ADJ DETAIL INPUT'!I$81</f>
        <v>-6038</v>
      </c>
      <c r="F12" s="521"/>
      <c r="G12" s="607"/>
      <c r="H12" s="607" t="s">
        <v>128</v>
      </c>
      <c r="I12" s="693" t="s">
        <v>538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7" t="s">
        <v>455</v>
      </c>
      <c r="I13" s="693" t="s">
        <v>538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7" t="s">
        <v>128</v>
      </c>
      <c r="I14" s="693" t="s">
        <v>538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7" t="s">
        <v>471</v>
      </c>
      <c r="I15" s="694" t="s">
        <v>538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7" t="s">
        <v>471</v>
      </c>
      <c r="I16" s="695" t="s">
        <v>538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-2.37</v>
      </c>
      <c r="E17" s="160">
        <f>'ADJ DETAIL INPUT'!N$81</f>
        <v>0</v>
      </c>
      <c r="H17" s="607" t="s">
        <v>471</v>
      </c>
      <c r="I17" s="695" t="s">
        <v>538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7" t="s">
        <v>455</v>
      </c>
      <c r="I18" s="693" t="s">
        <v>538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7" t="s">
        <v>471</v>
      </c>
      <c r="I19" s="695" t="s">
        <v>538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7" t="s">
        <v>455</v>
      </c>
      <c r="I20" s="695" t="s">
        <v>538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7" t="s">
        <v>471</v>
      </c>
      <c r="I21" s="695" t="s">
        <v>538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7" t="s">
        <v>455</v>
      </c>
      <c r="I22" s="693" t="s">
        <v>538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7"/>
      <c r="H23" s="607" t="s">
        <v>535</v>
      </c>
      <c r="I23" s="693" t="s">
        <v>538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7" t="s">
        <v>471</v>
      </c>
      <c r="I24" s="698" t="s">
        <v>538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555.37</v>
      </c>
      <c r="E25" s="462">
        <f>'ADJ DETAIL INPUT'!V$81</f>
        <v>0</v>
      </c>
      <c r="F25" s="512"/>
      <c r="H25" s="607" t="s">
        <v>238</v>
      </c>
      <c r="I25" s="695" t="s">
        <v>538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-132</v>
      </c>
      <c r="E26" s="417">
        <f>'ADJ DETAIL INPUT'!W$81</f>
        <v>0</v>
      </c>
      <c r="F26" s="62"/>
      <c r="G26" s="607"/>
      <c r="H26" s="607" t="s">
        <v>128</v>
      </c>
      <c r="I26" s="722" t="s">
        <v>538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-1056.080357</v>
      </c>
      <c r="E27" s="417">
        <f>'ADJ DETAIL INPUT'!X$81</f>
        <v>32271</v>
      </c>
      <c r="F27" s="62"/>
      <c r="H27" s="607" t="s">
        <v>437</v>
      </c>
      <c r="I27" s="693" t="s">
        <v>538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24627.484606999999</v>
      </c>
      <c r="E28" s="63">
        <f>SUM(E8:E27)</f>
        <v>373637</v>
      </c>
      <c r="F28" s="505">
        <f>D28/E28</f>
        <v>6.5912863573468358E-2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7"/>
      <c r="H30" s="607" t="s">
        <v>536</v>
      </c>
      <c r="I30" s="695" t="s">
        <v>538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-1378.005365</v>
      </c>
      <c r="E31" s="462">
        <f>'ADJ DETAIL INPUT'!AB$81</f>
        <v>95</v>
      </c>
      <c r="F31" s="500"/>
      <c r="G31" s="607"/>
      <c r="H31" s="607" t="s">
        <v>455</v>
      </c>
      <c r="I31" s="700" t="s">
        <v>538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-396.58</v>
      </c>
      <c r="E32" s="160">
        <f>'ADJ DETAIL INPUT'!AC$81</f>
        <v>0</v>
      </c>
      <c r="H32" s="607" t="s">
        <v>238</v>
      </c>
      <c r="I32" s="697" t="s">
        <v>538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-21.33</v>
      </c>
      <c r="E33" s="160">
        <f>'ADJ DETAIL INPUT'!AD$81</f>
        <v>0</v>
      </c>
      <c r="H33" s="607" t="s">
        <v>238</v>
      </c>
      <c r="I33" s="697" t="s">
        <v>538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-255.17000000000002</v>
      </c>
      <c r="E34" s="160">
        <f>'ADJ DETAIL INPUT'!AE$81</f>
        <v>0</v>
      </c>
      <c r="H34" s="607" t="s">
        <v>238</v>
      </c>
      <c r="I34" s="697" t="s">
        <v>538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33.97</v>
      </c>
      <c r="E35" s="417">
        <f>'ADJ DETAIL INPUT'!AF$81</f>
        <v>0</v>
      </c>
      <c r="F35" s="62"/>
      <c r="H35" s="607" t="s">
        <v>472</v>
      </c>
      <c r="I35" s="700" t="s">
        <v>538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-190.39</v>
      </c>
      <c r="E36" s="462">
        <f>'ADJ DETAIL INPUT'!AG$81</f>
        <v>0</v>
      </c>
      <c r="F36" s="461"/>
      <c r="H36" s="607" t="s">
        <v>472</v>
      </c>
      <c r="I36" s="701" t="s">
        <v>538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-167.48000000000002</v>
      </c>
      <c r="E37" s="160">
        <f>'ADJ DETAIL INPUT'!AH$81</f>
        <v>0</v>
      </c>
      <c r="H37" s="607" t="s">
        <v>128</v>
      </c>
      <c r="I37" s="697" t="s">
        <v>538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0"/>
      <c r="H38" s="610" t="s">
        <v>160</v>
      </c>
      <c r="I38" s="697" t="s">
        <v>538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0</v>
      </c>
      <c r="E39" s="462">
        <f>'ADJ DETAIL INPUT'!AJ$81</f>
        <v>0</v>
      </c>
      <c r="F39" s="461"/>
      <c r="G39" s="610"/>
      <c r="H39" s="610" t="s">
        <v>160</v>
      </c>
      <c r="I39" s="697" t="s">
        <v>538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0</v>
      </c>
      <c r="E40" s="462">
        <f>'ADJ DETAIL INPUT'!AK$81</f>
        <v>0</v>
      </c>
      <c r="F40" s="461"/>
      <c r="G40" s="610"/>
      <c r="H40" s="610" t="s">
        <v>437</v>
      </c>
      <c r="I40" s="701" t="s">
        <v>538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7" t="s">
        <v>472</v>
      </c>
      <c r="I41" s="722" t="s">
        <v>538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7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23170.479241999998</v>
      </c>
      <c r="E43" s="63">
        <f>SUM(E28:E41)</f>
        <v>373732</v>
      </c>
      <c r="F43" s="505">
        <f>D43/E43</f>
        <v>6.1997579126218783E-2</v>
      </c>
      <c r="G43" s="607"/>
      <c r="H43" s="509"/>
      <c r="J43" s="123"/>
      <c r="K43" s="463"/>
    </row>
    <row r="44" spans="1:11" ht="13.5" thickTop="1"/>
    <row r="45" spans="1:11">
      <c r="C45" s="36" t="s">
        <v>141</v>
      </c>
      <c r="H45" s="607" t="s">
        <v>471</v>
      </c>
      <c r="I45" s="695" t="s">
        <v>538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6" t="s">
        <v>112</v>
      </c>
      <c r="B1" s="786"/>
      <c r="C1" s="786"/>
      <c r="D1" s="786"/>
      <c r="E1" s="786"/>
      <c r="F1" s="786"/>
      <c r="G1" s="786"/>
      <c r="H1" s="786"/>
    </row>
    <row r="2" spans="1:9">
      <c r="A2" s="787" t="s">
        <v>124</v>
      </c>
      <c r="B2" s="787"/>
      <c r="C2" s="787"/>
      <c r="D2" s="787"/>
      <c r="E2" s="787"/>
      <c r="F2" s="787"/>
      <c r="G2" s="787"/>
      <c r="H2" s="787"/>
    </row>
    <row r="3" spans="1:9">
      <c r="A3" s="787" t="s">
        <v>236</v>
      </c>
      <c r="B3" s="787"/>
      <c r="C3" s="787"/>
      <c r="D3" s="787"/>
      <c r="E3" s="787"/>
      <c r="F3" s="787"/>
      <c r="G3" s="787"/>
      <c r="H3" s="787"/>
    </row>
    <row r="4" spans="1:9">
      <c r="A4" s="788" t="str">
        <f>'ROO INPUT'!A5:C5</f>
        <v>TWELVE MONTHS ENDED DECEMBER 31, 2018</v>
      </c>
      <c r="B4" s="788"/>
      <c r="C4" s="788"/>
      <c r="D4" s="788"/>
      <c r="E4" s="788"/>
      <c r="F4" s="788"/>
      <c r="G4" s="788"/>
      <c r="H4" s="788"/>
    </row>
    <row r="5" spans="1:9">
      <c r="A5" s="789" t="s">
        <v>115</v>
      </c>
      <c r="B5" s="789"/>
      <c r="C5" s="789"/>
      <c r="D5" s="789"/>
      <c r="E5" s="789"/>
      <c r="F5" s="789"/>
      <c r="G5" s="789"/>
      <c r="H5" s="789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3" t="s">
        <v>124</v>
      </c>
      <c r="F7" s="784"/>
      <c r="G7" s="785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131.65999999999985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35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-185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0</v>
      </c>
      <c r="G40" s="289">
        <f t="shared" si="5"/>
        <v>0</v>
      </c>
      <c r="H40" s="289"/>
      <c r="I40" s="289">
        <f t="shared" si="0"/>
        <v>0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4">
        <f>SUM(E11:E43)</f>
        <v>348658</v>
      </c>
      <c r="F44" s="724">
        <f>SUM(F11:F43)</f>
        <v>25074</v>
      </c>
      <c r="G44" s="724">
        <f>SUM(G11:G43)</f>
        <v>373732</v>
      </c>
      <c r="H44" s="290"/>
      <c r="I44" s="724">
        <f>SUM(I11:I43)</f>
        <v>-12.340000000000146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2.7300000000000001E-2</v>
      </c>
      <c r="F48" s="299">
        <f>E48-I48</f>
        <v>2.7300000000000001E-2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9518.3634000000002</v>
      </c>
      <c r="F50" s="290">
        <f>F44*F48</f>
        <v>684.52020000000005</v>
      </c>
      <c r="G50" s="290">
        <f>SUM(E50:F50)</f>
        <v>10202.883600000001</v>
      </c>
      <c r="H50" s="289"/>
      <c r="I50" s="290">
        <f>SUM(I11:I42)</f>
        <v>-12.340000000000146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-627.63659999999982</v>
      </c>
      <c r="F54" s="290">
        <f>F50-F52</f>
        <v>684.52020000000005</v>
      </c>
      <c r="G54" s="290">
        <f>SUM(E54:F54)</f>
        <v>56.883600000000229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132</v>
      </c>
      <c r="F57" s="295">
        <f>ROUND(F54*-F55,0)</f>
        <v>-144</v>
      </c>
      <c r="G57" s="295">
        <f>SUM(E57:F57)</f>
        <v>-12</v>
      </c>
      <c r="H57" s="289"/>
      <c r="I57" s="295">
        <f>I50</f>
        <v>-12.340000000000146</v>
      </c>
      <c r="J57" s="604" t="s">
        <v>420</v>
      </c>
    </row>
    <row r="58" spans="1:10">
      <c r="F58" s="245"/>
      <c r="J58" s="258">
        <f>I57-'ADJ DETAIL INPUT'!W53-'ADJ DETAIL INPUT'!AN54</f>
        <v>-0.59075800000013601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0" t="s">
        <v>112</v>
      </c>
      <c r="B3" s="790"/>
      <c r="C3" s="790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1" t="s">
        <v>495</v>
      </c>
      <c r="B5" s="790"/>
      <c r="C5" s="790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456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5">
        <v>496110</v>
      </c>
      <c r="B103" s="452" t="s">
        <v>529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457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518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519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520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521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522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523</v>
      </c>
      <c r="B204" s="316" t="s">
        <v>524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525</v>
      </c>
      <c r="B205" s="316" t="s">
        <v>526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527</v>
      </c>
      <c r="B207" s="316" t="s">
        <v>528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460</v>
      </c>
      <c r="B208" s="452" t="s">
        <v>459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530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531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532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533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474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534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10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10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13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13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211</v>
      </c>
      <c r="AB34" s="221">
        <f>'ADJ DETAIL INPUT'!AD33</f>
        <v>0</v>
      </c>
      <c r="AC34" s="221">
        <f>'ADJ DETAIL INPUT'!AE33</f>
        <v>132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0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199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211</v>
      </c>
      <c r="AB37" s="221">
        <f t="shared" ref="AB37" si="37">SUM(AB34:AB36)</f>
        <v>0</v>
      </c>
      <c r="AC37" s="221">
        <f t="shared" si="32"/>
        <v>132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199</v>
      </c>
      <c r="AG37" s="221">
        <f>SUM(AG34:AG36)</f>
        <v>-731</v>
      </c>
      <c r="AH37" s="221">
        <f t="shared" ref="AH37:AI37" si="40">SUM(AH34:AH36)</f>
        <v>0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112</v>
      </c>
      <c r="AB39" s="221">
        <f>'ADJ DETAIL INPUT'!AD38</f>
        <v>0</v>
      </c>
      <c r="AC39" s="221">
        <f>'ADJ DETAIL INPUT'!AE38</f>
        <v>71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3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-703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152</v>
      </c>
      <c r="AB44" s="221">
        <f>'ADJ DETAIL INPUT'!AD43</f>
        <v>27</v>
      </c>
      <c r="AC44" s="221">
        <f>'ADJ DETAIL INPUT'!AE43</f>
        <v>103</v>
      </c>
      <c r="AD44" s="221">
        <f>'ADJ DETAIL INPUT'!AF43</f>
        <v>-43</v>
      </c>
      <c r="AE44" s="221">
        <f>'ADJ DETAIL INPUT'!AG43</f>
        <v>241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0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0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3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-703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152</v>
      </c>
      <c r="AB48" s="222">
        <f t="shared" ref="AB48" si="47">SUM(AB44:AB47)</f>
        <v>27</v>
      </c>
      <c r="AC48" s="222">
        <f t="shared" si="42"/>
        <v>103</v>
      </c>
      <c r="AD48" s="222">
        <f t="shared" ref="AD48" si="48">SUM(AD44:AD47)</f>
        <v>-43</v>
      </c>
      <c r="AE48" s="222">
        <f t="shared" ref="AE48" si="49">SUM(AE44:AE47)</f>
        <v>241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0</v>
      </c>
      <c r="AI48" s="222">
        <f t="shared" si="50"/>
        <v>0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3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-703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502</v>
      </c>
      <c r="AB49" s="222">
        <f t="shared" ref="AB49" si="58">AB21+AB25+AB31+AB37+AB39+AB40+AB41+AB48</f>
        <v>27</v>
      </c>
      <c r="AC49" s="222">
        <f t="shared" si="53"/>
        <v>322</v>
      </c>
      <c r="AD49" s="222">
        <f t="shared" ref="AD49" si="59">AD21+AD25+AD31+AD37+AD39+AD40+AD41+AD48</f>
        <v>-43</v>
      </c>
      <c r="AE49" s="222">
        <f t="shared" ref="AE49" si="60">AE21+AE25+AE31+AE37+AE39+AE40+AE41+AE48</f>
        <v>241</v>
      </c>
      <c r="AF49" s="222">
        <f t="shared" si="53"/>
        <v>212</v>
      </c>
      <c r="AG49" s="222">
        <f>AG21+AG25+AG31+AG37+AG39+AG40+AG41+AG48</f>
        <v>-1518</v>
      </c>
      <c r="AH49" s="222">
        <f t="shared" ref="AH49:AI49" si="61">AH21+AH25+AH31+AH37+AH39+AH40+AH41+AH48</f>
        <v>0</v>
      </c>
      <c r="AI49" s="222">
        <f t="shared" si="61"/>
        <v>0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-3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703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-502</v>
      </c>
      <c r="AB51" s="221">
        <f t="shared" ref="AB51" si="68">AB18-AB49</f>
        <v>-27</v>
      </c>
      <c r="AC51" s="221">
        <f t="shared" si="63"/>
        <v>-322</v>
      </c>
      <c r="AD51" s="221">
        <f t="shared" ref="AD51" si="69">AD18-AD49</f>
        <v>43</v>
      </c>
      <c r="AE51" s="221">
        <f t="shared" ref="AE51" si="70">AE18-AE49</f>
        <v>-241</v>
      </c>
      <c r="AF51" s="221">
        <f t="shared" si="63"/>
        <v>-212</v>
      </c>
      <c r="AG51" s="221">
        <f>AG18-AG49</f>
        <v>1518</v>
      </c>
      <c r="AH51" s="221">
        <f t="shared" ref="AH51:AI51" si="71">AH18-AH49</f>
        <v>0</v>
      </c>
      <c r="AI51" s="221">
        <f t="shared" si="71"/>
        <v>0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-0.63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147.63</v>
      </c>
      <c r="W54" s="221">
        <f>'ADJ DETAIL INPUT'!W53</f>
        <v>132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-105.42</v>
      </c>
      <c r="AB54" s="221">
        <f>'ADJ DETAIL INPUT'!AD53</f>
        <v>-5.67</v>
      </c>
      <c r="AC54" s="221">
        <f>'ADJ DETAIL INPUT'!AE53</f>
        <v>-67.83</v>
      </c>
      <c r="AD54" s="221">
        <f>'ADJ DETAIL INPUT'!AF53</f>
        <v>9.0299999999999994</v>
      </c>
      <c r="AE54" s="221">
        <f>'ADJ DETAIL INPUT'!AG53</f>
        <v>-50.61</v>
      </c>
      <c r="AF54" s="221">
        <f>'ADJ DETAIL INPUT'!AH53</f>
        <v>-44.519999999999996</v>
      </c>
      <c r="AG54" s="221">
        <f>'ADJ DETAIL INPUT'!AI53</f>
        <v>318.77999999999997</v>
      </c>
      <c r="AH54" s="221">
        <f>'ADJ DETAIL INPUT'!AJ53</f>
        <v>0</v>
      </c>
      <c r="AI54" s="221">
        <f>'ADJ DETAIL INPUT'!AK53</f>
        <v>0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7.149051</v>
      </c>
      <c r="G55" s="221">
        <f>'ADJ DETAIL INPUT'!G54</f>
        <v>4.0131E-2</v>
      </c>
      <c r="H55" s="221">
        <f>'ADJ DETAIL INPUT'!H54</f>
        <v>0</v>
      </c>
      <c r="I55" s="221">
        <f>'ADJ DETAIL INPUT'!I54</f>
        <v>34.615853999999999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-185.00964300000001</v>
      </c>
      <c r="Y55" s="221">
        <f>'ADJ DETAIL INPUT'!AA54</f>
        <v>0</v>
      </c>
      <c r="Z55" s="221">
        <f>'ADJ DETAIL INPUT'!AB54</f>
        <v>-0.54463499999999998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0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-7.149051</v>
      </c>
      <c r="G59" s="344">
        <f t="shared" si="73"/>
        <v>-7.940131</v>
      </c>
      <c r="H59" s="344">
        <f t="shared" si="73"/>
        <v>0</v>
      </c>
      <c r="I59" s="344">
        <f t="shared" ref="I59" si="74">I51-SUM(I54:I57)</f>
        <v>-34.615853999999999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-2.37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555.37</v>
      </c>
      <c r="W59" s="344">
        <f>W51-SUM(W54:W57)</f>
        <v>-132</v>
      </c>
      <c r="X59" s="344">
        <f>X51-SUM(X54:X57)</f>
        <v>-1056.080357</v>
      </c>
      <c r="Y59" s="344">
        <f>Y51-SUM(Y54:Y57)</f>
        <v>403.69</v>
      </c>
      <c r="Z59" s="344">
        <f t="shared" ref="Z59" si="77">Z51-SUM(Z54:Z57)</f>
        <v>-1378.005365</v>
      </c>
      <c r="AA59" s="344">
        <f t="shared" si="73"/>
        <v>-396.58</v>
      </c>
      <c r="AB59" s="344">
        <f t="shared" ref="AB59" si="78">AB51-SUM(AB54:AB57)</f>
        <v>-21.33</v>
      </c>
      <c r="AC59" s="344">
        <f t="shared" si="73"/>
        <v>-254.17000000000002</v>
      </c>
      <c r="AD59" s="344">
        <f t="shared" ref="AD59" si="79">AD51-SUM(AD54:AD57)</f>
        <v>33.97</v>
      </c>
      <c r="AE59" s="344">
        <f t="shared" ref="AE59" si="80">AE51-SUM(AE54:AE57)</f>
        <v>-190.39</v>
      </c>
      <c r="AF59" s="344">
        <f t="shared" si="73"/>
        <v>-167.48000000000002</v>
      </c>
      <c r="AG59" s="344">
        <f>AG51-SUM(AG54:AG57)</f>
        <v>1199.22</v>
      </c>
      <c r="AH59" s="344">
        <f t="shared" ref="AH59:AI59" si="81">AH51-SUM(AH54:AH57)</f>
        <v>0</v>
      </c>
      <c r="AI59" s="344">
        <f t="shared" si="81"/>
        <v>0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0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0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0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0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0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0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0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0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0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0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3" t="s">
        <v>489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349"/>
    </row>
    <row r="2" spans="1:28" ht="18.75">
      <c r="A2" s="793" t="s">
        <v>112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349"/>
    </row>
    <row r="3" spans="1:28" ht="18.75">
      <c r="A3" s="793" t="s">
        <v>170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1" t="s">
        <v>163</v>
      </c>
      <c r="M7" s="781"/>
      <c r="N7" s="781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4" t="s">
        <v>164</v>
      </c>
      <c r="F8" s="794"/>
      <c r="G8" s="52"/>
      <c r="H8" s="794"/>
      <c r="I8" s="794"/>
      <c r="J8" s="36"/>
      <c r="K8" s="781" t="s">
        <v>165</v>
      </c>
      <c r="L8" s="781"/>
      <c r="N8" s="781" t="s">
        <v>166</v>
      </c>
      <c r="O8" s="781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2" t="s">
        <v>69</v>
      </c>
      <c r="F9" s="792"/>
      <c r="G9" s="54"/>
      <c r="H9" s="792" t="s">
        <v>69</v>
      </c>
      <c r="I9" s="792"/>
      <c r="J9" s="36"/>
      <c r="K9" s="792" t="s">
        <v>69</v>
      </c>
      <c r="L9" s="792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6.9599999999999995E-2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-7.149051</v>
      </c>
      <c r="I12" s="65">
        <f>'ADJ DETAIL INPUT'!F$81</f>
        <v>-1247</v>
      </c>
      <c r="J12" s="68"/>
      <c r="K12" s="131">
        <f t="shared" ref="K12:K14" si="0">H12-E12</f>
        <v>-0.41899200000000025</v>
      </c>
      <c r="L12" s="131">
        <f t="shared" ref="L12:L14" si="1">I12-F12</f>
        <v>0</v>
      </c>
      <c r="N12" s="134">
        <f t="shared" ref="N12:N14" si="2">K12/$N$10*-1</f>
        <v>0.55486957005395221</v>
      </c>
      <c r="O12" s="134">
        <f t="shared" ref="O12:O14" si="3">L12*$O$10/$N$10</f>
        <v>0</v>
      </c>
      <c r="P12" s="164">
        <f t="shared" ref="P12:P14" si="4">N12+O12</f>
        <v>0.55486957005395221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-7.940131</v>
      </c>
      <c r="I13" s="65">
        <f>'ADJ DETAIL INPUT'!G$81</f>
        <v>-7</v>
      </c>
      <c r="J13" s="68"/>
      <c r="K13" s="131">
        <f t="shared" si="0"/>
        <v>-2.3520000000001318E-3</v>
      </c>
      <c r="L13" s="131">
        <f t="shared" si="1"/>
        <v>0</v>
      </c>
      <c r="N13" s="134">
        <f t="shared" si="2"/>
        <v>3.1147449802549163E-3</v>
      </c>
      <c r="O13" s="134">
        <f t="shared" si="3"/>
        <v>0</v>
      </c>
      <c r="P13" s="164">
        <f t="shared" si="4"/>
        <v>3.1147449802549163E-3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-34.615853999999999</v>
      </c>
      <c r="I15" s="65">
        <f>'ADJ DETAIL INPUT'!I$81</f>
        <v>-6038</v>
      </c>
      <c r="J15" s="68"/>
      <c r="K15" s="435">
        <f t="shared" ref="K15" si="5">H15-E15</f>
        <v>-2.0287679999999995</v>
      </c>
      <c r="L15" s="435">
        <f t="shared" ref="L15" si="6">I15-F15</f>
        <v>0</v>
      </c>
      <c r="N15" s="439">
        <f t="shared" ref="N15" si="7">K15/$N$10*-1</f>
        <v>2.6866900272540182</v>
      </c>
      <c r="O15" s="439">
        <f t="shared" ref="O15" si="8">L15*$O$10/$N$10</f>
        <v>0</v>
      </c>
      <c r="P15" s="440">
        <f t="shared" ref="P15" si="9">N15+O15</f>
        <v>2.6866900272540182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24564.294964000001</v>
      </c>
      <c r="I17" s="59">
        <f>SUM(I11:I16)</f>
        <v>341366</v>
      </c>
      <c r="J17" s="49"/>
      <c r="K17" s="59">
        <f>SUM(K11:K16)</f>
        <v>-2.4501119999999998</v>
      </c>
      <c r="L17" s="59">
        <f>SUM(L11:L16)</f>
        <v>0</v>
      </c>
      <c r="N17" s="59">
        <f>SUM(N11:N16)</f>
        <v>3.2446743422882252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-2.37</v>
      </c>
      <c r="I23" s="65">
        <f>'ADJ DETAIL INPUT'!N$81</f>
        <v>0</v>
      </c>
      <c r="J23" s="68"/>
      <c r="K23" s="131">
        <f t="shared" si="10"/>
        <v>40.29</v>
      </c>
      <c r="L23" s="131">
        <f t="shared" si="11"/>
        <v>0</v>
      </c>
      <c r="M23" s="36"/>
      <c r="N23" s="134">
        <f t="shared" si="12"/>
        <v>-53.355899342884157</v>
      </c>
      <c r="O23" s="134">
        <f t="shared" si="13"/>
        <v>0</v>
      </c>
      <c r="P23" s="164">
        <f t="shared" si="14"/>
        <v>-53.355899342884157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555.37</v>
      </c>
      <c r="I31" s="121">
        <f>'ADJ DETAIL INPUT'!V$81</f>
        <v>0</v>
      </c>
      <c r="J31" s="126"/>
      <c r="K31" s="435">
        <f t="shared" ref="K31:L33" si="23">H31-E31</f>
        <v>498.49</v>
      </c>
      <c r="L31" s="435">
        <f t="shared" si="23"/>
        <v>0</v>
      </c>
      <c r="M31" s="133"/>
      <c r="N31" s="439">
        <f>K31/$N$10*-1</f>
        <v>-660.14848010509616</v>
      </c>
      <c r="O31" s="439">
        <f>L31*$O$10/$N$10</f>
        <v>0</v>
      </c>
      <c r="P31" s="440">
        <f>N31+O31</f>
        <v>-660.14848010509616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-132</v>
      </c>
      <c r="I32" s="121">
        <f>'ADJ DETAIL INPUT'!W$81</f>
        <v>0</v>
      </c>
      <c r="J32" s="126"/>
      <c r="K32" s="131">
        <f t="shared" si="23"/>
        <v>117</v>
      </c>
      <c r="L32" s="131">
        <f t="shared" si="23"/>
        <v>0</v>
      </c>
      <c r="M32" s="133"/>
      <c r="N32" s="134">
        <f>K32/$N$10*-1</f>
        <v>-154.94267121165169</v>
      </c>
      <c r="O32" s="134">
        <f>L32*$O$10/$N$10</f>
        <v>0</v>
      </c>
      <c r="P32" s="164">
        <f>N32+O32</f>
        <v>-154.94267121165169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-1056.080357</v>
      </c>
      <c r="I33" s="121">
        <f>'ADJ DETAIL INPUT'!X$81</f>
        <v>32271</v>
      </c>
      <c r="J33" s="126"/>
      <c r="K33" s="435">
        <f t="shared" si="23"/>
        <v>10.843055999999933</v>
      </c>
      <c r="L33" s="435">
        <f t="shared" si="23"/>
        <v>0</v>
      </c>
      <c r="M33" s="133"/>
      <c r="N33" s="439">
        <f>K33/$N$10*-1</f>
        <v>-14.359419322542879</v>
      </c>
      <c r="O33" s="439">
        <f>L33*$O$10/$N$10</f>
        <v>0</v>
      </c>
      <c r="P33" s="440">
        <f>N33+O33</f>
        <v>-14.359419322542879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24627.484606999999</v>
      </c>
      <c r="I34" s="63">
        <f>SUM(I17:I33)</f>
        <v>373637</v>
      </c>
      <c r="J34" s="49"/>
      <c r="K34" s="63">
        <f>SUM(K17:K33)</f>
        <v>664.17294399999992</v>
      </c>
      <c r="L34" s="63">
        <f>SUM(L17:L33)</f>
        <v>0</v>
      </c>
      <c r="M34" s="63"/>
      <c r="N34" s="63">
        <f>SUM(N17:N33)</f>
        <v>-879.56179563988667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-1378.005365</v>
      </c>
      <c r="I37" s="121">
        <f>'ADJ DETAIL INPUT'!AB$81</f>
        <v>95</v>
      </c>
      <c r="J37" s="436"/>
      <c r="K37" s="435">
        <f t="shared" ref="K37" si="24">H37-E37</f>
        <v>3.1919999999900028E-2</v>
      </c>
      <c r="L37" s="435">
        <f t="shared" ref="L37" si="25">I37-F37</f>
        <v>0</v>
      </c>
      <c r="M37" s="460"/>
      <c r="N37" s="439">
        <f t="shared" ref="N37" si="26">K37/$N$10*-1</f>
        <v>-4.2271539017610535E-2</v>
      </c>
      <c r="O37" s="439">
        <f t="shared" ref="O37" si="27">L37*$O$10/$N$10</f>
        <v>0</v>
      </c>
      <c r="P37" s="166">
        <f t="shared" ref="P37" si="28">N37+O37</f>
        <v>-4.2271539017610535E-2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-396.58</v>
      </c>
      <c r="I38" s="65">
        <f>'ADJ DETAIL INPUT'!AC$81</f>
        <v>0</v>
      </c>
      <c r="J38" s="49"/>
      <c r="K38" s="131">
        <f t="shared" ref="K38:K39" si="29">H38-E38</f>
        <v>180.12000000000006</v>
      </c>
      <c r="L38" s="131">
        <f t="shared" ref="L38:L39" si="30">I38-F38</f>
        <v>0</v>
      </c>
      <c r="N38" s="134">
        <f t="shared" ref="N38:N39" si="31">K38/$N$10*-1</f>
        <v>-238.53225588583516</v>
      </c>
      <c r="O38" s="134">
        <f t="shared" ref="O38:O39" si="32">L38*$O$10/$N$10</f>
        <v>0</v>
      </c>
      <c r="P38" s="164">
        <f t="shared" ref="P38:P39" si="33">N38+O38</f>
        <v>-238.53225588583516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-21.33</v>
      </c>
      <c r="I39" s="65">
        <f>'ADJ DETAIL INPUT'!AD$81</f>
        <v>0</v>
      </c>
      <c r="J39" s="49"/>
      <c r="K39" s="131">
        <f t="shared" si="29"/>
        <v>59.25</v>
      </c>
      <c r="L39" s="131">
        <f t="shared" si="30"/>
        <v>0</v>
      </c>
      <c r="N39" s="134">
        <f t="shared" si="31"/>
        <v>-78.464557857182584</v>
      </c>
      <c r="O39" s="134">
        <f t="shared" si="32"/>
        <v>0</v>
      </c>
      <c r="P39" s="164">
        <f t="shared" si="33"/>
        <v>-78.464557857182584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-255.17000000000002</v>
      </c>
      <c r="I40" s="65">
        <f>'ADJ DETAIL INPUT'!AE$81</f>
        <v>0</v>
      </c>
      <c r="J40" s="49"/>
      <c r="K40" s="131">
        <f t="shared" ref="K40:L40" si="34">H40-E40</f>
        <v>376.83</v>
      </c>
      <c r="L40" s="131">
        <f t="shared" si="34"/>
        <v>0</v>
      </c>
      <c r="N40" s="134">
        <f>K40/$N$10*-1</f>
        <v>-499.03458797168128</v>
      </c>
      <c r="O40" s="134">
        <f>L40*$O$10/$N$10</f>
        <v>0</v>
      </c>
      <c r="P40" s="164">
        <f>N40+O40</f>
        <v>-499.03458797168128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33.97</v>
      </c>
      <c r="I41" s="121">
        <f>'ADJ DETAIL INPUT'!AF$81</f>
        <v>0</v>
      </c>
      <c r="J41" s="126"/>
      <c r="K41" s="131">
        <f t="shared" ref="K41" si="35">H41-E41</f>
        <v>42.66</v>
      </c>
      <c r="L41" s="131">
        <f t="shared" ref="L41" si="36">I41-F41</f>
        <v>0</v>
      </c>
      <c r="M41" s="133"/>
      <c r="N41" s="134">
        <f>K41/$N$10*-1</f>
        <v>-56.494481657171463</v>
      </c>
      <c r="O41" s="134">
        <f>L41*$O$10/$N$10</f>
        <v>0</v>
      </c>
      <c r="P41" s="166">
        <f>N41+O41</f>
        <v>-56.494481657171463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-190.39</v>
      </c>
      <c r="I42" s="488">
        <f>'ADJ DETAIL INPUT'!AG$81</f>
        <v>0</v>
      </c>
      <c r="J42" s="436"/>
      <c r="K42" s="489">
        <f t="shared" ref="K42" si="37">H42-E42</f>
        <v>269.39</v>
      </c>
      <c r="L42" s="489">
        <f t="shared" ref="L42" si="38">I42-F42</f>
        <v>0</v>
      </c>
      <c r="M42" s="429"/>
      <c r="N42" s="490">
        <f t="shared" ref="N42" si="39">K42/$N$10*-1</f>
        <v>-356.75218972399017</v>
      </c>
      <c r="O42" s="490">
        <f t="shared" ref="O42" si="40">L42*$O$10/$N$10</f>
        <v>0</v>
      </c>
      <c r="P42" s="166">
        <f t="shared" ref="P42" si="41">N42+O42</f>
        <v>-356.75218972399017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-167.48000000000002</v>
      </c>
      <c r="I43" s="65">
        <f>'ADJ DETAIL INPUT'!AH$81</f>
        <v>0</v>
      </c>
      <c r="J43" s="49"/>
      <c r="K43" s="131">
        <f t="shared" ref="K43" si="42">H43-E43</f>
        <v>208.56</v>
      </c>
      <c r="L43" s="131">
        <f t="shared" ref="L43" si="43">I43-F43</f>
        <v>0</v>
      </c>
      <c r="N43" s="134">
        <f>K43/$N$10*-1</f>
        <v>-276.19524365728273</v>
      </c>
      <c r="O43" s="134">
        <f>L43*$O$10/$N$10</f>
        <v>0</v>
      </c>
      <c r="P43" s="166">
        <f>N43+O43</f>
        <v>-276.19524365728273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0</v>
      </c>
      <c r="I45" s="121">
        <f>'ADJ DETAIL INPUT'!AJ$81</f>
        <v>0</v>
      </c>
      <c r="J45" s="122"/>
      <c r="K45" s="131">
        <f t="shared" ref="K45" si="49">H45-E45</f>
        <v>1144.2725740000001</v>
      </c>
      <c r="L45" s="131">
        <f t="shared" ref="L45" si="50">I45-F45</f>
        <v>-25258</v>
      </c>
      <c r="M45" s="36"/>
      <c r="N45" s="134">
        <f t="shared" ref="N45" si="51">K45/$N$10*-1</f>
        <v>-1515.3559761520719</v>
      </c>
      <c r="O45" s="134">
        <f t="shared" ref="O45" si="52">L45*$O$10/$N$10</f>
        <v>-2328.055747578524</v>
      </c>
      <c r="P45" s="166">
        <f t="shared" ref="P45" si="53">N45+O45</f>
        <v>-3843.4117237305959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0</v>
      </c>
      <c r="I46" s="121">
        <f>'ADJ DETAIL INPUT'!AK$81</f>
        <v>0</v>
      </c>
      <c r="J46" s="122"/>
      <c r="K46" s="131">
        <f t="shared" ref="K46" si="54">H46-E46</f>
        <v>-11.06</v>
      </c>
      <c r="L46" s="131">
        <f t="shared" ref="L46" si="55">I46-F46</f>
        <v>0</v>
      </c>
      <c r="M46" s="36"/>
      <c r="N46" s="134">
        <f t="shared" ref="N46" si="56">K46/$N$10*-1</f>
        <v>14.646717466674085</v>
      </c>
      <c r="O46" s="134">
        <f t="shared" ref="O46" si="57">L46*$O$10/$N$10</f>
        <v>0</v>
      </c>
      <c r="P46" s="166">
        <f t="shared" ref="P46" si="58">N46+O46</f>
        <v>14.646717466674085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23170.479241999998</v>
      </c>
      <c r="I50" s="63">
        <f>SUM(I34:I49)</f>
        <v>373732</v>
      </c>
      <c r="J50" s="49"/>
      <c r="K50" s="63">
        <f>SUM(K34:K49)</f>
        <v>2934.2274379999999</v>
      </c>
      <c r="L50" s="63">
        <f>SUM(L34:L49)</f>
        <v>-25258</v>
      </c>
      <c r="M50" s="137"/>
      <c r="N50" s="63">
        <f>SUM(N34:N49)</f>
        <v>-3885.7866426174455</v>
      </c>
      <c r="O50" s="63">
        <f>SUM(O34:O49)</f>
        <v>-2328.055747578524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-6213.8423901959695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-6213.8423901959695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3762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-2451.8423901959695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3762</v>
      </c>
      <c r="P60" s="166">
        <f>O56-O60</f>
        <v>-6213.8423901959695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5B643-D970-4D7C-A6DB-CFE0EE6644F9}"/>
</file>

<file path=customXml/itemProps2.xml><?xml version="1.0" encoding="utf-8"?>
<ds:datastoreItem xmlns:ds="http://schemas.openxmlformats.org/officeDocument/2006/customXml" ds:itemID="{93DF06A3-84AA-44BC-A2B6-58C9A024A4CB}"/>
</file>

<file path=customXml/itemProps3.xml><?xml version="1.0" encoding="utf-8"?>
<ds:datastoreItem xmlns:ds="http://schemas.openxmlformats.org/officeDocument/2006/customXml" ds:itemID="{2864F9D4-1A22-4A87-BDC8-7C2B4E1CF3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sharepoint/v3"/>
    <ds:schemaRef ds:uri="dc463f71-b30c-4ab2-9473-d307f9d3588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8E7E69-4669-472F-9372-372A9B7980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2019-09-24T00:22:59Z</cp:lastPrinted>
  <dcterms:created xsi:type="dcterms:W3CDTF">1997-05-15T21:41:44Z</dcterms:created>
  <dcterms:modified xsi:type="dcterms:W3CDTF">2020-04-06T17:06:52Z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